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omments3.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omments6.xml" ContentType="application/vnd.openxmlformats-officedocument.spreadsheetml.comments+xml"/>
  <Override PartName="/xl/pivotTables/pivotTable1.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nikita.khatwani\Documents\SJSU\"/>
    </mc:Choice>
  </mc:AlternateContent>
  <xr:revisionPtr revIDLastSave="0" documentId="13_ncr:1_{2E6286B1-321E-455E-B897-7ED6041B12DF}" xr6:coauthVersionLast="47" xr6:coauthVersionMax="47" xr10:uidLastSave="{00000000-0000-0000-0000-000000000000}"/>
  <bookViews>
    <workbookView xWindow="-108" yWindow="-108" windowWidth="23256" windowHeight="12576" tabRatio="729" xr2:uid="{00000000-000D-0000-FFFF-FFFF00000000}"/>
  </bookViews>
  <sheets>
    <sheet name="SkYSPark Data_w Will's Data" sheetId="6" r:id="rId1"/>
    <sheet name="Missing Bldgs - Monthly EUI" sheetId="13" r:id="rId2"/>
    <sheet name="Solar Data-Main Campus" sheetId="11" r:id="rId3"/>
    <sheet name="Split meters" sheetId="14" r:id="rId4"/>
    <sheet name="Median Monthly EUIs" sheetId="12" r:id="rId5"/>
    <sheet name="Data availability" sheetId="5" r:id="rId6"/>
    <sheet name="Campus Totals" sheetId="7" r:id="rId7"/>
    <sheet name="Outliers" sheetId="2" r:id="rId8"/>
    <sheet name="BPD vs SJSU EUIs" sheetId="3" r:id="rId9"/>
    <sheet name="Climate Normalization" sheetId="10" r:id="rId10"/>
    <sheet name="Archive_Missing Bldgs-MAINcmps" sheetId="8" r:id="rId11"/>
    <sheet name="Archive_Missing Bldgs-OFFCampus" sheetId="9" r:id="rId12"/>
    <sheet name="Archived-SkYSPark Data" sheetId="1" r:id="rId13"/>
    <sheet name="Archived - Annual EUIs" sheetId="4" r:id="rId14"/>
  </sheets>
  <definedNames>
    <definedName name="_xlnm._FilterDatabase" localSheetId="10" hidden="1">'Archive_Missing Bldgs-MAINcmps'!$A$2:$Q$2</definedName>
    <definedName name="_xlnm._FilterDatabase" localSheetId="11" hidden="1">'Archive_Missing Bldgs-OFFCampus'!$A$2:$Q$2</definedName>
    <definedName name="_xlnm._FilterDatabase" localSheetId="12" hidden="1">'Archived-SkYSPark Data'!$A$2:$EA$674</definedName>
    <definedName name="_xlnm._FilterDatabase" localSheetId="6" hidden="1">'Campus Totals'!$A$35:$I$35</definedName>
    <definedName name="_xlnm._FilterDatabase" localSheetId="5" hidden="1">'Data availability'!$A$1:$S$91</definedName>
    <definedName name="_xlnm._FilterDatabase" localSheetId="1" hidden="1">'Missing Bldgs - Monthly EUI'!$A$2:$I$2</definedName>
    <definedName name="_xlnm._FilterDatabase" localSheetId="7" hidden="1">Outliers!$B$2:$BB$61</definedName>
    <definedName name="_xlnm._FilterDatabase" localSheetId="0" hidden="1">'SkYSPark Data_w Will''s Data'!$A$2:$EO$794</definedName>
    <definedName name="_xlnm._FilterDatabase" localSheetId="3" hidden="1">'Split meters'!$A$34:$AD$106</definedName>
    <definedName name="Slicer_Building_Name">#N/A</definedName>
  </definedNames>
  <calcPr calcId="191029"/>
  <pivotCaches>
    <pivotCache cacheId="2"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1" i="7" l="1"/>
  <c r="D62" i="7" l="1"/>
  <c r="K723" i="6" l="1"/>
  <c r="E794" i="6"/>
  <c r="D794" i="6"/>
  <c r="E793" i="6"/>
  <c r="D793" i="6"/>
  <c r="E792" i="6"/>
  <c r="D792" i="6"/>
  <c r="E791" i="6"/>
  <c r="D791" i="6"/>
  <c r="E790" i="6"/>
  <c r="D790" i="6"/>
  <c r="E789" i="6"/>
  <c r="D789" i="6"/>
  <c r="E788" i="6"/>
  <c r="D788" i="6"/>
  <c r="E787" i="6"/>
  <c r="D787" i="6"/>
  <c r="E786" i="6"/>
  <c r="D786" i="6"/>
  <c r="E785" i="6"/>
  <c r="D785" i="6"/>
  <c r="E784" i="6"/>
  <c r="D784" i="6"/>
  <c r="E783" i="6"/>
  <c r="D783" i="6"/>
  <c r="G220" i="6"/>
  <c r="G221" i="6"/>
  <c r="G222" i="6"/>
  <c r="G223" i="6"/>
  <c r="G224" i="6"/>
  <c r="G225" i="6"/>
  <c r="G226" i="6"/>
  <c r="G227" i="6"/>
  <c r="G228" i="6"/>
  <c r="G229" i="6"/>
  <c r="G230" i="6"/>
  <c r="M3" i="11" l="1"/>
  <c r="M4" i="11"/>
  <c r="M5" i="11"/>
  <c r="M6" i="11"/>
  <c r="M7" i="11"/>
  <c r="M8" i="11"/>
  <c r="M9" i="11"/>
  <c r="M10" i="11"/>
  <c r="M11" i="11"/>
  <c r="M12" i="11"/>
  <c r="M13" i="11"/>
  <c r="M2" i="11"/>
  <c r="G724" i="6" l="1"/>
  <c r="G725" i="6"/>
  <c r="G726" i="6"/>
  <c r="M726" i="6" s="1"/>
  <c r="G727" i="6"/>
  <c r="M727" i="6" s="1"/>
  <c r="G728" i="6"/>
  <c r="G729" i="6"/>
  <c r="G730" i="6"/>
  <c r="G731" i="6"/>
  <c r="M731" i="6" s="1"/>
  <c r="G732" i="6"/>
  <c r="G733" i="6"/>
  <c r="G734" i="6"/>
  <c r="M734" i="6" s="1"/>
  <c r="G723" i="6"/>
  <c r="M723" i="6" s="1"/>
  <c r="G676" i="6"/>
  <c r="G677" i="6"/>
  <c r="G678" i="6"/>
  <c r="G679" i="6"/>
  <c r="G680" i="6"/>
  <c r="G681" i="6"/>
  <c r="G682" i="6"/>
  <c r="G683" i="6"/>
  <c r="M683" i="6" s="1"/>
  <c r="G684" i="6"/>
  <c r="G685" i="6"/>
  <c r="G686" i="6"/>
  <c r="G675" i="6"/>
  <c r="G604" i="6"/>
  <c r="G605" i="6"/>
  <c r="G606" i="6"/>
  <c r="M606" i="6" s="1"/>
  <c r="G607" i="6"/>
  <c r="M607" i="6" s="1"/>
  <c r="G608" i="6"/>
  <c r="G609" i="6"/>
  <c r="G610" i="6"/>
  <c r="G611" i="6"/>
  <c r="M611" i="6" s="1"/>
  <c r="G612" i="6"/>
  <c r="G613" i="6"/>
  <c r="G614" i="6"/>
  <c r="M614" i="6" s="1"/>
  <c r="G603" i="6"/>
  <c r="G616" i="6"/>
  <c r="G617" i="6"/>
  <c r="G618" i="6"/>
  <c r="G619" i="6"/>
  <c r="G620" i="6"/>
  <c r="G621" i="6"/>
  <c r="G622" i="6"/>
  <c r="G623" i="6"/>
  <c r="G624" i="6"/>
  <c r="G625" i="6"/>
  <c r="G626" i="6"/>
  <c r="G615" i="6"/>
  <c r="G688" i="6"/>
  <c r="G689" i="6"/>
  <c r="G690" i="6"/>
  <c r="M690" i="6" s="1"/>
  <c r="G691" i="6"/>
  <c r="M691" i="6" s="1"/>
  <c r="G692" i="6"/>
  <c r="G693" i="6"/>
  <c r="G694" i="6"/>
  <c r="G695" i="6"/>
  <c r="G696" i="6"/>
  <c r="G697" i="6"/>
  <c r="G698" i="6"/>
  <c r="G687" i="6"/>
  <c r="M687" i="6" s="1"/>
  <c r="G472" i="6"/>
  <c r="G473" i="6"/>
  <c r="G474" i="6"/>
  <c r="G475" i="6"/>
  <c r="G476" i="6"/>
  <c r="G477" i="6"/>
  <c r="G478" i="6"/>
  <c r="G479" i="6"/>
  <c r="M479" i="6" s="1"/>
  <c r="G480" i="6"/>
  <c r="G481" i="6"/>
  <c r="G482" i="6"/>
  <c r="G471" i="6"/>
  <c r="G219" i="6"/>
  <c r="G160" i="6"/>
  <c r="G161" i="6"/>
  <c r="G162" i="6"/>
  <c r="M162" i="6" s="1"/>
  <c r="G163" i="6"/>
  <c r="G164" i="6"/>
  <c r="G165" i="6"/>
  <c r="M165" i="6" s="1"/>
  <c r="G166" i="6"/>
  <c r="G167" i="6"/>
  <c r="M167" i="6" s="1"/>
  <c r="G168" i="6"/>
  <c r="G169" i="6"/>
  <c r="G170" i="6"/>
  <c r="M170" i="6" s="1"/>
  <c r="G159" i="6"/>
  <c r="G64" i="6"/>
  <c r="G65" i="6"/>
  <c r="G66" i="6"/>
  <c r="G67" i="6"/>
  <c r="G68" i="6"/>
  <c r="G69" i="6"/>
  <c r="G70" i="6"/>
  <c r="M70" i="6" s="1"/>
  <c r="G71" i="6"/>
  <c r="G72" i="6"/>
  <c r="G73" i="6"/>
  <c r="G74" i="6"/>
  <c r="G63" i="6"/>
  <c r="G16" i="6"/>
  <c r="G17" i="6"/>
  <c r="G18" i="6"/>
  <c r="M18" i="6" s="1"/>
  <c r="G19" i="6"/>
  <c r="G20" i="6"/>
  <c r="G21" i="6"/>
  <c r="G22" i="6"/>
  <c r="G23" i="6"/>
  <c r="G24" i="6"/>
  <c r="G25" i="6"/>
  <c r="G26" i="6"/>
  <c r="M26" i="6" s="1"/>
  <c r="G15" i="6"/>
  <c r="P663" i="1"/>
  <c r="N663" i="1"/>
  <c r="M663" i="1"/>
  <c r="L663" i="1"/>
  <c r="K663" i="1"/>
  <c r="P651" i="1"/>
  <c r="N651" i="1"/>
  <c r="M651" i="1"/>
  <c r="L651" i="1"/>
  <c r="K651" i="1"/>
  <c r="P639" i="1"/>
  <c r="N639" i="1"/>
  <c r="M639" i="1"/>
  <c r="L639" i="1"/>
  <c r="K639" i="1"/>
  <c r="P627" i="1"/>
  <c r="N627" i="1"/>
  <c r="M627" i="1"/>
  <c r="L627" i="1"/>
  <c r="K627" i="1"/>
  <c r="P615" i="1"/>
  <c r="N615" i="1"/>
  <c r="M615" i="1"/>
  <c r="L615" i="1"/>
  <c r="K615" i="1"/>
  <c r="P603" i="1"/>
  <c r="N603" i="1"/>
  <c r="M603" i="1"/>
  <c r="L603" i="1"/>
  <c r="K603" i="1"/>
  <c r="P591" i="1"/>
  <c r="N591" i="1"/>
  <c r="M591" i="1"/>
  <c r="L591" i="1"/>
  <c r="K591" i="1"/>
  <c r="P579" i="1"/>
  <c r="N579" i="1"/>
  <c r="M579" i="1"/>
  <c r="L579" i="1"/>
  <c r="K579" i="1"/>
  <c r="P567" i="1"/>
  <c r="N567" i="1"/>
  <c r="M567" i="1"/>
  <c r="L567" i="1"/>
  <c r="K567" i="1"/>
  <c r="P555" i="1"/>
  <c r="N555" i="1"/>
  <c r="M555" i="1"/>
  <c r="L555" i="1"/>
  <c r="K555" i="1"/>
  <c r="P543" i="1"/>
  <c r="N543" i="1"/>
  <c r="M543" i="1"/>
  <c r="L543" i="1"/>
  <c r="K543" i="1"/>
  <c r="P531" i="1"/>
  <c r="N531" i="1"/>
  <c r="M531" i="1"/>
  <c r="L531" i="1"/>
  <c r="K531" i="1"/>
  <c r="P519" i="1"/>
  <c r="N519" i="1"/>
  <c r="M519" i="1"/>
  <c r="L519" i="1"/>
  <c r="K519" i="1"/>
  <c r="P507" i="1"/>
  <c r="P495" i="1"/>
  <c r="N495" i="1"/>
  <c r="M495" i="1"/>
  <c r="L495" i="1"/>
  <c r="K495" i="1"/>
  <c r="P483" i="1"/>
  <c r="N483" i="1"/>
  <c r="M483" i="1"/>
  <c r="L483" i="1"/>
  <c r="K483" i="1"/>
  <c r="P471" i="1"/>
  <c r="N471" i="1"/>
  <c r="M471" i="1"/>
  <c r="L471" i="1"/>
  <c r="K471" i="1"/>
  <c r="P447" i="1"/>
  <c r="N447" i="1"/>
  <c r="M447" i="1"/>
  <c r="L447" i="1"/>
  <c r="K447" i="1"/>
  <c r="P435" i="1"/>
  <c r="N435" i="1"/>
  <c r="M435" i="1"/>
  <c r="L435" i="1"/>
  <c r="K435" i="1"/>
  <c r="P423" i="1"/>
  <c r="N423" i="1"/>
  <c r="M423" i="1"/>
  <c r="L423" i="1"/>
  <c r="K423" i="1"/>
  <c r="P411" i="1"/>
  <c r="P399" i="1"/>
  <c r="N399" i="1"/>
  <c r="M399" i="1"/>
  <c r="L399" i="1"/>
  <c r="K399" i="1"/>
  <c r="P387" i="1"/>
  <c r="N387" i="1"/>
  <c r="M387" i="1"/>
  <c r="L387" i="1"/>
  <c r="K387" i="1"/>
  <c r="P363" i="1"/>
  <c r="N363" i="1"/>
  <c r="M363" i="1"/>
  <c r="L363" i="1"/>
  <c r="K363" i="1"/>
  <c r="P351" i="1"/>
  <c r="N351" i="1"/>
  <c r="M351" i="1"/>
  <c r="L351" i="1"/>
  <c r="K351" i="1"/>
  <c r="P339" i="1"/>
  <c r="N339" i="1"/>
  <c r="M339" i="1"/>
  <c r="L339" i="1"/>
  <c r="K339" i="1"/>
  <c r="P327" i="1"/>
  <c r="N327" i="1"/>
  <c r="M327" i="1"/>
  <c r="L327" i="1"/>
  <c r="K327" i="1"/>
  <c r="P315" i="1"/>
  <c r="N315" i="1"/>
  <c r="M315" i="1"/>
  <c r="L315" i="1"/>
  <c r="K315" i="1"/>
  <c r="P303" i="1"/>
  <c r="N303" i="1"/>
  <c r="M303" i="1"/>
  <c r="L303" i="1"/>
  <c r="K303" i="1"/>
  <c r="P291" i="1"/>
  <c r="P279" i="1"/>
  <c r="N279" i="1"/>
  <c r="M279" i="1"/>
  <c r="L279" i="1"/>
  <c r="K279" i="1"/>
  <c r="P267" i="1"/>
  <c r="N267" i="1"/>
  <c r="M267" i="1"/>
  <c r="L267" i="1"/>
  <c r="K267" i="1"/>
  <c r="P255" i="1"/>
  <c r="N255" i="1"/>
  <c r="M255" i="1"/>
  <c r="L255" i="1"/>
  <c r="K255" i="1"/>
  <c r="P243" i="1"/>
  <c r="N243" i="1"/>
  <c r="M243" i="1"/>
  <c r="L243" i="1"/>
  <c r="K243" i="1"/>
  <c r="P219" i="1"/>
  <c r="N219" i="1"/>
  <c r="M219" i="1"/>
  <c r="L219" i="1"/>
  <c r="K219" i="1"/>
  <c r="P207" i="1"/>
  <c r="L207" i="1"/>
  <c r="K207" i="1"/>
  <c r="P195" i="1"/>
  <c r="O195" i="1"/>
  <c r="P183" i="1"/>
  <c r="L183" i="1"/>
  <c r="P159" i="1"/>
  <c r="N159" i="1"/>
  <c r="M159" i="1"/>
  <c r="K159" i="1"/>
  <c r="P147" i="1"/>
  <c r="L147" i="1"/>
  <c r="K147" i="1"/>
  <c r="P135" i="1"/>
  <c r="N135" i="1"/>
  <c r="M135" i="1"/>
  <c r="L135" i="1"/>
  <c r="K135" i="1"/>
  <c r="P123" i="1"/>
  <c r="K123" i="1"/>
  <c r="P111" i="1"/>
  <c r="N111" i="1"/>
  <c r="M111" i="1"/>
  <c r="K111" i="1"/>
  <c r="P99" i="1"/>
  <c r="K99" i="1"/>
  <c r="P87" i="1"/>
  <c r="N87" i="1"/>
  <c r="M87" i="1"/>
  <c r="K87" i="1"/>
  <c r="P63" i="1"/>
  <c r="N63" i="1"/>
  <c r="M63" i="1"/>
  <c r="K63" i="1"/>
  <c r="P51" i="1"/>
  <c r="K51" i="1"/>
  <c r="P39" i="1"/>
  <c r="K39" i="1"/>
  <c r="P27" i="1"/>
  <c r="N27" i="1"/>
  <c r="M27" i="1"/>
  <c r="L27" i="1"/>
  <c r="K27" i="1"/>
  <c r="P15" i="1"/>
  <c r="L15" i="1"/>
  <c r="K15" i="1"/>
  <c r="F14" i="1"/>
  <c r="F13" i="1"/>
  <c r="F12" i="1"/>
  <c r="F11" i="1"/>
  <c r="F10" i="1"/>
  <c r="F9" i="1"/>
  <c r="F7" i="1"/>
  <c r="F6" i="1"/>
  <c r="F5" i="1"/>
  <c r="P3" i="1"/>
  <c r="K3" i="1"/>
  <c r="F3" i="1"/>
  <c r="D142" i="10"/>
  <c r="B142" i="10"/>
  <c r="D141" i="10"/>
  <c r="C141" i="10"/>
  <c r="D140" i="10"/>
  <c r="C140" i="10"/>
  <c r="D139" i="10"/>
  <c r="C139" i="10"/>
  <c r="D138" i="10"/>
  <c r="C138" i="10"/>
  <c r="D137" i="10"/>
  <c r="C137" i="10"/>
  <c r="D136" i="10"/>
  <c r="C136" i="10"/>
  <c r="D135" i="10"/>
  <c r="C135" i="10"/>
  <c r="D134" i="10"/>
  <c r="C134" i="10"/>
  <c r="D133" i="10"/>
  <c r="C133" i="10"/>
  <c r="D132" i="10"/>
  <c r="C132" i="10"/>
  <c r="D131" i="10"/>
  <c r="C131" i="10"/>
  <c r="D130" i="10"/>
  <c r="C130" i="10"/>
  <c r="D127" i="10"/>
  <c r="B127" i="10"/>
  <c r="D126" i="10"/>
  <c r="C126" i="10"/>
  <c r="D125" i="10"/>
  <c r="C125" i="10"/>
  <c r="D124" i="10"/>
  <c r="C124" i="10"/>
  <c r="D123" i="10"/>
  <c r="C123" i="10"/>
  <c r="D122" i="10"/>
  <c r="C122" i="10"/>
  <c r="D121" i="10"/>
  <c r="C121" i="10"/>
  <c r="D120" i="10"/>
  <c r="C120" i="10"/>
  <c r="D119" i="10"/>
  <c r="C119" i="10"/>
  <c r="D118" i="10"/>
  <c r="C118" i="10"/>
  <c r="D117" i="10"/>
  <c r="C117" i="10"/>
  <c r="D116" i="10"/>
  <c r="C116" i="10"/>
  <c r="D115" i="10"/>
  <c r="C115" i="10"/>
  <c r="D112" i="10"/>
  <c r="B112" i="10"/>
  <c r="D111" i="10"/>
  <c r="C111" i="10"/>
  <c r="D110" i="10"/>
  <c r="C110" i="10"/>
  <c r="D109" i="10"/>
  <c r="C109" i="10"/>
  <c r="D108" i="10"/>
  <c r="C108" i="10"/>
  <c r="D107" i="10"/>
  <c r="C107" i="10"/>
  <c r="D106" i="10"/>
  <c r="C106" i="10"/>
  <c r="D105" i="10"/>
  <c r="C105" i="10"/>
  <c r="D104" i="10"/>
  <c r="C104" i="10"/>
  <c r="D103" i="10"/>
  <c r="C103" i="10"/>
  <c r="D102" i="10"/>
  <c r="C102" i="10"/>
  <c r="D101" i="10"/>
  <c r="C101" i="10"/>
  <c r="D100" i="10"/>
  <c r="C100" i="10"/>
  <c r="D97" i="10"/>
  <c r="B97" i="10"/>
  <c r="D96" i="10"/>
  <c r="C96" i="10"/>
  <c r="D95" i="10"/>
  <c r="C95" i="10"/>
  <c r="D94" i="10"/>
  <c r="C94" i="10"/>
  <c r="D93" i="10"/>
  <c r="C93" i="10"/>
  <c r="D92" i="10"/>
  <c r="C92" i="10"/>
  <c r="D91" i="10"/>
  <c r="C91" i="10"/>
  <c r="D90" i="10"/>
  <c r="C90" i="10"/>
  <c r="D89" i="10"/>
  <c r="C89" i="10"/>
  <c r="D88" i="10"/>
  <c r="C88" i="10"/>
  <c r="D87" i="10"/>
  <c r="C87" i="10"/>
  <c r="D86" i="10"/>
  <c r="C86" i="10"/>
  <c r="D85" i="10"/>
  <c r="C85" i="10"/>
  <c r="D82" i="10"/>
  <c r="B82" i="10"/>
  <c r="D81" i="10"/>
  <c r="C81" i="10"/>
  <c r="B81" i="10"/>
  <c r="D80" i="10"/>
  <c r="C80" i="10"/>
  <c r="D79" i="10"/>
  <c r="C79" i="10"/>
  <c r="D78" i="10"/>
  <c r="C78" i="10"/>
  <c r="D77" i="10"/>
  <c r="C77" i="10"/>
  <c r="D76" i="10"/>
  <c r="C76" i="10"/>
  <c r="D75" i="10"/>
  <c r="C75" i="10"/>
  <c r="D74" i="10"/>
  <c r="C74" i="10"/>
  <c r="D73" i="10"/>
  <c r="C73" i="10"/>
  <c r="D72" i="10"/>
  <c r="C72" i="10"/>
  <c r="D71" i="10"/>
  <c r="C71" i="10"/>
  <c r="D70" i="10"/>
  <c r="C70" i="10"/>
  <c r="D67" i="10"/>
  <c r="B67" i="10"/>
  <c r="D66" i="10"/>
  <c r="C66" i="10"/>
  <c r="D65" i="10"/>
  <c r="C65" i="10"/>
  <c r="D64" i="10"/>
  <c r="C64" i="10"/>
  <c r="D63" i="10"/>
  <c r="C63" i="10"/>
  <c r="D62" i="10"/>
  <c r="C62" i="10"/>
  <c r="D61" i="10"/>
  <c r="C61" i="10"/>
  <c r="D60" i="10"/>
  <c r="C60" i="10"/>
  <c r="D59" i="10"/>
  <c r="C59" i="10"/>
  <c r="D58" i="10"/>
  <c r="C58" i="10"/>
  <c r="D57" i="10"/>
  <c r="C57" i="10"/>
  <c r="D56" i="10"/>
  <c r="C56" i="10"/>
  <c r="D55" i="10"/>
  <c r="C55" i="10"/>
  <c r="C50" i="10"/>
  <c r="B50" i="10"/>
  <c r="P11" i="10"/>
  <c r="P6" i="10"/>
  <c r="N6" i="10"/>
  <c r="I6" i="10"/>
  <c r="AD18" i="3"/>
  <c r="AC18" i="3"/>
  <c r="AB18" i="3"/>
  <c r="AA18" i="3"/>
  <c r="Z18" i="3"/>
  <c r="Y18" i="3"/>
  <c r="AB17" i="3"/>
  <c r="AA17" i="3"/>
  <c r="AB16" i="3"/>
  <c r="AA16" i="3"/>
  <c r="AB15" i="3"/>
  <c r="AA15" i="3"/>
  <c r="AB14" i="3"/>
  <c r="AA14" i="3"/>
  <c r="AB13" i="3"/>
  <c r="AA13" i="3"/>
  <c r="AB12" i="3"/>
  <c r="AA12" i="3"/>
  <c r="AB11" i="3"/>
  <c r="AA11" i="3"/>
  <c r="AB10" i="3"/>
  <c r="AA10" i="3"/>
  <c r="AB9" i="3"/>
  <c r="AA9" i="3"/>
  <c r="AB8" i="3"/>
  <c r="AA8" i="3"/>
  <c r="AB7" i="3"/>
  <c r="AA7" i="3"/>
  <c r="AD6" i="3"/>
  <c r="AB6" i="3"/>
  <c r="AA6" i="3"/>
  <c r="Z6" i="3"/>
  <c r="AB5" i="3"/>
  <c r="AA5" i="3"/>
  <c r="AB4" i="3"/>
  <c r="AA4" i="3"/>
  <c r="AR61" i="2"/>
  <c r="AI61" i="2"/>
  <c r="Z61" i="2"/>
  <c r="Q61" i="2"/>
  <c r="G61" i="2"/>
  <c r="F61" i="2"/>
  <c r="E61" i="2"/>
  <c r="D61" i="2"/>
  <c r="C61" i="2"/>
  <c r="AR60" i="2"/>
  <c r="AI60" i="2"/>
  <c r="Z60" i="2"/>
  <c r="Q60" i="2"/>
  <c r="G60" i="2"/>
  <c r="E60" i="2"/>
  <c r="D60" i="2"/>
  <c r="C60" i="2"/>
  <c r="AR59" i="2"/>
  <c r="AI59" i="2"/>
  <c r="Z59" i="2"/>
  <c r="Q59" i="2"/>
  <c r="H59" i="2"/>
  <c r="G59" i="2"/>
  <c r="E59" i="2"/>
  <c r="D59" i="2"/>
  <c r="C59" i="2"/>
  <c r="AR58" i="2"/>
  <c r="AI58" i="2"/>
  <c r="Z58" i="2"/>
  <c r="Q58" i="2"/>
  <c r="G58" i="2"/>
  <c r="E58" i="2"/>
  <c r="D58" i="2"/>
  <c r="AR57" i="2"/>
  <c r="AI57" i="2"/>
  <c r="Z57" i="2"/>
  <c r="Q57" i="2"/>
  <c r="G57" i="2"/>
  <c r="F57" i="2"/>
  <c r="E57" i="2"/>
  <c r="D57" i="2"/>
  <c r="C57" i="2"/>
  <c r="AR56" i="2"/>
  <c r="AI56" i="2"/>
  <c r="Z56" i="2"/>
  <c r="Q56" i="2"/>
  <c r="G56" i="2"/>
  <c r="F56" i="2"/>
  <c r="E56" i="2"/>
  <c r="D56" i="2"/>
  <c r="C56" i="2"/>
  <c r="AR55" i="2"/>
  <c r="AI55" i="2"/>
  <c r="Z55" i="2"/>
  <c r="Q55" i="2"/>
  <c r="G55" i="2"/>
  <c r="F55" i="2"/>
  <c r="E55" i="2"/>
  <c r="D55" i="2"/>
  <c r="AR54" i="2"/>
  <c r="AI54" i="2"/>
  <c r="Z54" i="2"/>
  <c r="Q54" i="2"/>
  <c r="G54" i="2"/>
  <c r="F54" i="2"/>
  <c r="E54" i="2"/>
  <c r="D54" i="2"/>
  <c r="AR53" i="2"/>
  <c r="AI53" i="2"/>
  <c r="Z53" i="2"/>
  <c r="Q53" i="2"/>
  <c r="G53" i="2"/>
  <c r="F53" i="2"/>
  <c r="E53" i="2"/>
  <c r="D53" i="2"/>
  <c r="C53" i="2"/>
  <c r="AR52" i="2"/>
  <c r="AI52" i="2"/>
  <c r="Z52" i="2"/>
  <c r="Q52" i="2"/>
  <c r="G52" i="2"/>
  <c r="F52" i="2"/>
  <c r="E52" i="2"/>
  <c r="D52" i="2"/>
  <c r="C52" i="2"/>
  <c r="AR51" i="2"/>
  <c r="AI51" i="2"/>
  <c r="Z51" i="2"/>
  <c r="Q51" i="2"/>
  <c r="H51" i="2"/>
  <c r="G51" i="2"/>
  <c r="F51" i="2"/>
  <c r="E51" i="2"/>
  <c r="D51" i="2"/>
  <c r="C51" i="2"/>
  <c r="AR50" i="2"/>
  <c r="AI50" i="2"/>
  <c r="Z50" i="2"/>
  <c r="Q50" i="2"/>
  <c r="H50" i="2"/>
  <c r="F50" i="2"/>
  <c r="E50" i="2"/>
  <c r="D50" i="2"/>
  <c r="AR49" i="2"/>
  <c r="AI49" i="2"/>
  <c r="Z49" i="2"/>
  <c r="Q49" i="2"/>
  <c r="G49" i="2"/>
  <c r="F49" i="2"/>
  <c r="E49" i="2"/>
  <c r="D49" i="2"/>
  <c r="AR48" i="2"/>
  <c r="AI48" i="2"/>
  <c r="Z48" i="2"/>
  <c r="Q48" i="2"/>
  <c r="G48" i="2"/>
  <c r="F48" i="2"/>
  <c r="E48" i="2"/>
  <c r="D48" i="2"/>
  <c r="AR47" i="2"/>
  <c r="AI47" i="2"/>
  <c r="Z47" i="2"/>
  <c r="Q47" i="2"/>
  <c r="G47" i="2"/>
  <c r="F47" i="2"/>
  <c r="E47" i="2"/>
  <c r="D47" i="2"/>
  <c r="C47" i="2"/>
  <c r="AR46" i="2"/>
  <c r="AI46" i="2"/>
  <c r="Z46" i="2"/>
  <c r="Q46" i="2"/>
  <c r="G46" i="2"/>
  <c r="F46" i="2"/>
  <c r="E46" i="2"/>
  <c r="D46" i="2"/>
  <c r="AR45" i="2"/>
  <c r="AI45" i="2"/>
  <c r="Z45" i="2"/>
  <c r="Q45" i="2"/>
  <c r="H45" i="2"/>
  <c r="G45" i="2"/>
  <c r="F45" i="2"/>
  <c r="E45" i="2"/>
  <c r="D45" i="2"/>
  <c r="C45" i="2"/>
  <c r="AR44" i="2"/>
  <c r="AI44" i="2"/>
  <c r="Z44" i="2"/>
  <c r="Q44" i="2"/>
  <c r="G44" i="2"/>
  <c r="F44" i="2"/>
  <c r="E44" i="2"/>
  <c r="D44" i="2"/>
  <c r="C44" i="2"/>
  <c r="AR43" i="2"/>
  <c r="AI43" i="2"/>
  <c r="Z43" i="2"/>
  <c r="Q43" i="2"/>
  <c r="G43" i="2"/>
  <c r="F43" i="2"/>
  <c r="E43" i="2"/>
  <c r="D43" i="2"/>
  <c r="C43" i="2"/>
  <c r="AR42" i="2"/>
  <c r="AI42" i="2"/>
  <c r="Z42" i="2"/>
  <c r="Q42" i="2"/>
  <c r="G42" i="2"/>
  <c r="F42" i="2"/>
  <c r="E42" i="2"/>
  <c r="D42" i="2"/>
  <c r="C42" i="2"/>
  <c r="AR41" i="2"/>
  <c r="AI41" i="2"/>
  <c r="Z41" i="2"/>
  <c r="Q41" i="2"/>
  <c r="G41" i="2"/>
  <c r="F41" i="2"/>
  <c r="E41" i="2"/>
  <c r="D41" i="2"/>
  <c r="AR40" i="2"/>
  <c r="AI40" i="2"/>
  <c r="Z40" i="2"/>
  <c r="Q40" i="2"/>
  <c r="G40" i="2"/>
  <c r="E40" i="2"/>
  <c r="D40" i="2"/>
  <c r="AR39" i="2"/>
  <c r="AI39" i="2"/>
  <c r="Z39" i="2"/>
  <c r="Q39" i="2"/>
  <c r="G39" i="2"/>
  <c r="F39" i="2"/>
  <c r="E39" i="2"/>
  <c r="D39" i="2"/>
  <c r="C39" i="2"/>
  <c r="AR38" i="2"/>
  <c r="AI38" i="2"/>
  <c r="Z38" i="2"/>
  <c r="Q38" i="2"/>
  <c r="H38" i="2"/>
  <c r="G38" i="2"/>
  <c r="F38" i="2"/>
  <c r="E38" i="2"/>
  <c r="D38" i="2"/>
  <c r="C38" i="2"/>
  <c r="AR37" i="2"/>
  <c r="AI37" i="2"/>
  <c r="Z37" i="2"/>
  <c r="Q37" i="2"/>
  <c r="H37" i="2"/>
  <c r="G37" i="2"/>
  <c r="F37" i="2"/>
  <c r="E37" i="2"/>
  <c r="D37" i="2"/>
  <c r="C37" i="2"/>
  <c r="AR36" i="2"/>
  <c r="AI36" i="2"/>
  <c r="Z36" i="2"/>
  <c r="Q36" i="2"/>
  <c r="G36" i="2"/>
  <c r="F36" i="2"/>
  <c r="E36" i="2"/>
  <c r="D36" i="2"/>
  <c r="C36" i="2"/>
  <c r="AR35" i="2"/>
  <c r="AI35" i="2"/>
  <c r="Z35" i="2"/>
  <c r="Q35" i="2"/>
  <c r="G35" i="2"/>
  <c r="F35" i="2"/>
  <c r="E35" i="2"/>
  <c r="D35" i="2"/>
  <c r="AR34" i="2"/>
  <c r="AI34" i="2"/>
  <c r="Z34" i="2"/>
  <c r="Q34" i="2"/>
  <c r="G34" i="2"/>
  <c r="F34" i="2"/>
  <c r="E34" i="2"/>
  <c r="D34" i="2"/>
  <c r="C34" i="2"/>
  <c r="AR33" i="2"/>
  <c r="AI33" i="2"/>
  <c r="Z33" i="2"/>
  <c r="Q33" i="2"/>
  <c r="G33" i="2"/>
  <c r="F33" i="2"/>
  <c r="E33" i="2"/>
  <c r="D33" i="2"/>
  <c r="C33" i="2"/>
  <c r="AR32" i="2"/>
  <c r="AI32" i="2"/>
  <c r="Z32" i="2"/>
  <c r="Q32" i="2"/>
  <c r="G32" i="2"/>
  <c r="D32" i="2"/>
  <c r="C32" i="2"/>
  <c r="AR31" i="2"/>
  <c r="AI31" i="2"/>
  <c r="Z31" i="2"/>
  <c r="Q31" i="2"/>
  <c r="G31" i="2"/>
  <c r="F31" i="2"/>
  <c r="E31" i="2"/>
  <c r="D31" i="2"/>
  <c r="C31" i="2"/>
  <c r="AR30" i="2"/>
  <c r="AI30" i="2"/>
  <c r="Z30" i="2"/>
  <c r="Q30" i="2"/>
  <c r="G30" i="2"/>
  <c r="F30" i="2"/>
  <c r="E30" i="2"/>
  <c r="D30" i="2"/>
  <c r="C30" i="2"/>
  <c r="AR29" i="2"/>
  <c r="AI29" i="2"/>
  <c r="Z29" i="2"/>
  <c r="Q29" i="2"/>
  <c r="G29" i="2"/>
  <c r="F29" i="2"/>
  <c r="E29" i="2"/>
  <c r="D29" i="2"/>
  <c r="C29" i="2"/>
  <c r="AR28" i="2"/>
  <c r="AI28" i="2"/>
  <c r="Z28" i="2"/>
  <c r="Q28" i="2"/>
  <c r="G28" i="2"/>
  <c r="F28" i="2"/>
  <c r="E28" i="2"/>
  <c r="D28" i="2"/>
  <c r="C28" i="2"/>
  <c r="AR27" i="2"/>
  <c r="AI27" i="2"/>
  <c r="Z27" i="2"/>
  <c r="Q27" i="2"/>
  <c r="H27" i="2"/>
  <c r="G27" i="2"/>
  <c r="F27" i="2"/>
  <c r="E27" i="2"/>
  <c r="D27" i="2"/>
  <c r="C27" i="2"/>
  <c r="AR26" i="2"/>
  <c r="AI26" i="2"/>
  <c r="Z26" i="2"/>
  <c r="Q26" i="2"/>
  <c r="G26" i="2"/>
  <c r="F26" i="2"/>
  <c r="E26" i="2"/>
  <c r="D26" i="2"/>
  <c r="AR25" i="2"/>
  <c r="AI25" i="2"/>
  <c r="Z25" i="2"/>
  <c r="Q25" i="2"/>
  <c r="G25" i="2"/>
  <c r="F25" i="2"/>
  <c r="E25" i="2"/>
  <c r="D25" i="2"/>
  <c r="C25" i="2"/>
  <c r="AR24" i="2"/>
  <c r="AI24" i="2"/>
  <c r="Z24" i="2"/>
  <c r="Q24" i="2"/>
  <c r="G24" i="2"/>
  <c r="E24" i="2"/>
  <c r="D24" i="2"/>
  <c r="C24" i="2"/>
  <c r="AR23" i="2"/>
  <c r="AI23" i="2"/>
  <c r="Z23" i="2"/>
  <c r="Q23" i="2"/>
  <c r="G23" i="2"/>
  <c r="F23" i="2"/>
  <c r="E23" i="2"/>
  <c r="D23" i="2"/>
  <c r="C23" i="2"/>
  <c r="AR22" i="2"/>
  <c r="AI22" i="2"/>
  <c r="Z22" i="2"/>
  <c r="Q22" i="2"/>
  <c r="H22" i="2"/>
  <c r="G22" i="2"/>
  <c r="F22" i="2"/>
  <c r="E22" i="2"/>
  <c r="D22" i="2"/>
  <c r="C22" i="2"/>
  <c r="AR21" i="2"/>
  <c r="AI21" i="2"/>
  <c r="Z21" i="2"/>
  <c r="Q21" i="2"/>
  <c r="F21" i="2"/>
  <c r="E21" i="2"/>
  <c r="D21" i="2"/>
  <c r="AR20" i="2"/>
  <c r="AI20" i="2"/>
  <c r="Z20" i="2"/>
  <c r="Q20" i="2"/>
  <c r="G20" i="2"/>
  <c r="F20" i="2"/>
  <c r="E20" i="2"/>
  <c r="D20" i="2"/>
  <c r="C20" i="2"/>
  <c r="AR19" i="2"/>
  <c r="AI19" i="2"/>
  <c r="Z19" i="2"/>
  <c r="Q19" i="2"/>
  <c r="G19" i="2"/>
  <c r="F19" i="2"/>
  <c r="E19" i="2"/>
  <c r="D19" i="2"/>
  <c r="C19" i="2"/>
  <c r="AR18" i="2"/>
  <c r="AI18" i="2"/>
  <c r="Z18" i="2"/>
  <c r="Q18" i="2"/>
  <c r="G18" i="2"/>
  <c r="F18" i="2"/>
  <c r="E18" i="2"/>
  <c r="D18" i="2"/>
  <c r="C18" i="2"/>
  <c r="AR17" i="2"/>
  <c r="AI17" i="2"/>
  <c r="Z17" i="2"/>
  <c r="Q17" i="2"/>
  <c r="G17" i="2"/>
  <c r="F17" i="2"/>
  <c r="E17" i="2"/>
  <c r="D17" i="2"/>
  <c r="C17" i="2"/>
  <c r="AR16" i="2"/>
  <c r="AI16" i="2"/>
  <c r="Z16" i="2"/>
  <c r="Q16" i="2"/>
  <c r="G16" i="2"/>
  <c r="E16" i="2"/>
  <c r="D16" i="2"/>
  <c r="AR15" i="2"/>
  <c r="AI15" i="2"/>
  <c r="Z15" i="2"/>
  <c r="Q15" i="2"/>
  <c r="G15" i="2"/>
  <c r="F15" i="2"/>
  <c r="E15" i="2"/>
  <c r="D15" i="2"/>
  <c r="C15" i="2"/>
  <c r="AR14" i="2"/>
  <c r="AI14" i="2"/>
  <c r="Z14" i="2"/>
  <c r="Q14" i="2"/>
  <c r="G14" i="2"/>
  <c r="F14" i="2"/>
  <c r="E14" i="2"/>
  <c r="D14" i="2"/>
  <c r="C14" i="2"/>
  <c r="AR13" i="2"/>
  <c r="AI13" i="2"/>
  <c r="Z13" i="2"/>
  <c r="Q13" i="2"/>
  <c r="G13" i="2"/>
  <c r="F13" i="2"/>
  <c r="E13" i="2"/>
  <c r="D13" i="2"/>
  <c r="AR12" i="2"/>
  <c r="AI12" i="2"/>
  <c r="Z12" i="2"/>
  <c r="Q12" i="2"/>
  <c r="G12" i="2"/>
  <c r="F12" i="2"/>
  <c r="E12" i="2"/>
  <c r="D12" i="2"/>
  <c r="C12" i="2"/>
  <c r="AR11" i="2"/>
  <c r="AI11" i="2"/>
  <c r="Z11" i="2"/>
  <c r="Q11" i="2"/>
  <c r="H11" i="2"/>
  <c r="G11" i="2"/>
  <c r="F11" i="2"/>
  <c r="E11" i="2"/>
  <c r="D11" i="2"/>
  <c r="C11" i="2"/>
  <c r="AR10" i="2"/>
  <c r="AI10" i="2"/>
  <c r="Z10" i="2"/>
  <c r="Q10" i="2"/>
  <c r="H10" i="2"/>
  <c r="F10" i="2"/>
  <c r="AQ10" i="2" s="1"/>
  <c r="E10" i="2"/>
  <c r="AH10" i="2" s="1"/>
  <c r="D10" i="2"/>
  <c r="Y10" i="2" s="1"/>
  <c r="AR9" i="2"/>
  <c r="AI9" i="2"/>
  <c r="Z9" i="2"/>
  <c r="Q9" i="2"/>
  <c r="H9" i="2"/>
  <c r="G9" i="2"/>
  <c r="F9" i="2"/>
  <c r="E9" i="2"/>
  <c r="D9" i="2"/>
  <c r="C9" i="2"/>
  <c r="AR8" i="2"/>
  <c r="AI8" i="2"/>
  <c r="Z8" i="2"/>
  <c r="Q8" i="2"/>
  <c r="H8" i="2"/>
  <c r="G8" i="2"/>
  <c r="F8" i="2"/>
  <c r="E8" i="2"/>
  <c r="D8" i="2"/>
  <c r="AR7" i="2"/>
  <c r="AI7" i="2"/>
  <c r="Z7" i="2"/>
  <c r="Q7" i="2"/>
  <c r="G7" i="2"/>
  <c r="F7" i="2"/>
  <c r="E7" i="2"/>
  <c r="D7" i="2"/>
  <c r="C7" i="2"/>
  <c r="AR6" i="2"/>
  <c r="AI6" i="2"/>
  <c r="Z6" i="2"/>
  <c r="Q6" i="2"/>
  <c r="G6" i="2"/>
  <c r="F6" i="2"/>
  <c r="E6" i="2"/>
  <c r="D6" i="2"/>
  <c r="C6" i="2"/>
  <c r="AR5" i="2"/>
  <c r="AI5" i="2"/>
  <c r="Z5" i="2"/>
  <c r="Q5" i="2"/>
  <c r="G5" i="2"/>
  <c r="F5" i="2"/>
  <c r="E5" i="2"/>
  <c r="D5" i="2"/>
  <c r="AR4" i="2"/>
  <c r="AI4" i="2"/>
  <c r="Z4" i="2"/>
  <c r="Q4" i="2"/>
  <c r="G4" i="2"/>
  <c r="F4" i="2"/>
  <c r="E4" i="2"/>
  <c r="D4" i="2"/>
  <c r="C4" i="2"/>
  <c r="AR3" i="2"/>
  <c r="AI3" i="2"/>
  <c r="Z3" i="2"/>
  <c r="Q3" i="2"/>
  <c r="G3" i="2"/>
  <c r="F3" i="2"/>
  <c r="E3" i="2"/>
  <c r="D3" i="2"/>
  <c r="C3" i="2"/>
  <c r="D55" i="7"/>
  <c r="D54" i="7"/>
  <c r="G24" i="7"/>
  <c r="H22" i="7"/>
  <c r="E16" i="7"/>
  <c r="D16" i="7"/>
  <c r="E15" i="7"/>
  <c r="D15" i="7"/>
  <c r="B15" i="7"/>
  <c r="E14" i="7"/>
  <c r="D14" i="7"/>
  <c r="B14" i="7"/>
  <c r="E13" i="7"/>
  <c r="D13" i="7"/>
  <c r="B13" i="7"/>
  <c r="E12" i="7"/>
  <c r="D12" i="7"/>
  <c r="B12" i="7"/>
  <c r="E11" i="7"/>
  <c r="D11" i="7"/>
  <c r="B11" i="7"/>
  <c r="E10" i="7"/>
  <c r="D10" i="7"/>
  <c r="B10" i="7"/>
  <c r="E9" i="7"/>
  <c r="D9" i="7"/>
  <c r="B9" i="7"/>
  <c r="E8" i="7"/>
  <c r="D8" i="7"/>
  <c r="B8" i="7"/>
  <c r="E7" i="7"/>
  <c r="D7" i="7"/>
  <c r="B7" i="7"/>
  <c r="E6" i="7"/>
  <c r="D6" i="7"/>
  <c r="B6" i="7"/>
  <c r="E5" i="7"/>
  <c r="D5" i="7"/>
  <c r="B5" i="7"/>
  <c r="E4" i="7"/>
  <c r="D4" i="7"/>
  <c r="B4" i="7"/>
  <c r="E134" i="9"/>
  <c r="D134" i="9"/>
  <c r="C134" i="9"/>
  <c r="E133" i="9"/>
  <c r="D133" i="9"/>
  <c r="C133" i="9"/>
  <c r="E132" i="9"/>
  <c r="D132" i="9"/>
  <c r="C132" i="9"/>
  <c r="E131" i="9"/>
  <c r="D131" i="9"/>
  <c r="C131" i="9"/>
  <c r="E130" i="9"/>
  <c r="D130" i="9"/>
  <c r="C130" i="9"/>
  <c r="E129" i="9"/>
  <c r="D129" i="9"/>
  <c r="C129" i="9"/>
  <c r="E128" i="9"/>
  <c r="D128" i="9"/>
  <c r="C128" i="9"/>
  <c r="E127" i="9"/>
  <c r="D127" i="9"/>
  <c r="C127" i="9"/>
  <c r="E126" i="9"/>
  <c r="D126" i="9"/>
  <c r="C126" i="9"/>
  <c r="E125" i="9"/>
  <c r="D125" i="9"/>
  <c r="C125" i="9"/>
  <c r="E124" i="9"/>
  <c r="D124" i="9"/>
  <c r="C124" i="9"/>
  <c r="E123" i="9"/>
  <c r="D123" i="9"/>
  <c r="C123" i="9"/>
  <c r="E122" i="9"/>
  <c r="D122" i="9"/>
  <c r="C122" i="9"/>
  <c r="E121" i="9"/>
  <c r="D121" i="9"/>
  <c r="C121" i="9"/>
  <c r="E120" i="9"/>
  <c r="D120" i="9"/>
  <c r="C120" i="9"/>
  <c r="E119" i="9"/>
  <c r="D119" i="9"/>
  <c r="C119" i="9"/>
  <c r="E118" i="9"/>
  <c r="D118" i="9"/>
  <c r="C118" i="9"/>
  <c r="E117" i="9"/>
  <c r="D117" i="9"/>
  <c r="C117" i="9"/>
  <c r="E116" i="9"/>
  <c r="D116" i="9"/>
  <c r="C116" i="9"/>
  <c r="E115" i="9"/>
  <c r="D115" i="9"/>
  <c r="C115" i="9"/>
  <c r="E114" i="9"/>
  <c r="D114" i="9"/>
  <c r="C114" i="9"/>
  <c r="E113" i="9"/>
  <c r="D113" i="9"/>
  <c r="C113" i="9"/>
  <c r="E112" i="9"/>
  <c r="D112" i="9"/>
  <c r="C112" i="9"/>
  <c r="E111" i="9"/>
  <c r="D111" i="9"/>
  <c r="C111" i="9"/>
  <c r="E110" i="9"/>
  <c r="D110" i="9"/>
  <c r="C110" i="9"/>
  <c r="E109" i="9"/>
  <c r="D109" i="9"/>
  <c r="C109" i="9"/>
  <c r="E108" i="9"/>
  <c r="D108" i="9"/>
  <c r="C108" i="9"/>
  <c r="E107" i="9"/>
  <c r="D107" i="9"/>
  <c r="C107" i="9"/>
  <c r="E106" i="9"/>
  <c r="D106" i="9"/>
  <c r="C106" i="9"/>
  <c r="E105" i="9"/>
  <c r="D105" i="9"/>
  <c r="C105" i="9"/>
  <c r="E104" i="9"/>
  <c r="D104" i="9"/>
  <c r="C104" i="9"/>
  <c r="E103" i="9"/>
  <c r="D103" i="9"/>
  <c r="C103" i="9"/>
  <c r="E102" i="9"/>
  <c r="D102" i="9"/>
  <c r="C102" i="9"/>
  <c r="E101" i="9"/>
  <c r="D101" i="9"/>
  <c r="C101" i="9"/>
  <c r="E100" i="9"/>
  <c r="D100" i="9"/>
  <c r="C100" i="9"/>
  <c r="E99" i="9"/>
  <c r="D99" i="9"/>
  <c r="C99" i="9"/>
  <c r="E98" i="9"/>
  <c r="D98" i="9"/>
  <c r="C98" i="9"/>
  <c r="E97" i="9"/>
  <c r="D97" i="9"/>
  <c r="C97" i="9"/>
  <c r="E96" i="9"/>
  <c r="D96" i="9"/>
  <c r="C96" i="9"/>
  <c r="E95" i="9"/>
  <c r="D95" i="9"/>
  <c r="C95" i="9"/>
  <c r="E94" i="9"/>
  <c r="D94" i="9"/>
  <c r="C94" i="9"/>
  <c r="E93" i="9"/>
  <c r="D93" i="9"/>
  <c r="C93" i="9"/>
  <c r="E92" i="9"/>
  <c r="D92" i="9"/>
  <c r="C92" i="9"/>
  <c r="E91" i="9"/>
  <c r="D91" i="9"/>
  <c r="C91" i="9"/>
  <c r="E90" i="9"/>
  <c r="D90" i="9"/>
  <c r="C90" i="9"/>
  <c r="E89" i="9"/>
  <c r="D89" i="9"/>
  <c r="C89" i="9"/>
  <c r="E88" i="9"/>
  <c r="D88" i="9"/>
  <c r="C88" i="9"/>
  <c r="E87" i="9"/>
  <c r="D87" i="9"/>
  <c r="C87" i="9"/>
  <c r="E86" i="9"/>
  <c r="D86" i="9"/>
  <c r="C86" i="9"/>
  <c r="E85" i="9"/>
  <c r="D85" i="9"/>
  <c r="C85" i="9"/>
  <c r="E84" i="9"/>
  <c r="D84" i="9"/>
  <c r="C84" i="9"/>
  <c r="E83" i="9"/>
  <c r="D83" i="9"/>
  <c r="C83" i="9"/>
  <c r="E82" i="9"/>
  <c r="D82" i="9"/>
  <c r="C82" i="9"/>
  <c r="E81" i="9"/>
  <c r="D81" i="9"/>
  <c r="C81" i="9"/>
  <c r="E80" i="9"/>
  <c r="D80" i="9"/>
  <c r="C80" i="9"/>
  <c r="E79" i="9"/>
  <c r="D79" i="9"/>
  <c r="C79" i="9"/>
  <c r="E78" i="9"/>
  <c r="D78" i="9"/>
  <c r="C78" i="9"/>
  <c r="E77" i="9"/>
  <c r="D77" i="9"/>
  <c r="C77" i="9"/>
  <c r="E76" i="9"/>
  <c r="D76" i="9"/>
  <c r="C76" i="9"/>
  <c r="E75" i="9"/>
  <c r="D75" i="9"/>
  <c r="C75" i="9"/>
  <c r="E74" i="9"/>
  <c r="D74" i="9"/>
  <c r="C74" i="9"/>
  <c r="E73" i="9"/>
  <c r="D73" i="9"/>
  <c r="C73" i="9"/>
  <c r="E72" i="9"/>
  <c r="D72" i="9"/>
  <c r="C72" i="9"/>
  <c r="E71" i="9"/>
  <c r="D71" i="9"/>
  <c r="C71" i="9"/>
  <c r="E70" i="9"/>
  <c r="D70" i="9"/>
  <c r="C70" i="9"/>
  <c r="E69" i="9"/>
  <c r="D69" i="9"/>
  <c r="C69" i="9"/>
  <c r="E68" i="9"/>
  <c r="D68" i="9"/>
  <c r="C68" i="9"/>
  <c r="E67" i="9"/>
  <c r="D67" i="9"/>
  <c r="C67" i="9"/>
  <c r="E66" i="9"/>
  <c r="D66" i="9"/>
  <c r="C66" i="9"/>
  <c r="E65" i="9"/>
  <c r="D65" i="9"/>
  <c r="C65" i="9"/>
  <c r="E64" i="9"/>
  <c r="D64" i="9"/>
  <c r="C64" i="9"/>
  <c r="E63" i="9"/>
  <c r="D63" i="9"/>
  <c r="C63" i="9"/>
  <c r="E62" i="9"/>
  <c r="D62" i="9"/>
  <c r="C62" i="9"/>
  <c r="E61" i="9"/>
  <c r="D61" i="9"/>
  <c r="C61" i="9"/>
  <c r="E60" i="9"/>
  <c r="D60" i="9"/>
  <c r="C60" i="9"/>
  <c r="E59" i="9"/>
  <c r="D59" i="9"/>
  <c r="C59" i="9"/>
  <c r="E58" i="9"/>
  <c r="D58" i="9"/>
  <c r="C58" i="9"/>
  <c r="E57" i="9"/>
  <c r="D57" i="9"/>
  <c r="C57" i="9"/>
  <c r="E56" i="9"/>
  <c r="D56" i="9"/>
  <c r="C56" i="9"/>
  <c r="E55" i="9"/>
  <c r="D55" i="9"/>
  <c r="C55" i="9"/>
  <c r="E54" i="9"/>
  <c r="D54" i="9"/>
  <c r="C54" i="9"/>
  <c r="E53" i="9"/>
  <c r="D53" i="9"/>
  <c r="C53" i="9"/>
  <c r="E52" i="9"/>
  <c r="D52" i="9"/>
  <c r="C52" i="9"/>
  <c r="E51" i="9"/>
  <c r="D51" i="9"/>
  <c r="C51" i="9"/>
  <c r="E50" i="9"/>
  <c r="D50" i="9"/>
  <c r="C50" i="9"/>
  <c r="E49" i="9"/>
  <c r="D49" i="9"/>
  <c r="C49" i="9"/>
  <c r="E48" i="9"/>
  <c r="D48" i="9"/>
  <c r="C48" i="9"/>
  <c r="E47" i="9"/>
  <c r="D47" i="9"/>
  <c r="C47" i="9"/>
  <c r="E46" i="9"/>
  <c r="D46" i="9"/>
  <c r="C46" i="9"/>
  <c r="E45" i="9"/>
  <c r="D45" i="9"/>
  <c r="C45" i="9"/>
  <c r="E44" i="9"/>
  <c r="D44" i="9"/>
  <c r="C44" i="9"/>
  <c r="E43" i="9"/>
  <c r="D43" i="9"/>
  <c r="C43" i="9"/>
  <c r="E42" i="9"/>
  <c r="D42" i="9"/>
  <c r="C42" i="9"/>
  <c r="E41" i="9"/>
  <c r="D41" i="9"/>
  <c r="C41" i="9"/>
  <c r="E40" i="9"/>
  <c r="D40" i="9"/>
  <c r="C40" i="9"/>
  <c r="E39" i="9"/>
  <c r="D39" i="9"/>
  <c r="C39" i="9"/>
  <c r="E38" i="9"/>
  <c r="D38" i="9"/>
  <c r="C38" i="9"/>
  <c r="E37" i="9"/>
  <c r="D37" i="9"/>
  <c r="C37" i="9"/>
  <c r="E36" i="9"/>
  <c r="D36" i="9"/>
  <c r="C36" i="9"/>
  <c r="E35" i="9"/>
  <c r="D35" i="9"/>
  <c r="C35" i="9"/>
  <c r="E34" i="9"/>
  <c r="D34" i="9"/>
  <c r="C34" i="9"/>
  <c r="E33" i="9"/>
  <c r="D33" i="9"/>
  <c r="C33" i="9"/>
  <c r="E32" i="9"/>
  <c r="D32" i="9"/>
  <c r="C32" i="9"/>
  <c r="E31" i="9"/>
  <c r="D31" i="9"/>
  <c r="C31" i="9"/>
  <c r="E30" i="9"/>
  <c r="D30" i="9"/>
  <c r="C30" i="9"/>
  <c r="E29" i="9"/>
  <c r="D29" i="9"/>
  <c r="C29" i="9"/>
  <c r="E28" i="9"/>
  <c r="D28" i="9"/>
  <c r="C28" i="9"/>
  <c r="E27" i="9"/>
  <c r="D27" i="9"/>
  <c r="C27" i="9"/>
  <c r="E26" i="9"/>
  <c r="D26" i="9"/>
  <c r="C26" i="9"/>
  <c r="E25" i="9"/>
  <c r="D25" i="9"/>
  <c r="C25" i="9"/>
  <c r="E24" i="9"/>
  <c r="D24" i="9"/>
  <c r="C24" i="9"/>
  <c r="E23" i="9"/>
  <c r="D23" i="9"/>
  <c r="C23" i="9"/>
  <c r="E22" i="9"/>
  <c r="D22" i="9"/>
  <c r="C22" i="9"/>
  <c r="E21" i="9"/>
  <c r="D21" i="9"/>
  <c r="C21" i="9"/>
  <c r="E20" i="9"/>
  <c r="D20" i="9"/>
  <c r="C20" i="9"/>
  <c r="E19" i="9"/>
  <c r="D19" i="9"/>
  <c r="C19" i="9"/>
  <c r="E18" i="9"/>
  <c r="D18" i="9"/>
  <c r="C18" i="9"/>
  <c r="E17" i="9"/>
  <c r="D17" i="9"/>
  <c r="C17" i="9"/>
  <c r="E16" i="9"/>
  <c r="D16" i="9"/>
  <c r="C16" i="9"/>
  <c r="E15" i="9"/>
  <c r="D15" i="9"/>
  <c r="C15" i="9"/>
  <c r="E14" i="9"/>
  <c r="D14" i="9"/>
  <c r="C14" i="9"/>
  <c r="E13" i="9"/>
  <c r="D13" i="9"/>
  <c r="C13" i="9"/>
  <c r="E12" i="9"/>
  <c r="D12" i="9"/>
  <c r="C12" i="9"/>
  <c r="E11" i="9"/>
  <c r="D11" i="9"/>
  <c r="C11" i="9"/>
  <c r="E10" i="9"/>
  <c r="D10" i="9"/>
  <c r="C10" i="9"/>
  <c r="E9" i="9"/>
  <c r="D9" i="9"/>
  <c r="C9" i="9"/>
  <c r="E8" i="9"/>
  <c r="D8" i="9"/>
  <c r="C8" i="9"/>
  <c r="E7" i="9"/>
  <c r="D7" i="9"/>
  <c r="C7" i="9"/>
  <c r="E6" i="9"/>
  <c r="D6" i="9"/>
  <c r="C6" i="9"/>
  <c r="E5" i="9"/>
  <c r="D5" i="9"/>
  <c r="C5" i="9"/>
  <c r="E4" i="9"/>
  <c r="D4" i="9"/>
  <c r="C4" i="9"/>
  <c r="E3" i="9"/>
  <c r="D3" i="9"/>
  <c r="C3" i="9"/>
  <c r="E146" i="8"/>
  <c r="D146" i="8"/>
  <c r="C146" i="8"/>
  <c r="E145" i="8"/>
  <c r="D145" i="8"/>
  <c r="C145" i="8"/>
  <c r="E144" i="8"/>
  <c r="D144" i="8"/>
  <c r="C144" i="8"/>
  <c r="E143" i="8"/>
  <c r="D143" i="8"/>
  <c r="C143" i="8"/>
  <c r="E142" i="8"/>
  <c r="D142" i="8"/>
  <c r="C142" i="8"/>
  <c r="E141" i="8"/>
  <c r="D141" i="8"/>
  <c r="C141" i="8"/>
  <c r="E140" i="8"/>
  <c r="D140" i="8"/>
  <c r="C140" i="8"/>
  <c r="E139" i="8"/>
  <c r="D139" i="8"/>
  <c r="C139" i="8"/>
  <c r="E138" i="8"/>
  <c r="D138" i="8"/>
  <c r="C138" i="8"/>
  <c r="E137" i="8"/>
  <c r="D137" i="8"/>
  <c r="C137" i="8"/>
  <c r="E136" i="8"/>
  <c r="D136" i="8"/>
  <c r="C136" i="8"/>
  <c r="E135" i="8"/>
  <c r="D135" i="8"/>
  <c r="C135" i="8"/>
  <c r="E134" i="8"/>
  <c r="D134" i="8"/>
  <c r="C134" i="8"/>
  <c r="E133" i="8"/>
  <c r="D133" i="8"/>
  <c r="C133" i="8"/>
  <c r="E132" i="8"/>
  <c r="D132" i="8"/>
  <c r="C132" i="8"/>
  <c r="E131" i="8"/>
  <c r="D131" i="8"/>
  <c r="C131" i="8"/>
  <c r="E130" i="8"/>
  <c r="D130" i="8"/>
  <c r="C130" i="8"/>
  <c r="E129" i="8"/>
  <c r="D129" i="8"/>
  <c r="C129" i="8"/>
  <c r="E128" i="8"/>
  <c r="D128" i="8"/>
  <c r="C128" i="8"/>
  <c r="E127" i="8"/>
  <c r="D127" i="8"/>
  <c r="C127" i="8"/>
  <c r="E126" i="8"/>
  <c r="D126" i="8"/>
  <c r="C126" i="8"/>
  <c r="E125" i="8"/>
  <c r="D125" i="8"/>
  <c r="C125" i="8"/>
  <c r="E124" i="8"/>
  <c r="D124" i="8"/>
  <c r="C124" i="8"/>
  <c r="E123" i="8"/>
  <c r="D123" i="8"/>
  <c r="C123" i="8"/>
  <c r="E122" i="8"/>
  <c r="D122" i="8"/>
  <c r="C122" i="8"/>
  <c r="E121" i="8"/>
  <c r="D121" i="8"/>
  <c r="C121" i="8"/>
  <c r="E120" i="8"/>
  <c r="D120" i="8"/>
  <c r="C120" i="8"/>
  <c r="E119" i="8"/>
  <c r="D119" i="8"/>
  <c r="C119" i="8"/>
  <c r="E118" i="8"/>
  <c r="D118" i="8"/>
  <c r="C118" i="8"/>
  <c r="E117" i="8"/>
  <c r="D117" i="8"/>
  <c r="C117" i="8"/>
  <c r="E116" i="8"/>
  <c r="D116" i="8"/>
  <c r="C116" i="8"/>
  <c r="E115" i="8"/>
  <c r="D115" i="8"/>
  <c r="C115" i="8"/>
  <c r="E114" i="8"/>
  <c r="D114" i="8"/>
  <c r="C114" i="8"/>
  <c r="E113" i="8"/>
  <c r="D113" i="8"/>
  <c r="C113" i="8"/>
  <c r="E112" i="8"/>
  <c r="D112" i="8"/>
  <c r="C112" i="8"/>
  <c r="E111" i="8"/>
  <c r="D111" i="8"/>
  <c r="C111" i="8"/>
  <c r="E110" i="8"/>
  <c r="D110" i="8"/>
  <c r="C110" i="8"/>
  <c r="E109" i="8"/>
  <c r="D109" i="8"/>
  <c r="C109" i="8"/>
  <c r="E108" i="8"/>
  <c r="D108" i="8"/>
  <c r="C108" i="8"/>
  <c r="E107" i="8"/>
  <c r="D107" i="8"/>
  <c r="C107" i="8"/>
  <c r="E106" i="8"/>
  <c r="D106" i="8"/>
  <c r="C106" i="8"/>
  <c r="E105" i="8"/>
  <c r="D105" i="8"/>
  <c r="C105" i="8"/>
  <c r="E104" i="8"/>
  <c r="D104" i="8"/>
  <c r="C104" i="8"/>
  <c r="E103" i="8"/>
  <c r="D103" i="8"/>
  <c r="C103" i="8"/>
  <c r="E102" i="8"/>
  <c r="D102" i="8"/>
  <c r="C102" i="8"/>
  <c r="E101" i="8"/>
  <c r="D101" i="8"/>
  <c r="C101" i="8"/>
  <c r="E100" i="8"/>
  <c r="D100" i="8"/>
  <c r="C100" i="8"/>
  <c r="E99" i="8"/>
  <c r="D99" i="8"/>
  <c r="C99" i="8"/>
  <c r="E98" i="8"/>
  <c r="D98" i="8"/>
  <c r="C98" i="8"/>
  <c r="E97" i="8"/>
  <c r="D97" i="8"/>
  <c r="C97" i="8"/>
  <c r="E96" i="8"/>
  <c r="D96" i="8"/>
  <c r="C96" i="8"/>
  <c r="E95" i="8"/>
  <c r="D95" i="8"/>
  <c r="C95" i="8"/>
  <c r="E94" i="8"/>
  <c r="D94" i="8"/>
  <c r="C94" i="8"/>
  <c r="E93" i="8"/>
  <c r="D93" i="8"/>
  <c r="C93" i="8"/>
  <c r="E92" i="8"/>
  <c r="D92" i="8"/>
  <c r="C92" i="8"/>
  <c r="E91" i="8"/>
  <c r="D91" i="8"/>
  <c r="C91" i="8"/>
  <c r="E90" i="8"/>
  <c r="D90" i="8"/>
  <c r="C90" i="8"/>
  <c r="E89" i="8"/>
  <c r="D89" i="8"/>
  <c r="C89" i="8"/>
  <c r="E88" i="8"/>
  <c r="D88" i="8"/>
  <c r="C88" i="8"/>
  <c r="W87" i="8"/>
  <c r="E87" i="8"/>
  <c r="D87" i="8"/>
  <c r="C87" i="8"/>
  <c r="E86" i="8"/>
  <c r="D86" i="8"/>
  <c r="C86" i="8"/>
  <c r="E85" i="8"/>
  <c r="D85" i="8"/>
  <c r="C85" i="8"/>
  <c r="E84" i="8"/>
  <c r="D84" i="8"/>
  <c r="C84" i="8"/>
  <c r="E83" i="8"/>
  <c r="D83" i="8"/>
  <c r="C83" i="8"/>
  <c r="E82" i="8"/>
  <c r="D82" i="8"/>
  <c r="C82" i="8"/>
  <c r="E81" i="8"/>
  <c r="D81" i="8"/>
  <c r="C81" i="8"/>
  <c r="E80" i="8"/>
  <c r="D80" i="8"/>
  <c r="C80" i="8"/>
  <c r="E79" i="8"/>
  <c r="D79" i="8"/>
  <c r="C79" i="8"/>
  <c r="E78" i="8"/>
  <c r="D78" i="8"/>
  <c r="C78" i="8"/>
  <c r="E77" i="8"/>
  <c r="D77" i="8"/>
  <c r="C77" i="8"/>
  <c r="E76" i="8"/>
  <c r="D76" i="8"/>
  <c r="C76" i="8"/>
  <c r="E75" i="8"/>
  <c r="D75" i="8"/>
  <c r="C75" i="8"/>
  <c r="E74" i="8"/>
  <c r="D74" i="8"/>
  <c r="C74" i="8"/>
  <c r="E73" i="8"/>
  <c r="D73" i="8"/>
  <c r="C73" i="8"/>
  <c r="E72" i="8"/>
  <c r="D72" i="8"/>
  <c r="C72" i="8"/>
  <c r="E71" i="8"/>
  <c r="D71" i="8"/>
  <c r="C71" i="8"/>
  <c r="E70" i="8"/>
  <c r="D70" i="8"/>
  <c r="C70" i="8"/>
  <c r="E69" i="8"/>
  <c r="D69" i="8"/>
  <c r="C69" i="8"/>
  <c r="E68" i="8"/>
  <c r="D68" i="8"/>
  <c r="C68" i="8"/>
  <c r="E67" i="8"/>
  <c r="D67" i="8"/>
  <c r="C67" i="8"/>
  <c r="E66" i="8"/>
  <c r="D66" i="8"/>
  <c r="C66" i="8"/>
  <c r="E65" i="8"/>
  <c r="D65" i="8"/>
  <c r="C65" i="8"/>
  <c r="E64" i="8"/>
  <c r="D64" i="8"/>
  <c r="C64" i="8"/>
  <c r="E63" i="8"/>
  <c r="D63" i="8"/>
  <c r="C63" i="8"/>
  <c r="E62" i="8"/>
  <c r="D62" i="8"/>
  <c r="C62" i="8"/>
  <c r="E61" i="8"/>
  <c r="D61" i="8"/>
  <c r="C61" i="8"/>
  <c r="E60" i="8"/>
  <c r="D60" i="8"/>
  <c r="C60" i="8"/>
  <c r="E59" i="8"/>
  <c r="D59" i="8"/>
  <c r="C59" i="8"/>
  <c r="E58" i="8"/>
  <c r="D58" i="8"/>
  <c r="C58" i="8"/>
  <c r="E57" i="8"/>
  <c r="D57" i="8"/>
  <c r="C57" i="8"/>
  <c r="E56" i="8"/>
  <c r="D56" i="8"/>
  <c r="C56" i="8"/>
  <c r="E55" i="8"/>
  <c r="D55" i="8"/>
  <c r="C55" i="8"/>
  <c r="E54" i="8"/>
  <c r="D54" i="8"/>
  <c r="C54" i="8"/>
  <c r="E53" i="8"/>
  <c r="D53" i="8"/>
  <c r="C53" i="8"/>
  <c r="E52" i="8"/>
  <c r="D52" i="8"/>
  <c r="C52" i="8"/>
  <c r="W51" i="8"/>
  <c r="E51" i="8"/>
  <c r="D51" i="8"/>
  <c r="C51" i="8"/>
  <c r="E50" i="8"/>
  <c r="D50" i="8"/>
  <c r="C50" i="8"/>
  <c r="E49" i="8"/>
  <c r="D49" i="8"/>
  <c r="C49" i="8"/>
  <c r="E48" i="8"/>
  <c r="D48" i="8"/>
  <c r="C48" i="8"/>
  <c r="E47" i="8"/>
  <c r="D47" i="8"/>
  <c r="C47" i="8"/>
  <c r="E46" i="8"/>
  <c r="D46" i="8"/>
  <c r="C46" i="8"/>
  <c r="E45" i="8"/>
  <c r="D45" i="8"/>
  <c r="C45" i="8"/>
  <c r="E44" i="8"/>
  <c r="D44" i="8"/>
  <c r="C44" i="8"/>
  <c r="E43" i="8"/>
  <c r="D43" i="8"/>
  <c r="C43" i="8"/>
  <c r="E42" i="8"/>
  <c r="D42" i="8"/>
  <c r="C42" i="8"/>
  <c r="E41" i="8"/>
  <c r="D41" i="8"/>
  <c r="C41" i="8"/>
  <c r="E40" i="8"/>
  <c r="D40" i="8"/>
  <c r="C40" i="8"/>
  <c r="W39" i="8"/>
  <c r="E39" i="8"/>
  <c r="D39" i="8"/>
  <c r="C39" i="8"/>
  <c r="D38" i="8"/>
  <c r="C38" i="8"/>
  <c r="D37" i="8"/>
  <c r="C37" i="8"/>
  <c r="D36" i="8"/>
  <c r="C36" i="8"/>
  <c r="D35" i="8"/>
  <c r="C35" i="8"/>
  <c r="D34" i="8"/>
  <c r="C34" i="8"/>
  <c r="D33" i="8"/>
  <c r="C33" i="8"/>
  <c r="D32" i="8"/>
  <c r="C32" i="8"/>
  <c r="D31" i="8"/>
  <c r="C31" i="8"/>
  <c r="D30" i="8"/>
  <c r="C30" i="8"/>
  <c r="D29" i="8"/>
  <c r="C29" i="8"/>
  <c r="D28" i="8"/>
  <c r="C28" i="8"/>
  <c r="W27" i="8"/>
  <c r="D27" i="8"/>
  <c r="M27" i="8" s="1"/>
  <c r="C27" i="8"/>
  <c r="E26" i="8"/>
  <c r="D26" i="8"/>
  <c r="C26" i="8"/>
  <c r="E25" i="8"/>
  <c r="D25" i="8"/>
  <c r="C25" i="8"/>
  <c r="E24" i="8"/>
  <c r="D24" i="8"/>
  <c r="C24" i="8"/>
  <c r="E23" i="8"/>
  <c r="D23" i="8"/>
  <c r="C23" i="8"/>
  <c r="E22" i="8"/>
  <c r="D22" i="8"/>
  <c r="C22" i="8"/>
  <c r="E21" i="8"/>
  <c r="D21" i="8"/>
  <c r="C21" i="8"/>
  <c r="E20" i="8"/>
  <c r="D20" i="8"/>
  <c r="C20" i="8"/>
  <c r="E19" i="8"/>
  <c r="D19" i="8"/>
  <c r="C19" i="8"/>
  <c r="E18" i="8"/>
  <c r="D18" i="8"/>
  <c r="C18" i="8"/>
  <c r="E17" i="8"/>
  <c r="D17" i="8"/>
  <c r="C17" i="8"/>
  <c r="E16" i="8"/>
  <c r="D16" i="8"/>
  <c r="C16" i="8"/>
  <c r="E15" i="8"/>
  <c r="D15" i="8"/>
  <c r="C15" i="8"/>
  <c r="E14" i="8"/>
  <c r="D14" i="8"/>
  <c r="C14" i="8"/>
  <c r="E13" i="8"/>
  <c r="D13" i="8"/>
  <c r="C13" i="8"/>
  <c r="E12" i="8"/>
  <c r="D12" i="8"/>
  <c r="C12" i="8"/>
  <c r="E11" i="8"/>
  <c r="D11" i="8"/>
  <c r="C11" i="8"/>
  <c r="E10" i="8"/>
  <c r="D10" i="8"/>
  <c r="C10" i="8"/>
  <c r="E9" i="8"/>
  <c r="D9" i="8"/>
  <c r="C9" i="8"/>
  <c r="E8" i="8"/>
  <c r="D8" i="8"/>
  <c r="C8" i="8"/>
  <c r="E7" i="8"/>
  <c r="D7" i="8"/>
  <c r="C7" i="8"/>
  <c r="E6" i="8"/>
  <c r="D6" i="8"/>
  <c r="C6" i="8"/>
  <c r="E5" i="8"/>
  <c r="D5" i="8"/>
  <c r="C5" i="8"/>
  <c r="E4" i="8"/>
  <c r="D4" i="8"/>
  <c r="C4" i="8"/>
  <c r="E3" i="8"/>
  <c r="D3" i="8"/>
  <c r="C3" i="8"/>
  <c r="O22" i="5" a="1"/>
  <c r="O22" i="5" s="1"/>
  <c r="N22" i="5" a="1"/>
  <c r="N22" i="5" s="1"/>
  <c r="O21" i="5" a="1"/>
  <c r="O21" i="5" s="1"/>
  <c r="N21" i="5" a="1"/>
  <c r="N21" i="5" s="1"/>
  <c r="O20" i="5" a="1"/>
  <c r="O20" i="5" s="1"/>
  <c r="N20" i="5" a="1"/>
  <c r="N20" i="5" s="1"/>
  <c r="O19" i="5" a="1"/>
  <c r="O19" i="5" s="1"/>
  <c r="N19" i="5" a="1"/>
  <c r="N19" i="5" s="1"/>
  <c r="O18" i="5" a="1"/>
  <c r="O18" i="5" s="1"/>
  <c r="N18" i="5" a="1"/>
  <c r="N18" i="5" s="1"/>
  <c r="O17" i="5" a="1"/>
  <c r="O17" i="5" s="1"/>
  <c r="N17" i="5" a="1"/>
  <c r="N17" i="5" s="1"/>
  <c r="O16" i="5" a="1"/>
  <c r="O16" i="5" s="1"/>
  <c r="N16" i="5" a="1"/>
  <c r="N16" i="5" s="1"/>
  <c r="O15" i="5" a="1"/>
  <c r="O15" i="5" s="1"/>
  <c r="N15" i="5" a="1"/>
  <c r="N15" i="5" s="1"/>
  <c r="O14" i="5" a="1"/>
  <c r="O14" i="5" s="1"/>
  <c r="N14" i="5" a="1"/>
  <c r="N14" i="5" s="1"/>
  <c r="O13" i="5" a="1"/>
  <c r="O13" i="5" s="1"/>
  <c r="N13" i="5" a="1"/>
  <c r="N13" i="5" s="1"/>
  <c r="O12" i="5" a="1"/>
  <c r="O12" i="5" s="1"/>
  <c r="N12" i="5" a="1"/>
  <c r="N12" i="5" s="1"/>
  <c r="O11" i="5" a="1"/>
  <c r="O11" i="5" s="1"/>
  <c r="N11" i="5" a="1"/>
  <c r="N11" i="5" s="1"/>
  <c r="O10" i="5" a="1"/>
  <c r="O10" i="5" s="1"/>
  <c r="N10" i="5" a="1"/>
  <c r="N10" i="5" s="1"/>
  <c r="O9" i="5" a="1"/>
  <c r="O9" i="5" s="1"/>
  <c r="N9" i="5" a="1"/>
  <c r="N9" i="5" s="1"/>
  <c r="O8" i="5" a="1"/>
  <c r="O8" i="5" s="1"/>
  <c r="N8" i="5" a="1"/>
  <c r="N8" i="5" s="1"/>
  <c r="O7" i="5" a="1"/>
  <c r="O7" i="5" s="1"/>
  <c r="N7" i="5" a="1"/>
  <c r="N7" i="5" s="1"/>
  <c r="O6" i="5" a="1"/>
  <c r="O6" i="5" s="1"/>
  <c r="N6" i="5" a="1"/>
  <c r="N6" i="5" s="1"/>
  <c r="O5" i="5" a="1"/>
  <c r="O5" i="5" s="1"/>
  <c r="N5" i="5" a="1"/>
  <c r="N5" i="5" s="1"/>
  <c r="O4" i="5" a="1"/>
  <c r="O4" i="5" s="1"/>
  <c r="N4" i="5" a="1"/>
  <c r="N4" i="5" s="1"/>
  <c r="O3" i="5" a="1"/>
  <c r="O3" i="5" s="1"/>
  <c r="N3" i="5" a="1"/>
  <c r="N3" i="5" s="1"/>
  <c r="E254" i="13"/>
  <c r="D254" i="13"/>
  <c r="C254" i="13"/>
  <c r="E253" i="13"/>
  <c r="D253" i="13"/>
  <c r="C253" i="13"/>
  <c r="E252" i="13"/>
  <c r="D252" i="13"/>
  <c r="C252" i="13"/>
  <c r="E251" i="13"/>
  <c r="D251" i="13"/>
  <c r="C251" i="13"/>
  <c r="E250" i="13"/>
  <c r="D250" i="13"/>
  <c r="C250" i="13"/>
  <c r="E249" i="13"/>
  <c r="D249" i="13"/>
  <c r="C249" i="13"/>
  <c r="E248" i="13"/>
  <c r="D248" i="13"/>
  <c r="C248" i="13"/>
  <c r="E247" i="13"/>
  <c r="D247" i="13"/>
  <c r="C247" i="13"/>
  <c r="E246" i="13"/>
  <c r="D246" i="13"/>
  <c r="C246" i="13"/>
  <c r="E245" i="13"/>
  <c r="D245" i="13"/>
  <c r="C245" i="13"/>
  <c r="E244" i="13"/>
  <c r="D244" i="13"/>
  <c r="C244" i="13"/>
  <c r="E243" i="13"/>
  <c r="D243" i="13"/>
  <c r="C243" i="13"/>
  <c r="E242" i="13"/>
  <c r="D242" i="13"/>
  <c r="C242" i="13"/>
  <c r="E241" i="13"/>
  <c r="D241" i="13"/>
  <c r="C241" i="13"/>
  <c r="E240" i="13"/>
  <c r="D240" i="13"/>
  <c r="C240" i="13"/>
  <c r="E239" i="13"/>
  <c r="D239" i="13"/>
  <c r="C239" i="13"/>
  <c r="E238" i="13"/>
  <c r="D238" i="13"/>
  <c r="C238" i="13"/>
  <c r="E237" i="13"/>
  <c r="D237" i="13"/>
  <c r="C237" i="13"/>
  <c r="E236" i="13"/>
  <c r="D236" i="13"/>
  <c r="C236" i="13"/>
  <c r="E235" i="13"/>
  <c r="D235" i="13"/>
  <c r="C235" i="13"/>
  <c r="E234" i="13"/>
  <c r="D234" i="13"/>
  <c r="C234" i="13"/>
  <c r="E233" i="13"/>
  <c r="D233" i="13"/>
  <c r="C233" i="13"/>
  <c r="E232" i="13"/>
  <c r="D232" i="13"/>
  <c r="C232" i="13"/>
  <c r="E231" i="13"/>
  <c r="D231" i="13"/>
  <c r="C231" i="13"/>
  <c r="E230" i="13"/>
  <c r="D230" i="13"/>
  <c r="C230" i="13"/>
  <c r="E229" i="13"/>
  <c r="D229" i="13"/>
  <c r="C229" i="13"/>
  <c r="E228" i="13"/>
  <c r="D228" i="13"/>
  <c r="C228" i="13"/>
  <c r="E227" i="13"/>
  <c r="D227" i="13"/>
  <c r="C227" i="13"/>
  <c r="E226" i="13"/>
  <c r="D226" i="13"/>
  <c r="C226" i="13"/>
  <c r="E225" i="13"/>
  <c r="D225" i="13"/>
  <c r="C225" i="13"/>
  <c r="E224" i="13"/>
  <c r="D224" i="13"/>
  <c r="C224" i="13"/>
  <c r="E223" i="13"/>
  <c r="D223" i="13"/>
  <c r="C223" i="13"/>
  <c r="E222" i="13"/>
  <c r="D222" i="13"/>
  <c r="C222" i="13"/>
  <c r="E221" i="13"/>
  <c r="D221" i="13"/>
  <c r="C221" i="13"/>
  <c r="E220" i="13"/>
  <c r="D220" i="13"/>
  <c r="C220" i="13"/>
  <c r="E219" i="13"/>
  <c r="D219" i="13"/>
  <c r="C219" i="13"/>
  <c r="E218" i="13"/>
  <c r="D218" i="13"/>
  <c r="C218" i="13"/>
  <c r="E217" i="13"/>
  <c r="D217" i="13"/>
  <c r="C217" i="13"/>
  <c r="E216" i="13"/>
  <c r="D216" i="13"/>
  <c r="C216" i="13"/>
  <c r="E215" i="13"/>
  <c r="D215" i="13"/>
  <c r="C215" i="13"/>
  <c r="E214" i="13"/>
  <c r="D214" i="13"/>
  <c r="C214" i="13"/>
  <c r="E213" i="13"/>
  <c r="D213" i="13"/>
  <c r="C213" i="13"/>
  <c r="E212" i="13"/>
  <c r="D212" i="13"/>
  <c r="C212" i="13"/>
  <c r="E211" i="13"/>
  <c r="D211" i="13"/>
  <c r="C211" i="13"/>
  <c r="E210" i="13"/>
  <c r="D210" i="13"/>
  <c r="C210" i="13"/>
  <c r="E209" i="13"/>
  <c r="D209" i="13"/>
  <c r="C209" i="13"/>
  <c r="E208" i="13"/>
  <c r="D208" i="13"/>
  <c r="C208" i="13"/>
  <c r="E207" i="13"/>
  <c r="D207" i="13"/>
  <c r="C207" i="13"/>
  <c r="E206" i="13"/>
  <c r="D206" i="13"/>
  <c r="C206" i="13"/>
  <c r="E205" i="13"/>
  <c r="D205" i="13"/>
  <c r="C205" i="13"/>
  <c r="E204" i="13"/>
  <c r="D204" i="13"/>
  <c r="C204" i="13"/>
  <c r="E203" i="13"/>
  <c r="D203" i="13"/>
  <c r="C203" i="13"/>
  <c r="E202" i="13"/>
  <c r="D202" i="13"/>
  <c r="C202" i="13"/>
  <c r="E201" i="13"/>
  <c r="D201" i="13"/>
  <c r="C201" i="13"/>
  <c r="E200" i="13"/>
  <c r="D200" i="13"/>
  <c r="C200" i="13"/>
  <c r="E199" i="13"/>
  <c r="D199" i="13"/>
  <c r="C199" i="13"/>
  <c r="E198" i="13"/>
  <c r="D198" i="13"/>
  <c r="C198" i="13"/>
  <c r="E197" i="13"/>
  <c r="D197" i="13"/>
  <c r="C197" i="13"/>
  <c r="E196" i="13"/>
  <c r="D196" i="13"/>
  <c r="C196" i="13"/>
  <c r="E195" i="13"/>
  <c r="D195" i="13"/>
  <c r="C195" i="13"/>
  <c r="E194" i="13"/>
  <c r="D194" i="13"/>
  <c r="C194" i="13"/>
  <c r="E193" i="13"/>
  <c r="D193" i="13"/>
  <c r="C193" i="13"/>
  <c r="E192" i="13"/>
  <c r="D192" i="13"/>
  <c r="C192" i="13"/>
  <c r="E191" i="13"/>
  <c r="D191" i="13"/>
  <c r="C191" i="13"/>
  <c r="E190" i="13"/>
  <c r="D190" i="13"/>
  <c r="C190" i="13"/>
  <c r="E189" i="13"/>
  <c r="D189" i="13"/>
  <c r="C189" i="13"/>
  <c r="E188" i="13"/>
  <c r="D188" i="13"/>
  <c r="C188" i="13"/>
  <c r="E187" i="13"/>
  <c r="D187" i="13"/>
  <c r="C187" i="13"/>
  <c r="E186" i="13"/>
  <c r="D186" i="13"/>
  <c r="C186" i="13"/>
  <c r="E185" i="13"/>
  <c r="D185" i="13"/>
  <c r="C185" i="13"/>
  <c r="E184" i="13"/>
  <c r="D184" i="13"/>
  <c r="C184" i="13"/>
  <c r="E183" i="13"/>
  <c r="D183" i="13"/>
  <c r="C183" i="13"/>
  <c r="E182" i="13"/>
  <c r="D182" i="13"/>
  <c r="C182" i="13"/>
  <c r="E181" i="13"/>
  <c r="D181" i="13"/>
  <c r="C181" i="13"/>
  <c r="E180" i="13"/>
  <c r="D180" i="13"/>
  <c r="C180" i="13"/>
  <c r="E179" i="13"/>
  <c r="D179" i="13"/>
  <c r="C179" i="13"/>
  <c r="E178" i="13"/>
  <c r="D178" i="13"/>
  <c r="C178" i="13"/>
  <c r="E177" i="13"/>
  <c r="D177" i="13"/>
  <c r="C177" i="13"/>
  <c r="E176" i="13"/>
  <c r="D176" i="13"/>
  <c r="C176" i="13"/>
  <c r="E175" i="13"/>
  <c r="D175" i="13"/>
  <c r="C175" i="13"/>
  <c r="E174" i="13"/>
  <c r="D174" i="13"/>
  <c r="C174" i="13"/>
  <c r="E173" i="13"/>
  <c r="D173" i="13"/>
  <c r="C173" i="13"/>
  <c r="E172" i="13"/>
  <c r="D172" i="13"/>
  <c r="C172" i="13"/>
  <c r="E171" i="13"/>
  <c r="D171" i="13"/>
  <c r="C171" i="13"/>
  <c r="E170" i="13"/>
  <c r="D170" i="13"/>
  <c r="C170" i="13"/>
  <c r="E169" i="13"/>
  <c r="D169" i="13"/>
  <c r="C169" i="13"/>
  <c r="E168" i="13"/>
  <c r="D168" i="13"/>
  <c r="C168" i="13"/>
  <c r="E167" i="13"/>
  <c r="D167" i="13"/>
  <c r="C167" i="13"/>
  <c r="E166" i="13"/>
  <c r="D166" i="13"/>
  <c r="C166" i="13"/>
  <c r="E165" i="13"/>
  <c r="D165" i="13"/>
  <c r="C165" i="13"/>
  <c r="E164" i="13"/>
  <c r="D164" i="13"/>
  <c r="C164" i="13"/>
  <c r="E163" i="13"/>
  <c r="D163" i="13"/>
  <c r="C163" i="13"/>
  <c r="E162" i="13"/>
  <c r="D162" i="13"/>
  <c r="C162" i="13"/>
  <c r="E161" i="13"/>
  <c r="D161" i="13"/>
  <c r="C161" i="13"/>
  <c r="E160" i="13"/>
  <c r="D160" i="13"/>
  <c r="C160" i="13"/>
  <c r="E159" i="13"/>
  <c r="D159" i="13"/>
  <c r="C159" i="13"/>
  <c r="E158" i="13"/>
  <c r="D158" i="13"/>
  <c r="C158" i="13"/>
  <c r="E157" i="13"/>
  <c r="D157" i="13"/>
  <c r="C157" i="13"/>
  <c r="E156" i="13"/>
  <c r="D156" i="13"/>
  <c r="C156" i="13"/>
  <c r="E155" i="13"/>
  <c r="D155" i="13"/>
  <c r="C155" i="13"/>
  <c r="E154" i="13"/>
  <c r="D154" i="13"/>
  <c r="C154" i="13"/>
  <c r="E153" i="13"/>
  <c r="D153" i="13"/>
  <c r="C153" i="13"/>
  <c r="E152" i="13"/>
  <c r="D152" i="13"/>
  <c r="C152" i="13"/>
  <c r="E151" i="13"/>
  <c r="D151" i="13"/>
  <c r="C151" i="13"/>
  <c r="E150" i="13"/>
  <c r="D150" i="13"/>
  <c r="C150" i="13"/>
  <c r="E149" i="13"/>
  <c r="D149" i="13"/>
  <c r="C149" i="13"/>
  <c r="E148" i="13"/>
  <c r="D148" i="13"/>
  <c r="C148" i="13"/>
  <c r="E147" i="13"/>
  <c r="D147" i="13"/>
  <c r="C147" i="13"/>
  <c r="E146" i="13"/>
  <c r="D146" i="13"/>
  <c r="C146" i="13"/>
  <c r="E145" i="13"/>
  <c r="D145" i="13"/>
  <c r="C145" i="13"/>
  <c r="E144" i="13"/>
  <c r="D144" i="13"/>
  <c r="C144" i="13"/>
  <c r="E143" i="13"/>
  <c r="D143" i="13"/>
  <c r="C143" i="13"/>
  <c r="E142" i="13"/>
  <c r="D142" i="13"/>
  <c r="C142" i="13"/>
  <c r="E141" i="13"/>
  <c r="D141" i="13"/>
  <c r="C141" i="13"/>
  <c r="E140" i="13"/>
  <c r="D140" i="13"/>
  <c r="C140" i="13"/>
  <c r="E139" i="13"/>
  <c r="D139" i="13"/>
  <c r="C139" i="13"/>
  <c r="E138" i="13"/>
  <c r="D138" i="13"/>
  <c r="C138" i="13"/>
  <c r="E137" i="13"/>
  <c r="D137" i="13"/>
  <c r="C137" i="13"/>
  <c r="E136" i="13"/>
  <c r="D136" i="13"/>
  <c r="C136" i="13"/>
  <c r="E135" i="13"/>
  <c r="D135" i="13"/>
  <c r="C135" i="13"/>
  <c r="E134" i="13"/>
  <c r="D134" i="13"/>
  <c r="C134" i="13"/>
  <c r="E133" i="13"/>
  <c r="D133" i="13"/>
  <c r="C133" i="13"/>
  <c r="E132" i="13"/>
  <c r="D132" i="13"/>
  <c r="C132" i="13"/>
  <c r="E131" i="13"/>
  <c r="D131" i="13"/>
  <c r="C131" i="13"/>
  <c r="E130" i="13"/>
  <c r="D130" i="13"/>
  <c r="C130" i="13"/>
  <c r="E129" i="13"/>
  <c r="D129" i="13"/>
  <c r="C129" i="13"/>
  <c r="E128" i="13"/>
  <c r="D128" i="13"/>
  <c r="C128" i="13"/>
  <c r="E127" i="13"/>
  <c r="D127" i="13"/>
  <c r="C127" i="13"/>
  <c r="E126" i="13"/>
  <c r="D126" i="13"/>
  <c r="C126" i="13"/>
  <c r="E125" i="13"/>
  <c r="D125" i="13"/>
  <c r="C125" i="13"/>
  <c r="E124" i="13"/>
  <c r="D124" i="13"/>
  <c r="C124" i="13"/>
  <c r="E123" i="13"/>
  <c r="D123" i="13"/>
  <c r="L123" i="13" s="1"/>
  <c r="C123" i="13"/>
  <c r="E122" i="13"/>
  <c r="D122" i="13"/>
  <c r="C122" i="13"/>
  <c r="E121" i="13"/>
  <c r="D121" i="13"/>
  <c r="C121" i="13"/>
  <c r="E120" i="13"/>
  <c r="D120" i="13"/>
  <c r="C120" i="13"/>
  <c r="E119" i="13"/>
  <c r="D119" i="13"/>
  <c r="C119" i="13"/>
  <c r="E118" i="13"/>
  <c r="D118" i="13"/>
  <c r="C118" i="13"/>
  <c r="E117" i="13"/>
  <c r="D117" i="13"/>
  <c r="C117" i="13"/>
  <c r="E116" i="13"/>
  <c r="D116" i="13"/>
  <c r="C116" i="13"/>
  <c r="E115" i="13"/>
  <c r="D115" i="13"/>
  <c r="C115" i="13"/>
  <c r="E114" i="13"/>
  <c r="D114" i="13"/>
  <c r="C114" i="13"/>
  <c r="E113" i="13"/>
  <c r="D113" i="13"/>
  <c r="C113" i="13"/>
  <c r="E112" i="13"/>
  <c r="D112" i="13"/>
  <c r="C112" i="13"/>
  <c r="E111" i="13"/>
  <c r="D111" i="13"/>
  <c r="L111" i="13" s="1"/>
  <c r="C111" i="13"/>
  <c r="E110" i="13"/>
  <c r="D110" i="13"/>
  <c r="C110" i="13"/>
  <c r="E109" i="13"/>
  <c r="D109" i="13"/>
  <c r="C109" i="13"/>
  <c r="E108" i="13"/>
  <c r="D108" i="13"/>
  <c r="C108" i="13"/>
  <c r="E107" i="13"/>
  <c r="D107" i="13"/>
  <c r="C107" i="13"/>
  <c r="E106" i="13"/>
  <c r="D106" i="13"/>
  <c r="C106" i="13"/>
  <c r="E105" i="13"/>
  <c r="D105" i="13"/>
  <c r="C105" i="13"/>
  <c r="E104" i="13"/>
  <c r="D104" i="13"/>
  <c r="C104" i="13"/>
  <c r="E103" i="13"/>
  <c r="D103" i="13"/>
  <c r="C103" i="13"/>
  <c r="E102" i="13"/>
  <c r="D102" i="13"/>
  <c r="C102" i="13"/>
  <c r="E101" i="13"/>
  <c r="D101" i="13"/>
  <c r="C101" i="13"/>
  <c r="E100" i="13"/>
  <c r="D100" i="13"/>
  <c r="C100" i="13"/>
  <c r="E99" i="13"/>
  <c r="D99" i="13"/>
  <c r="C99" i="13"/>
  <c r="E98" i="13"/>
  <c r="D98" i="13"/>
  <c r="C98" i="13"/>
  <c r="E97" i="13"/>
  <c r="D97" i="13"/>
  <c r="C97" i="13"/>
  <c r="E96" i="13"/>
  <c r="D96" i="13"/>
  <c r="C96" i="13"/>
  <c r="E95" i="13"/>
  <c r="D95" i="13"/>
  <c r="C95" i="13"/>
  <c r="E94" i="13"/>
  <c r="D94" i="13"/>
  <c r="C94" i="13"/>
  <c r="E93" i="13"/>
  <c r="D93" i="13"/>
  <c r="C93" i="13"/>
  <c r="E92" i="13"/>
  <c r="D92" i="13"/>
  <c r="C92" i="13"/>
  <c r="E91" i="13"/>
  <c r="D91" i="13"/>
  <c r="C91" i="13"/>
  <c r="E90" i="13"/>
  <c r="D90" i="13"/>
  <c r="C90" i="13"/>
  <c r="E89" i="13"/>
  <c r="D89" i="13"/>
  <c r="C89" i="13"/>
  <c r="E88" i="13"/>
  <c r="D88" i="13"/>
  <c r="C88" i="13"/>
  <c r="E87" i="13"/>
  <c r="D87" i="13"/>
  <c r="C87" i="13"/>
  <c r="D86" i="13"/>
  <c r="S86" i="13" s="1"/>
  <c r="H86" i="13" s="1"/>
  <c r="C86" i="13"/>
  <c r="D85" i="13"/>
  <c r="S85" i="13" s="1"/>
  <c r="H85" i="13" s="1"/>
  <c r="C85" i="13"/>
  <c r="D84" i="13"/>
  <c r="S84" i="13" s="1"/>
  <c r="H84" i="13" s="1"/>
  <c r="C84" i="13"/>
  <c r="D83" i="13"/>
  <c r="S83" i="13" s="1"/>
  <c r="H83" i="13" s="1"/>
  <c r="C83" i="13"/>
  <c r="D82" i="13"/>
  <c r="S82" i="13" s="1"/>
  <c r="H82" i="13" s="1"/>
  <c r="C82" i="13"/>
  <c r="D81" i="13"/>
  <c r="S81" i="13" s="1"/>
  <c r="H81" i="13" s="1"/>
  <c r="C81" i="13"/>
  <c r="D80" i="13"/>
  <c r="S80" i="13" s="1"/>
  <c r="H80" i="13" s="1"/>
  <c r="C80" i="13"/>
  <c r="D79" i="13"/>
  <c r="S79" i="13" s="1"/>
  <c r="H79" i="13" s="1"/>
  <c r="C79" i="13"/>
  <c r="D78" i="13"/>
  <c r="S78" i="13" s="1"/>
  <c r="H78" i="13" s="1"/>
  <c r="C78" i="13"/>
  <c r="D77" i="13"/>
  <c r="S77" i="13" s="1"/>
  <c r="H77" i="13" s="1"/>
  <c r="C77" i="13"/>
  <c r="D76" i="13"/>
  <c r="S76" i="13" s="1"/>
  <c r="H76" i="13" s="1"/>
  <c r="C76" i="13"/>
  <c r="D75" i="13"/>
  <c r="S75" i="13" s="1"/>
  <c r="H75" i="13" s="1"/>
  <c r="C75" i="13"/>
  <c r="D74" i="13"/>
  <c r="W74" i="13" s="1"/>
  <c r="C74" i="13"/>
  <c r="D73" i="13"/>
  <c r="W73" i="13" s="1"/>
  <c r="C73" i="13"/>
  <c r="D72" i="13"/>
  <c r="W72" i="13" s="1"/>
  <c r="C72" i="13"/>
  <c r="D71" i="13"/>
  <c r="W71" i="13" s="1"/>
  <c r="C71" i="13"/>
  <c r="D70" i="13"/>
  <c r="W70" i="13" s="1"/>
  <c r="C70" i="13"/>
  <c r="D69" i="13"/>
  <c r="W69" i="13" s="1"/>
  <c r="C69" i="13"/>
  <c r="D68" i="13"/>
  <c r="W68" i="13" s="1"/>
  <c r="C68" i="13"/>
  <c r="D67" i="13"/>
  <c r="W67" i="13" s="1"/>
  <c r="C67" i="13"/>
  <c r="D66" i="13"/>
  <c r="W66" i="13" s="1"/>
  <c r="C66" i="13"/>
  <c r="D65" i="13"/>
  <c r="W65" i="13" s="1"/>
  <c r="C65" i="13"/>
  <c r="D64" i="13"/>
  <c r="W64" i="13" s="1"/>
  <c r="C64" i="13"/>
  <c r="D63" i="13"/>
  <c r="W63" i="13" s="1"/>
  <c r="C63" i="13"/>
  <c r="D62" i="13"/>
  <c r="S62" i="13" s="1"/>
  <c r="H62" i="13" s="1"/>
  <c r="C62" i="13"/>
  <c r="D61" i="13"/>
  <c r="S61" i="13" s="1"/>
  <c r="H61" i="13" s="1"/>
  <c r="C61" i="13"/>
  <c r="D60" i="13"/>
  <c r="S60" i="13" s="1"/>
  <c r="H60" i="13" s="1"/>
  <c r="C60" i="13"/>
  <c r="D59" i="13"/>
  <c r="S59" i="13" s="1"/>
  <c r="H59" i="13" s="1"/>
  <c r="C59" i="13"/>
  <c r="D58" i="13"/>
  <c r="S58" i="13" s="1"/>
  <c r="H58" i="13" s="1"/>
  <c r="C58" i="13"/>
  <c r="D57" i="13"/>
  <c r="S57" i="13" s="1"/>
  <c r="H57" i="13" s="1"/>
  <c r="C57" i="13"/>
  <c r="D56" i="13"/>
  <c r="S56" i="13" s="1"/>
  <c r="H56" i="13" s="1"/>
  <c r="C56" i="13"/>
  <c r="D55" i="13"/>
  <c r="S55" i="13" s="1"/>
  <c r="H55" i="13" s="1"/>
  <c r="C55" i="13"/>
  <c r="D54" i="13"/>
  <c r="S54" i="13" s="1"/>
  <c r="H54" i="13" s="1"/>
  <c r="C54" i="13"/>
  <c r="D53" i="13"/>
  <c r="S53" i="13" s="1"/>
  <c r="H53" i="13" s="1"/>
  <c r="C53" i="13"/>
  <c r="D52" i="13"/>
  <c r="S52" i="13" s="1"/>
  <c r="H52" i="13" s="1"/>
  <c r="C52" i="13"/>
  <c r="D51" i="13"/>
  <c r="S51" i="13" s="1"/>
  <c r="H51" i="13" s="1"/>
  <c r="C51" i="13"/>
  <c r="E50" i="13"/>
  <c r="D50" i="13"/>
  <c r="C50" i="13"/>
  <c r="E49" i="13"/>
  <c r="D49" i="13"/>
  <c r="C49" i="13"/>
  <c r="E48" i="13"/>
  <c r="D48" i="13"/>
  <c r="C48" i="13"/>
  <c r="E47" i="13"/>
  <c r="D47" i="13"/>
  <c r="C47" i="13"/>
  <c r="E46" i="13"/>
  <c r="D46" i="13"/>
  <c r="C46" i="13"/>
  <c r="E45" i="13"/>
  <c r="D45" i="13"/>
  <c r="C45" i="13"/>
  <c r="E44" i="13"/>
  <c r="D44" i="13"/>
  <c r="C44" i="13"/>
  <c r="E43" i="13"/>
  <c r="D43" i="13"/>
  <c r="C43" i="13"/>
  <c r="E42" i="13"/>
  <c r="D42" i="13"/>
  <c r="C42" i="13"/>
  <c r="E41" i="13"/>
  <c r="D41" i="13"/>
  <c r="C41" i="13"/>
  <c r="E40" i="13"/>
  <c r="D40" i="13"/>
  <c r="C40" i="13"/>
  <c r="E39" i="13"/>
  <c r="D39" i="13"/>
  <c r="C39" i="13"/>
  <c r="E38" i="13"/>
  <c r="C38" i="13"/>
  <c r="E37" i="13"/>
  <c r="C37" i="13"/>
  <c r="E36" i="13"/>
  <c r="C36" i="13"/>
  <c r="E35" i="13"/>
  <c r="C35" i="13"/>
  <c r="E34" i="13"/>
  <c r="C34" i="13"/>
  <c r="E33" i="13"/>
  <c r="C33" i="13"/>
  <c r="E32" i="13"/>
  <c r="C32" i="13"/>
  <c r="E31" i="13"/>
  <c r="C31" i="13"/>
  <c r="E30" i="13"/>
  <c r="C30" i="13"/>
  <c r="E29" i="13"/>
  <c r="C29" i="13"/>
  <c r="E28" i="13"/>
  <c r="C28" i="13"/>
  <c r="E27" i="13"/>
  <c r="C27" i="13"/>
  <c r="D26" i="13"/>
  <c r="C26" i="13"/>
  <c r="D25" i="13"/>
  <c r="C25" i="13"/>
  <c r="D24" i="13"/>
  <c r="Q24" i="13" s="1"/>
  <c r="S24" i="13" s="1"/>
  <c r="C24" i="13"/>
  <c r="D23" i="13"/>
  <c r="Q23" i="13" s="1"/>
  <c r="S23" i="13" s="1"/>
  <c r="C23" i="13"/>
  <c r="D22" i="13"/>
  <c r="Q22" i="13" s="1"/>
  <c r="S22" i="13" s="1"/>
  <c r="C22" i="13"/>
  <c r="D21" i="13"/>
  <c r="Q21" i="13" s="1"/>
  <c r="S21" i="13" s="1"/>
  <c r="C21" i="13"/>
  <c r="D20" i="13"/>
  <c r="Q20" i="13" s="1"/>
  <c r="S20" i="13" s="1"/>
  <c r="C20" i="13"/>
  <c r="D19" i="13"/>
  <c r="C19" i="13"/>
  <c r="D18" i="13"/>
  <c r="C18" i="13"/>
  <c r="D17" i="13"/>
  <c r="C17" i="13"/>
  <c r="D16" i="13"/>
  <c r="Q16" i="13" s="1"/>
  <c r="S16" i="13" s="1"/>
  <c r="C16" i="13"/>
  <c r="D15" i="13"/>
  <c r="C15" i="13"/>
  <c r="E14" i="13"/>
  <c r="D14" i="13"/>
  <c r="C14" i="13"/>
  <c r="E13" i="13"/>
  <c r="D13" i="13"/>
  <c r="C13" i="13"/>
  <c r="E12" i="13"/>
  <c r="D12" i="13"/>
  <c r="C12" i="13"/>
  <c r="E11" i="13"/>
  <c r="D11" i="13"/>
  <c r="C11" i="13"/>
  <c r="E10" i="13"/>
  <c r="D10" i="13"/>
  <c r="C10" i="13"/>
  <c r="E9" i="13"/>
  <c r="D9" i="13"/>
  <c r="C9" i="13"/>
  <c r="E8" i="13"/>
  <c r="D8" i="13"/>
  <c r="C8" i="13"/>
  <c r="E7" i="13"/>
  <c r="D7" i="13"/>
  <c r="C7" i="13"/>
  <c r="E6" i="13"/>
  <c r="D6" i="13"/>
  <c r="C6" i="13"/>
  <c r="E5" i="13"/>
  <c r="D5" i="13"/>
  <c r="C5" i="13"/>
  <c r="E4" i="13"/>
  <c r="D4" i="13"/>
  <c r="C4" i="13"/>
  <c r="E3" i="13"/>
  <c r="D3" i="13"/>
  <c r="C3" i="13"/>
  <c r="AD106" i="14"/>
  <c r="AC106" i="14"/>
  <c r="AB106" i="14"/>
  <c r="E106" i="14"/>
  <c r="D106" i="14"/>
  <c r="C106" i="14"/>
  <c r="AD105" i="14"/>
  <c r="AB105" i="14"/>
  <c r="E105" i="14"/>
  <c r="D105" i="14"/>
  <c r="C105" i="14"/>
  <c r="AD104" i="14"/>
  <c r="AB104" i="14"/>
  <c r="E104" i="14"/>
  <c r="D104" i="14"/>
  <c r="C104" i="14"/>
  <c r="AD103" i="14"/>
  <c r="AB103" i="14"/>
  <c r="E103" i="14"/>
  <c r="D103" i="14"/>
  <c r="C103" i="14"/>
  <c r="AD102" i="14"/>
  <c r="AB102" i="14"/>
  <c r="E102" i="14"/>
  <c r="D102" i="14"/>
  <c r="C102" i="14"/>
  <c r="AD101" i="14"/>
  <c r="AB101" i="14"/>
  <c r="E101" i="14"/>
  <c r="D101" i="14"/>
  <c r="C101" i="14"/>
  <c r="AD100" i="14"/>
  <c r="AB100" i="14"/>
  <c r="E100" i="14"/>
  <c r="D100" i="14"/>
  <c r="C100" i="14"/>
  <c r="AD99" i="14"/>
  <c r="AB99" i="14"/>
  <c r="E99" i="14"/>
  <c r="D99" i="14"/>
  <c r="C99" i="14"/>
  <c r="AD98" i="14"/>
  <c r="AB98" i="14"/>
  <c r="E98" i="14"/>
  <c r="D98" i="14"/>
  <c r="C98" i="14"/>
  <c r="AD97" i="14"/>
  <c r="AB97" i="14"/>
  <c r="E97" i="14"/>
  <c r="D97" i="14"/>
  <c r="C97" i="14"/>
  <c r="AD96" i="14"/>
  <c r="AB96" i="14"/>
  <c r="E96" i="14"/>
  <c r="D96" i="14"/>
  <c r="C96" i="14"/>
  <c r="AD95" i="14"/>
  <c r="AB95" i="14"/>
  <c r="E95" i="14"/>
  <c r="D95" i="14"/>
  <c r="R95" i="14" s="1"/>
  <c r="C95" i="14"/>
  <c r="AD94" i="14"/>
  <c r="AC94" i="14"/>
  <c r="AB94" i="14"/>
  <c r="E94" i="14"/>
  <c r="D94" i="14"/>
  <c r="C94" i="14"/>
  <c r="AD93" i="14"/>
  <c r="AB93" i="14"/>
  <c r="E93" i="14"/>
  <c r="D93" i="14"/>
  <c r="C93" i="14"/>
  <c r="AD92" i="14"/>
  <c r="AB92" i="14"/>
  <c r="E92" i="14"/>
  <c r="D92" i="14"/>
  <c r="C92" i="14"/>
  <c r="AD91" i="14"/>
  <c r="AB91" i="14"/>
  <c r="E91" i="14"/>
  <c r="D91" i="14"/>
  <c r="C91" i="14"/>
  <c r="AD90" i="14"/>
  <c r="AB90" i="14"/>
  <c r="E90" i="14"/>
  <c r="D90" i="14"/>
  <c r="C90" i="14"/>
  <c r="AD89" i="14"/>
  <c r="AB89" i="14"/>
  <c r="E89" i="14"/>
  <c r="D89" i="14"/>
  <c r="C89" i="14"/>
  <c r="AD88" i="14"/>
  <c r="AB88" i="14"/>
  <c r="E88" i="14"/>
  <c r="D88" i="14"/>
  <c r="C88" i="14"/>
  <c r="AD87" i="14"/>
  <c r="AB87" i="14"/>
  <c r="E87" i="14"/>
  <c r="D87" i="14"/>
  <c r="C87" i="14"/>
  <c r="AD86" i="14"/>
  <c r="AB86" i="14"/>
  <c r="E86" i="14"/>
  <c r="D86" i="14"/>
  <c r="C86" i="14"/>
  <c r="AD85" i="14"/>
  <c r="AB85" i="14"/>
  <c r="E85" i="14"/>
  <c r="D85" i="14"/>
  <c r="C85" i="14"/>
  <c r="AD84" i="14"/>
  <c r="AB84" i="14"/>
  <c r="E84" i="14"/>
  <c r="D84" i="14"/>
  <c r="C84" i="14"/>
  <c r="AD83" i="14"/>
  <c r="AB83" i="14"/>
  <c r="E83" i="14"/>
  <c r="D83" i="14"/>
  <c r="R83" i="14" s="1"/>
  <c r="C83" i="14"/>
  <c r="AD82" i="14"/>
  <c r="AC82" i="14"/>
  <c r="AB82" i="14"/>
  <c r="E82" i="14"/>
  <c r="D82" i="14"/>
  <c r="C82" i="14"/>
  <c r="AD81" i="14"/>
  <c r="AB81" i="14"/>
  <c r="E81" i="14"/>
  <c r="D81" i="14"/>
  <c r="C81" i="14"/>
  <c r="AD80" i="14"/>
  <c r="AB80" i="14"/>
  <c r="E80" i="14"/>
  <c r="D80" i="14"/>
  <c r="C80" i="14"/>
  <c r="AD79" i="14"/>
  <c r="AB79" i="14"/>
  <c r="E79" i="14"/>
  <c r="D79" i="14"/>
  <c r="C79" i="14"/>
  <c r="AD78" i="14"/>
  <c r="AB78" i="14"/>
  <c r="E78" i="14"/>
  <c r="D78" i="14"/>
  <c r="C78" i="14"/>
  <c r="AD77" i="14"/>
  <c r="AB77" i="14"/>
  <c r="E77" i="14"/>
  <c r="D77" i="14"/>
  <c r="C77" i="14"/>
  <c r="AD76" i="14"/>
  <c r="AB76" i="14"/>
  <c r="E76" i="14"/>
  <c r="D76" i="14"/>
  <c r="C76" i="14"/>
  <c r="AD75" i="14"/>
  <c r="AB75" i="14"/>
  <c r="E75" i="14"/>
  <c r="D75" i="14"/>
  <c r="C75" i="14"/>
  <c r="AD74" i="14"/>
  <c r="AB74" i="14"/>
  <c r="E74" i="14"/>
  <c r="D74" i="14"/>
  <c r="C74" i="14"/>
  <c r="AD73" i="14"/>
  <c r="AB73" i="14"/>
  <c r="E73" i="14"/>
  <c r="D73" i="14"/>
  <c r="C73" i="14"/>
  <c r="AD72" i="14"/>
  <c r="AB72" i="14"/>
  <c r="E72" i="14"/>
  <c r="D72" i="14"/>
  <c r="C72" i="14"/>
  <c r="AD71" i="14"/>
  <c r="AB71" i="14"/>
  <c r="E71" i="14"/>
  <c r="D71" i="14"/>
  <c r="R71" i="14" s="1"/>
  <c r="C71" i="14"/>
  <c r="AD70" i="14"/>
  <c r="AC70" i="14"/>
  <c r="AB70" i="14"/>
  <c r="E70" i="14"/>
  <c r="D70" i="14"/>
  <c r="C70" i="14"/>
  <c r="AD69" i="14"/>
  <c r="AB69" i="14"/>
  <c r="E69" i="14"/>
  <c r="D69" i="14"/>
  <c r="C69" i="14"/>
  <c r="AD68" i="14"/>
  <c r="AB68" i="14"/>
  <c r="E68" i="14"/>
  <c r="D68" i="14"/>
  <c r="C68" i="14"/>
  <c r="AD67" i="14"/>
  <c r="AB67" i="14"/>
  <c r="E67" i="14"/>
  <c r="D67" i="14"/>
  <c r="C67" i="14"/>
  <c r="AD66" i="14"/>
  <c r="AB66" i="14"/>
  <c r="E66" i="14"/>
  <c r="D66" i="14"/>
  <c r="C66" i="14"/>
  <c r="AD65" i="14"/>
  <c r="AB65" i="14"/>
  <c r="E65" i="14"/>
  <c r="D65" i="14"/>
  <c r="C65" i="14"/>
  <c r="AD64" i="14"/>
  <c r="AB64" i="14"/>
  <c r="E64" i="14"/>
  <c r="D64" i="14"/>
  <c r="C64" i="14"/>
  <c r="AD63" i="14"/>
  <c r="AB63" i="14"/>
  <c r="E63" i="14"/>
  <c r="D63" i="14"/>
  <c r="C63" i="14"/>
  <c r="AD62" i="14"/>
  <c r="AB62" i="14"/>
  <c r="E62" i="14"/>
  <c r="D62" i="14"/>
  <c r="C62" i="14"/>
  <c r="AD61" i="14"/>
  <c r="AB61" i="14"/>
  <c r="E61" i="14"/>
  <c r="D61" i="14"/>
  <c r="C61" i="14"/>
  <c r="AD60" i="14"/>
  <c r="AB60" i="14"/>
  <c r="E60" i="14"/>
  <c r="D60" i="14"/>
  <c r="C60" i="14"/>
  <c r="AD59" i="14"/>
  <c r="AB59" i="14"/>
  <c r="E59" i="14"/>
  <c r="D59" i="14"/>
  <c r="R59" i="14" s="1"/>
  <c r="C59" i="14"/>
  <c r="AD58" i="14"/>
  <c r="AC58" i="14"/>
  <c r="AB58" i="14"/>
  <c r="E58" i="14"/>
  <c r="D58" i="14"/>
  <c r="C58" i="14"/>
  <c r="AD57" i="14"/>
  <c r="AB57" i="14"/>
  <c r="E57" i="14"/>
  <c r="D57" i="14"/>
  <c r="C57" i="14"/>
  <c r="AD56" i="14"/>
  <c r="AB56" i="14"/>
  <c r="E56" i="14"/>
  <c r="D56" i="14"/>
  <c r="C56" i="14"/>
  <c r="AD55" i="14"/>
  <c r="AB55" i="14"/>
  <c r="E55" i="14"/>
  <c r="D55" i="14"/>
  <c r="C55" i="14"/>
  <c r="AD54" i="14"/>
  <c r="AB54" i="14"/>
  <c r="E54" i="14"/>
  <c r="D54" i="14"/>
  <c r="C54" i="14"/>
  <c r="AD53" i="14"/>
  <c r="AB53" i="14"/>
  <c r="E53" i="14"/>
  <c r="D53" i="14"/>
  <c r="C53" i="14"/>
  <c r="AD52" i="14"/>
  <c r="AB52" i="14"/>
  <c r="E52" i="14"/>
  <c r="D52" i="14"/>
  <c r="C52" i="14"/>
  <c r="AD51" i="14"/>
  <c r="AB51" i="14"/>
  <c r="E51" i="14"/>
  <c r="D51" i="14"/>
  <c r="C51" i="14"/>
  <c r="AD50" i="14"/>
  <c r="AB50" i="14"/>
  <c r="E50" i="14"/>
  <c r="D50" i="14"/>
  <c r="C50" i="14"/>
  <c r="AD49" i="14"/>
  <c r="AB49" i="14"/>
  <c r="E49" i="14"/>
  <c r="D49" i="14"/>
  <c r="C49" i="14"/>
  <c r="AD48" i="14"/>
  <c r="AB48" i="14"/>
  <c r="E48" i="14"/>
  <c r="D48" i="14"/>
  <c r="C48" i="14"/>
  <c r="AD47" i="14"/>
  <c r="AB47" i="14"/>
  <c r="E47" i="14"/>
  <c r="D47" i="14"/>
  <c r="R47" i="14" s="1"/>
  <c r="C47" i="14"/>
  <c r="AD46" i="14"/>
  <c r="AC46" i="14"/>
  <c r="AB46" i="14"/>
  <c r="Z46" i="14"/>
  <c r="Y46" i="14"/>
  <c r="X46" i="14"/>
  <c r="E46" i="14"/>
  <c r="D46" i="14"/>
  <c r="C46" i="14"/>
  <c r="AD45" i="14"/>
  <c r="AB45" i="14"/>
  <c r="Z45" i="14"/>
  <c r="Y45" i="14"/>
  <c r="X45" i="14"/>
  <c r="E45" i="14"/>
  <c r="D45" i="14"/>
  <c r="C45" i="14"/>
  <c r="AD44" i="14"/>
  <c r="AB44" i="14"/>
  <c r="Z44" i="14"/>
  <c r="Y44" i="14"/>
  <c r="X44" i="14"/>
  <c r="E44" i="14"/>
  <c r="D44" i="14"/>
  <c r="C44" i="14"/>
  <c r="AD43" i="14"/>
  <c r="AB43" i="14"/>
  <c r="Z43" i="14"/>
  <c r="Y43" i="14"/>
  <c r="X43" i="14"/>
  <c r="E43" i="14"/>
  <c r="D43" i="14"/>
  <c r="C43" i="14"/>
  <c r="AD42" i="14"/>
  <c r="AB42" i="14"/>
  <c r="Z42" i="14"/>
  <c r="Y42" i="14"/>
  <c r="X42" i="14"/>
  <c r="E42" i="14"/>
  <c r="D42" i="14"/>
  <c r="C42" i="14"/>
  <c r="AD41" i="14"/>
  <c r="AB41" i="14"/>
  <c r="Z41" i="14"/>
  <c r="Y41" i="14"/>
  <c r="X41" i="14"/>
  <c r="E41" i="14"/>
  <c r="D41" i="14"/>
  <c r="C41" i="14"/>
  <c r="AD40" i="14"/>
  <c r="AB40" i="14"/>
  <c r="Z40" i="14"/>
  <c r="Y40" i="14"/>
  <c r="X40" i="14"/>
  <c r="E40" i="14"/>
  <c r="D40" i="14"/>
  <c r="C40" i="14"/>
  <c r="AD39" i="14"/>
  <c r="AB39" i="14"/>
  <c r="Z39" i="14"/>
  <c r="Y39" i="14"/>
  <c r="X39" i="14"/>
  <c r="E39" i="14"/>
  <c r="D39" i="14"/>
  <c r="C39" i="14"/>
  <c r="AD38" i="14"/>
  <c r="AB38" i="14"/>
  <c r="Z38" i="14"/>
  <c r="Y38" i="14"/>
  <c r="X38" i="14"/>
  <c r="E38" i="14"/>
  <c r="D38" i="14"/>
  <c r="C38" i="14"/>
  <c r="AD37" i="14"/>
  <c r="AB37" i="14"/>
  <c r="Z37" i="14"/>
  <c r="Y37" i="14"/>
  <c r="X37" i="14"/>
  <c r="E37" i="14"/>
  <c r="D37" i="14"/>
  <c r="C37" i="14"/>
  <c r="AD36" i="14"/>
  <c r="AB36" i="14"/>
  <c r="Z36" i="14"/>
  <c r="Y36" i="14"/>
  <c r="X36" i="14"/>
  <c r="E36" i="14"/>
  <c r="D36" i="14"/>
  <c r="C36" i="14"/>
  <c r="AD35" i="14"/>
  <c r="AB35" i="14"/>
  <c r="Z35" i="14"/>
  <c r="Y35" i="14"/>
  <c r="X35" i="14"/>
  <c r="E35" i="14"/>
  <c r="D35" i="14"/>
  <c r="R35" i="14" s="1"/>
  <c r="C35" i="14"/>
  <c r="AC33" i="14"/>
  <c r="E26" i="14"/>
  <c r="D26" i="14"/>
  <c r="C26" i="14"/>
  <c r="E25" i="14"/>
  <c r="D25" i="14"/>
  <c r="C25" i="14"/>
  <c r="E24" i="14"/>
  <c r="D24" i="14"/>
  <c r="C24" i="14"/>
  <c r="E23" i="14"/>
  <c r="D23" i="14"/>
  <c r="C23" i="14"/>
  <c r="E22" i="14"/>
  <c r="D22" i="14"/>
  <c r="C22" i="14"/>
  <c r="E21" i="14"/>
  <c r="D21" i="14"/>
  <c r="C21" i="14"/>
  <c r="E20" i="14"/>
  <c r="D20" i="14"/>
  <c r="C20" i="14"/>
  <c r="E19" i="14"/>
  <c r="D19" i="14"/>
  <c r="C19" i="14"/>
  <c r="E18" i="14"/>
  <c r="D18" i="14"/>
  <c r="C18" i="14"/>
  <c r="E17" i="14"/>
  <c r="D17" i="14"/>
  <c r="C17" i="14"/>
  <c r="E16" i="14"/>
  <c r="D16" i="14"/>
  <c r="C16" i="14"/>
  <c r="E15" i="14"/>
  <c r="D15" i="14"/>
  <c r="C15" i="14"/>
  <c r="K48" i="11"/>
  <c r="J48" i="11"/>
  <c r="I48" i="11"/>
  <c r="H48" i="11"/>
  <c r="G48" i="11"/>
  <c r="F48" i="11"/>
  <c r="E48" i="11"/>
  <c r="D48" i="11"/>
  <c r="C48" i="11"/>
  <c r="B48" i="11"/>
  <c r="K47" i="11"/>
  <c r="J47" i="11"/>
  <c r="I47" i="11"/>
  <c r="H47" i="11"/>
  <c r="G47" i="11"/>
  <c r="F47" i="11"/>
  <c r="E47" i="11"/>
  <c r="D47" i="11"/>
  <c r="C47" i="11"/>
  <c r="B47" i="11"/>
  <c r="K46" i="11"/>
  <c r="J46" i="11"/>
  <c r="I46" i="11"/>
  <c r="H46" i="11"/>
  <c r="G46" i="11"/>
  <c r="F46" i="11"/>
  <c r="E46" i="11"/>
  <c r="D46" i="11"/>
  <c r="C46" i="11"/>
  <c r="B46" i="11"/>
  <c r="K45" i="11"/>
  <c r="J45" i="11"/>
  <c r="I45" i="11"/>
  <c r="H45" i="11"/>
  <c r="G45" i="11"/>
  <c r="F45" i="11"/>
  <c r="E45" i="11"/>
  <c r="D45" i="11"/>
  <c r="C45" i="11"/>
  <c r="B45" i="11"/>
  <c r="K44" i="11"/>
  <c r="J44" i="11"/>
  <c r="I44" i="11"/>
  <c r="H44" i="11"/>
  <c r="G44" i="11"/>
  <c r="F44" i="11"/>
  <c r="E44" i="11"/>
  <c r="D44" i="11"/>
  <c r="C44" i="11"/>
  <c r="B44" i="11"/>
  <c r="K43" i="11"/>
  <c r="J43" i="11"/>
  <c r="I43" i="11"/>
  <c r="H43" i="11"/>
  <c r="G43" i="11"/>
  <c r="F43" i="11"/>
  <c r="E43" i="11"/>
  <c r="D43" i="11"/>
  <c r="C43" i="11"/>
  <c r="B43" i="11"/>
  <c r="K42" i="11"/>
  <c r="J42" i="11"/>
  <c r="I42" i="11"/>
  <c r="H42" i="11"/>
  <c r="G42" i="11"/>
  <c r="F42" i="11"/>
  <c r="E42" i="11"/>
  <c r="D42" i="11"/>
  <c r="C42" i="11"/>
  <c r="B42" i="11"/>
  <c r="K41" i="11"/>
  <c r="J41" i="11"/>
  <c r="I41" i="11"/>
  <c r="H41" i="11"/>
  <c r="G41" i="11"/>
  <c r="F41" i="11"/>
  <c r="E41" i="11"/>
  <c r="D41" i="11"/>
  <c r="C41" i="11"/>
  <c r="B41" i="11"/>
  <c r="K40" i="11"/>
  <c r="J40" i="11"/>
  <c r="I40" i="11"/>
  <c r="H40" i="11"/>
  <c r="G40" i="11"/>
  <c r="F40" i="11"/>
  <c r="E40" i="11"/>
  <c r="D40" i="11"/>
  <c r="C40" i="11"/>
  <c r="B40" i="11"/>
  <c r="K39" i="11"/>
  <c r="J39" i="11"/>
  <c r="I39" i="11"/>
  <c r="H39" i="11"/>
  <c r="G39" i="11"/>
  <c r="F39" i="11"/>
  <c r="E39" i="11"/>
  <c r="D39" i="11"/>
  <c r="C39" i="11"/>
  <c r="B39" i="11"/>
  <c r="K38" i="11"/>
  <c r="J38" i="11"/>
  <c r="I38" i="11"/>
  <c r="H38" i="11"/>
  <c r="G38" i="11"/>
  <c r="F38" i="11"/>
  <c r="E38" i="11"/>
  <c r="D38" i="11"/>
  <c r="C38" i="11"/>
  <c r="B38" i="11"/>
  <c r="K37" i="11"/>
  <c r="J37" i="11"/>
  <c r="I37" i="11"/>
  <c r="H37" i="11"/>
  <c r="G37" i="11"/>
  <c r="F37" i="11"/>
  <c r="E37" i="11"/>
  <c r="D37" i="11"/>
  <c r="C37" i="11"/>
  <c r="B37" i="11"/>
  <c r="AB782" i="6"/>
  <c r="AA782" i="6"/>
  <c r="P782" i="6"/>
  <c r="O782" i="6"/>
  <c r="N782" i="6"/>
  <c r="M782" i="6"/>
  <c r="B782" i="6"/>
  <c r="AB781" i="6"/>
  <c r="AA781" i="6"/>
  <c r="P781" i="6"/>
  <c r="O781" i="6"/>
  <c r="N781" i="6"/>
  <c r="M781" i="6"/>
  <c r="B781" i="6"/>
  <c r="AB780" i="6"/>
  <c r="AA780" i="6"/>
  <c r="P780" i="6"/>
  <c r="O780" i="6"/>
  <c r="N780" i="6"/>
  <c r="M780" i="6"/>
  <c r="B780" i="6"/>
  <c r="AB779" i="6"/>
  <c r="AA779" i="6"/>
  <c r="P779" i="6"/>
  <c r="O779" i="6"/>
  <c r="N779" i="6"/>
  <c r="M779" i="6"/>
  <c r="B779" i="6"/>
  <c r="AB778" i="6"/>
  <c r="AA778" i="6"/>
  <c r="P778" i="6"/>
  <c r="O778" i="6"/>
  <c r="N778" i="6"/>
  <c r="M778" i="6"/>
  <c r="B778" i="6"/>
  <c r="AB777" i="6"/>
  <c r="AA777" i="6"/>
  <c r="P777" i="6"/>
  <c r="O777" i="6"/>
  <c r="N777" i="6"/>
  <c r="M777" i="6"/>
  <c r="B777" i="6"/>
  <c r="AB776" i="6"/>
  <c r="AA776" i="6"/>
  <c r="P776" i="6"/>
  <c r="O776" i="6"/>
  <c r="N776" i="6"/>
  <c r="M776" i="6"/>
  <c r="B776" i="6"/>
  <c r="AB775" i="6"/>
  <c r="AA775" i="6"/>
  <c r="P775" i="6"/>
  <c r="O775" i="6"/>
  <c r="N775" i="6"/>
  <c r="M775" i="6"/>
  <c r="B775" i="6"/>
  <c r="AB774" i="6"/>
  <c r="AA774" i="6"/>
  <c r="P774" i="6"/>
  <c r="O774" i="6"/>
  <c r="N774" i="6"/>
  <c r="M774" i="6"/>
  <c r="B774" i="6"/>
  <c r="AB773" i="6"/>
  <c r="AA773" i="6"/>
  <c r="P773" i="6"/>
  <c r="O773" i="6"/>
  <c r="N773" i="6"/>
  <c r="M773" i="6"/>
  <c r="B773" i="6"/>
  <c r="AB772" i="6"/>
  <c r="AA772" i="6"/>
  <c r="P772" i="6"/>
  <c r="O772" i="6"/>
  <c r="N772" i="6"/>
  <c r="M772" i="6"/>
  <c r="B772" i="6"/>
  <c r="AB771" i="6"/>
  <c r="AA771" i="6"/>
  <c r="P771" i="6"/>
  <c r="O771" i="6"/>
  <c r="N771" i="6"/>
  <c r="M771" i="6"/>
  <c r="B771" i="6"/>
  <c r="AB770" i="6"/>
  <c r="AA770" i="6"/>
  <c r="P770" i="6"/>
  <c r="O770" i="6"/>
  <c r="N770" i="6"/>
  <c r="M770" i="6"/>
  <c r="D770" i="6"/>
  <c r="B770" i="6"/>
  <c r="AB769" i="6"/>
  <c r="AA769" i="6"/>
  <c r="P769" i="6"/>
  <c r="O769" i="6"/>
  <c r="N769" i="6"/>
  <c r="M769" i="6"/>
  <c r="D769" i="6"/>
  <c r="B769" i="6"/>
  <c r="AB768" i="6"/>
  <c r="AA768" i="6"/>
  <c r="P768" i="6"/>
  <c r="O768" i="6"/>
  <c r="N768" i="6"/>
  <c r="M768" i="6"/>
  <c r="D768" i="6"/>
  <c r="B768" i="6"/>
  <c r="AB767" i="6"/>
  <c r="AA767" i="6"/>
  <c r="P767" i="6"/>
  <c r="O767" i="6"/>
  <c r="N767" i="6"/>
  <c r="M767" i="6"/>
  <c r="D767" i="6"/>
  <c r="B767" i="6"/>
  <c r="AB766" i="6"/>
  <c r="AA766" i="6"/>
  <c r="P766" i="6"/>
  <c r="O766" i="6"/>
  <c r="N766" i="6"/>
  <c r="M766" i="6"/>
  <c r="D766" i="6"/>
  <c r="B766" i="6"/>
  <c r="AB765" i="6"/>
  <c r="AA765" i="6"/>
  <c r="P765" i="6"/>
  <c r="O765" i="6"/>
  <c r="N765" i="6"/>
  <c r="M765" i="6"/>
  <c r="D765" i="6"/>
  <c r="B765" i="6"/>
  <c r="AB764" i="6"/>
  <c r="AA764" i="6"/>
  <c r="P764" i="6"/>
  <c r="O764" i="6"/>
  <c r="N764" i="6"/>
  <c r="M764" i="6"/>
  <c r="D764" i="6"/>
  <c r="B764" i="6"/>
  <c r="AB763" i="6"/>
  <c r="AA763" i="6"/>
  <c r="P763" i="6"/>
  <c r="O763" i="6"/>
  <c r="N763" i="6"/>
  <c r="M763" i="6"/>
  <c r="D763" i="6"/>
  <c r="B763" i="6"/>
  <c r="AB762" i="6"/>
  <c r="AA762" i="6"/>
  <c r="P762" i="6"/>
  <c r="O762" i="6"/>
  <c r="N762" i="6"/>
  <c r="M762" i="6"/>
  <c r="D762" i="6"/>
  <c r="B762" i="6"/>
  <c r="AB761" i="6"/>
  <c r="AA761" i="6"/>
  <c r="P761" i="6"/>
  <c r="O761" i="6"/>
  <c r="N761" i="6"/>
  <c r="M761" i="6"/>
  <c r="D761" i="6"/>
  <c r="B761" i="6"/>
  <c r="AB760" i="6"/>
  <c r="AA760" i="6"/>
  <c r="P760" i="6"/>
  <c r="O760" i="6"/>
  <c r="N760" i="6"/>
  <c r="M760" i="6"/>
  <c r="D760" i="6"/>
  <c r="B760" i="6"/>
  <c r="AB759" i="6"/>
  <c r="AA759" i="6"/>
  <c r="Q759" i="6"/>
  <c r="P759" i="6"/>
  <c r="O759" i="6"/>
  <c r="N759" i="6"/>
  <c r="M759" i="6"/>
  <c r="D759" i="6"/>
  <c r="B759" i="6"/>
  <c r="AB758" i="6"/>
  <c r="AA758" i="6"/>
  <c r="P758" i="6"/>
  <c r="O758" i="6"/>
  <c r="N758" i="6"/>
  <c r="M758" i="6"/>
  <c r="D758" i="6"/>
  <c r="B758" i="6"/>
  <c r="AB757" i="6"/>
  <c r="AA757" i="6"/>
  <c r="P757" i="6"/>
  <c r="O757" i="6"/>
  <c r="N757" i="6"/>
  <c r="M757" i="6"/>
  <c r="D757" i="6"/>
  <c r="B757" i="6"/>
  <c r="AB756" i="6"/>
  <c r="AA756" i="6"/>
  <c r="P756" i="6"/>
  <c r="O756" i="6"/>
  <c r="N756" i="6"/>
  <c r="M756" i="6"/>
  <c r="D756" i="6"/>
  <c r="B756" i="6"/>
  <c r="AB755" i="6"/>
  <c r="AA755" i="6"/>
  <c r="P755" i="6"/>
  <c r="O755" i="6"/>
  <c r="N755" i="6"/>
  <c r="M755" i="6"/>
  <c r="D755" i="6"/>
  <c r="B755" i="6"/>
  <c r="AB754" i="6"/>
  <c r="AA754" i="6"/>
  <c r="P754" i="6"/>
  <c r="O754" i="6"/>
  <c r="N754" i="6"/>
  <c r="M754" i="6"/>
  <c r="D754" i="6"/>
  <c r="B754" i="6"/>
  <c r="AB753" i="6"/>
  <c r="AA753" i="6"/>
  <c r="P753" i="6"/>
  <c r="O753" i="6"/>
  <c r="N753" i="6"/>
  <c r="M753" i="6"/>
  <c r="D753" i="6"/>
  <c r="B753" i="6"/>
  <c r="AB752" i="6"/>
  <c r="AA752" i="6"/>
  <c r="P752" i="6"/>
  <c r="O752" i="6"/>
  <c r="N752" i="6"/>
  <c r="M752" i="6"/>
  <c r="D752" i="6"/>
  <c r="B752" i="6"/>
  <c r="AB751" i="6"/>
  <c r="AA751" i="6"/>
  <c r="P751" i="6"/>
  <c r="O751" i="6"/>
  <c r="N751" i="6"/>
  <c r="M751" i="6"/>
  <c r="D751" i="6"/>
  <c r="B751" i="6"/>
  <c r="AB750" i="6"/>
  <c r="AA750" i="6"/>
  <c r="P750" i="6"/>
  <c r="O750" i="6"/>
  <c r="N750" i="6"/>
  <c r="M750" i="6"/>
  <c r="D750" i="6"/>
  <c r="B750" i="6"/>
  <c r="AB749" i="6"/>
  <c r="AA749" i="6"/>
  <c r="P749" i="6"/>
  <c r="O749" i="6"/>
  <c r="N749" i="6"/>
  <c r="M749" i="6"/>
  <c r="D749" i="6"/>
  <c r="B749" i="6"/>
  <c r="AB748" i="6"/>
  <c r="AA748" i="6"/>
  <c r="P748" i="6"/>
  <c r="O748" i="6"/>
  <c r="N748" i="6"/>
  <c r="M748" i="6"/>
  <c r="D748" i="6"/>
  <c r="B748" i="6"/>
  <c r="AB747" i="6"/>
  <c r="AA747" i="6"/>
  <c r="Q747" i="6"/>
  <c r="P747" i="6"/>
  <c r="O747" i="6"/>
  <c r="N747" i="6"/>
  <c r="M747" i="6"/>
  <c r="D747" i="6"/>
  <c r="B747" i="6"/>
  <c r="AB746" i="6"/>
  <c r="AA746" i="6"/>
  <c r="P746" i="6"/>
  <c r="O746" i="6"/>
  <c r="N746" i="6"/>
  <c r="M746" i="6"/>
  <c r="D746" i="6"/>
  <c r="B746" i="6"/>
  <c r="AB745" i="6"/>
  <c r="AA745" i="6"/>
  <c r="P745" i="6"/>
  <c r="O745" i="6"/>
  <c r="N745" i="6"/>
  <c r="M745" i="6"/>
  <c r="D745" i="6"/>
  <c r="B745" i="6"/>
  <c r="AB744" i="6"/>
  <c r="AA744" i="6"/>
  <c r="P744" i="6"/>
  <c r="O744" i="6"/>
  <c r="N744" i="6"/>
  <c r="M744" i="6"/>
  <c r="D744" i="6"/>
  <c r="B744" i="6"/>
  <c r="AB743" i="6"/>
  <c r="AA743" i="6"/>
  <c r="P743" i="6"/>
  <c r="O743" i="6"/>
  <c r="N743" i="6"/>
  <c r="M743" i="6"/>
  <c r="D743" i="6"/>
  <c r="B743" i="6"/>
  <c r="AB742" i="6"/>
  <c r="AA742" i="6"/>
  <c r="P742" i="6"/>
  <c r="O742" i="6"/>
  <c r="N742" i="6"/>
  <c r="M742" i="6"/>
  <c r="D742" i="6"/>
  <c r="B742" i="6"/>
  <c r="AB741" i="6"/>
  <c r="AA741" i="6"/>
  <c r="P741" i="6"/>
  <c r="O741" i="6"/>
  <c r="N741" i="6"/>
  <c r="M741" i="6"/>
  <c r="D741" i="6"/>
  <c r="B741" i="6"/>
  <c r="AB740" i="6"/>
  <c r="AA740" i="6"/>
  <c r="P740" i="6"/>
  <c r="O740" i="6"/>
  <c r="N740" i="6"/>
  <c r="M740" i="6"/>
  <c r="D740" i="6"/>
  <c r="B740" i="6"/>
  <c r="AB739" i="6"/>
  <c r="AA739" i="6"/>
  <c r="P739" i="6"/>
  <c r="O739" i="6"/>
  <c r="N739" i="6"/>
  <c r="M739" i="6"/>
  <c r="D739" i="6"/>
  <c r="B739" i="6"/>
  <c r="AB738" i="6"/>
  <c r="AA738" i="6"/>
  <c r="P738" i="6"/>
  <c r="O738" i="6"/>
  <c r="N738" i="6"/>
  <c r="M738" i="6"/>
  <c r="D738" i="6"/>
  <c r="B738" i="6"/>
  <c r="AB737" i="6"/>
  <c r="AA737" i="6"/>
  <c r="P737" i="6"/>
  <c r="O737" i="6"/>
  <c r="N737" i="6"/>
  <c r="M737" i="6"/>
  <c r="D737" i="6"/>
  <c r="B737" i="6"/>
  <c r="AB736" i="6"/>
  <c r="AA736" i="6"/>
  <c r="P736" i="6"/>
  <c r="O736" i="6"/>
  <c r="N736" i="6"/>
  <c r="M736" i="6"/>
  <c r="D736" i="6"/>
  <c r="B736" i="6"/>
  <c r="AB735" i="6"/>
  <c r="AA735" i="6"/>
  <c r="Q735" i="6"/>
  <c r="P735" i="6"/>
  <c r="O735" i="6"/>
  <c r="N735" i="6"/>
  <c r="M735" i="6"/>
  <c r="D735" i="6"/>
  <c r="B735" i="6"/>
  <c r="O734" i="6"/>
  <c r="N734" i="6"/>
  <c r="K734" i="6"/>
  <c r="P734" i="6" s="1"/>
  <c r="F734" i="6"/>
  <c r="D734" i="6"/>
  <c r="B734" i="6"/>
  <c r="O733" i="6"/>
  <c r="N733" i="6"/>
  <c r="M733" i="6"/>
  <c r="K733" i="6"/>
  <c r="P733" i="6" s="1"/>
  <c r="F733" i="6"/>
  <c r="D733" i="6"/>
  <c r="B733" i="6"/>
  <c r="O732" i="6"/>
  <c r="N732" i="6"/>
  <c r="M732" i="6"/>
  <c r="K732" i="6"/>
  <c r="P732" i="6" s="1"/>
  <c r="F732" i="6"/>
  <c r="D732" i="6"/>
  <c r="B732" i="6"/>
  <c r="O731" i="6"/>
  <c r="N731" i="6"/>
  <c r="K731" i="6"/>
  <c r="P731" i="6" s="1"/>
  <c r="F731" i="6"/>
  <c r="D731" i="6"/>
  <c r="B731" i="6"/>
  <c r="O730" i="6"/>
  <c r="N730" i="6"/>
  <c r="M730" i="6"/>
  <c r="K730" i="6"/>
  <c r="P730" i="6" s="1"/>
  <c r="F730" i="6"/>
  <c r="D730" i="6"/>
  <c r="B730" i="6"/>
  <c r="O729" i="6"/>
  <c r="N729" i="6"/>
  <c r="K729" i="6"/>
  <c r="P729" i="6" s="1"/>
  <c r="F729" i="6"/>
  <c r="D729" i="6"/>
  <c r="B729" i="6"/>
  <c r="O728" i="6"/>
  <c r="N728" i="6"/>
  <c r="M728" i="6"/>
  <c r="K728" i="6"/>
  <c r="P728" i="6" s="1"/>
  <c r="F728" i="6"/>
  <c r="D728" i="6"/>
  <c r="B728" i="6"/>
  <c r="O727" i="6"/>
  <c r="N727" i="6"/>
  <c r="K727" i="6"/>
  <c r="P727" i="6" s="1"/>
  <c r="F727" i="6"/>
  <c r="D727" i="6"/>
  <c r="B727" i="6"/>
  <c r="O726" i="6"/>
  <c r="N726" i="6"/>
  <c r="K726" i="6"/>
  <c r="P726" i="6" s="1"/>
  <c r="F726" i="6"/>
  <c r="D726" i="6"/>
  <c r="B726" i="6"/>
  <c r="O725" i="6"/>
  <c r="N725" i="6"/>
  <c r="M725" i="6"/>
  <c r="K725" i="6"/>
  <c r="P725" i="6" s="1"/>
  <c r="F725" i="6"/>
  <c r="D725" i="6"/>
  <c r="B725" i="6"/>
  <c r="O724" i="6"/>
  <c r="N724" i="6"/>
  <c r="M724" i="6"/>
  <c r="K724" i="6"/>
  <c r="P724" i="6" s="1"/>
  <c r="F724" i="6"/>
  <c r="D724" i="6"/>
  <c r="B724" i="6"/>
  <c r="S723" i="6"/>
  <c r="R723" i="6"/>
  <c r="O723" i="6"/>
  <c r="N723" i="6"/>
  <c r="P723" i="6"/>
  <c r="F723" i="6"/>
  <c r="H58" i="2" s="1"/>
  <c r="D723" i="6"/>
  <c r="B723" i="6"/>
  <c r="P722" i="6"/>
  <c r="O722" i="6"/>
  <c r="N722" i="6"/>
  <c r="M722" i="6"/>
  <c r="F722" i="6"/>
  <c r="D722" i="6"/>
  <c r="B722" i="6"/>
  <c r="P721" i="6"/>
  <c r="O721" i="6"/>
  <c r="N721" i="6"/>
  <c r="M721" i="6"/>
  <c r="F721" i="6"/>
  <c r="D721" i="6"/>
  <c r="B721" i="6"/>
  <c r="P720" i="6"/>
  <c r="O720" i="6"/>
  <c r="N720" i="6"/>
  <c r="M720" i="6"/>
  <c r="F720" i="6"/>
  <c r="D720" i="6"/>
  <c r="B720" i="6"/>
  <c r="P719" i="6"/>
  <c r="O719" i="6"/>
  <c r="N719" i="6"/>
  <c r="M719" i="6"/>
  <c r="F719" i="6"/>
  <c r="D719" i="6"/>
  <c r="B719" i="6"/>
  <c r="P718" i="6"/>
  <c r="O718" i="6"/>
  <c r="N718" i="6"/>
  <c r="M718" i="6"/>
  <c r="F718" i="6"/>
  <c r="D718" i="6"/>
  <c r="B718" i="6"/>
  <c r="P717" i="6"/>
  <c r="O717" i="6"/>
  <c r="N717" i="6"/>
  <c r="M717" i="6"/>
  <c r="F717" i="6"/>
  <c r="D717" i="6"/>
  <c r="B717" i="6"/>
  <c r="P716" i="6"/>
  <c r="O716" i="6"/>
  <c r="N716" i="6"/>
  <c r="M716" i="6"/>
  <c r="F716" i="6"/>
  <c r="D716" i="6"/>
  <c r="B716" i="6"/>
  <c r="P715" i="6"/>
  <c r="O715" i="6"/>
  <c r="N715" i="6"/>
  <c r="M715" i="6"/>
  <c r="F715" i="6"/>
  <c r="D715" i="6"/>
  <c r="B715" i="6"/>
  <c r="P714" i="6"/>
  <c r="O714" i="6"/>
  <c r="N714" i="6"/>
  <c r="M714" i="6"/>
  <c r="F714" i="6"/>
  <c r="D714" i="6"/>
  <c r="B714" i="6"/>
  <c r="P713" i="6"/>
  <c r="O713" i="6"/>
  <c r="N713" i="6"/>
  <c r="M713" i="6"/>
  <c r="F713" i="6"/>
  <c r="D713" i="6"/>
  <c r="B713" i="6"/>
  <c r="P712" i="6"/>
  <c r="O712" i="6"/>
  <c r="N712" i="6"/>
  <c r="M712" i="6"/>
  <c r="F712" i="6"/>
  <c r="D712" i="6"/>
  <c r="B712" i="6"/>
  <c r="T711" i="6"/>
  <c r="S711" i="6"/>
  <c r="R711" i="6"/>
  <c r="Q711" i="6"/>
  <c r="P711" i="6"/>
  <c r="O711" i="6"/>
  <c r="N711" i="6"/>
  <c r="M711" i="6"/>
  <c r="F711" i="6"/>
  <c r="H57" i="2" s="1"/>
  <c r="D711" i="6"/>
  <c r="B711" i="6"/>
  <c r="P710" i="6"/>
  <c r="O710" i="6"/>
  <c r="N710" i="6"/>
  <c r="M710" i="6"/>
  <c r="F710" i="6"/>
  <c r="D710" i="6"/>
  <c r="B710" i="6"/>
  <c r="P709" i="6"/>
  <c r="O709" i="6"/>
  <c r="N709" i="6"/>
  <c r="M709" i="6"/>
  <c r="F709" i="6"/>
  <c r="D709" i="6"/>
  <c r="B709" i="6"/>
  <c r="P708" i="6"/>
  <c r="O708" i="6"/>
  <c r="N708" i="6"/>
  <c r="M708" i="6"/>
  <c r="F708" i="6"/>
  <c r="D708" i="6"/>
  <c r="B708" i="6"/>
  <c r="P707" i="6"/>
  <c r="O707" i="6"/>
  <c r="N707" i="6"/>
  <c r="M707" i="6"/>
  <c r="F707" i="6"/>
  <c r="D707" i="6"/>
  <c r="B707" i="6"/>
  <c r="P706" i="6"/>
  <c r="O706" i="6"/>
  <c r="N706" i="6"/>
  <c r="M706" i="6"/>
  <c r="F706" i="6"/>
  <c r="D706" i="6"/>
  <c r="B706" i="6"/>
  <c r="P705" i="6"/>
  <c r="O705" i="6"/>
  <c r="N705" i="6"/>
  <c r="M705" i="6"/>
  <c r="F705" i="6"/>
  <c r="D705" i="6"/>
  <c r="B705" i="6"/>
  <c r="P704" i="6"/>
  <c r="O704" i="6"/>
  <c r="N704" i="6"/>
  <c r="M704" i="6"/>
  <c r="F704" i="6"/>
  <c r="D704" i="6"/>
  <c r="B704" i="6"/>
  <c r="P703" i="6"/>
  <c r="O703" i="6"/>
  <c r="N703" i="6"/>
  <c r="M703" i="6"/>
  <c r="F703" i="6"/>
  <c r="D703" i="6"/>
  <c r="B703" i="6"/>
  <c r="P702" i="6"/>
  <c r="O702" i="6"/>
  <c r="N702" i="6"/>
  <c r="M702" i="6"/>
  <c r="F702" i="6"/>
  <c r="D702" i="6"/>
  <c r="B702" i="6"/>
  <c r="P701" i="6"/>
  <c r="O701" i="6"/>
  <c r="N701" i="6"/>
  <c r="M701" i="6"/>
  <c r="F701" i="6"/>
  <c r="D701" i="6"/>
  <c r="B701" i="6"/>
  <c r="P700" i="6"/>
  <c r="O700" i="6"/>
  <c r="N700" i="6"/>
  <c r="M700" i="6"/>
  <c r="F700" i="6"/>
  <c r="D700" i="6"/>
  <c r="B700" i="6"/>
  <c r="T699" i="6"/>
  <c r="R699" i="6"/>
  <c r="Q699" i="6"/>
  <c r="P699" i="6"/>
  <c r="O699" i="6"/>
  <c r="N699" i="6"/>
  <c r="M699" i="6"/>
  <c r="F699" i="6"/>
  <c r="H56" i="2" s="1"/>
  <c r="D699" i="6"/>
  <c r="B699" i="6"/>
  <c r="P698" i="6"/>
  <c r="O698" i="6"/>
  <c r="N698" i="6"/>
  <c r="M698" i="6"/>
  <c r="F698" i="6"/>
  <c r="D698" i="6"/>
  <c r="B698" i="6"/>
  <c r="P697" i="6"/>
  <c r="O697" i="6"/>
  <c r="N697" i="6"/>
  <c r="M697" i="6"/>
  <c r="F697" i="6"/>
  <c r="D697" i="6"/>
  <c r="B697" i="6"/>
  <c r="P696" i="6"/>
  <c r="O696" i="6"/>
  <c r="N696" i="6"/>
  <c r="M696" i="6"/>
  <c r="F696" i="6"/>
  <c r="D696" i="6"/>
  <c r="B696" i="6"/>
  <c r="P695" i="6"/>
  <c r="O695" i="6"/>
  <c r="N695" i="6"/>
  <c r="F695" i="6"/>
  <c r="D695" i="6"/>
  <c r="B695" i="6"/>
  <c r="P694" i="6"/>
  <c r="O694" i="6"/>
  <c r="N694" i="6"/>
  <c r="M694" i="6"/>
  <c r="F694" i="6"/>
  <c r="D694" i="6"/>
  <c r="B694" i="6"/>
  <c r="P693" i="6"/>
  <c r="O693" i="6"/>
  <c r="N693" i="6"/>
  <c r="M693" i="6"/>
  <c r="F693" i="6"/>
  <c r="D693" i="6"/>
  <c r="B693" i="6"/>
  <c r="P692" i="6"/>
  <c r="O692" i="6"/>
  <c r="N692" i="6"/>
  <c r="M692" i="6"/>
  <c r="F692" i="6"/>
  <c r="D692" i="6"/>
  <c r="B692" i="6"/>
  <c r="P691" i="6"/>
  <c r="O691" i="6"/>
  <c r="N691" i="6"/>
  <c r="F691" i="6"/>
  <c r="D691" i="6"/>
  <c r="B691" i="6"/>
  <c r="P690" i="6"/>
  <c r="O690" i="6"/>
  <c r="N690" i="6"/>
  <c r="F690" i="6"/>
  <c r="D690" i="6"/>
  <c r="B690" i="6"/>
  <c r="P689" i="6"/>
  <c r="O689" i="6"/>
  <c r="N689" i="6"/>
  <c r="M689" i="6"/>
  <c r="F689" i="6"/>
  <c r="D689" i="6"/>
  <c r="B689" i="6"/>
  <c r="P688" i="6"/>
  <c r="O688" i="6"/>
  <c r="N688" i="6"/>
  <c r="M688" i="6"/>
  <c r="F688" i="6"/>
  <c r="D688" i="6"/>
  <c r="B688" i="6"/>
  <c r="T687" i="6"/>
  <c r="S687" i="6"/>
  <c r="R687" i="6"/>
  <c r="P687" i="6"/>
  <c r="O687" i="6"/>
  <c r="N687" i="6"/>
  <c r="F687" i="6"/>
  <c r="H55" i="2" s="1"/>
  <c r="D687" i="6"/>
  <c r="B687" i="6"/>
  <c r="P686" i="6"/>
  <c r="O686" i="6"/>
  <c r="N686" i="6"/>
  <c r="M686" i="6"/>
  <c r="F686" i="6"/>
  <c r="D686" i="6"/>
  <c r="B686" i="6"/>
  <c r="P685" i="6"/>
  <c r="O685" i="6"/>
  <c r="N685" i="6"/>
  <c r="M685" i="6"/>
  <c r="F685" i="6"/>
  <c r="D685" i="6"/>
  <c r="B685" i="6"/>
  <c r="P684" i="6"/>
  <c r="O684" i="6"/>
  <c r="N684" i="6"/>
  <c r="M684" i="6"/>
  <c r="F684" i="6"/>
  <c r="D684" i="6"/>
  <c r="B684" i="6"/>
  <c r="P683" i="6"/>
  <c r="O683" i="6"/>
  <c r="N683" i="6"/>
  <c r="F683" i="6"/>
  <c r="D683" i="6"/>
  <c r="B683" i="6"/>
  <c r="P682" i="6"/>
  <c r="O682" i="6"/>
  <c r="N682" i="6"/>
  <c r="F682" i="6"/>
  <c r="D682" i="6"/>
  <c r="B682" i="6"/>
  <c r="P681" i="6"/>
  <c r="O681" i="6"/>
  <c r="N681" i="6"/>
  <c r="M681" i="6"/>
  <c r="F681" i="6"/>
  <c r="D681" i="6"/>
  <c r="B681" i="6"/>
  <c r="P680" i="6"/>
  <c r="O680" i="6"/>
  <c r="N680" i="6"/>
  <c r="M680" i="6"/>
  <c r="F680" i="6"/>
  <c r="D680" i="6"/>
  <c r="B680" i="6"/>
  <c r="P679" i="6"/>
  <c r="O679" i="6"/>
  <c r="N679" i="6"/>
  <c r="M679" i="6"/>
  <c r="F679" i="6"/>
  <c r="D679" i="6"/>
  <c r="B679" i="6"/>
  <c r="P678" i="6"/>
  <c r="O678" i="6"/>
  <c r="N678" i="6"/>
  <c r="M678" i="6"/>
  <c r="F678" i="6"/>
  <c r="D678" i="6"/>
  <c r="B678" i="6"/>
  <c r="P677" i="6"/>
  <c r="O677" i="6"/>
  <c r="N677" i="6"/>
  <c r="M677" i="6"/>
  <c r="F677" i="6"/>
  <c r="D677" i="6"/>
  <c r="B677" i="6"/>
  <c r="P676" i="6"/>
  <c r="O676" i="6"/>
  <c r="N676" i="6"/>
  <c r="M676" i="6"/>
  <c r="F676" i="6"/>
  <c r="D676" i="6"/>
  <c r="B676" i="6"/>
  <c r="T675" i="6"/>
  <c r="S675" i="6"/>
  <c r="R675" i="6"/>
  <c r="P675" i="6"/>
  <c r="O675" i="6"/>
  <c r="N675" i="6"/>
  <c r="M675" i="6"/>
  <c r="F675" i="6"/>
  <c r="H54" i="2" s="1"/>
  <c r="D675" i="6"/>
  <c r="B675" i="6"/>
  <c r="O674" i="6"/>
  <c r="N674" i="6"/>
  <c r="M674" i="6"/>
  <c r="K674" i="6"/>
  <c r="P674" i="6" s="1"/>
  <c r="F674" i="6"/>
  <c r="D674" i="6"/>
  <c r="B674" i="6"/>
  <c r="O673" i="6"/>
  <c r="N673" i="6"/>
  <c r="M673" i="6"/>
  <c r="K673" i="6"/>
  <c r="P673" i="6" s="1"/>
  <c r="F673" i="6"/>
  <c r="D673" i="6"/>
  <c r="B673" i="6"/>
  <c r="O672" i="6"/>
  <c r="N672" i="6"/>
  <c r="M672" i="6"/>
  <c r="K672" i="6"/>
  <c r="P672" i="6" s="1"/>
  <c r="F672" i="6"/>
  <c r="D672" i="6"/>
  <c r="B672" i="6"/>
  <c r="O671" i="6"/>
  <c r="N671" i="6"/>
  <c r="M671" i="6"/>
  <c r="K671" i="6"/>
  <c r="P671" i="6" s="1"/>
  <c r="F671" i="6"/>
  <c r="D671" i="6"/>
  <c r="B671" i="6"/>
  <c r="O670" i="6"/>
  <c r="N670" i="6"/>
  <c r="M670" i="6"/>
  <c r="K670" i="6"/>
  <c r="P670" i="6" s="1"/>
  <c r="F670" i="6"/>
  <c r="D670" i="6"/>
  <c r="B670" i="6"/>
  <c r="O669" i="6"/>
  <c r="N669" i="6"/>
  <c r="M669" i="6"/>
  <c r="K669" i="6"/>
  <c r="P669" i="6" s="1"/>
  <c r="F669" i="6"/>
  <c r="D669" i="6"/>
  <c r="B669" i="6"/>
  <c r="O668" i="6"/>
  <c r="N668" i="6"/>
  <c r="M668" i="6"/>
  <c r="K668" i="6"/>
  <c r="P668" i="6" s="1"/>
  <c r="F668" i="6"/>
  <c r="D668" i="6"/>
  <c r="B668" i="6"/>
  <c r="O667" i="6"/>
  <c r="N667" i="6"/>
  <c r="M667" i="6"/>
  <c r="K667" i="6"/>
  <c r="P667" i="6" s="1"/>
  <c r="F667" i="6"/>
  <c r="D667" i="6"/>
  <c r="B667" i="6"/>
  <c r="O666" i="6"/>
  <c r="N666" i="6"/>
  <c r="M666" i="6"/>
  <c r="K666" i="6"/>
  <c r="P666" i="6" s="1"/>
  <c r="F666" i="6"/>
  <c r="D666" i="6"/>
  <c r="B666" i="6"/>
  <c r="O665" i="6"/>
  <c r="N665" i="6"/>
  <c r="M665" i="6"/>
  <c r="K665" i="6"/>
  <c r="P665" i="6" s="1"/>
  <c r="F665" i="6"/>
  <c r="D665" i="6"/>
  <c r="B665" i="6"/>
  <c r="O664" i="6"/>
  <c r="N664" i="6"/>
  <c r="M664" i="6"/>
  <c r="K664" i="6"/>
  <c r="P664" i="6" s="1"/>
  <c r="F664" i="6"/>
  <c r="D664" i="6"/>
  <c r="B664" i="6"/>
  <c r="S663" i="6"/>
  <c r="R663" i="6"/>
  <c r="Q663" i="6"/>
  <c r="O663" i="6"/>
  <c r="N663" i="6"/>
  <c r="M663" i="6"/>
  <c r="K663" i="6"/>
  <c r="F663" i="6"/>
  <c r="H60" i="2" s="1"/>
  <c r="D663" i="6"/>
  <c r="B663" i="6"/>
  <c r="P662" i="6"/>
  <c r="O662" i="6"/>
  <c r="N662" i="6"/>
  <c r="M662" i="6"/>
  <c r="F662" i="6"/>
  <c r="D662" i="6"/>
  <c r="B662" i="6"/>
  <c r="P661" i="6"/>
  <c r="O661" i="6"/>
  <c r="N661" i="6"/>
  <c r="M661" i="6"/>
  <c r="F661" i="6"/>
  <c r="D661" i="6"/>
  <c r="B661" i="6"/>
  <c r="P660" i="6"/>
  <c r="O660" i="6"/>
  <c r="N660" i="6"/>
  <c r="M660" i="6"/>
  <c r="F660" i="6"/>
  <c r="D660" i="6"/>
  <c r="B660" i="6"/>
  <c r="P659" i="6"/>
  <c r="O659" i="6"/>
  <c r="N659" i="6"/>
  <c r="M659" i="6"/>
  <c r="F659" i="6"/>
  <c r="D659" i="6"/>
  <c r="B659" i="6"/>
  <c r="P658" i="6"/>
  <c r="O658" i="6"/>
  <c r="N658" i="6"/>
  <c r="M658" i="6"/>
  <c r="F658" i="6"/>
  <c r="D658" i="6"/>
  <c r="B658" i="6"/>
  <c r="P657" i="6"/>
  <c r="O657" i="6"/>
  <c r="N657" i="6"/>
  <c r="M657" i="6"/>
  <c r="F657" i="6"/>
  <c r="D657" i="6"/>
  <c r="B657" i="6"/>
  <c r="P656" i="6"/>
  <c r="O656" i="6"/>
  <c r="N656" i="6"/>
  <c r="M656" i="6"/>
  <c r="F656" i="6"/>
  <c r="D656" i="6"/>
  <c r="B656" i="6"/>
  <c r="P655" i="6"/>
  <c r="O655" i="6"/>
  <c r="N655" i="6"/>
  <c r="M655" i="6"/>
  <c r="F655" i="6"/>
  <c r="D655" i="6"/>
  <c r="B655" i="6"/>
  <c r="P654" i="6"/>
  <c r="O654" i="6"/>
  <c r="N654" i="6"/>
  <c r="M654" i="6"/>
  <c r="F654" i="6"/>
  <c r="D654" i="6"/>
  <c r="B654" i="6"/>
  <c r="P653" i="6"/>
  <c r="O653" i="6"/>
  <c r="N653" i="6"/>
  <c r="M653" i="6"/>
  <c r="F653" i="6"/>
  <c r="D653" i="6"/>
  <c r="B653" i="6"/>
  <c r="P652" i="6"/>
  <c r="O652" i="6"/>
  <c r="N652" i="6"/>
  <c r="M652" i="6"/>
  <c r="F652" i="6"/>
  <c r="D652" i="6"/>
  <c r="B652" i="6"/>
  <c r="T651" i="6"/>
  <c r="S651" i="6"/>
  <c r="R651" i="6"/>
  <c r="Q651" i="6"/>
  <c r="P651" i="6"/>
  <c r="O651" i="6"/>
  <c r="N651" i="6"/>
  <c r="M651" i="6"/>
  <c r="F651" i="6"/>
  <c r="H53" i="2" s="1"/>
  <c r="D651" i="6"/>
  <c r="B651" i="6"/>
  <c r="P650" i="6"/>
  <c r="O650" i="6"/>
  <c r="N650" i="6"/>
  <c r="M650" i="6"/>
  <c r="F650" i="6"/>
  <c r="D650" i="6"/>
  <c r="B650" i="6"/>
  <c r="P649" i="6"/>
  <c r="O649" i="6"/>
  <c r="N649" i="6"/>
  <c r="M649" i="6"/>
  <c r="F649" i="6"/>
  <c r="D649" i="6"/>
  <c r="B649" i="6"/>
  <c r="P648" i="6"/>
  <c r="O648" i="6"/>
  <c r="N648" i="6"/>
  <c r="M648" i="6"/>
  <c r="F648" i="6"/>
  <c r="D648" i="6"/>
  <c r="B648" i="6"/>
  <c r="P647" i="6"/>
  <c r="O647" i="6"/>
  <c r="N647" i="6"/>
  <c r="M647" i="6"/>
  <c r="F647" i="6"/>
  <c r="D647" i="6"/>
  <c r="B647" i="6"/>
  <c r="P646" i="6"/>
  <c r="O646" i="6"/>
  <c r="N646" i="6"/>
  <c r="M646" i="6"/>
  <c r="F646" i="6"/>
  <c r="D646" i="6"/>
  <c r="B646" i="6"/>
  <c r="P645" i="6"/>
  <c r="O645" i="6"/>
  <c r="N645" i="6"/>
  <c r="M645" i="6"/>
  <c r="F645" i="6"/>
  <c r="D645" i="6"/>
  <c r="B645" i="6"/>
  <c r="P644" i="6"/>
  <c r="O644" i="6"/>
  <c r="N644" i="6"/>
  <c r="M644" i="6"/>
  <c r="F644" i="6"/>
  <c r="D644" i="6"/>
  <c r="B644" i="6"/>
  <c r="P643" i="6"/>
  <c r="O643" i="6"/>
  <c r="N643" i="6"/>
  <c r="M643" i="6"/>
  <c r="F643" i="6"/>
  <c r="D643" i="6"/>
  <c r="B643" i="6"/>
  <c r="P642" i="6"/>
  <c r="O642" i="6"/>
  <c r="N642" i="6"/>
  <c r="M642" i="6"/>
  <c r="F642" i="6"/>
  <c r="D642" i="6"/>
  <c r="B642" i="6"/>
  <c r="P641" i="6"/>
  <c r="O641" i="6"/>
  <c r="N641" i="6"/>
  <c r="M641" i="6"/>
  <c r="F641" i="6"/>
  <c r="D641" i="6"/>
  <c r="B641" i="6"/>
  <c r="P640" i="6"/>
  <c r="O640" i="6"/>
  <c r="N640" i="6"/>
  <c r="M640" i="6"/>
  <c r="F640" i="6"/>
  <c r="D640" i="6"/>
  <c r="B640" i="6"/>
  <c r="T639" i="6"/>
  <c r="S639" i="6"/>
  <c r="R639" i="6"/>
  <c r="Q639" i="6"/>
  <c r="P639" i="6"/>
  <c r="O639" i="6"/>
  <c r="N639" i="6"/>
  <c r="M639" i="6"/>
  <c r="F639" i="6"/>
  <c r="H52" i="2" s="1"/>
  <c r="D639" i="6"/>
  <c r="B639" i="6"/>
  <c r="Z638" i="6"/>
  <c r="P638" i="6"/>
  <c r="O638" i="6"/>
  <c r="N638" i="6"/>
  <c r="M638" i="6"/>
  <c r="B638" i="6"/>
  <c r="Z637" i="6"/>
  <c r="P637" i="6"/>
  <c r="O637" i="6"/>
  <c r="N637" i="6"/>
  <c r="M637" i="6"/>
  <c r="B637" i="6"/>
  <c r="Z636" i="6"/>
  <c r="P636" i="6"/>
  <c r="O636" i="6"/>
  <c r="N636" i="6"/>
  <c r="M636" i="6"/>
  <c r="B636" i="6"/>
  <c r="Z635" i="6"/>
  <c r="P635" i="6"/>
  <c r="O635" i="6"/>
  <c r="N635" i="6"/>
  <c r="M635" i="6"/>
  <c r="B635" i="6"/>
  <c r="Z634" i="6"/>
  <c r="P634" i="6"/>
  <c r="O634" i="6"/>
  <c r="N634" i="6"/>
  <c r="M634" i="6"/>
  <c r="B634" i="6"/>
  <c r="Z633" i="6"/>
  <c r="P633" i="6"/>
  <c r="O633" i="6"/>
  <c r="N633" i="6"/>
  <c r="M633" i="6"/>
  <c r="B633" i="6"/>
  <c r="Z632" i="6"/>
  <c r="P632" i="6"/>
  <c r="O632" i="6"/>
  <c r="N632" i="6"/>
  <c r="M632" i="6"/>
  <c r="B632" i="6"/>
  <c r="Z631" i="6"/>
  <c r="P631" i="6"/>
  <c r="O631" i="6"/>
  <c r="N631" i="6"/>
  <c r="M631" i="6"/>
  <c r="B631" i="6"/>
  <c r="Z630" i="6"/>
  <c r="P630" i="6"/>
  <c r="O630" i="6"/>
  <c r="N630" i="6"/>
  <c r="M630" i="6"/>
  <c r="B630" i="6"/>
  <c r="Z629" i="6"/>
  <c r="P629" i="6"/>
  <c r="O629" i="6"/>
  <c r="N629" i="6"/>
  <c r="M629" i="6"/>
  <c r="B629" i="6"/>
  <c r="Z628" i="6"/>
  <c r="P628" i="6"/>
  <c r="O628" i="6"/>
  <c r="N628" i="6"/>
  <c r="M628" i="6"/>
  <c r="B628" i="6"/>
  <c r="Z627" i="6"/>
  <c r="T627" i="6"/>
  <c r="S627" i="6"/>
  <c r="R627" i="6"/>
  <c r="Q627" i="6"/>
  <c r="V627" i="6" s="1"/>
  <c r="P627" i="6"/>
  <c r="O627" i="6"/>
  <c r="N627" i="6"/>
  <c r="M627" i="6"/>
  <c r="B627" i="6"/>
  <c r="E626" i="6"/>
  <c r="O626" i="6" s="1"/>
  <c r="B626" i="6"/>
  <c r="E625" i="6"/>
  <c r="O625" i="6" s="1"/>
  <c r="B625" i="6"/>
  <c r="E624" i="6"/>
  <c r="M624" i="6" s="1"/>
  <c r="B624" i="6"/>
  <c r="E623" i="6"/>
  <c r="P623" i="6" s="1"/>
  <c r="B623" i="6"/>
  <c r="E622" i="6"/>
  <c r="O622" i="6" s="1"/>
  <c r="B622" i="6"/>
  <c r="E621" i="6"/>
  <c r="O621" i="6" s="1"/>
  <c r="B621" i="6"/>
  <c r="E620" i="6"/>
  <c r="M620" i="6" s="1"/>
  <c r="B620" i="6"/>
  <c r="E619" i="6"/>
  <c r="P619" i="6" s="1"/>
  <c r="B619" i="6"/>
  <c r="E618" i="6"/>
  <c r="O618" i="6" s="1"/>
  <c r="B618" i="6"/>
  <c r="E617" i="6"/>
  <c r="O617" i="6" s="1"/>
  <c r="B617" i="6"/>
  <c r="E616" i="6"/>
  <c r="M616" i="6" s="1"/>
  <c r="B616" i="6"/>
  <c r="E615" i="6"/>
  <c r="O615" i="6" s="1"/>
  <c r="B615" i="6"/>
  <c r="P614" i="6"/>
  <c r="O614" i="6"/>
  <c r="N614" i="6"/>
  <c r="F614" i="6"/>
  <c r="D614" i="6"/>
  <c r="B614" i="6"/>
  <c r="P613" i="6"/>
  <c r="O613" i="6"/>
  <c r="N613" i="6"/>
  <c r="M613" i="6"/>
  <c r="F613" i="6"/>
  <c r="D613" i="6"/>
  <c r="B613" i="6"/>
  <c r="P612" i="6"/>
  <c r="O612" i="6"/>
  <c r="N612" i="6"/>
  <c r="M612" i="6"/>
  <c r="F612" i="6"/>
  <c r="D612" i="6"/>
  <c r="B612" i="6"/>
  <c r="P611" i="6"/>
  <c r="O611" i="6"/>
  <c r="N611" i="6"/>
  <c r="F611" i="6"/>
  <c r="D611" i="6"/>
  <c r="B611" i="6"/>
  <c r="P610" i="6"/>
  <c r="O610" i="6"/>
  <c r="N610" i="6"/>
  <c r="F610" i="6"/>
  <c r="D610" i="6"/>
  <c r="B610" i="6"/>
  <c r="P609" i="6"/>
  <c r="O609" i="6"/>
  <c r="N609" i="6"/>
  <c r="M609" i="6"/>
  <c r="F609" i="6"/>
  <c r="D609" i="6"/>
  <c r="B609" i="6"/>
  <c r="P608" i="6"/>
  <c r="O608" i="6"/>
  <c r="N608" i="6"/>
  <c r="M608" i="6"/>
  <c r="F608" i="6"/>
  <c r="D608" i="6"/>
  <c r="B608" i="6"/>
  <c r="P607" i="6"/>
  <c r="O607" i="6"/>
  <c r="N607" i="6"/>
  <c r="F607" i="6"/>
  <c r="D607" i="6"/>
  <c r="B607" i="6"/>
  <c r="P606" i="6"/>
  <c r="O606" i="6"/>
  <c r="N606" i="6"/>
  <c r="F606" i="6"/>
  <c r="D606" i="6"/>
  <c r="B606" i="6"/>
  <c r="P605" i="6"/>
  <c r="O605" i="6"/>
  <c r="N605" i="6"/>
  <c r="M605" i="6"/>
  <c r="F605" i="6"/>
  <c r="D605" i="6"/>
  <c r="B605" i="6"/>
  <c r="P604" i="6"/>
  <c r="O604" i="6"/>
  <c r="N604" i="6"/>
  <c r="M604" i="6"/>
  <c r="F604" i="6"/>
  <c r="D604" i="6"/>
  <c r="B604" i="6"/>
  <c r="T603" i="6"/>
  <c r="S603" i="6"/>
  <c r="R603" i="6"/>
  <c r="P603" i="6"/>
  <c r="O603" i="6"/>
  <c r="N603" i="6"/>
  <c r="F603" i="6"/>
  <c r="H49" i="2" s="1"/>
  <c r="D603" i="6"/>
  <c r="B603" i="6"/>
  <c r="P602" i="6"/>
  <c r="O602" i="6"/>
  <c r="N602" i="6"/>
  <c r="M602" i="6"/>
  <c r="F602" i="6"/>
  <c r="D602" i="6"/>
  <c r="B602" i="6"/>
  <c r="P601" i="6"/>
  <c r="O601" i="6"/>
  <c r="N601" i="6"/>
  <c r="M601" i="6"/>
  <c r="F601" i="6"/>
  <c r="D601" i="6"/>
  <c r="B601" i="6"/>
  <c r="P600" i="6"/>
  <c r="O600" i="6"/>
  <c r="N600" i="6"/>
  <c r="M600" i="6"/>
  <c r="F600" i="6"/>
  <c r="D600" i="6"/>
  <c r="B600" i="6"/>
  <c r="P599" i="6"/>
  <c r="O599" i="6"/>
  <c r="N599" i="6"/>
  <c r="M599" i="6"/>
  <c r="F599" i="6"/>
  <c r="D599" i="6"/>
  <c r="B599" i="6"/>
  <c r="P598" i="6"/>
  <c r="O598" i="6"/>
  <c r="N598" i="6"/>
  <c r="M598" i="6"/>
  <c r="F598" i="6"/>
  <c r="D598" i="6"/>
  <c r="B598" i="6"/>
  <c r="P597" i="6"/>
  <c r="O597" i="6"/>
  <c r="N597" i="6"/>
  <c r="M597" i="6"/>
  <c r="F597" i="6"/>
  <c r="D597" i="6"/>
  <c r="B597" i="6"/>
  <c r="P596" i="6"/>
  <c r="O596" i="6"/>
  <c r="N596" i="6"/>
  <c r="M596" i="6"/>
  <c r="F596" i="6"/>
  <c r="D596" i="6"/>
  <c r="B596" i="6"/>
  <c r="P595" i="6"/>
  <c r="O595" i="6"/>
  <c r="N595" i="6"/>
  <c r="M595" i="6"/>
  <c r="F595" i="6"/>
  <c r="D595" i="6"/>
  <c r="B595" i="6"/>
  <c r="P594" i="6"/>
  <c r="O594" i="6"/>
  <c r="N594" i="6"/>
  <c r="M594" i="6"/>
  <c r="F594" i="6"/>
  <c r="D594" i="6"/>
  <c r="B594" i="6"/>
  <c r="P593" i="6"/>
  <c r="O593" i="6"/>
  <c r="N593" i="6"/>
  <c r="M593" i="6"/>
  <c r="F593" i="6"/>
  <c r="D593" i="6"/>
  <c r="B593" i="6"/>
  <c r="P592" i="6"/>
  <c r="O592" i="6"/>
  <c r="N592" i="6"/>
  <c r="M592" i="6"/>
  <c r="F592" i="6"/>
  <c r="D592" i="6"/>
  <c r="B592" i="6"/>
  <c r="P591" i="6"/>
  <c r="O591" i="6"/>
  <c r="N591" i="6"/>
  <c r="M591" i="6"/>
  <c r="F591" i="6"/>
  <c r="H61" i="2" s="1"/>
  <c r="D591" i="6"/>
  <c r="B591" i="6"/>
  <c r="P590" i="6"/>
  <c r="O590" i="6"/>
  <c r="N590" i="6"/>
  <c r="F590" i="6"/>
  <c r="D590" i="6"/>
  <c r="B590" i="6"/>
  <c r="G590" i="6" s="1" a="1"/>
  <c r="G590" i="6" s="1"/>
  <c r="M590" i="6" s="1"/>
  <c r="P589" i="6"/>
  <c r="O589" i="6"/>
  <c r="N589" i="6"/>
  <c r="F589" i="6"/>
  <c r="D589" i="6"/>
  <c r="B589" i="6"/>
  <c r="G589" i="6" s="1" a="1"/>
  <c r="G589" i="6" s="1"/>
  <c r="M589" i="6" s="1"/>
  <c r="P588" i="6"/>
  <c r="O588" i="6"/>
  <c r="N588" i="6"/>
  <c r="F588" i="6"/>
  <c r="D588" i="6"/>
  <c r="B588" i="6"/>
  <c r="G588" i="6" s="1" a="1"/>
  <c r="G588" i="6" s="1"/>
  <c r="M588" i="6" s="1"/>
  <c r="P587" i="6"/>
  <c r="O587" i="6"/>
  <c r="N587" i="6"/>
  <c r="F587" i="6"/>
  <c r="D587" i="6"/>
  <c r="B587" i="6"/>
  <c r="G587" i="6" s="1" a="1"/>
  <c r="G587" i="6" s="1"/>
  <c r="M587" i="6" s="1"/>
  <c r="P586" i="6"/>
  <c r="O586" i="6"/>
  <c r="N586" i="6"/>
  <c r="F586" i="6"/>
  <c r="D586" i="6"/>
  <c r="B586" i="6"/>
  <c r="G586" i="6" s="1" a="1"/>
  <c r="G586" i="6" s="1"/>
  <c r="M586" i="6" s="1"/>
  <c r="P585" i="6"/>
  <c r="O585" i="6"/>
  <c r="N585" i="6"/>
  <c r="F585" i="6"/>
  <c r="D585" i="6"/>
  <c r="B585" i="6"/>
  <c r="G585" i="6" s="1" a="1"/>
  <c r="G585" i="6" s="1"/>
  <c r="M585" i="6" s="1"/>
  <c r="P584" i="6"/>
  <c r="O584" i="6"/>
  <c r="N584" i="6"/>
  <c r="F584" i="6"/>
  <c r="D584" i="6"/>
  <c r="B584" i="6"/>
  <c r="G584" i="6" s="1" a="1"/>
  <c r="G584" i="6" s="1"/>
  <c r="M584" i="6" s="1"/>
  <c r="P583" i="6"/>
  <c r="O583" i="6"/>
  <c r="N583" i="6"/>
  <c r="F583" i="6"/>
  <c r="D583" i="6"/>
  <c r="B583" i="6"/>
  <c r="G583" i="6" s="1" a="1"/>
  <c r="G583" i="6" s="1"/>
  <c r="M583" i="6" s="1"/>
  <c r="P582" i="6"/>
  <c r="O582" i="6"/>
  <c r="N582" i="6"/>
  <c r="F582" i="6"/>
  <c r="D582" i="6"/>
  <c r="B582" i="6"/>
  <c r="G582" i="6" s="1" a="1"/>
  <c r="G582" i="6" s="1"/>
  <c r="M582" i="6" s="1"/>
  <c r="P581" i="6"/>
  <c r="O581" i="6"/>
  <c r="N581" i="6"/>
  <c r="F581" i="6"/>
  <c r="D581" i="6"/>
  <c r="B581" i="6"/>
  <c r="G581" i="6" s="1" a="1"/>
  <c r="G581" i="6" s="1"/>
  <c r="M581" i="6" s="1"/>
  <c r="P580" i="6"/>
  <c r="O580" i="6"/>
  <c r="N580" i="6"/>
  <c r="F580" i="6"/>
  <c r="D580" i="6"/>
  <c r="B580" i="6"/>
  <c r="G580" i="6" s="1" a="1"/>
  <c r="G580" i="6" s="1"/>
  <c r="M580" i="6" s="1"/>
  <c r="T579" i="6"/>
  <c r="S579" i="6"/>
  <c r="R579" i="6"/>
  <c r="P579" i="6"/>
  <c r="O579" i="6"/>
  <c r="N579" i="6"/>
  <c r="F579" i="6"/>
  <c r="H48" i="2" s="1"/>
  <c r="D579" i="6"/>
  <c r="B579" i="6"/>
  <c r="G579" i="6" s="1" a="1"/>
  <c r="G579" i="6" s="1"/>
  <c r="P578" i="6"/>
  <c r="O578" i="6"/>
  <c r="N578" i="6"/>
  <c r="M578" i="6"/>
  <c r="F578" i="6"/>
  <c r="D578" i="6"/>
  <c r="B578" i="6"/>
  <c r="P577" i="6"/>
  <c r="O577" i="6"/>
  <c r="N577" i="6"/>
  <c r="M577" i="6"/>
  <c r="F577" i="6"/>
  <c r="D577" i="6"/>
  <c r="B577" i="6"/>
  <c r="P576" i="6"/>
  <c r="O576" i="6"/>
  <c r="N576" i="6"/>
  <c r="M576" i="6"/>
  <c r="F576" i="6"/>
  <c r="D576" i="6"/>
  <c r="B576" i="6"/>
  <c r="P575" i="6"/>
  <c r="O575" i="6"/>
  <c r="N575" i="6"/>
  <c r="M575" i="6"/>
  <c r="F575" i="6"/>
  <c r="D575" i="6"/>
  <c r="B575" i="6"/>
  <c r="P574" i="6"/>
  <c r="O574" i="6"/>
  <c r="N574" i="6"/>
  <c r="M574" i="6"/>
  <c r="F574" i="6"/>
  <c r="D574" i="6"/>
  <c r="B574" i="6"/>
  <c r="P573" i="6"/>
  <c r="O573" i="6"/>
  <c r="N573" i="6"/>
  <c r="M573" i="6"/>
  <c r="F573" i="6"/>
  <c r="D573" i="6"/>
  <c r="B573" i="6"/>
  <c r="P572" i="6"/>
  <c r="O572" i="6"/>
  <c r="N572" i="6"/>
  <c r="M572" i="6"/>
  <c r="F572" i="6"/>
  <c r="D572" i="6"/>
  <c r="B572" i="6"/>
  <c r="P571" i="6"/>
  <c r="O571" i="6"/>
  <c r="N571" i="6"/>
  <c r="M571" i="6"/>
  <c r="F571" i="6"/>
  <c r="D571" i="6"/>
  <c r="B571" i="6"/>
  <c r="P570" i="6"/>
  <c r="O570" i="6"/>
  <c r="N570" i="6"/>
  <c r="M570" i="6"/>
  <c r="F570" i="6"/>
  <c r="D570" i="6"/>
  <c r="B570" i="6"/>
  <c r="P569" i="6"/>
  <c r="O569" i="6"/>
  <c r="N569" i="6"/>
  <c r="M569" i="6"/>
  <c r="F569" i="6"/>
  <c r="D569" i="6"/>
  <c r="B569" i="6"/>
  <c r="P568" i="6"/>
  <c r="O568" i="6"/>
  <c r="N568" i="6"/>
  <c r="M568" i="6"/>
  <c r="F568" i="6"/>
  <c r="D568" i="6"/>
  <c r="B568" i="6"/>
  <c r="T567" i="6"/>
  <c r="S567" i="6"/>
  <c r="R567" i="6"/>
  <c r="Q567" i="6"/>
  <c r="P567" i="6"/>
  <c r="O567" i="6"/>
  <c r="N567" i="6"/>
  <c r="M567" i="6"/>
  <c r="F567" i="6"/>
  <c r="H47" i="2" s="1"/>
  <c r="D567" i="6"/>
  <c r="B567" i="6"/>
  <c r="P566" i="6"/>
  <c r="O566" i="6"/>
  <c r="N566" i="6"/>
  <c r="F566" i="6"/>
  <c r="D566" i="6"/>
  <c r="B566" i="6"/>
  <c r="G566" i="6" s="1" a="1"/>
  <c r="G566" i="6" s="1"/>
  <c r="M566" i="6" s="1"/>
  <c r="P565" i="6"/>
  <c r="O565" i="6"/>
  <c r="N565" i="6"/>
  <c r="F565" i="6"/>
  <c r="D565" i="6"/>
  <c r="B565" i="6"/>
  <c r="G565" i="6" s="1" a="1"/>
  <c r="G565" i="6" s="1"/>
  <c r="M565" i="6" s="1"/>
  <c r="P564" i="6"/>
  <c r="O564" i="6"/>
  <c r="N564" i="6"/>
  <c r="F564" i="6"/>
  <c r="D564" i="6"/>
  <c r="B564" i="6"/>
  <c r="G564" i="6" s="1" a="1"/>
  <c r="G564" i="6" s="1"/>
  <c r="M564" i="6" s="1"/>
  <c r="P563" i="6"/>
  <c r="O563" i="6"/>
  <c r="N563" i="6"/>
  <c r="F563" i="6"/>
  <c r="D563" i="6"/>
  <c r="B563" i="6"/>
  <c r="G563" i="6" s="1" a="1"/>
  <c r="G563" i="6" s="1"/>
  <c r="M563" i="6" s="1"/>
  <c r="P562" i="6"/>
  <c r="O562" i="6"/>
  <c r="N562" i="6"/>
  <c r="F562" i="6"/>
  <c r="D562" i="6"/>
  <c r="B562" i="6"/>
  <c r="G562" i="6" s="1" a="1"/>
  <c r="G562" i="6" s="1"/>
  <c r="M562" i="6" s="1"/>
  <c r="P561" i="6"/>
  <c r="O561" i="6"/>
  <c r="N561" i="6"/>
  <c r="F561" i="6"/>
  <c r="D561" i="6"/>
  <c r="B561" i="6"/>
  <c r="G561" i="6" s="1" a="1"/>
  <c r="G561" i="6" s="1"/>
  <c r="M561" i="6" s="1"/>
  <c r="P560" i="6"/>
  <c r="O560" i="6"/>
  <c r="N560" i="6"/>
  <c r="F560" i="6"/>
  <c r="D560" i="6"/>
  <c r="B560" i="6"/>
  <c r="G560" i="6" s="1" a="1"/>
  <c r="G560" i="6" s="1"/>
  <c r="M560" i="6" s="1"/>
  <c r="P559" i="6"/>
  <c r="O559" i="6"/>
  <c r="N559" i="6"/>
  <c r="F559" i="6"/>
  <c r="D559" i="6"/>
  <c r="B559" i="6"/>
  <c r="G559" i="6" s="1" a="1"/>
  <c r="G559" i="6" s="1"/>
  <c r="M559" i="6" s="1"/>
  <c r="P558" i="6"/>
  <c r="O558" i="6"/>
  <c r="N558" i="6"/>
  <c r="F558" i="6"/>
  <c r="D558" i="6"/>
  <c r="B558" i="6"/>
  <c r="G558" i="6" s="1" a="1"/>
  <c r="G558" i="6" s="1"/>
  <c r="M558" i="6" s="1"/>
  <c r="P557" i="6"/>
  <c r="O557" i="6"/>
  <c r="N557" i="6"/>
  <c r="F557" i="6"/>
  <c r="D557" i="6"/>
  <c r="B557" i="6"/>
  <c r="G557" i="6" s="1" a="1"/>
  <c r="G557" i="6" s="1"/>
  <c r="M557" i="6" s="1"/>
  <c r="P556" i="6"/>
  <c r="O556" i="6"/>
  <c r="N556" i="6"/>
  <c r="F556" i="6"/>
  <c r="D556" i="6"/>
  <c r="B556" i="6"/>
  <c r="G556" i="6" s="1" a="1"/>
  <c r="G556" i="6" s="1"/>
  <c r="M556" i="6" s="1"/>
  <c r="T555" i="6"/>
  <c r="S555" i="6"/>
  <c r="R555" i="6"/>
  <c r="Q555" i="6"/>
  <c r="V555" i="6" s="1"/>
  <c r="P555" i="6"/>
  <c r="O555" i="6"/>
  <c r="N555" i="6"/>
  <c r="F555" i="6"/>
  <c r="H46" i="2" s="1"/>
  <c r="D555" i="6"/>
  <c r="B555" i="6"/>
  <c r="G555" i="6" s="1" a="1"/>
  <c r="G555" i="6" s="1"/>
  <c r="P554" i="6"/>
  <c r="O554" i="6"/>
  <c r="N554" i="6"/>
  <c r="M554" i="6"/>
  <c r="F554" i="6"/>
  <c r="D554" i="6"/>
  <c r="B554" i="6"/>
  <c r="P553" i="6"/>
  <c r="O553" i="6"/>
  <c r="N553" i="6"/>
  <c r="M553" i="6"/>
  <c r="F553" i="6"/>
  <c r="D553" i="6"/>
  <c r="B553" i="6"/>
  <c r="P552" i="6"/>
  <c r="O552" i="6"/>
  <c r="N552" i="6"/>
  <c r="M552" i="6"/>
  <c r="F552" i="6"/>
  <c r="D552" i="6"/>
  <c r="B552" i="6"/>
  <c r="P551" i="6"/>
  <c r="O551" i="6"/>
  <c r="N551" i="6"/>
  <c r="M551" i="6"/>
  <c r="F551" i="6"/>
  <c r="D551" i="6"/>
  <c r="B551" i="6"/>
  <c r="P550" i="6"/>
  <c r="O550" i="6"/>
  <c r="N550" i="6"/>
  <c r="M550" i="6"/>
  <c r="F550" i="6"/>
  <c r="D550" i="6"/>
  <c r="B550" i="6"/>
  <c r="P549" i="6"/>
  <c r="O549" i="6"/>
  <c r="N549" i="6"/>
  <c r="M549" i="6"/>
  <c r="F549" i="6"/>
  <c r="D549" i="6"/>
  <c r="B549" i="6"/>
  <c r="P548" i="6"/>
  <c r="O548" i="6"/>
  <c r="N548" i="6"/>
  <c r="M548" i="6"/>
  <c r="F548" i="6"/>
  <c r="D548" i="6"/>
  <c r="B548" i="6"/>
  <c r="P547" i="6"/>
  <c r="O547" i="6"/>
  <c r="N547" i="6"/>
  <c r="M547" i="6"/>
  <c r="F547" i="6"/>
  <c r="D547" i="6"/>
  <c r="B547" i="6"/>
  <c r="P546" i="6"/>
  <c r="O546" i="6"/>
  <c r="N546" i="6"/>
  <c r="M546" i="6"/>
  <c r="F546" i="6"/>
  <c r="D546" i="6"/>
  <c r="B546" i="6"/>
  <c r="P545" i="6"/>
  <c r="O545" i="6"/>
  <c r="N545" i="6"/>
  <c r="M545" i="6"/>
  <c r="F545" i="6"/>
  <c r="D545" i="6"/>
  <c r="B545" i="6"/>
  <c r="P544" i="6"/>
  <c r="O544" i="6"/>
  <c r="N544" i="6"/>
  <c r="M544" i="6"/>
  <c r="F544" i="6"/>
  <c r="D544" i="6"/>
  <c r="B544" i="6"/>
  <c r="T543" i="6"/>
  <c r="S543" i="6"/>
  <c r="R543" i="6"/>
  <c r="Q543" i="6"/>
  <c r="P543" i="6"/>
  <c r="O543" i="6"/>
  <c r="N543" i="6"/>
  <c r="M543" i="6"/>
  <c r="F543" i="6"/>
  <c r="H44" i="2" s="1"/>
  <c r="D543" i="6"/>
  <c r="B543" i="6"/>
  <c r="P542" i="6"/>
  <c r="O542" i="6"/>
  <c r="N542" i="6"/>
  <c r="M542" i="6"/>
  <c r="B542" i="6"/>
  <c r="P541" i="6"/>
  <c r="O541" i="6"/>
  <c r="N541" i="6"/>
  <c r="M541" i="6"/>
  <c r="B541" i="6"/>
  <c r="P540" i="6"/>
  <c r="O540" i="6"/>
  <c r="N540" i="6"/>
  <c r="M540" i="6"/>
  <c r="B540" i="6"/>
  <c r="P539" i="6"/>
  <c r="O539" i="6"/>
  <c r="N539" i="6"/>
  <c r="M539" i="6"/>
  <c r="B539" i="6"/>
  <c r="P538" i="6"/>
  <c r="O538" i="6"/>
  <c r="N538" i="6"/>
  <c r="M538" i="6"/>
  <c r="B538" i="6"/>
  <c r="P537" i="6"/>
  <c r="O537" i="6"/>
  <c r="N537" i="6"/>
  <c r="M537" i="6"/>
  <c r="B537" i="6"/>
  <c r="P536" i="6"/>
  <c r="O536" i="6"/>
  <c r="N536" i="6"/>
  <c r="M536" i="6"/>
  <c r="B536" i="6"/>
  <c r="P535" i="6"/>
  <c r="O535" i="6"/>
  <c r="N535" i="6"/>
  <c r="M535" i="6"/>
  <c r="B535" i="6"/>
  <c r="P534" i="6"/>
  <c r="O534" i="6"/>
  <c r="N534" i="6"/>
  <c r="M534" i="6"/>
  <c r="B534" i="6"/>
  <c r="P533" i="6"/>
  <c r="O533" i="6"/>
  <c r="N533" i="6"/>
  <c r="M533" i="6"/>
  <c r="B533" i="6"/>
  <c r="P532" i="6"/>
  <c r="O532" i="6"/>
  <c r="N532" i="6"/>
  <c r="M532" i="6"/>
  <c r="B532" i="6"/>
  <c r="V531" i="6"/>
  <c r="P531" i="6"/>
  <c r="O531" i="6"/>
  <c r="N531" i="6"/>
  <c r="M531" i="6"/>
  <c r="B531" i="6"/>
  <c r="P530" i="6"/>
  <c r="O530" i="6"/>
  <c r="N530" i="6"/>
  <c r="M530" i="6"/>
  <c r="F530" i="6"/>
  <c r="D530" i="6"/>
  <c r="B530" i="6"/>
  <c r="P529" i="6"/>
  <c r="O529" i="6"/>
  <c r="N529" i="6"/>
  <c r="M529" i="6"/>
  <c r="F529" i="6"/>
  <c r="D529" i="6"/>
  <c r="B529" i="6"/>
  <c r="P528" i="6"/>
  <c r="O528" i="6"/>
  <c r="N528" i="6"/>
  <c r="M528" i="6"/>
  <c r="F528" i="6"/>
  <c r="D528" i="6"/>
  <c r="B528" i="6"/>
  <c r="P527" i="6"/>
  <c r="O527" i="6"/>
  <c r="N527" i="6"/>
  <c r="M527" i="6"/>
  <c r="F527" i="6"/>
  <c r="D527" i="6"/>
  <c r="B527" i="6"/>
  <c r="P526" i="6"/>
  <c r="O526" i="6"/>
  <c r="N526" i="6"/>
  <c r="M526" i="6"/>
  <c r="F526" i="6"/>
  <c r="D526" i="6"/>
  <c r="B526" i="6"/>
  <c r="P525" i="6"/>
  <c r="O525" i="6"/>
  <c r="N525" i="6"/>
  <c r="M525" i="6"/>
  <c r="F525" i="6"/>
  <c r="D525" i="6"/>
  <c r="B525" i="6"/>
  <c r="P524" i="6"/>
  <c r="O524" i="6"/>
  <c r="N524" i="6"/>
  <c r="M524" i="6"/>
  <c r="F524" i="6"/>
  <c r="D524" i="6"/>
  <c r="B524" i="6"/>
  <c r="P523" i="6"/>
  <c r="O523" i="6"/>
  <c r="N523" i="6"/>
  <c r="M523" i="6"/>
  <c r="F523" i="6"/>
  <c r="D523" i="6"/>
  <c r="B523" i="6"/>
  <c r="P522" i="6"/>
  <c r="O522" i="6"/>
  <c r="N522" i="6"/>
  <c r="M522" i="6"/>
  <c r="F522" i="6"/>
  <c r="D522" i="6"/>
  <c r="B522" i="6"/>
  <c r="P521" i="6"/>
  <c r="O521" i="6"/>
  <c r="N521" i="6"/>
  <c r="M521" i="6"/>
  <c r="F521" i="6"/>
  <c r="D521" i="6"/>
  <c r="B521" i="6"/>
  <c r="P520" i="6"/>
  <c r="O520" i="6"/>
  <c r="N520" i="6"/>
  <c r="M520" i="6"/>
  <c r="F520" i="6"/>
  <c r="D520" i="6"/>
  <c r="B520" i="6"/>
  <c r="T519" i="6"/>
  <c r="S519" i="6"/>
  <c r="R519" i="6"/>
  <c r="Q519" i="6"/>
  <c r="P519" i="6"/>
  <c r="O519" i="6"/>
  <c r="N519" i="6"/>
  <c r="M519" i="6"/>
  <c r="F519" i="6"/>
  <c r="H43" i="2" s="1"/>
  <c r="D519" i="6"/>
  <c r="B519" i="6"/>
  <c r="AB518" i="6"/>
  <c r="AA518" i="6"/>
  <c r="Z518" i="6"/>
  <c r="P518" i="6"/>
  <c r="O518" i="6"/>
  <c r="N518" i="6"/>
  <c r="M518" i="6"/>
  <c r="B518" i="6"/>
  <c r="AB517" i="6"/>
  <c r="AA517" i="6"/>
  <c r="Z517" i="6"/>
  <c r="P517" i="6"/>
  <c r="O517" i="6"/>
  <c r="N517" i="6"/>
  <c r="M517" i="6"/>
  <c r="B517" i="6"/>
  <c r="AB516" i="6"/>
  <c r="AA516" i="6"/>
  <c r="Z516" i="6"/>
  <c r="P516" i="6"/>
  <c r="O516" i="6"/>
  <c r="N516" i="6"/>
  <c r="M516" i="6"/>
  <c r="B516" i="6"/>
  <c r="AB515" i="6"/>
  <c r="AA515" i="6"/>
  <c r="Z515" i="6"/>
  <c r="P515" i="6"/>
  <c r="O515" i="6"/>
  <c r="N515" i="6"/>
  <c r="M515" i="6"/>
  <c r="B515" i="6"/>
  <c r="AB514" i="6"/>
  <c r="AA514" i="6"/>
  <c r="Z514" i="6"/>
  <c r="P514" i="6"/>
  <c r="O514" i="6"/>
  <c r="N514" i="6"/>
  <c r="M514" i="6"/>
  <c r="B514" i="6"/>
  <c r="AB513" i="6"/>
  <c r="AA513" i="6"/>
  <c r="Z513" i="6"/>
  <c r="P513" i="6"/>
  <c r="O513" i="6"/>
  <c r="N513" i="6"/>
  <c r="M513" i="6"/>
  <c r="B513" i="6"/>
  <c r="AB512" i="6"/>
  <c r="AA512" i="6"/>
  <c r="Z512" i="6"/>
  <c r="P512" i="6"/>
  <c r="O512" i="6"/>
  <c r="N512" i="6"/>
  <c r="M512" i="6"/>
  <c r="B512" i="6"/>
  <c r="AB511" i="6"/>
  <c r="AA511" i="6"/>
  <c r="Z511" i="6"/>
  <c r="P511" i="6"/>
  <c r="O511" i="6"/>
  <c r="N511" i="6"/>
  <c r="M511" i="6"/>
  <c r="B511" i="6"/>
  <c r="AB510" i="6"/>
  <c r="AA510" i="6"/>
  <c r="Z510" i="6"/>
  <c r="P510" i="6"/>
  <c r="O510" i="6"/>
  <c r="N510" i="6"/>
  <c r="M510" i="6"/>
  <c r="B510" i="6"/>
  <c r="AB509" i="6"/>
  <c r="AA509" i="6"/>
  <c r="Z509" i="6"/>
  <c r="P509" i="6"/>
  <c r="O509" i="6"/>
  <c r="N509" i="6"/>
  <c r="M509" i="6"/>
  <c r="B509" i="6"/>
  <c r="AB508" i="6"/>
  <c r="AA508" i="6"/>
  <c r="Z508" i="6"/>
  <c r="P508" i="6"/>
  <c r="O508" i="6"/>
  <c r="N508" i="6"/>
  <c r="M508" i="6"/>
  <c r="B508" i="6"/>
  <c r="AB507" i="6"/>
  <c r="AA507" i="6"/>
  <c r="Z507" i="6"/>
  <c r="V507" i="6"/>
  <c r="P507" i="6"/>
  <c r="O507" i="6"/>
  <c r="N507" i="6"/>
  <c r="M507" i="6"/>
  <c r="B507" i="6"/>
  <c r="P506" i="6"/>
  <c r="O506" i="6"/>
  <c r="N506" i="6"/>
  <c r="M506" i="6"/>
  <c r="F506" i="6"/>
  <c r="D506" i="6"/>
  <c r="B506" i="6"/>
  <c r="P505" i="6"/>
  <c r="O505" i="6"/>
  <c r="N505" i="6"/>
  <c r="M505" i="6"/>
  <c r="F505" i="6"/>
  <c r="D505" i="6"/>
  <c r="B505" i="6"/>
  <c r="P504" i="6"/>
  <c r="O504" i="6"/>
  <c r="N504" i="6"/>
  <c r="M504" i="6"/>
  <c r="F504" i="6"/>
  <c r="D504" i="6"/>
  <c r="B504" i="6"/>
  <c r="P503" i="6"/>
  <c r="O503" i="6"/>
  <c r="N503" i="6"/>
  <c r="M503" i="6"/>
  <c r="F503" i="6"/>
  <c r="D503" i="6"/>
  <c r="B503" i="6"/>
  <c r="P502" i="6"/>
  <c r="O502" i="6"/>
  <c r="N502" i="6"/>
  <c r="M502" i="6"/>
  <c r="F502" i="6"/>
  <c r="D502" i="6"/>
  <c r="B502" i="6"/>
  <c r="P501" i="6"/>
  <c r="O501" i="6"/>
  <c r="N501" i="6"/>
  <c r="M501" i="6"/>
  <c r="F501" i="6"/>
  <c r="D501" i="6"/>
  <c r="B501" i="6"/>
  <c r="P500" i="6"/>
  <c r="O500" i="6"/>
  <c r="N500" i="6"/>
  <c r="M500" i="6"/>
  <c r="F500" i="6"/>
  <c r="D500" i="6"/>
  <c r="B500" i="6"/>
  <c r="P499" i="6"/>
  <c r="O499" i="6"/>
  <c r="N499" i="6"/>
  <c r="M499" i="6"/>
  <c r="F499" i="6"/>
  <c r="D499" i="6"/>
  <c r="B499" i="6"/>
  <c r="P498" i="6"/>
  <c r="O498" i="6"/>
  <c r="N498" i="6"/>
  <c r="M498" i="6"/>
  <c r="F498" i="6"/>
  <c r="D498" i="6"/>
  <c r="B498" i="6"/>
  <c r="P497" i="6"/>
  <c r="O497" i="6"/>
  <c r="N497" i="6"/>
  <c r="M497" i="6"/>
  <c r="F497" i="6"/>
  <c r="D497" i="6"/>
  <c r="B497" i="6"/>
  <c r="P496" i="6"/>
  <c r="O496" i="6"/>
  <c r="N496" i="6"/>
  <c r="M496" i="6"/>
  <c r="F496" i="6"/>
  <c r="D496" i="6"/>
  <c r="B496" i="6"/>
  <c r="T495" i="6"/>
  <c r="S495" i="6"/>
  <c r="R495" i="6"/>
  <c r="Q495" i="6"/>
  <c r="P495" i="6"/>
  <c r="O495" i="6"/>
  <c r="N495" i="6"/>
  <c r="M495" i="6"/>
  <c r="F495" i="6"/>
  <c r="H42" i="2" s="1"/>
  <c r="D495" i="6"/>
  <c r="B495" i="6"/>
  <c r="P494" i="6"/>
  <c r="O494" i="6"/>
  <c r="N494" i="6"/>
  <c r="F494" i="6"/>
  <c r="D494" i="6"/>
  <c r="B494" i="6"/>
  <c r="G494" i="6" s="1" a="1"/>
  <c r="G494" i="6" s="1"/>
  <c r="M494" i="6" s="1"/>
  <c r="P493" i="6"/>
  <c r="O493" i="6"/>
  <c r="N493" i="6"/>
  <c r="F493" i="6"/>
  <c r="D493" i="6"/>
  <c r="B493" i="6"/>
  <c r="G493" i="6" s="1" a="1"/>
  <c r="G493" i="6" s="1"/>
  <c r="M493" i="6" s="1"/>
  <c r="P492" i="6"/>
  <c r="O492" i="6"/>
  <c r="N492" i="6"/>
  <c r="F492" i="6"/>
  <c r="D492" i="6"/>
  <c r="B492" i="6"/>
  <c r="G492" i="6" s="1" a="1"/>
  <c r="G492" i="6" s="1"/>
  <c r="M492" i="6" s="1"/>
  <c r="P491" i="6"/>
  <c r="O491" i="6"/>
  <c r="N491" i="6"/>
  <c r="F491" i="6"/>
  <c r="D491" i="6"/>
  <c r="B491" i="6"/>
  <c r="G491" i="6" s="1" a="1"/>
  <c r="G491" i="6" s="1"/>
  <c r="M491" i="6" s="1"/>
  <c r="P490" i="6"/>
  <c r="O490" i="6"/>
  <c r="N490" i="6"/>
  <c r="F490" i="6"/>
  <c r="D490" i="6"/>
  <c r="B490" i="6"/>
  <c r="G490" i="6" s="1" a="1"/>
  <c r="G490" i="6" s="1"/>
  <c r="M490" i="6" s="1"/>
  <c r="P489" i="6"/>
  <c r="O489" i="6"/>
  <c r="N489" i="6"/>
  <c r="F489" i="6"/>
  <c r="D489" i="6"/>
  <c r="B489" i="6"/>
  <c r="G489" i="6" s="1" a="1"/>
  <c r="G489" i="6" s="1"/>
  <c r="M489" i="6" s="1"/>
  <c r="P488" i="6"/>
  <c r="O488" i="6"/>
  <c r="N488" i="6"/>
  <c r="F488" i="6"/>
  <c r="D488" i="6"/>
  <c r="B488" i="6"/>
  <c r="G488" i="6" s="1" a="1"/>
  <c r="G488" i="6" s="1"/>
  <c r="M488" i="6" s="1"/>
  <c r="P487" i="6"/>
  <c r="O487" i="6"/>
  <c r="N487" i="6"/>
  <c r="F487" i="6"/>
  <c r="D487" i="6"/>
  <c r="B487" i="6"/>
  <c r="G487" i="6" s="1" a="1"/>
  <c r="G487" i="6" s="1"/>
  <c r="M487" i="6" s="1"/>
  <c r="P486" i="6"/>
  <c r="O486" i="6"/>
  <c r="N486" i="6"/>
  <c r="G486" i="6" a="1"/>
  <c r="G486" i="6" s="1"/>
  <c r="M486" i="6" s="1"/>
  <c r="F486" i="6"/>
  <c r="D486" i="6"/>
  <c r="B486" i="6"/>
  <c r="P485" i="6"/>
  <c r="O485" i="6"/>
  <c r="N485" i="6"/>
  <c r="F485" i="6"/>
  <c r="D485" i="6"/>
  <c r="B485" i="6"/>
  <c r="G485" i="6" s="1" a="1"/>
  <c r="G485" i="6" s="1"/>
  <c r="M485" i="6" s="1"/>
  <c r="P484" i="6"/>
  <c r="O484" i="6"/>
  <c r="N484" i="6"/>
  <c r="F484" i="6"/>
  <c r="D484" i="6"/>
  <c r="B484" i="6"/>
  <c r="G484" i="6" s="1" a="1"/>
  <c r="G484" i="6" s="1"/>
  <c r="M484" i="6" s="1"/>
  <c r="P483" i="6"/>
  <c r="O483" i="6"/>
  <c r="N483" i="6"/>
  <c r="F483" i="6"/>
  <c r="H41" i="2" s="1"/>
  <c r="D483" i="6"/>
  <c r="B483" i="6"/>
  <c r="G483" i="6" s="1" a="1"/>
  <c r="G483" i="6" s="1"/>
  <c r="M483" i="6" s="1"/>
  <c r="O482" i="6"/>
  <c r="N482" i="6"/>
  <c r="M482" i="6"/>
  <c r="K482" i="6"/>
  <c r="P482" i="6" s="1"/>
  <c r="F482" i="6"/>
  <c r="D482" i="6"/>
  <c r="B482" i="6"/>
  <c r="O481" i="6"/>
  <c r="N481" i="6"/>
  <c r="M481" i="6"/>
  <c r="K481" i="6"/>
  <c r="P481" i="6" s="1"/>
  <c r="F481" i="6"/>
  <c r="D481" i="6"/>
  <c r="B481" i="6"/>
  <c r="O480" i="6"/>
  <c r="N480" i="6"/>
  <c r="M480" i="6"/>
  <c r="K480" i="6"/>
  <c r="P480" i="6" s="1"/>
  <c r="F480" i="6"/>
  <c r="D480" i="6"/>
  <c r="B480" i="6"/>
  <c r="O479" i="6"/>
  <c r="N479" i="6"/>
  <c r="K479" i="6"/>
  <c r="P479" i="6" s="1"/>
  <c r="F479" i="6"/>
  <c r="D479" i="6"/>
  <c r="B479" i="6"/>
  <c r="O478" i="6"/>
  <c r="N478" i="6"/>
  <c r="M478" i="6"/>
  <c r="K478" i="6"/>
  <c r="P478" i="6" s="1"/>
  <c r="F478" i="6"/>
  <c r="D478" i="6"/>
  <c r="B478" i="6"/>
  <c r="O477" i="6"/>
  <c r="N477" i="6"/>
  <c r="M477" i="6"/>
  <c r="K477" i="6"/>
  <c r="P477" i="6" s="1"/>
  <c r="F477" i="6"/>
  <c r="D477" i="6"/>
  <c r="B477" i="6"/>
  <c r="O476" i="6"/>
  <c r="N476" i="6"/>
  <c r="M476" i="6"/>
  <c r="K476" i="6"/>
  <c r="P476" i="6" s="1"/>
  <c r="F476" i="6"/>
  <c r="D476" i="6"/>
  <c r="B476" i="6"/>
  <c r="O475" i="6"/>
  <c r="N475" i="6"/>
  <c r="M475" i="6"/>
  <c r="K475" i="6"/>
  <c r="P475" i="6" s="1"/>
  <c r="F475" i="6"/>
  <c r="D475" i="6"/>
  <c r="B475" i="6"/>
  <c r="O474" i="6"/>
  <c r="N474" i="6"/>
  <c r="M474" i="6"/>
  <c r="K474" i="6"/>
  <c r="P474" i="6" s="1"/>
  <c r="F474" i="6"/>
  <c r="D474" i="6"/>
  <c r="B474" i="6"/>
  <c r="O473" i="6"/>
  <c r="N473" i="6"/>
  <c r="M473" i="6"/>
  <c r="K473" i="6"/>
  <c r="P473" i="6" s="1"/>
  <c r="F473" i="6"/>
  <c r="D473" i="6"/>
  <c r="B473" i="6"/>
  <c r="O472" i="6"/>
  <c r="N472" i="6"/>
  <c r="M472" i="6"/>
  <c r="K472" i="6"/>
  <c r="P472" i="6" s="1"/>
  <c r="F472" i="6"/>
  <c r="D472" i="6"/>
  <c r="B472" i="6"/>
  <c r="S471" i="6"/>
  <c r="R471" i="6"/>
  <c r="O471" i="6"/>
  <c r="N471" i="6"/>
  <c r="M471" i="6"/>
  <c r="K471" i="6"/>
  <c r="P471" i="6" s="1"/>
  <c r="F471" i="6"/>
  <c r="H40" i="2" s="1"/>
  <c r="D471" i="6"/>
  <c r="B471" i="6"/>
  <c r="P470" i="6"/>
  <c r="O470" i="6"/>
  <c r="N470" i="6"/>
  <c r="M470" i="6"/>
  <c r="F470" i="6"/>
  <c r="D470" i="6"/>
  <c r="B470" i="6"/>
  <c r="P469" i="6"/>
  <c r="O469" i="6"/>
  <c r="N469" i="6"/>
  <c r="M469" i="6"/>
  <c r="F469" i="6"/>
  <c r="D469" i="6"/>
  <c r="B469" i="6"/>
  <c r="P468" i="6"/>
  <c r="O468" i="6"/>
  <c r="N468" i="6"/>
  <c r="M468" i="6"/>
  <c r="F468" i="6"/>
  <c r="D468" i="6"/>
  <c r="B468" i="6"/>
  <c r="P467" i="6"/>
  <c r="O467" i="6"/>
  <c r="N467" i="6"/>
  <c r="M467" i="6"/>
  <c r="F467" i="6"/>
  <c r="D467" i="6"/>
  <c r="B467" i="6"/>
  <c r="P466" i="6"/>
  <c r="O466" i="6"/>
  <c r="N466" i="6"/>
  <c r="M466" i="6"/>
  <c r="F466" i="6"/>
  <c r="D466" i="6"/>
  <c r="B466" i="6"/>
  <c r="P465" i="6"/>
  <c r="O465" i="6"/>
  <c r="N465" i="6"/>
  <c r="M465" i="6"/>
  <c r="F465" i="6"/>
  <c r="D465" i="6"/>
  <c r="B465" i="6"/>
  <c r="P464" i="6"/>
  <c r="O464" i="6"/>
  <c r="N464" i="6"/>
  <c r="M464" i="6"/>
  <c r="F464" i="6"/>
  <c r="D464" i="6"/>
  <c r="B464" i="6"/>
  <c r="P463" i="6"/>
  <c r="O463" i="6"/>
  <c r="N463" i="6"/>
  <c r="M463" i="6"/>
  <c r="F463" i="6"/>
  <c r="D463" i="6"/>
  <c r="B463" i="6"/>
  <c r="P462" i="6"/>
  <c r="O462" i="6"/>
  <c r="N462" i="6"/>
  <c r="M462" i="6"/>
  <c r="F462" i="6"/>
  <c r="D462" i="6"/>
  <c r="B462" i="6"/>
  <c r="P461" i="6"/>
  <c r="O461" i="6"/>
  <c r="N461" i="6"/>
  <c r="M461" i="6"/>
  <c r="F461" i="6"/>
  <c r="D461" i="6"/>
  <c r="B461" i="6"/>
  <c r="P460" i="6"/>
  <c r="O460" i="6"/>
  <c r="N460" i="6"/>
  <c r="M460" i="6"/>
  <c r="F460" i="6"/>
  <c r="D460" i="6"/>
  <c r="B460" i="6"/>
  <c r="T459" i="6"/>
  <c r="S459" i="6"/>
  <c r="R459" i="6"/>
  <c r="Q459" i="6"/>
  <c r="P459" i="6"/>
  <c r="O459" i="6"/>
  <c r="N459" i="6"/>
  <c r="M459" i="6"/>
  <c r="F459" i="6"/>
  <c r="H39" i="2" s="1"/>
  <c r="D459" i="6"/>
  <c r="B459" i="6"/>
  <c r="P458" i="6"/>
  <c r="O458" i="6"/>
  <c r="N458" i="6"/>
  <c r="M458" i="6"/>
  <c r="B458" i="6"/>
  <c r="P457" i="6"/>
  <c r="O457" i="6"/>
  <c r="N457" i="6"/>
  <c r="M457" i="6"/>
  <c r="B457" i="6"/>
  <c r="P456" i="6"/>
  <c r="O456" i="6"/>
  <c r="N456" i="6"/>
  <c r="M456" i="6"/>
  <c r="B456" i="6"/>
  <c r="P455" i="6"/>
  <c r="O455" i="6"/>
  <c r="N455" i="6"/>
  <c r="M455" i="6"/>
  <c r="B455" i="6"/>
  <c r="P454" i="6"/>
  <c r="O454" i="6"/>
  <c r="N454" i="6"/>
  <c r="M454" i="6"/>
  <c r="B454" i="6"/>
  <c r="P453" i="6"/>
  <c r="O453" i="6"/>
  <c r="N453" i="6"/>
  <c r="M453" i="6"/>
  <c r="B453" i="6"/>
  <c r="P452" i="6"/>
  <c r="O452" i="6"/>
  <c r="N452" i="6"/>
  <c r="M452" i="6"/>
  <c r="B452" i="6"/>
  <c r="P451" i="6"/>
  <c r="O451" i="6"/>
  <c r="N451" i="6"/>
  <c r="M451" i="6"/>
  <c r="B451" i="6"/>
  <c r="P450" i="6"/>
  <c r="O450" i="6"/>
  <c r="N450" i="6"/>
  <c r="M450" i="6"/>
  <c r="B450" i="6"/>
  <c r="P449" i="6"/>
  <c r="O449" i="6"/>
  <c r="N449" i="6"/>
  <c r="M449" i="6"/>
  <c r="B449" i="6"/>
  <c r="P448" i="6"/>
  <c r="O448" i="6"/>
  <c r="N448" i="6"/>
  <c r="M448" i="6"/>
  <c r="B448" i="6"/>
  <c r="T447" i="6"/>
  <c r="S447" i="6"/>
  <c r="R447" i="6"/>
  <c r="Q447" i="6"/>
  <c r="P447" i="6"/>
  <c r="O447" i="6"/>
  <c r="N447" i="6"/>
  <c r="M447" i="6"/>
  <c r="B447" i="6"/>
  <c r="P446" i="6"/>
  <c r="O446" i="6"/>
  <c r="N446" i="6"/>
  <c r="M446" i="6"/>
  <c r="B446" i="6"/>
  <c r="P445" i="6"/>
  <c r="O445" i="6"/>
  <c r="N445" i="6"/>
  <c r="M445" i="6"/>
  <c r="B445" i="6"/>
  <c r="P444" i="6"/>
  <c r="O444" i="6"/>
  <c r="N444" i="6"/>
  <c r="M444" i="6"/>
  <c r="B444" i="6"/>
  <c r="P443" i="6"/>
  <c r="O443" i="6"/>
  <c r="N443" i="6"/>
  <c r="M443" i="6"/>
  <c r="B443" i="6"/>
  <c r="P442" i="6"/>
  <c r="O442" i="6"/>
  <c r="N442" i="6"/>
  <c r="M442" i="6"/>
  <c r="B442" i="6"/>
  <c r="P441" i="6"/>
  <c r="O441" i="6"/>
  <c r="N441" i="6"/>
  <c r="M441" i="6"/>
  <c r="B441" i="6"/>
  <c r="P440" i="6"/>
  <c r="O440" i="6"/>
  <c r="N440" i="6"/>
  <c r="M440" i="6"/>
  <c r="B440" i="6"/>
  <c r="P439" i="6"/>
  <c r="O439" i="6"/>
  <c r="N439" i="6"/>
  <c r="M439" i="6"/>
  <c r="B439" i="6"/>
  <c r="P438" i="6"/>
  <c r="O438" i="6"/>
  <c r="N438" i="6"/>
  <c r="M438" i="6"/>
  <c r="B438" i="6"/>
  <c r="P437" i="6"/>
  <c r="O437" i="6"/>
  <c r="N437" i="6"/>
  <c r="M437" i="6"/>
  <c r="B437" i="6"/>
  <c r="P436" i="6"/>
  <c r="O436" i="6"/>
  <c r="N436" i="6"/>
  <c r="M436" i="6"/>
  <c r="B436" i="6"/>
  <c r="V435" i="6"/>
  <c r="P435" i="6"/>
  <c r="O435" i="6"/>
  <c r="N435" i="6"/>
  <c r="M435" i="6"/>
  <c r="B435" i="6"/>
  <c r="P434" i="6"/>
  <c r="O434" i="6"/>
  <c r="N434" i="6"/>
  <c r="M434" i="6"/>
  <c r="F434" i="6"/>
  <c r="D434" i="6"/>
  <c r="B434" i="6"/>
  <c r="P433" i="6"/>
  <c r="O433" i="6"/>
  <c r="N433" i="6"/>
  <c r="M433" i="6"/>
  <c r="F433" i="6"/>
  <c r="D433" i="6"/>
  <c r="B433" i="6"/>
  <c r="P432" i="6"/>
  <c r="O432" i="6"/>
  <c r="N432" i="6"/>
  <c r="M432" i="6"/>
  <c r="F432" i="6"/>
  <c r="D432" i="6"/>
  <c r="B432" i="6"/>
  <c r="P431" i="6"/>
  <c r="O431" i="6"/>
  <c r="N431" i="6"/>
  <c r="M431" i="6"/>
  <c r="F431" i="6"/>
  <c r="D431" i="6"/>
  <c r="B431" i="6"/>
  <c r="P430" i="6"/>
  <c r="O430" i="6"/>
  <c r="N430" i="6"/>
  <c r="M430" i="6"/>
  <c r="F430" i="6"/>
  <c r="D430" i="6"/>
  <c r="B430" i="6"/>
  <c r="P429" i="6"/>
  <c r="O429" i="6"/>
  <c r="N429" i="6"/>
  <c r="M429" i="6"/>
  <c r="F429" i="6"/>
  <c r="D429" i="6"/>
  <c r="B429" i="6"/>
  <c r="P428" i="6"/>
  <c r="O428" i="6"/>
  <c r="N428" i="6"/>
  <c r="M428" i="6"/>
  <c r="F428" i="6"/>
  <c r="D428" i="6"/>
  <c r="B428" i="6"/>
  <c r="P427" i="6"/>
  <c r="O427" i="6"/>
  <c r="N427" i="6"/>
  <c r="M427" i="6"/>
  <c r="F427" i="6"/>
  <c r="D427" i="6"/>
  <c r="B427" i="6"/>
  <c r="P426" i="6"/>
  <c r="O426" i="6"/>
  <c r="N426" i="6"/>
  <c r="M426" i="6"/>
  <c r="F426" i="6"/>
  <c r="D426" i="6"/>
  <c r="B426" i="6"/>
  <c r="P425" i="6"/>
  <c r="O425" i="6"/>
  <c r="N425" i="6"/>
  <c r="M425" i="6"/>
  <c r="F425" i="6"/>
  <c r="D425" i="6"/>
  <c r="B425" i="6"/>
  <c r="P424" i="6"/>
  <c r="O424" i="6"/>
  <c r="N424" i="6"/>
  <c r="M424" i="6"/>
  <c r="F424" i="6"/>
  <c r="D424" i="6"/>
  <c r="B424" i="6"/>
  <c r="T423" i="6"/>
  <c r="S423" i="6"/>
  <c r="R423" i="6"/>
  <c r="Q423" i="6"/>
  <c r="P423" i="6"/>
  <c r="O423" i="6"/>
  <c r="N423" i="6"/>
  <c r="M423" i="6"/>
  <c r="F423" i="6"/>
  <c r="H36" i="2" s="1"/>
  <c r="D423" i="6"/>
  <c r="B423" i="6"/>
  <c r="P422" i="6"/>
  <c r="O422" i="6"/>
  <c r="N422" i="6"/>
  <c r="F422" i="6"/>
  <c r="D422" i="6"/>
  <c r="B422" i="6"/>
  <c r="G422" i="6" s="1" a="1"/>
  <c r="G422" i="6" s="1"/>
  <c r="M422" i="6" s="1"/>
  <c r="P421" i="6"/>
  <c r="O421" i="6"/>
  <c r="N421" i="6"/>
  <c r="F421" i="6"/>
  <c r="D421" i="6"/>
  <c r="B421" i="6"/>
  <c r="G421" i="6" s="1" a="1"/>
  <c r="G421" i="6" s="1"/>
  <c r="M421" i="6" s="1"/>
  <c r="P420" i="6"/>
  <c r="O420" i="6"/>
  <c r="N420" i="6"/>
  <c r="F420" i="6"/>
  <c r="D420" i="6"/>
  <c r="B420" i="6"/>
  <c r="G420" i="6" s="1" a="1"/>
  <c r="G420" i="6" s="1"/>
  <c r="M420" i="6" s="1"/>
  <c r="P419" i="6"/>
  <c r="O419" i="6"/>
  <c r="N419" i="6"/>
  <c r="F419" i="6"/>
  <c r="D419" i="6"/>
  <c r="B419" i="6"/>
  <c r="G419" i="6" s="1" a="1"/>
  <c r="G419" i="6" s="1"/>
  <c r="M419" i="6" s="1"/>
  <c r="P418" i="6"/>
  <c r="O418" i="6"/>
  <c r="N418" i="6"/>
  <c r="F418" i="6"/>
  <c r="D418" i="6"/>
  <c r="B418" i="6"/>
  <c r="G418" i="6" s="1" a="1"/>
  <c r="G418" i="6" s="1"/>
  <c r="M418" i="6" s="1"/>
  <c r="P417" i="6"/>
  <c r="O417" i="6"/>
  <c r="N417" i="6"/>
  <c r="F417" i="6"/>
  <c r="D417" i="6"/>
  <c r="B417" i="6"/>
  <c r="G417" i="6" s="1" a="1"/>
  <c r="G417" i="6" s="1"/>
  <c r="M417" i="6" s="1"/>
  <c r="P416" i="6"/>
  <c r="O416" i="6"/>
  <c r="N416" i="6"/>
  <c r="F416" i="6"/>
  <c r="D416" i="6"/>
  <c r="B416" i="6"/>
  <c r="G416" i="6" s="1" a="1"/>
  <c r="G416" i="6" s="1"/>
  <c r="M416" i="6" s="1"/>
  <c r="P415" i="6"/>
  <c r="O415" i="6"/>
  <c r="N415" i="6"/>
  <c r="F415" i="6"/>
  <c r="D415" i="6"/>
  <c r="B415" i="6"/>
  <c r="G415" i="6" s="1" a="1"/>
  <c r="G415" i="6" s="1"/>
  <c r="M415" i="6" s="1"/>
  <c r="P414" i="6"/>
  <c r="O414" i="6"/>
  <c r="N414" i="6"/>
  <c r="F414" i="6"/>
  <c r="D414" i="6"/>
  <c r="B414" i="6"/>
  <c r="G414" i="6" s="1" a="1"/>
  <c r="G414" i="6" s="1"/>
  <c r="M414" i="6" s="1"/>
  <c r="P413" i="6"/>
  <c r="O413" i="6"/>
  <c r="N413" i="6"/>
  <c r="F413" i="6"/>
  <c r="D413" i="6"/>
  <c r="B413" i="6"/>
  <c r="G413" i="6" s="1" a="1"/>
  <c r="G413" i="6" s="1"/>
  <c r="M413" i="6" s="1"/>
  <c r="P412" i="6"/>
  <c r="O412" i="6"/>
  <c r="N412" i="6"/>
  <c r="F412" i="6"/>
  <c r="D412" i="6"/>
  <c r="B412" i="6"/>
  <c r="G412" i="6" s="1" a="1"/>
  <c r="G412" i="6" s="1"/>
  <c r="M412" i="6" s="1"/>
  <c r="T411" i="6"/>
  <c r="S411" i="6"/>
  <c r="R411" i="6"/>
  <c r="P411" i="6"/>
  <c r="O411" i="6"/>
  <c r="N411" i="6"/>
  <c r="F411" i="6"/>
  <c r="H35" i="2" s="1"/>
  <c r="D411" i="6"/>
  <c r="B411" i="6"/>
  <c r="G411" i="6" s="1" a="1"/>
  <c r="G411" i="6" s="1"/>
  <c r="P410" i="6"/>
  <c r="O410" i="6"/>
  <c r="N410" i="6"/>
  <c r="M410" i="6"/>
  <c r="F410" i="6"/>
  <c r="D410" i="6"/>
  <c r="B410" i="6"/>
  <c r="P409" i="6"/>
  <c r="O409" i="6"/>
  <c r="N409" i="6"/>
  <c r="M409" i="6"/>
  <c r="F409" i="6"/>
  <c r="D409" i="6"/>
  <c r="B409" i="6"/>
  <c r="P408" i="6"/>
  <c r="O408" i="6"/>
  <c r="N408" i="6"/>
  <c r="M408" i="6"/>
  <c r="F408" i="6"/>
  <c r="D408" i="6"/>
  <c r="B408" i="6"/>
  <c r="P407" i="6"/>
  <c r="O407" i="6"/>
  <c r="N407" i="6"/>
  <c r="M407" i="6"/>
  <c r="F407" i="6"/>
  <c r="D407" i="6"/>
  <c r="B407" i="6"/>
  <c r="P406" i="6"/>
  <c r="O406" i="6"/>
  <c r="N406" i="6"/>
  <c r="M406" i="6"/>
  <c r="F406" i="6"/>
  <c r="D406" i="6"/>
  <c r="B406" i="6"/>
  <c r="P405" i="6"/>
  <c r="O405" i="6"/>
  <c r="N405" i="6"/>
  <c r="M405" i="6"/>
  <c r="F405" i="6"/>
  <c r="D405" i="6"/>
  <c r="B405" i="6"/>
  <c r="P404" i="6"/>
  <c r="O404" i="6"/>
  <c r="N404" i="6"/>
  <c r="M404" i="6"/>
  <c r="F404" i="6"/>
  <c r="D404" i="6"/>
  <c r="B404" i="6"/>
  <c r="P403" i="6"/>
  <c r="O403" i="6"/>
  <c r="N403" i="6"/>
  <c r="M403" i="6"/>
  <c r="F403" i="6"/>
  <c r="D403" i="6"/>
  <c r="B403" i="6"/>
  <c r="P402" i="6"/>
  <c r="O402" i="6"/>
  <c r="N402" i="6"/>
  <c r="M402" i="6"/>
  <c r="F402" i="6"/>
  <c r="D402" i="6"/>
  <c r="B402" i="6"/>
  <c r="P401" i="6"/>
  <c r="O401" i="6"/>
  <c r="N401" i="6"/>
  <c r="M401" i="6"/>
  <c r="F401" i="6"/>
  <c r="D401" i="6"/>
  <c r="B401" i="6"/>
  <c r="P400" i="6"/>
  <c r="O400" i="6"/>
  <c r="N400" i="6"/>
  <c r="M400" i="6"/>
  <c r="F400" i="6"/>
  <c r="D400" i="6"/>
  <c r="B400" i="6"/>
  <c r="P399" i="6"/>
  <c r="O399" i="6"/>
  <c r="N399" i="6"/>
  <c r="M399" i="6"/>
  <c r="F399" i="6"/>
  <c r="H34" i="2" s="1"/>
  <c r="D399" i="6"/>
  <c r="B399" i="6"/>
  <c r="P398" i="6"/>
  <c r="O398" i="6"/>
  <c r="N398" i="6"/>
  <c r="M398" i="6"/>
  <c r="F398" i="6"/>
  <c r="D398" i="6"/>
  <c r="B398" i="6"/>
  <c r="P397" i="6"/>
  <c r="O397" i="6"/>
  <c r="N397" i="6"/>
  <c r="M397" i="6"/>
  <c r="F397" i="6"/>
  <c r="D397" i="6"/>
  <c r="B397" i="6"/>
  <c r="P396" i="6"/>
  <c r="O396" i="6"/>
  <c r="N396" i="6"/>
  <c r="M396" i="6"/>
  <c r="F396" i="6"/>
  <c r="D396" i="6"/>
  <c r="B396" i="6"/>
  <c r="P395" i="6"/>
  <c r="O395" i="6"/>
  <c r="N395" i="6"/>
  <c r="M395" i="6"/>
  <c r="F395" i="6"/>
  <c r="D395" i="6"/>
  <c r="B395" i="6"/>
  <c r="P394" i="6"/>
  <c r="O394" i="6"/>
  <c r="N394" i="6"/>
  <c r="M394" i="6"/>
  <c r="F394" i="6"/>
  <c r="D394" i="6"/>
  <c r="B394" i="6"/>
  <c r="P393" i="6"/>
  <c r="O393" i="6"/>
  <c r="N393" i="6"/>
  <c r="M393" i="6"/>
  <c r="F393" i="6"/>
  <c r="D393" i="6"/>
  <c r="B393" i="6"/>
  <c r="P392" i="6"/>
  <c r="O392" i="6"/>
  <c r="N392" i="6"/>
  <c r="M392" i="6"/>
  <c r="F392" i="6"/>
  <c r="D392" i="6"/>
  <c r="B392" i="6"/>
  <c r="P391" i="6"/>
  <c r="O391" i="6"/>
  <c r="N391" i="6"/>
  <c r="M391" i="6"/>
  <c r="F391" i="6"/>
  <c r="D391" i="6"/>
  <c r="B391" i="6"/>
  <c r="P390" i="6"/>
  <c r="O390" i="6"/>
  <c r="N390" i="6"/>
  <c r="M390" i="6"/>
  <c r="F390" i="6"/>
  <c r="D390" i="6"/>
  <c r="B390" i="6"/>
  <c r="P389" i="6"/>
  <c r="O389" i="6"/>
  <c r="N389" i="6"/>
  <c r="M389" i="6"/>
  <c r="F389" i="6"/>
  <c r="D389" i="6"/>
  <c r="B389" i="6"/>
  <c r="P388" i="6"/>
  <c r="O388" i="6"/>
  <c r="N388" i="6"/>
  <c r="M388" i="6"/>
  <c r="F388" i="6"/>
  <c r="D388" i="6"/>
  <c r="B388" i="6"/>
  <c r="T387" i="6"/>
  <c r="S387" i="6"/>
  <c r="R387" i="6"/>
  <c r="Q387" i="6"/>
  <c r="P387" i="6"/>
  <c r="O387" i="6"/>
  <c r="N387" i="6"/>
  <c r="M387" i="6"/>
  <c r="F387" i="6"/>
  <c r="H33" i="2" s="1"/>
  <c r="D387" i="6"/>
  <c r="B387" i="6"/>
  <c r="P386" i="6"/>
  <c r="O386" i="6"/>
  <c r="N386" i="6"/>
  <c r="M386" i="6"/>
  <c r="F386" i="6"/>
  <c r="D386" i="6"/>
  <c r="B386" i="6"/>
  <c r="P385" i="6"/>
  <c r="O385" i="6"/>
  <c r="N385" i="6"/>
  <c r="M385" i="6"/>
  <c r="F385" i="6"/>
  <c r="D385" i="6"/>
  <c r="B385" i="6"/>
  <c r="P384" i="6"/>
  <c r="O384" i="6"/>
  <c r="N384" i="6"/>
  <c r="M384" i="6"/>
  <c r="F384" i="6"/>
  <c r="D384" i="6"/>
  <c r="B384" i="6"/>
  <c r="P383" i="6"/>
  <c r="O383" i="6"/>
  <c r="N383" i="6"/>
  <c r="M383" i="6"/>
  <c r="F383" i="6"/>
  <c r="D383" i="6"/>
  <c r="B383" i="6"/>
  <c r="P382" i="6"/>
  <c r="O382" i="6"/>
  <c r="N382" i="6"/>
  <c r="M382" i="6"/>
  <c r="F382" i="6"/>
  <c r="D382" i="6"/>
  <c r="B382" i="6"/>
  <c r="P381" i="6"/>
  <c r="O381" i="6"/>
  <c r="N381" i="6"/>
  <c r="M381" i="6"/>
  <c r="F381" i="6"/>
  <c r="D381" i="6"/>
  <c r="B381" i="6"/>
  <c r="P380" i="6"/>
  <c r="O380" i="6"/>
  <c r="N380" i="6"/>
  <c r="M380" i="6"/>
  <c r="F380" i="6"/>
  <c r="D380" i="6"/>
  <c r="B380" i="6"/>
  <c r="P379" i="6"/>
  <c r="O379" i="6"/>
  <c r="N379" i="6"/>
  <c r="M379" i="6"/>
  <c r="F379" i="6"/>
  <c r="D379" i="6"/>
  <c r="B379" i="6"/>
  <c r="P378" i="6"/>
  <c r="O378" i="6"/>
  <c r="N378" i="6"/>
  <c r="M378" i="6"/>
  <c r="F378" i="6"/>
  <c r="D378" i="6"/>
  <c r="B378" i="6"/>
  <c r="N377" i="6"/>
  <c r="M377" i="6"/>
  <c r="K377" i="6"/>
  <c r="P377" i="6" s="1"/>
  <c r="J377" i="6"/>
  <c r="O377" i="6" s="1"/>
  <c r="F377" i="6"/>
  <c r="D377" i="6"/>
  <c r="B377" i="6"/>
  <c r="N376" i="6"/>
  <c r="M376" i="6"/>
  <c r="K376" i="6"/>
  <c r="P376" i="6" s="1"/>
  <c r="J376" i="6"/>
  <c r="O376" i="6" s="1"/>
  <c r="F376" i="6"/>
  <c r="D376" i="6"/>
  <c r="B376" i="6"/>
  <c r="R375" i="6"/>
  <c r="Q375" i="6"/>
  <c r="N375" i="6"/>
  <c r="M375" i="6"/>
  <c r="K375" i="6"/>
  <c r="P375" i="6" s="1"/>
  <c r="J375" i="6"/>
  <c r="F375" i="6"/>
  <c r="H32" i="2" s="1"/>
  <c r="D375" i="6"/>
  <c r="B375" i="6"/>
  <c r="P374" i="6"/>
  <c r="O374" i="6"/>
  <c r="N374" i="6"/>
  <c r="M374" i="6"/>
  <c r="F374" i="6"/>
  <c r="D374" i="6"/>
  <c r="B374" i="6"/>
  <c r="P373" i="6"/>
  <c r="O373" i="6"/>
  <c r="N373" i="6"/>
  <c r="M373" i="6"/>
  <c r="F373" i="6"/>
  <c r="D373" i="6"/>
  <c r="B373" i="6"/>
  <c r="P372" i="6"/>
  <c r="O372" i="6"/>
  <c r="N372" i="6"/>
  <c r="M372" i="6"/>
  <c r="F372" i="6"/>
  <c r="D372" i="6"/>
  <c r="B372" i="6"/>
  <c r="P371" i="6"/>
  <c r="O371" i="6"/>
  <c r="N371" i="6"/>
  <c r="M371" i="6"/>
  <c r="F371" i="6"/>
  <c r="D371" i="6"/>
  <c r="B371" i="6"/>
  <c r="P370" i="6"/>
  <c r="O370" i="6"/>
  <c r="N370" i="6"/>
  <c r="M370" i="6"/>
  <c r="F370" i="6"/>
  <c r="D370" i="6"/>
  <c r="B370" i="6"/>
  <c r="P369" i="6"/>
  <c r="O369" i="6"/>
  <c r="N369" i="6"/>
  <c r="M369" i="6"/>
  <c r="F369" i="6"/>
  <c r="D369" i="6"/>
  <c r="B369" i="6"/>
  <c r="P368" i="6"/>
  <c r="O368" i="6"/>
  <c r="N368" i="6"/>
  <c r="M368" i="6"/>
  <c r="F368" i="6"/>
  <c r="D368" i="6"/>
  <c r="B368" i="6"/>
  <c r="P367" i="6"/>
  <c r="O367" i="6"/>
  <c r="N367" i="6"/>
  <c r="M367" i="6"/>
  <c r="F367" i="6"/>
  <c r="D367" i="6"/>
  <c r="B367" i="6"/>
  <c r="P366" i="6"/>
  <c r="O366" i="6"/>
  <c r="N366" i="6"/>
  <c r="M366" i="6"/>
  <c r="F366" i="6"/>
  <c r="D366" i="6"/>
  <c r="B366" i="6"/>
  <c r="P365" i="6"/>
  <c r="O365" i="6"/>
  <c r="N365" i="6"/>
  <c r="M365" i="6"/>
  <c r="F365" i="6"/>
  <c r="D365" i="6"/>
  <c r="B365" i="6"/>
  <c r="P364" i="6"/>
  <c r="O364" i="6"/>
  <c r="N364" i="6"/>
  <c r="M364" i="6"/>
  <c r="F364" i="6"/>
  <c r="D364" i="6"/>
  <c r="B364" i="6"/>
  <c r="T363" i="6"/>
  <c r="S363" i="6"/>
  <c r="R363" i="6"/>
  <c r="Q363" i="6"/>
  <c r="P363" i="6"/>
  <c r="O363" i="6"/>
  <c r="N363" i="6"/>
  <c r="M363" i="6"/>
  <c r="F363" i="6"/>
  <c r="H31" i="2" s="1"/>
  <c r="D363" i="6"/>
  <c r="B363" i="6"/>
  <c r="P362" i="6"/>
  <c r="O362" i="6"/>
  <c r="N362" i="6"/>
  <c r="M362" i="6"/>
  <c r="F362" i="6"/>
  <c r="D362" i="6"/>
  <c r="B362" i="6"/>
  <c r="P361" i="6"/>
  <c r="O361" i="6"/>
  <c r="N361" i="6"/>
  <c r="M361" i="6"/>
  <c r="F361" i="6"/>
  <c r="D361" i="6"/>
  <c r="B361" i="6"/>
  <c r="P360" i="6"/>
  <c r="O360" i="6"/>
  <c r="N360" i="6"/>
  <c r="M360" i="6"/>
  <c r="F360" i="6"/>
  <c r="D360" i="6"/>
  <c r="B360" i="6"/>
  <c r="P359" i="6"/>
  <c r="O359" i="6"/>
  <c r="N359" i="6"/>
  <c r="M359" i="6"/>
  <c r="F359" i="6"/>
  <c r="D359" i="6"/>
  <c r="B359" i="6"/>
  <c r="P358" i="6"/>
  <c r="O358" i="6"/>
  <c r="N358" i="6"/>
  <c r="M358" i="6"/>
  <c r="F358" i="6"/>
  <c r="D358" i="6"/>
  <c r="B358" i="6"/>
  <c r="P357" i="6"/>
  <c r="O357" i="6"/>
  <c r="N357" i="6"/>
  <c r="M357" i="6"/>
  <c r="F357" i="6"/>
  <c r="D357" i="6"/>
  <c r="B357" i="6"/>
  <c r="P356" i="6"/>
  <c r="O356" i="6"/>
  <c r="N356" i="6"/>
  <c r="M356" i="6"/>
  <c r="F356" i="6"/>
  <c r="D356" i="6"/>
  <c r="B356" i="6"/>
  <c r="P355" i="6"/>
  <c r="O355" i="6"/>
  <c r="N355" i="6"/>
  <c r="M355" i="6"/>
  <c r="F355" i="6"/>
  <c r="D355" i="6"/>
  <c r="B355" i="6"/>
  <c r="P354" i="6"/>
  <c r="O354" i="6"/>
  <c r="N354" i="6"/>
  <c r="M354" i="6"/>
  <c r="F354" i="6"/>
  <c r="D354" i="6"/>
  <c r="B354" i="6"/>
  <c r="P353" i="6"/>
  <c r="O353" i="6"/>
  <c r="N353" i="6"/>
  <c r="M353" i="6"/>
  <c r="F353" i="6"/>
  <c r="D353" i="6"/>
  <c r="B353" i="6"/>
  <c r="P352" i="6"/>
  <c r="O352" i="6"/>
  <c r="N352" i="6"/>
  <c r="M352" i="6"/>
  <c r="F352" i="6"/>
  <c r="D352" i="6"/>
  <c r="B352" i="6"/>
  <c r="T351" i="6"/>
  <c r="S351" i="6"/>
  <c r="R351" i="6"/>
  <c r="Q351" i="6"/>
  <c r="P351" i="6"/>
  <c r="O351" i="6"/>
  <c r="N351" i="6"/>
  <c r="M351" i="6"/>
  <c r="F351" i="6"/>
  <c r="H30" i="2" s="1"/>
  <c r="D351" i="6"/>
  <c r="B351" i="6"/>
  <c r="P350" i="6"/>
  <c r="O350" i="6"/>
  <c r="N350" i="6"/>
  <c r="M350" i="6"/>
  <c r="F350" i="6"/>
  <c r="D350" i="6"/>
  <c r="B350" i="6"/>
  <c r="P349" i="6"/>
  <c r="O349" i="6"/>
  <c r="N349" i="6"/>
  <c r="M349" i="6"/>
  <c r="F349" i="6"/>
  <c r="D349" i="6"/>
  <c r="B349" i="6"/>
  <c r="P348" i="6"/>
  <c r="O348" i="6"/>
  <c r="N348" i="6"/>
  <c r="M348" i="6"/>
  <c r="F348" i="6"/>
  <c r="D348" i="6"/>
  <c r="B348" i="6"/>
  <c r="P347" i="6"/>
  <c r="O347" i="6"/>
  <c r="N347" i="6"/>
  <c r="M347" i="6"/>
  <c r="F347" i="6"/>
  <c r="D347" i="6"/>
  <c r="B347" i="6"/>
  <c r="P346" i="6"/>
  <c r="O346" i="6"/>
  <c r="N346" i="6"/>
  <c r="M346" i="6"/>
  <c r="F346" i="6"/>
  <c r="D346" i="6"/>
  <c r="B346" i="6"/>
  <c r="P345" i="6"/>
  <c r="O345" i="6"/>
  <c r="N345" i="6"/>
  <c r="M345" i="6"/>
  <c r="F345" i="6"/>
  <c r="D345" i="6"/>
  <c r="B345" i="6"/>
  <c r="P344" i="6"/>
  <c r="O344" i="6"/>
  <c r="N344" i="6"/>
  <c r="M344" i="6"/>
  <c r="F344" i="6"/>
  <c r="D344" i="6"/>
  <c r="B344" i="6"/>
  <c r="P343" i="6"/>
  <c r="O343" i="6"/>
  <c r="N343" i="6"/>
  <c r="M343" i="6"/>
  <c r="F343" i="6"/>
  <c r="D343" i="6"/>
  <c r="B343" i="6"/>
  <c r="P342" i="6"/>
  <c r="O342" i="6"/>
  <c r="N342" i="6"/>
  <c r="M342" i="6"/>
  <c r="F342" i="6"/>
  <c r="D342" i="6"/>
  <c r="B342" i="6"/>
  <c r="P341" i="6"/>
  <c r="O341" i="6"/>
  <c r="N341" i="6"/>
  <c r="M341" i="6"/>
  <c r="F341" i="6"/>
  <c r="D341" i="6"/>
  <c r="B341" i="6"/>
  <c r="P340" i="6"/>
  <c r="O340" i="6"/>
  <c r="N340" i="6"/>
  <c r="M340" i="6"/>
  <c r="F340" i="6"/>
  <c r="D340" i="6"/>
  <c r="B340" i="6"/>
  <c r="T339" i="6"/>
  <c r="S339" i="6"/>
  <c r="R339" i="6"/>
  <c r="Q339" i="6"/>
  <c r="P339" i="6"/>
  <c r="O339" i="6"/>
  <c r="N339" i="6"/>
  <c r="M339" i="6"/>
  <c r="F339" i="6"/>
  <c r="H29" i="2" s="1"/>
  <c r="D339" i="6"/>
  <c r="B339" i="6"/>
  <c r="P338" i="6"/>
  <c r="O338" i="6"/>
  <c r="N338" i="6"/>
  <c r="M338" i="6"/>
  <c r="F338" i="6"/>
  <c r="D338" i="6"/>
  <c r="B338" i="6"/>
  <c r="P337" i="6"/>
  <c r="O337" i="6"/>
  <c r="N337" i="6"/>
  <c r="M337" i="6"/>
  <c r="F337" i="6"/>
  <c r="D337" i="6"/>
  <c r="B337" i="6"/>
  <c r="P336" i="6"/>
  <c r="O336" i="6"/>
  <c r="N336" i="6"/>
  <c r="M336" i="6"/>
  <c r="F336" i="6"/>
  <c r="D336" i="6"/>
  <c r="B336" i="6"/>
  <c r="P335" i="6"/>
  <c r="O335" i="6"/>
  <c r="N335" i="6"/>
  <c r="M335" i="6"/>
  <c r="F335" i="6"/>
  <c r="D335" i="6"/>
  <c r="B335" i="6"/>
  <c r="P334" i="6"/>
  <c r="O334" i="6"/>
  <c r="N334" i="6"/>
  <c r="M334" i="6"/>
  <c r="F334" i="6"/>
  <c r="D334" i="6"/>
  <c r="B334" i="6"/>
  <c r="P333" i="6"/>
  <c r="O333" i="6"/>
  <c r="N333" i="6"/>
  <c r="M333" i="6"/>
  <c r="F333" i="6"/>
  <c r="D333" i="6"/>
  <c r="B333" i="6"/>
  <c r="P332" i="6"/>
  <c r="O332" i="6"/>
  <c r="N332" i="6"/>
  <c r="M332" i="6"/>
  <c r="F332" i="6"/>
  <c r="D332" i="6"/>
  <c r="B332" i="6"/>
  <c r="P331" i="6"/>
  <c r="O331" i="6"/>
  <c r="N331" i="6"/>
  <c r="M331" i="6"/>
  <c r="F331" i="6"/>
  <c r="D331" i="6"/>
  <c r="B331" i="6"/>
  <c r="P330" i="6"/>
  <c r="O330" i="6"/>
  <c r="N330" i="6"/>
  <c r="M330" i="6"/>
  <c r="F330" i="6"/>
  <c r="D330" i="6"/>
  <c r="B330" i="6"/>
  <c r="P329" i="6"/>
  <c r="O329" i="6"/>
  <c r="N329" i="6"/>
  <c r="M329" i="6"/>
  <c r="F329" i="6"/>
  <c r="D329" i="6"/>
  <c r="B329" i="6"/>
  <c r="P328" i="6"/>
  <c r="O328" i="6"/>
  <c r="N328" i="6"/>
  <c r="M328" i="6"/>
  <c r="F328" i="6"/>
  <c r="D328" i="6"/>
  <c r="B328" i="6"/>
  <c r="T327" i="6"/>
  <c r="S327" i="6"/>
  <c r="R327" i="6"/>
  <c r="Q327" i="6"/>
  <c r="P327" i="6"/>
  <c r="O327" i="6"/>
  <c r="N327" i="6"/>
  <c r="M327" i="6"/>
  <c r="F327" i="6"/>
  <c r="H28" i="2" s="1"/>
  <c r="D327" i="6"/>
  <c r="B327" i="6"/>
  <c r="P326" i="6"/>
  <c r="O326" i="6"/>
  <c r="N326" i="6"/>
  <c r="M326" i="6"/>
  <c r="B326" i="6"/>
  <c r="P325" i="6"/>
  <c r="O325" i="6"/>
  <c r="N325" i="6"/>
  <c r="M325" i="6"/>
  <c r="B325" i="6"/>
  <c r="P324" i="6"/>
  <c r="O324" i="6"/>
  <c r="N324" i="6"/>
  <c r="M324" i="6"/>
  <c r="B324" i="6"/>
  <c r="P323" i="6"/>
  <c r="O323" i="6"/>
  <c r="N323" i="6"/>
  <c r="M323" i="6"/>
  <c r="B323" i="6"/>
  <c r="P322" i="6"/>
  <c r="O322" i="6"/>
  <c r="N322" i="6"/>
  <c r="M322" i="6"/>
  <c r="B322" i="6"/>
  <c r="P321" i="6"/>
  <c r="O321" i="6"/>
  <c r="N321" i="6"/>
  <c r="M321" i="6"/>
  <c r="B321" i="6"/>
  <c r="P320" i="6"/>
  <c r="O320" i="6"/>
  <c r="N320" i="6"/>
  <c r="M320" i="6"/>
  <c r="B320" i="6"/>
  <c r="P319" i="6"/>
  <c r="O319" i="6"/>
  <c r="N319" i="6"/>
  <c r="M319" i="6"/>
  <c r="B319" i="6"/>
  <c r="P318" i="6"/>
  <c r="O318" i="6"/>
  <c r="N318" i="6"/>
  <c r="M318" i="6"/>
  <c r="B318" i="6"/>
  <c r="P317" i="6"/>
  <c r="O317" i="6"/>
  <c r="N317" i="6"/>
  <c r="M317" i="6"/>
  <c r="B317" i="6"/>
  <c r="P316" i="6"/>
  <c r="O316" i="6"/>
  <c r="N316" i="6"/>
  <c r="M316" i="6"/>
  <c r="B316" i="6"/>
  <c r="V315" i="6"/>
  <c r="P315" i="6"/>
  <c r="O315" i="6"/>
  <c r="N315" i="6"/>
  <c r="M315" i="6"/>
  <c r="B315" i="6"/>
  <c r="P314" i="6"/>
  <c r="O314" i="6"/>
  <c r="N314" i="6"/>
  <c r="F314" i="6"/>
  <c r="D314" i="6"/>
  <c r="B314" i="6"/>
  <c r="G314" i="6" s="1" a="1"/>
  <c r="G314" i="6" s="1"/>
  <c r="M314" i="6" s="1"/>
  <c r="P313" i="6"/>
  <c r="O313" i="6"/>
  <c r="N313" i="6"/>
  <c r="F313" i="6"/>
  <c r="D313" i="6"/>
  <c r="B313" i="6"/>
  <c r="G313" i="6" s="1" a="1"/>
  <c r="G313" i="6" s="1"/>
  <c r="M313" i="6" s="1"/>
  <c r="P312" i="6"/>
  <c r="O312" i="6"/>
  <c r="N312" i="6"/>
  <c r="F312" i="6"/>
  <c r="D312" i="6"/>
  <c r="B312" i="6"/>
  <c r="G312" i="6" s="1" a="1"/>
  <c r="G312" i="6" s="1"/>
  <c r="M312" i="6" s="1"/>
  <c r="P311" i="6"/>
  <c r="O311" i="6"/>
  <c r="N311" i="6"/>
  <c r="F311" i="6"/>
  <c r="D311" i="6"/>
  <c r="B311" i="6"/>
  <c r="G311" i="6" s="1" a="1"/>
  <c r="G311" i="6" s="1"/>
  <c r="M311" i="6" s="1"/>
  <c r="P310" i="6"/>
  <c r="O310" i="6"/>
  <c r="N310" i="6"/>
  <c r="F310" i="6"/>
  <c r="D310" i="6"/>
  <c r="B310" i="6"/>
  <c r="G310" i="6" s="1" a="1"/>
  <c r="G310" i="6" s="1"/>
  <c r="M310" i="6" s="1"/>
  <c r="P309" i="6"/>
  <c r="O309" i="6"/>
  <c r="N309" i="6"/>
  <c r="F309" i="6"/>
  <c r="D309" i="6"/>
  <c r="B309" i="6"/>
  <c r="G309" i="6" s="1" a="1"/>
  <c r="G309" i="6" s="1"/>
  <c r="M309" i="6" s="1"/>
  <c r="P308" i="6"/>
  <c r="O308" i="6"/>
  <c r="N308" i="6"/>
  <c r="F308" i="6"/>
  <c r="D308" i="6"/>
  <c r="B308" i="6"/>
  <c r="G308" i="6" s="1" a="1"/>
  <c r="G308" i="6" s="1"/>
  <c r="M308" i="6" s="1"/>
  <c r="P307" i="6"/>
  <c r="O307" i="6"/>
  <c r="N307" i="6"/>
  <c r="F307" i="6"/>
  <c r="D307" i="6"/>
  <c r="B307" i="6"/>
  <c r="G307" i="6" s="1" a="1"/>
  <c r="G307" i="6" s="1"/>
  <c r="M307" i="6" s="1"/>
  <c r="P306" i="6"/>
  <c r="O306" i="6"/>
  <c r="N306" i="6"/>
  <c r="F306" i="6"/>
  <c r="D306" i="6"/>
  <c r="B306" i="6"/>
  <c r="G306" i="6" s="1" a="1"/>
  <c r="G306" i="6" s="1"/>
  <c r="M306" i="6" s="1"/>
  <c r="P305" i="6"/>
  <c r="O305" i="6"/>
  <c r="N305" i="6"/>
  <c r="F305" i="6"/>
  <c r="D305" i="6"/>
  <c r="B305" i="6"/>
  <c r="G305" i="6" s="1" a="1"/>
  <c r="G305" i="6" s="1"/>
  <c r="M305" i="6" s="1"/>
  <c r="P304" i="6"/>
  <c r="O304" i="6"/>
  <c r="N304" i="6"/>
  <c r="F304" i="6"/>
  <c r="D304" i="6"/>
  <c r="B304" i="6"/>
  <c r="G304" i="6" s="1" a="1"/>
  <c r="G304" i="6" s="1"/>
  <c r="M304" i="6" s="1"/>
  <c r="T303" i="6"/>
  <c r="S303" i="6"/>
  <c r="R303" i="6"/>
  <c r="P303" i="6"/>
  <c r="O303" i="6"/>
  <c r="N303" i="6"/>
  <c r="F303" i="6"/>
  <c r="H26" i="2" s="1"/>
  <c r="D303" i="6"/>
  <c r="B303" i="6"/>
  <c r="G303" i="6" s="1" a="1"/>
  <c r="G303" i="6" s="1"/>
  <c r="M303" i="6" s="1"/>
  <c r="P302" i="6"/>
  <c r="O302" i="6"/>
  <c r="N302" i="6"/>
  <c r="M302" i="6"/>
  <c r="F302" i="6"/>
  <c r="D302" i="6"/>
  <c r="B302" i="6"/>
  <c r="P301" i="6"/>
  <c r="O301" i="6"/>
  <c r="N301" i="6"/>
  <c r="M301" i="6"/>
  <c r="F301" i="6"/>
  <c r="D301" i="6"/>
  <c r="B301" i="6"/>
  <c r="P300" i="6"/>
  <c r="O300" i="6"/>
  <c r="N300" i="6"/>
  <c r="M300" i="6"/>
  <c r="F300" i="6"/>
  <c r="D300" i="6"/>
  <c r="B300" i="6"/>
  <c r="P299" i="6"/>
  <c r="O299" i="6"/>
  <c r="N299" i="6"/>
  <c r="M299" i="6"/>
  <c r="F299" i="6"/>
  <c r="D299" i="6"/>
  <c r="B299" i="6"/>
  <c r="P298" i="6"/>
  <c r="O298" i="6"/>
  <c r="N298" i="6"/>
  <c r="M298" i="6"/>
  <c r="F298" i="6"/>
  <c r="D298" i="6"/>
  <c r="B298" i="6"/>
  <c r="P297" i="6"/>
  <c r="O297" i="6"/>
  <c r="N297" i="6"/>
  <c r="M297" i="6"/>
  <c r="F297" i="6"/>
  <c r="D297" i="6"/>
  <c r="B297" i="6"/>
  <c r="P296" i="6"/>
  <c r="O296" i="6"/>
  <c r="N296" i="6"/>
  <c r="M296" i="6"/>
  <c r="F296" i="6"/>
  <c r="D296" i="6"/>
  <c r="B296" i="6"/>
  <c r="P295" i="6"/>
  <c r="O295" i="6"/>
  <c r="N295" i="6"/>
  <c r="M295" i="6"/>
  <c r="F295" i="6"/>
  <c r="D295" i="6"/>
  <c r="B295" i="6"/>
  <c r="P294" i="6"/>
  <c r="O294" i="6"/>
  <c r="N294" i="6"/>
  <c r="M294" i="6"/>
  <c r="F294" i="6"/>
  <c r="D294" i="6"/>
  <c r="B294" i="6"/>
  <c r="P293" i="6"/>
  <c r="O293" i="6"/>
  <c r="N293" i="6"/>
  <c r="M293" i="6"/>
  <c r="F293" i="6"/>
  <c r="D293" i="6"/>
  <c r="B293" i="6"/>
  <c r="P292" i="6"/>
  <c r="O292" i="6"/>
  <c r="N292" i="6"/>
  <c r="M292" i="6"/>
  <c r="F292" i="6"/>
  <c r="D292" i="6"/>
  <c r="B292" i="6"/>
  <c r="T291" i="6"/>
  <c r="S291" i="6"/>
  <c r="R291" i="6"/>
  <c r="Q291" i="6"/>
  <c r="P291" i="6"/>
  <c r="O291" i="6"/>
  <c r="N291" i="6"/>
  <c r="M291" i="6"/>
  <c r="F291" i="6"/>
  <c r="H25" i="2" s="1"/>
  <c r="D291" i="6"/>
  <c r="B291" i="6"/>
  <c r="O290" i="6"/>
  <c r="N290" i="6"/>
  <c r="M290" i="6"/>
  <c r="K290" i="6"/>
  <c r="P290" i="6" s="1"/>
  <c r="F290" i="6"/>
  <c r="D290" i="6"/>
  <c r="B290" i="6"/>
  <c r="O289" i="6"/>
  <c r="N289" i="6"/>
  <c r="M289" i="6"/>
  <c r="K289" i="6"/>
  <c r="P289" i="6" s="1"/>
  <c r="F289" i="6"/>
  <c r="D289" i="6"/>
  <c r="B289" i="6"/>
  <c r="O288" i="6"/>
  <c r="N288" i="6"/>
  <c r="M288" i="6"/>
  <c r="K288" i="6"/>
  <c r="P288" i="6" s="1"/>
  <c r="F288" i="6"/>
  <c r="D288" i="6"/>
  <c r="B288" i="6"/>
  <c r="O287" i="6"/>
  <c r="N287" i="6"/>
  <c r="M287" i="6"/>
  <c r="K287" i="6"/>
  <c r="P287" i="6" s="1"/>
  <c r="F287" i="6"/>
  <c r="D287" i="6"/>
  <c r="B287" i="6"/>
  <c r="O286" i="6"/>
  <c r="N286" i="6"/>
  <c r="M286" i="6"/>
  <c r="K286" i="6"/>
  <c r="P286" i="6" s="1"/>
  <c r="F286" i="6"/>
  <c r="D286" i="6"/>
  <c r="B286" i="6"/>
  <c r="O285" i="6"/>
  <c r="N285" i="6"/>
  <c r="M285" i="6"/>
  <c r="K285" i="6"/>
  <c r="P285" i="6" s="1"/>
  <c r="F285" i="6"/>
  <c r="D285" i="6"/>
  <c r="B285" i="6"/>
  <c r="O284" i="6"/>
  <c r="N284" i="6"/>
  <c r="M284" i="6"/>
  <c r="K284" i="6"/>
  <c r="P284" i="6" s="1"/>
  <c r="F284" i="6"/>
  <c r="D284" i="6"/>
  <c r="B284" i="6"/>
  <c r="O283" i="6"/>
  <c r="N283" i="6"/>
  <c r="M283" i="6"/>
  <c r="K283" i="6"/>
  <c r="P283" i="6" s="1"/>
  <c r="F283" i="6"/>
  <c r="D283" i="6"/>
  <c r="B283" i="6"/>
  <c r="O282" i="6"/>
  <c r="N282" i="6"/>
  <c r="M282" i="6"/>
  <c r="K282" i="6"/>
  <c r="P282" i="6" s="1"/>
  <c r="F282" i="6"/>
  <c r="D282" i="6"/>
  <c r="B282" i="6"/>
  <c r="O281" i="6"/>
  <c r="N281" i="6"/>
  <c r="M281" i="6"/>
  <c r="K281" i="6"/>
  <c r="P281" i="6" s="1"/>
  <c r="F281" i="6"/>
  <c r="D281" i="6"/>
  <c r="B281" i="6"/>
  <c r="O280" i="6"/>
  <c r="N280" i="6"/>
  <c r="M280" i="6"/>
  <c r="K280" i="6"/>
  <c r="P280" i="6" s="1"/>
  <c r="F280" i="6"/>
  <c r="D280" i="6"/>
  <c r="B280" i="6"/>
  <c r="S279" i="6"/>
  <c r="R279" i="6"/>
  <c r="Q279" i="6"/>
  <c r="O279" i="6"/>
  <c r="N279" i="6"/>
  <c r="M279" i="6"/>
  <c r="K279" i="6"/>
  <c r="P279" i="6" s="1"/>
  <c r="F279" i="6"/>
  <c r="H24" i="2" s="1"/>
  <c r="D279" i="6"/>
  <c r="B279" i="6"/>
  <c r="AB278" i="6"/>
  <c r="AA278" i="6"/>
  <c r="Z278" i="6"/>
  <c r="P278" i="6"/>
  <c r="O278" i="6"/>
  <c r="N278" i="6"/>
  <c r="M278" i="6"/>
  <c r="B278" i="6"/>
  <c r="AB277" i="6"/>
  <c r="AA277" i="6"/>
  <c r="Z277" i="6"/>
  <c r="P277" i="6"/>
  <c r="O277" i="6"/>
  <c r="N277" i="6"/>
  <c r="M277" i="6"/>
  <c r="B277" i="6"/>
  <c r="AB276" i="6"/>
  <c r="AA276" i="6"/>
  <c r="Z276" i="6"/>
  <c r="P276" i="6"/>
  <c r="O276" i="6"/>
  <c r="N276" i="6"/>
  <c r="M276" i="6"/>
  <c r="B276" i="6"/>
  <c r="AB275" i="6"/>
  <c r="AA275" i="6"/>
  <c r="Z275" i="6"/>
  <c r="P275" i="6"/>
  <c r="O275" i="6"/>
  <c r="N275" i="6"/>
  <c r="M275" i="6"/>
  <c r="B275" i="6"/>
  <c r="AB274" i="6"/>
  <c r="AA274" i="6"/>
  <c r="Z274" i="6"/>
  <c r="P274" i="6"/>
  <c r="O274" i="6"/>
  <c r="N274" i="6"/>
  <c r="M274" i="6"/>
  <c r="B274" i="6"/>
  <c r="AB273" i="6"/>
  <c r="AA273" i="6"/>
  <c r="Z273" i="6"/>
  <c r="P273" i="6"/>
  <c r="O273" i="6"/>
  <c r="N273" i="6"/>
  <c r="M273" i="6"/>
  <c r="B273" i="6"/>
  <c r="AB272" i="6"/>
  <c r="AA272" i="6"/>
  <c r="Z272" i="6"/>
  <c r="P272" i="6"/>
  <c r="O272" i="6"/>
  <c r="N272" i="6"/>
  <c r="M272" i="6"/>
  <c r="B272" i="6"/>
  <c r="AB271" i="6"/>
  <c r="AA271" i="6"/>
  <c r="Z271" i="6"/>
  <c r="P271" i="6"/>
  <c r="O271" i="6"/>
  <c r="N271" i="6"/>
  <c r="M271" i="6"/>
  <c r="B271" i="6"/>
  <c r="AB270" i="6"/>
  <c r="AA270" i="6"/>
  <c r="Z270" i="6"/>
  <c r="P270" i="6"/>
  <c r="O270" i="6"/>
  <c r="N270" i="6"/>
  <c r="M270" i="6"/>
  <c r="B270" i="6"/>
  <c r="AB269" i="6"/>
  <c r="AA269" i="6"/>
  <c r="Z269" i="6"/>
  <c r="P269" i="6"/>
  <c r="O269" i="6"/>
  <c r="N269" i="6"/>
  <c r="M269" i="6"/>
  <c r="B269" i="6"/>
  <c r="AB268" i="6"/>
  <c r="AA268" i="6"/>
  <c r="Z268" i="6"/>
  <c r="P268" i="6"/>
  <c r="O268" i="6"/>
  <c r="N268" i="6"/>
  <c r="M268" i="6"/>
  <c r="B268" i="6"/>
  <c r="AB267" i="6"/>
  <c r="AA267" i="6"/>
  <c r="Z267" i="6"/>
  <c r="P267" i="6"/>
  <c r="O267" i="6"/>
  <c r="N267" i="6"/>
  <c r="M267" i="6"/>
  <c r="B267" i="6"/>
  <c r="P266" i="6"/>
  <c r="O266" i="6"/>
  <c r="N266" i="6"/>
  <c r="M266" i="6"/>
  <c r="F266" i="6"/>
  <c r="D266" i="6"/>
  <c r="B266" i="6"/>
  <c r="P265" i="6"/>
  <c r="O265" i="6"/>
  <c r="N265" i="6"/>
  <c r="M265" i="6"/>
  <c r="F265" i="6"/>
  <c r="D265" i="6"/>
  <c r="B265" i="6"/>
  <c r="P264" i="6"/>
  <c r="O264" i="6"/>
  <c r="N264" i="6"/>
  <c r="M264" i="6"/>
  <c r="F264" i="6"/>
  <c r="D264" i="6"/>
  <c r="B264" i="6"/>
  <c r="P263" i="6"/>
  <c r="O263" i="6"/>
  <c r="N263" i="6"/>
  <c r="M263" i="6"/>
  <c r="F263" i="6"/>
  <c r="D263" i="6"/>
  <c r="B263" i="6"/>
  <c r="P262" i="6"/>
  <c r="O262" i="6"/>
  <c r="N262" i="6"/>
  <c r="M262" i="6"/>
  <c r="F262" i="6"/>
  <c r="D262" i="6"/>
  <c r="B262" i="6"/>
  <c r="P261" i="6"/>
  <c r="O261" i="6"/>
  <c r="N261" i="6"/>
  <c r="M261" i="6"/>
  <c r="F261" i="6"/>
  <c r="D261" i="6"/>
  <c r="B261" i="6"/>
  <c r="P260" i="6"/>
  <c r="O260" i="6"/>
  <c r="N260" i="6"/>
  <c r="M260" i="6"/>
  <c r="F260" i="6"/>
  <c r="D260" i="6"/>
  <c r="B260" i="6"/>
  <c r="P259" i="6"/>
  <c r="O259" i="6"/>
  <c r="N259" i="6"/>
  <c r="M259" i="6"/>
  <c r="F259" i="6"/>
  <c r="D259" i="6"/>
  <c r="B259" i="6"/>
  <c r="P258" i="6"/>
  <c r="O258" i="6"/>
  <c r="N258" i="6"/>
  <c r="M258" i="6"/>
  <c r="F258" i="6"/>
  <c r="D258" i="6"/>
  <c r="B258" i="6"/>
  <c r="P257" i="6"/>
  <c r="O257" i="6"/>
  <c r="N257" i="6"/>
  <c r="M257" i="6"/>
  <c r="F257" i="6"/>
  <c r="D257" i="6"/>
  <c r="B257" i="6"/>
  <c r="P256" i="6"/>
  <c r="O256" i="6"/>
  <c r="N256" i="6"/>
  <c r="M256" i="6"/>
  <c r="F256" i="6"/>
  <c r="D256" i="6"/>
  <c r="B256" i="6"/>
  <c r="T255" i="6"/>
  <c r="S255" i="6"/>
  <c r="R255" i="6"/>
  <c r="Q255" i="6"/>
  <c r="P255" i="6"/>
  <c r="O255" i="6"/>
  <c r="N255" i="6"/>
  <c r="M255" i="6"/>
  <c r="F255" i="6"/>
  <c r="H23" i="2" s="1"/>
  <c r="D255" i="6"/>
  <c r="B255" i="6"/>
  <c r="O254" i="6"/>
  <c r="N254" i="6"/>
  <c r="M254" i="6"/>
  <c r="K254" i="6"/>
  <c r="P254" i="6" s="1"/>
  <c r="B254" i="6"/>
  <c r="O253" i="6"/>
  <c r="N253" i="6"/>
  <c r="M253" i="6"/>
  <c r="K253" i="6"/>
  <c r="P253" i="6" s="1"/>
  <c r="B253" i="6"/>
  <c r="O252" i="6"/>
  <c r="N252" i="6"/>
  <c r="M252" i="6"/>
  <c r="K252" i="6"/>
  <c r="P252" i="6" s="1"/>
  <c r="B252" i="6"/>
  <c r="O251" i="6"/>
  <c r="N251" i="6"/>
  <c r="M251" i="6"/>
  <c r="K251" i="6"/>
  <c r="P251" i="6" s="1"/>
  <c r="B251" i="6"/>
  <c r="O250" i="6"/>
  <c r="N250" i="6"/>
  <c r="M250" i="6"/>
  <c r="K250" i="6"/>
  <c r="P250" i="6" s="1"/>
  <c r="B250" i="6"/>
  <c r="O249" i="6"/>
  <c r="N249" i="6"/>
  <c r="M249" i="6"/>
  <c r="K249" i="6"/>
  <c r="P249" i="6" s="1"/>
  <c r="B249" i="6"/>
  <c r="O248" i="6"/>
  <c r="N248" i="6"/>
  <c r="M248" i="6"/>
  <c r="K248" i="6"/>
  <c r="P248" i="6" s="1"/>
  <c r="B248" i="6"/>
  <c r="O247" i="6"/>
  <c r="N247" i="6"/>
  <c r="M247" i="6"/>
  <c r="K247" i="6"/>
  <c r="P247" i="6" s="1"/>
  <c r="B247" i="6"/>
  <c r="O246" i="6"/>
  <c r="N246" i="6"/>
  <c r="M246" i="6"/>
  <c r="K246" i="6"/>
  <c r="P246" i="6" s="1"/>
  <c r="B246" i="6"/>
  <c r="O245" i="6"/>
  <c r="N245" i="6"/>
  <c r="M245" i="6"/>
  <c r="K245" i="6"/>
  <c r="P245" i="6" s="1"/>
  <c r="B245" i="6"/>
  <c r="O244" i="6"/>
  <c r="N244" i="6"/>
  <c r="M244" i="6"/>
  <c r="K244" i="6"/>
  <c r="P244" i="6" s="1"/>
  <c r="B244" i="6"/>
  <c r="S243" i="6"/>
  <c r="R243" i="6"/>
  <c r="Q243" i="6"/>
  <c r="O243" i="6"/>
  <c r="N243" i="6"/>
  <c r="M243" i="6"/>
  <c r="K243" i="6"/>
  <c r="P243" i="6" s="1"/>
  <c r="B243" i="6"/>
  <c r="P242" i="6"/>
  <c r="O242" i="6"/>
  <c r="N242" i="6"/>
  <c r="M242" i="6"/>
  <c r="B242" i="6"/>
  <c r="P241" i="6"/>
  <c r="O241" i="6"/>
  <c r="N241" i="6"/>
  <c r="M241" i="6"/>
  <c r="B241" i="6"/>
  <c r="P240" i="6"/>
  <c r="O240" i="6"/>
  <c r="N240" i="6"/>
  <c r="M240" i="6"/>
  <c r="B240" i="6"/>
  <c r="P239" i="6"/>
  <c r="O239" i="6"/>
  <c r="N239" i="6"/>
  <c r="M239" i="6"/>
  <c r="B239" i="6"/>
  <c r="P238" i="6"/>
  <c r="O238" i="6"/>
  <c r="N238" i="6"/>
  <c r="M238" i="6"/>
  <c r="B238" i="6"/>
  <c r="P237" i="6"/>
  <c r="O237" i="6"/>
  <c r="N237" i="6"/>
  <c r="M237" i="6"/>
  <c r="B237" i="6"/>
  <c r="P236" i="6"/>
  <c r="O236" i="6"/>
  <c r="N236" i="6"/>
  <c r="M236" i="6"/>
  <c r="B236" i="6"/>
  <c r="P235" i="6"/>
  <c r="O235" i="6"/>
  <c r="N235" i="6"/>
  <c r="M235" i="6"/>
  <c r="B235" i="6"/>
  <c r="P234" i="6"/>
  <c r="O234" i="6"/>
  <c r="N234" i="6"/>
  <c r="M234" i="6"/>
  <c r="B234" i="6"/>
  <c r="P233" i="6"/>
  <c r="O233" i="6"/>
  <c r="N233" i="6"/>
  <c r="M233" i="6"/>
  <c r="B233" i="6"/>
  <c r="P232" i="6"/>
  <c r="O232" i="6"/>
  <c r="N232" i="6"/>
  <c r="M232" i="6"/>
  <c r="B232" i="6"/>
  <c r="P231" i="6"/>
  <c r="O231" i="6"/>
  <c r="N231" i="6"/>
  <c r="M231" i="6"/>
  <c r="B231" i="6"/>
  <c r="P230" i="6"/>
  <c r="O230" i="6"/>
  <c r="N230" i="6"/>
  <c r="F230" i="6"/>
  <c r="M230" i="6"/>
  <c r="D230" i="6"/>
  <c r="B230" i="6"/>
  <c r="F229" i="6"/>
  <c r="P229" i="6"/>
  <c r="D229" i="6"/>
  <c r="B229" i="6"/>
  <c r="F228" i="6"/>
  <c r="N228" i="6"/>
  <c r="D228" i="6"/>
  <c r="B228" i="6"/>
  <c r="F227" i="6"/>
  <c r="P227" i="6"/>
  <c r="D227" i="6"/>
  <c r="B227" i="6"/>
  <c r="F226" i="6"/>
  <c r="P226" i="6"/>
  <c r="D226" i="6"/>
  <c r="B226" i="6"/>
  <c r="P225" i="6"/>
  <c r="O225" i="6"/>
  <c r="N225" i="6"/>
  <c r="F225" i="6"/>
  <c r="M225" i="6"/>
  <c r="D225" i="6"/>
  <c r="B225" i="6"/>
  <c r="F224" i="6"/>
  <c r="O224" i="6"/>
  <c r="D224" i="6"/>
  <c r="B224" i="6"/>
  <c r="F223" i="6"/>
  <c r="M223" i="6"/>
  <c r="D223" i="6"/>
  <c r="B223" i="6"/>
  <c r="F222" i="6"/>
  <c r="M222" i="6"/>
  <c r="D222" i="6"/>
  <c r="B222" i="6"/>
  <c r="F221" i="6"/>
  <c r="P221" i="6"/>
  <c r="D221" i="6"/>
  <c r="B221" i="6"/>
  <c r="F220" i="6"/>
  <c r="M220" i="6"/>
  <c r="D220" i="6"/>
  <c r="B220" i="6"/>
  <c r="F219" i="6"/>
  <c r="H21" i="2" s="1"/>
  <c r="G21" i="2"/>
  <c r="D219" i="6"/>
  <c r="B219" i="6"/>
  <c r="P218" i="6"/>
  <c r="O218" i="6"/>
  <c r="N218" i="6"/>
  <c r="M218" i="6"/>
  <c r="F218" i="6"/>
  <c r="D218" i="6"/>
  <c r="B218" i="6"/>
  <c r="P217" i="6"/>
  <c r="O217" i="6"/>
  <c r="N217" i="6"/>
  <c r="M217" i="6"/>
  <c r="F217" i="6"/>
  <c r="D217" i="6"/>
  <c r="B217" i="6"/>
  <c r="P216" i="6"/>
  <c r="O216" i="6"/>
  <c r="N216" i="6"/>
  <c r="M216" i="6"/>
  <c r="F216" i="6"/>
  <c r="D216" i="6"/>
  <c r="B216" i="6"/>
  <c r="P215" i="6"/>
  <c r="O215" i="6"/>
  <c r="N215" i="6"/>
  <c r="M215" i="6"/>
  <c r="F215" i="6"/>
  <c r="D215" i="6"/>
  <c r="B215" i="6"/>
  <c r="P214" i="6"/>
  <c r="O214" i="6"/>
  <c r="N214" i="6"/>
  <c r="M214" i="6"/>
  <c r="F214" i="6"/>
  <c r="D214" i="6"/>
  <c r="B214" i="6"/>
  <c r="P213" i="6"/>
  <c r="O213" i="6"/>
  <c r="N213" i="6"/>
  <c r="M213" i="6"/>
  <c r="F213" i="6"/>
  <c r="D213" i="6"/>
  <c r="B213" i="6"/>
  <c r="P212" i="6"/>
  <c r="O212" i="6"/>
  <c r="N212" i="6"/>
  <c r="M212" i="6"/>
  <c r="F212" i="6"/>
  <c r="D212" i="6"/>
  <c r="B212" i="6"/>
  <c r="P211" i="6"/>
  <c r="O211" i="6"/>
  <c r="N211" i="6"/>
  <c r="M211" i="6"/>
  <c r="F211" i="6"/>
  <c r="D211" i="6"/>
  <c r="B211" i="6"/>
  <c r="P210" i="6"/>
  <c r="O210" i="6"/>
  <c r="N210" i="6"/>
  <c r="M210" i="6"/>
  <c r="F210" i="6"/>
  <c r="D210" i="6"/>
  <c r="B210" i="6"/>
  <c r="P209" i="6"/>
  <c r="O209" i="6"/>
  <c r="N209" i="6"/>
  <c r="M209" i="6"/>
  <c r="F209" i="6"/>
  <c r="D209" i="6"/>
  <c r="B209" i="6"/>
  <c r="P208" i="6"/>
  <c r="O208" i="6"/>
  <c r="N208" i="6"/>
  <c r="M208" i="6"/>
  <c r="F208" i="6"/>
  <c r="D208" i="6"/>
  <c r="B208" i="6"/>
  <c r="R207" i="6"/>
  <c r="Q207" i="6"/>
  <c r="P207" i="6"/>
  <c r="O207" i="6"/>
  <c r="N207" i="6"/>
  <c r="M207" i="6"/>
  <c r="F207" i="6"/>
  <c r="H20" i="2" s="1"/>
  <c r="D207" i="6"/>
  <c r="B207" i="6"/>
  <c r="P206" i="6"/>
  <c r="O206" i="6"/>
  <c r="N206" i="6"/>
  <c r="M206" i="6"/>
  <c r="F206" i="6"/>
  <c r="D206" i="6"/>
  <c r="B206" i="6"/>
  <c r="P205" i="6"/>
  <c r="O205" i="6"/>
  <c r="N205" i="6"/>
  <c r="M205" i="6"/>
  <c r="F205" i="6"/>
  <c r="D205" i="6"/>
  <c r="B205" i="6"/>
  <c r="P204" i="6"/>
  <c r="O204" i="6"/>
  <c r="N204" i="6"/>
  <c r="M204" i="6"/>
  <c r="F204" i="6"/>
  <c r="D204" i="6"/>
  <c r="B204" i="6"/>
  <c r="P203" i="6"/>
  <c r="O203" i="6"/>
  <c r="N203" i="6"/>
  <c r="M203" i="6"/>
  <c r="F203" i="6"/>
  <c r="D203" i="6"/>
  <c r="B203" i="6"/>
  <c r="P202" i="6"/>
  <c r="O202" i="6"/>
  <c r="N202" i="6"/>
  <c r="M202" i="6"/>
  <c r="F202" i="6"/>
  <c r="D202" i="6"/>
  <c r="B202" i="6"/>
  <c r="P201" i="6"/>
  <c r="O201" i="6"/>
  <c r="N201" i="6"/>
  <c r="M201" i="6"/>
  <c r="F201" i="6"/>
  <c r="D201" i="6"/>
  <c r="B201" i="6"/>
  <c r="P200" i="6"/>
  <c r="O200" i="6"/>
  <c r="N200" i="6"/>
  <c r="M200" i="6"/>
  <c r="F200" i="6"/>
  <c r="D200" i="6"/>
  <c r="B200" i="6"/>
  <c r="P199" i="6"/>
  <c r="O199" i="6"/>
  <c r="N199" i="6"/>
  <c r="M199" i="6"/>
  <c r="F199" i="6"/>
  <c r="D199" i="6"/>
  <c r="B199" i="6"/>
  <c r="P198" i="6"/>
  <c r="O198" i="6"/>
  <c r="N198" i="6"/>
  <c r="M198" i="6"/>
  <c r="F198" i="6"/>
  <c r="D198" i="6"/>
  <c r="B198" i="6"/>
  <c r="P197" i="6"/>
  <c r="O197" i="6"/>
  <c r="N197" i="6"/>
  <c r="M197" i="6"/>
  <c r="F197" i="6"/>
  <c r="D197" i="6"/>
  <c r="B197" i="6"/>
  <c r="P196" i="6"/>
  <c r="O196" i="6"/>
  <c r="N196" i="6"/>
  <c r="M196" i="6"/>
  <c r="F196" i="6"/>
  <c r="D196" i="6"/>
  <c r="B196" i="6"/>
  <c r="U195" i="6"/>
  <c r="V195" i="6" s="1"/>
  <c r="P195" i="6"/>
  <c r="O195" i="6"/>
  <c r="N195" i="6"/>
  <c r="M195" i="6"/>
  <c r="F195" i="6"/>
  <c r="H19" i="2" s="1"/>
  <c r="D195" i="6"/>
  <c r="B195" i="6"/>
  <c r="P194" i="6"/>
  <c r="O194" i="6"/>
  <c r="N194" i="6"/>
  <c r="M194" i="6"/>
  <c r="B194" i="6"/>
  <c r="P193" i="6"/>
  <c r="O193" i="6"/>
  <c r="N193" i="6"/>
  <c r="M193" i="6"/>
  <c r="B193" i="6"/>
  <c r="P192" i="6"/>
  <c r="O192" i="6"/>
  <c r="N192" i="6"/>
  <c r="M192" i="6"/>
  <c r="B192" i="6"/>
  <c r="P191" i="6"/>
  <c r="O191" i="6"/>
  <c r="N191" i="6"/>
  <c r="M191" i="6"/>
  <c r="B191" i="6"/>
  <c r="P190" i="6"/>
  <c r="O190" i="6"/>
  <c r="N190" i="6"/>
  <c r="M190" i="6"/>
  <c r="B190" i="6"/>
  <c r="P189" i="6"/>
  <c r="O189" i="6"/>
  <c r="N189" i="6"/>
  <c r="M189" i="6"/>
  <c r="B189" i="6"/>
  <c r="P188" i="6"/>
  <c r="O188" i="6"/>
  <c r="N188" i="6"/>
  <c r="M188" i="6"/>
  <c r="B188" i="6"/>
  <c r="P187" i="6"/>
  <c r="O187" i="6"/>
  <c r="N187" i="6"/>
  <c r="M187" i="6"/>
  <c r="B187" i="6"/>
  <c r="P186" i="6"/>
  <c r="O186" i="6"/>
  <c r="N186" i="6"/>
  <c r="M186" i="6"/>
  <c r="B186" i="6"/>
  <c r="P185" i="6"/>
  <c r="O185" i="6"/>
  <c r="N185" i="6"/>
  <c r="M185" i="6"/>
  <c r="B185" i="6"/>
  <c r="P184" i="6"/>
  <c r="O184" i="6"/>
  <c r="N184" i="6"/>
  <c r="M184" i="6"/>
  <c r="B184" i="6"/>
  <c r="R183" i="6"/>
  <c r="V183" i="6" s="1"/>
  <c r="P183" i="6"/>
  <c r="O183" i="6"/>
  <c r="N183" i="6"/>
  <c r="M183" i="6"/>
  <c r="H18" i="2"/>
  <c r="B183" i="6"/>
  <c r="P182" i="6"/>
  <c r="O182" i="6"/>
  <c r="N182" i="6"/>
  <c r="M182" i="6"/>
  <c r="F182" i="6"/>
  <c r="D182" i="6"/>
  <c r="B182" i="6"/>
  <c r="P181" i="6"/>
  <c r="O181" i="6"/>
  <c r="N181" i="6"/>
  <c r="M181" i="6"/>
  <c r="F181" i="6"/>
  <c r="D181" i="6"/>
  <c r="B181" i="6"/>
  <c r="P180" i="6"/>
  <c r="O180" i="6"/>
  <c r="N180" i="6"/>
  <c r="M180" i="6"/>
  <c r="F180" i="6"/>
  <c r="D180" i="6"/>
  <c r="B180" i="6"/>
  <c r="P179" i="6"/>
  <c r="O179" i="6"/>
  <c r="N179" i="6"/>
  <c r="M179" i="6"/>
  <c r="F179" i="6"/>
  <c r="D179" i="6"/>
  <c r="B179" i="6"/>
  <c r="P178" i="6"/>
  <c r="O178" i="6"/>
  <c r="N178" i="6"/>
  <c r="M178" i="6"/>
  <c r="F178" i="6"/>
  <c r="D178" i="6"/>
  <c r="B178" i="6"/>
  <c r="P177" i="6"/>
  <c r="O177" i="6"/>
  <c r="N177" i="6"/>
  <c r="M177" i="6"/>
  <c r="F177" i="6"/>
  <c r="D177" i="6"/>
  <c r="B177" i="6"/>
  <c r="P176" i="6"/>
  <c r="O176" i="6"/>
  <c r="N176" i="6"/>
  <c r="M176" i="6"/>
  <c r="F176" i="6"/>
  <c r="D176" i="6"/>
  <c r="B176" i="6"/>
  <c r="P175" i="6"/>
  <c r="O175" i="6"/>
  <c r="N175" i="6"/>
  <c r="M175" i="6"/>
  <c r="F175" i="6"/>
  <c r="D175" i="6"/>
  <c r="B175" i="6"/>
  <c r="P174" i="6"/>
  <c r="O174" i="6"/>
  <c r="N174" i="6"/>
  <c r="M174" i="6"/>
  <c r="F174" i="6"/>
  <c r="D174" i="6"/>
  <c r="B174" i="6"/>
  <c r="P173" i="6"/>
  <c r="O173" i="6"/>
  <c r="N173" i="6"/>
  <c r="M173" i="6"/>
  <c r="F173" i="6"/>
  <c r="D173" i="6"/>
  <c r="B173" i="6"/>
  <c r="P172" i="6"/>
  <c r="O172" i="6"/>
  <c r="N172" i="6"/>
  <c r="M172" i="6"/>
  <c r="F172" i="6"/>
  <c r="D172" i="6"/>
  <c r="B172" i="6"/>
  <c r="P171" i="6"/>
  <c r="O171" i="6"/>
  <c r="N171" i="6"/>
  <c r="M171" i="6"/>
  <c r="F171" i="6"/>
  <c r="H17" i="2" s="1"/>
  <c r="D171" i="6"/>
  <c r="B171" i="6"/>
  <c r="O170" i="6"/>
  <c r="N170" i="6"/>
  <c r="K170" i="6"/>
  <c r="P170" i="6" s="1"/>
  <c r="F170" i="6"/>
  <c r="D170" i="6"/>
  <c r="B170" i="6"/>
  <c r="O169" i="6"/>
  <c r="N169" i="6"/>
  <c r="M169" i="6"/>
  <c r="K169" i="6"/>
  <c r="P169" i="6" s="1"/>
  <c r="F169" i="6"/>
  <c r="D169" i="6"/>
  <c r="B169" i="6"/>
  <c r="O168" i="6"/>
  <c r="N168" i="6"/>
  <c r="M168" i="6"/>
  <c r="K168" i="6"/>
  <c r="P168" i="6" s="1"/>
  <c r="F168" i="6"/>
  <c r="D168" i="6"/>
  <c r="B168" i="6"/>
  <c r="O167" i="6"/>
  <c r="N167" i="6"/>
  <c r="K167" i="6"/>
  <c r="P167" i="6" s="1"/>
  <c r="F167" i="6"/>
  <c r="D167" i="6"/>
  <c r="B167" i="6"/>
  <c r="O166" i="6"/>
  <c r="N166" i="6"/>
  <c r="M166" i="6"/>
  <c r="K166" i="6"/>
  <c r="P166" i="6" s="1"/>
  <c r="F166" i="6"/>
  <c r="D166" i="6"/>
  <c r="B166" i="6"/>
  <c r="O165" i="6"/>
  <c r="N165" i="6"/>
  <c r="K165" i="6"/>
  <c r="P165" i="6" s="1"/>
  <c r="F165" i="6"/>
  <c r="D165" i="6"/>
  <c r="B165" i="6"/>
  <c r="O164" i="6"/>
  <c r="N164" i="6"/>
  <c r="M164" i="6"/>
  <c r="K164" i="6"/>
  <c r="P164" i="6" s="1"/>
  <c r="F164" i="6"/>
  <c r="D164" i="6"/>
  <c r="B164" i="6"/>
  <c r="O163" i="6"/>
  <c r="N163" i="6"/>
  <c r="M163" i="6"/>
  <c r="K163" i="6"/>
  <c r="P163" i="6" s="1"/>
  <c r="F163" i="6"/>
  <c r="D163" i="6"/>
  <c r="B163" i="6"/>
  <c r="O162" i="6"/>
  <c r="N162" i="6"/>
  <c r="K162" i="6"/>
  <c r="P162" i="6" s="1"/>
  <c r="F162" i="6"/>
  <c r="D162" i="6"/>
  <c r="B162" i="6"/>
  <c r="O161" i="6"/>
  <c r="N161" i="6"/>
  <c r="M161" i="6"/>
  <c r="K161" i="6"/>
  <c r="P161" i="6" s="1"/>
  <c r="F161" i="6"/>
  <c r="D161" i="6"/>
  <c r="B161" i="6"/>
  <c r="O160" i="6"/>
  <c r="N160" i="6"/>
  <c r="M160" i="6"/>
  <c r="K160" i="6"/>
  <c r="P160" i="6" s="1"/>
  <c r="F160" i="6"/>
  <c r="D160" i="6"/>
  <c r="B160" i="6"/>
  <c r="S159" i="6"/>
  <c r="O159" i="6"/>
  <c r="N159" i="6"/>
  <c r="M159" i="6"/>
  <c r="K159" i="6"/>
  <c r="F159" i="6"/>
  <c r="H16" i="2" s="1"/>
  <c r="D159" i="6"/>
  <c r="B159" i="6"/>
  <c r="P158" i="6"/>
  <c r="O158" i="6"/>
  <c r="N158" i="6"/>
  <c r="M158" i="6"/>
  <c r="F158" i="6"/>
  <c r="D158" i="6"/>
  <c r="B158" i="6"/>
  <c r="P157" i="6"/>
  <c r="O157" i="6"/>
  <c r="N157" i="6"/>
  <c r="M157" i="6"/>
  <c r="F157" i="6"/>
  <c r="D157" i="6"/>
  <c r="B157" i="6"/>
  <c r="P156" i="6"/>
  <c r="O156" i="6"/>
  <c r="N156" i="6"/>
  <c r="M156" i="6"/>
  <c r="F156" i="6"/>
  <c r="D156" i="6"/>
  <c r="B156" i="6"/>
  <c r="P155" i="6"/>
  <c r="O155" i="6"/>
  <c r="N155" i="6"/>
  <c r="M155" i="6"/>
  <c r="F155" i="6"/>
  <c r="D155" i="6"/>
  <c r="B155" i="6"/>
  <c r="P154" i="6"/>
  <c r="O154" i="6"/>
  <c r="N154" i="6"/>
  <c r="M154" i="6"/>
  <c r="F154" i="6"/>
  <c r="D154" i="6"/>
  <c r="B154" i="6"/>
  <c r="P153" i="6"/>
  <c r="O153" i="6"/>
  <c r="N153" i="6"/>
  <c r="M153" i="6"/>
  <c r="F153" i="6"/>
  <c r="D153" i="6"/>
  <c r="B153" i="6"/>
  <c r="P152" i="6"/>
  <c r="O152" i="6"/>
  <c r="N152" i="6"/>
  <c r="M152" i="6"/>
  <c r="F152" i="6"/>
  <c r="D152" i="6"/>
  <c r="B152" i="6"/>
  <c r="P151" i="6"/>
  <c r="O151" i="6"/>
  <c r="N151" i="6"/>
  <c r="M151" i="6"/>
  <c r="F151" i="6"/>
  <c r="D151" i="6"/>
  <c r="B151" i="6"/>
  <c r="P150" i="6"/>
  <c r="O150" i="6"/>
  <c r="N150" i="6"/>
  <c r="M150" i="6"/>
  <c r="F150" i="6"/>
  <c r="D150" i="6"/>
  <c r="B150" i="6"/>
  <c r="P149" i="6"/>
  <c r="O149" i="6"/>
  <c r="N149" i="6"/>
  <c r="M149" i="6"/>
  <c r="F149" i="6"/>
  <c r="D149" i="6"/>
  <c r="B149" i="6"/>
  <c r="P148" i="6"/>
  <c r="O148" i="6"/>
  <c r="N148" i="6"/>
  <c r="M148" i="6"/>
  <c r="F148" i="6"/>
  <c r="D148" i="6"/>
  <c r="B148" i="6"/>
  <c r="R147" i="6"/>
  <c r="Q147" i="6"/>
  <c r="P147" i="6"/>
  <c r="O147" i="6"/>
  <c r="N147" i="6"/>
  <c r="M147" i="6"/>
  <c r="F147" i="6"/>
  <c r="H15" i="2" s="1"/>
  <c r="D147" i="6"/>
  <c r="B147" i="6"/>
  <c r="P146" i="6"/>
  <c r="O146" i="6"/>
  <c r="N146" i="6"/>
  <c r="M146" i="6"/>
  <c r="F146" i="6"/>
  <c r="D146" i="6"/>
  <c r="B146" i="6"/>
  <c r="P145" i="6"/>
  <c r="O145" i="6"/>
  <c r="N145" i="6"/>
  <c r="M145" i="6"/>
  <c r="F145" i="6"/>
  <c r="D145" i="6"/>
  <c r="B145" i="6"/>
  <c r="P144" i="6"/>
  <c r="O144" i="6"/>
  <c r="N144" i="6"/>
  <c r="M144" i="6"/>
  <c r="F144" i="6"/>
  <c r="D144" i="6"/>
  <c r="B144" i="6"/>
  <c r="P143" i="6"/>
  <c r="O143" i="6"/>
  <c r="N143" i="6"/>
  <c r="M143" i="6"/>
  <c r="F143" i="6"/>
  <c r="D143" i="6"/>
  <c r="B143" i="6"/>
  <c r="P142" i="6"/>
  <c r="O142" i="6"/>
  <c r="N142" i="6"/>
  <c r="M142" i="6"/>
  <c r="F142" i="6"/>
  <c r="D142" i="6"/>
  <c r="B142" i="6"/>
  <c r="P141" i="6"/>
  <c r="O141" i="6"/>
  <c r="N141" i="6"/>
  <c r="M141" i="6"/>
  <c r="F141" i="6"/>
  <c r="D141" i="6"/>
  <c r="B141" i="6"/>
  <c r="P140" i="6"/>
  <c r="O140" i="6"/>
  <c r="N140" i="6"/>
  <c r="M140" i="6"/>
  <c r="F140" i="6"/>
  <c r="D140" i="6"/>
  <c r="B140" i="6"/>
  <c r="P139" i="6"/>
  <c r="O139" i="6"/>
  <c r="N139" i="6"/>
  <c r="M139" i="6"/>
  <c r="F139" i="6"/>
  <c r="D139" i="6"/>
  <c r="B139" i="6"/>
  <c r="P138" i="6"/>
  <c r="O138" i="6"/>
  <c r="N138" i="6"/>
  <c r="M138" i="6"/>
  <c r="F138" i="6"/>
  <c r="D138" i="6"/>
  <c r="B138" i="6"/>
  <c r="P137" i="6"/>
  <c r="O137" i="6"/>
  <c r="N137" i="6"/>
  <c r="M137" i="6"/>
  <c r="F137" i="6"/>
  <c r="D137" i="6"/>
  <c r="B137" i="6"/>
  <c r="P136" i="6"/>
  <c r="O136" i="6"/>
  <c r="N136" i="6"/>
  <c r="M136" i="6"/>
  <c r="F136" i="6"/>
  <c r="D136" i="6"/>
  <c r="B136" i="6"/>
  <c r="T135" i="6"/>
  <c r="S135" i="6"/>
  <c r="R135" i="6"/>
  <c r="Q135" i="6"/>
  <c r="P135" i="6"/>
  <c r="O135" i="6"/>
  <c r="N135" i="6"/>
  <c r="M135" i="6"/>
  <c r="F135" i="6"/>
  <c r="H14" i="2" s="1"/>
  <c r="D135" i="6"/>
  <c r="B135" i="6"/>
  <c r="P134" i="6"/>
  <c r="O134" i="6"/>
  <c r="N134" i="6"/>
  <c r="F134" i="6"/>
  <c r="D134" i="6"/>
  <c r="B134" i="6"/>
  <c r="G134" i="6" s="1" a="1"/>
  <c r="G134" i="6" s="1"/>
  <c r="M134" i="6" s="1"/>
  <c r="P133" i="6"/>
  <c r="O133" i="6"/>
  <c r="N133" i="6"/>
  <c r="F133" i="6"/>
  <c r="D133" i="6"/>
  <c r="B133" i="6"/>
  <c r="G133" i="6" s="1" a="1"/>
  <c r="G133" i="6" s="1"/>
  <c r="M133" i="6" s="1"/>
  <c r="P132" i="6"/>
  <c r="O132" i="6"/>
  <c r="N132" i="6"/>
  <c r="F132" i="6"/>
  <c r="D132" i="6"/>
  <c r="B132" i="6"/>
  <c r="G132" i="6" s="1" a="1"/>
  <c r="G132" i="6" s="1"/>
  <c r="M132" i="6" s="1"/>
  <c r="P131" i="6"/>
  <c r="O131" i="6"/>
  <c r="N131" i="6"/>
  <c r="F131" i="6"/>
  <c r="D131" i="6"/>
  <c r="B131" i="6"/>
  <c r="G131" i="6" s="1" a="1"/>
  <c r="G131" i="6" s="1"/>
  <c r="M131" i="6" s="1"/>
  <c r="P130" i="6"/>
  <c r="O130" i="6"/>
  <c r="N130" i="6"/>
  <c r="F130" i="6"/>
  <c r="D130" i="6"/>
  <c r="B130" i="6"/>
  <c r="G130" i="6" s="1" a="1"/>
  <c r="G130" i="6" s="1"/>
  <c r="M130" i="6" s="1"/>
  <c r="P129" i="6"/>
  <c r="O129" i="6"/>
  <c r="N129" i="6"/>
  <c r="F129" i="6"/>
  <c r="D129" i="6"/>
  <c r="B129" i="6"/>
  <c r="G129" i="6" s="1" a="1"/>
  <c r="G129" i="6" s="1"/>
  <c r="M129" i="6" s="1"/>
  <c r="P128" i="6"/>
  <c r="O128" i="6"/>
  <c r="N128" i="6"/>
  <c r="F128" i="6"/>
  <c r="D128" i="6"/>
  <c r="B128" i="6"/>
  <c r="G128" i="6" s="1" a="1"/>
  <c r="G128" i="6" s="1"/>
  <c r="M128" i="6" s="1"/>
  <c r="P127" i="6"/>
  <c r="O127" i="6"/>
  <c r="N127" i="6"/>
  <c r="F127" i="6"/>
  <c r="D127" i="6"/>
  <c r="B127" i="6"/>
  <c r="G127" i="6" s="1" a="1"/>
  <c r="G127" i="6" s="1"/>
  <c r="M127" i="6" s="1"/>
  <c r="P126" i="6"/>
  <c r="O126" i="6"/>
  <c r="N126" i="6"/>
  <c r="F126" i="6"/>
  <c r="D126" i="6"/>
  <c r="B126" i="6"/>
  <c r="G126" i="6" s="1" a="1"/>
  <c r="G126" i="6" s="1"/>
  <c r="M126" i="6" s="1"/>
  <c r="P125" i="6"/>
  <c r="O125" i="6"/>
  <c r="N125" i="6"/>
  <c r="F125" i="6"/>
  <c r="D125" i="6"/>
  <c r="B125" i="6"/>
  <c r="G125" i="6" s="1" a="1"/>
  <c r="G125" i="6" s="1"/>
  <c r="M125" i="6" s="1"/>
  <c r="P124" i="6"/>
  <c r="O124" i="6"/>
  <c r="N124" i="6"/>
  <c r="F124" i="6"/>
  <c r="D124" i="6"/>
  <c r="B124" i="6"/>
  <c r="G124" i="6" s="1" a="1"/>
  <c r="G124" i="6" s="1"/>
  <c r="M124" i="6" s="1"/>
  <c r="P123" i="6"/>
  <c r="O123" i="6"/>
  <c r="N123" i="6"/>
  <c r="F123" i="6"/>
  <c r="H13" i="2" s="1"/>
  <c r="D123" i="6"/>
  <c r="B123" i="6"/>
  <c r="G123" i="6" s="1" a="1"/>
  <c r="G123" i="6" s="1"/>
  <c r="M123" i="6" s="1"/>
  <c r="P122" i="6"/>
  <c r="O122" i="6"/>
  <c r="N122" i="6"/>
  <c r="M122" i="6"/>
  <c r="F122" i="6"/>
  <c r="D122" i="6"/>
  <c r="B122" i="6"/>
  <c r="P121" i="6"/>
  <c r="O121" i="6"/>
  <c r="N121" i="6"/>
  <c r="M121" i="6"/>
  <c r="F121" i="6"/>
  <c r="D121" i="6"/>
  <c r="B121" i="6"/>
  <c r="P120" i="6"/>
  <c r="O120" i="6"/>
  <c r="N120" i="6"/>
  <c r="M120" i="6"/>
  <c r="F120" i="6"/>
  <c r="D120" i="6"/>
  <c r="B120" i="6"/>
  <c r="P119" i="6"/>
  <c r="O119" i="6"/>
  <c r="N119" i="6"/>
  <c r="M119" i="6"/>
  <c r="F119" i="6"/>
  <c r="D119" i="6"/>
  <c r="B119" i="6"/>
  <c r="P118" i="6"/>
  <c r="O118" i="6"/>
  <c r="N118" i="6"/>
  <c r="M118" i="6"/>
  <c r="F118" i="6"/>
  <c r="D118" i="6"/>
  <c r="B118" i="6"/>
  <c r="P117" i="6"/>
  <c r="O117" i="6"/>
  <c r="N117" i="6"/>
  <c r="M117" i="6"/>
  <c r="F117" i="6"/>
  <c r="D117" i="6"/>
  <c r="B117" i="6"/>
  <c r="P116" i="6"/>
  <c r="O116" i="6"/>
  <c r="N116" i="6"/>
  <c r="M116" i="6"/>
  <c r="F116" i="6"/>
  <c r="D116" i="6"/>
  <c r="B116" i="6"/>
  <c r="P115" i="6"/>
  <c r="O115" i="6"/>
  <c r="N115" i="6"/>
  <c r="M115" i="6"/>
  <c r="F115" i="6"/>
  <c r="D115" i="6"/>
  <c r="B115" i="6"/>
  <c r="P114" i="6"/>
  <c r="O114" i="6"/>
  <c r="N114" i="6"/>
  <c r="M114" i="6"/>
  <c r="F114" i="6"/>
  <c r="D114" i="6"/>
  <c r="B114" i="6"/>
  <c r="P113" i="6"/>
  <c r="O113" i="6"/>
  <c r="N113" i="6"/>
  <c r="M113" i="6"/>
  <c r="F113" i="6"/>
  <c r="D113" i="6"/>
  <c r="B113" i="6"/>
  <c r="P112" i="6"/>
  <c r="O112" i="6"/>
  <c r="N112" i="6"/>
  <c r="M112" i="6"/>
  <c r="F112" i="6"/>
  <c r="D112" i="6"/>
  <c r="B112" i="6"/>
  <c r="T111" i="6"/>
  <c r="S111" i="6"/>
  <c r="Q111" i="6"/>
  <c r="P111" i="6"/>
  <c r="O111" i="6"/>
  <c r="N111" i="6"/>
  <c r="M111" i="6"/>
  <c r="F111" i="6"/>
  <c r="H12" i="2" s="1"/>
  <c r="D111" i="6"/>
  <c r="B111" i="6"/>
  <c r="P110" i="6"/>
  <c r="O110" i="6"/>
  <c r="N110" i="6"/>
  <c r="M110" i="6"/>
  <c r="B110" i="6"/>
  <c r="P109" i="6"/>
  <c r="O109" i="6"/>
  <c r="N109" i="6"/>
  <c r="M109" i="6"/>
  <c r="B109" i="6"/>
  <c r="P108" i="6"/>
  <c r="O108" i="6"/>
  <c r="N108" i="6"/>
  <c r="M108" i="6"/>
  <c r="B108" i="6"/>
  <c r="P107" i="6"/>
  <c r="O107" i="6"/>
  <c r="N107" i="6"/>
  <c r="M107" i="6"/>
  <c r="B107" i="6"/>
  <c r="P106" i="6"/>
  <c r="O106" i="6"/>
  <c r="N106" i="6"/>
  <c r="M106" i="6"/>
  <c r="B106" i="6"/>
  <c r="P105" i="6"/>
  <c r="O105" i="6"/>
  <c r="N105" i="6"/>
  <c r="M105" i="6"/>
  <c r="B105" i="6"/>
  <c r="P104" i="6"/>
  <c r="O104" i="6"/>
  <c r="N104" i="6"/>
  <c r="M104" i="6"/>
  <c r="B104" i="6"/>
  <c r="P103" i="6"/>
  <c r="O103" i="6"/>
  <c r="N103" i="6"/>
  <c r="M103" i="6"/>
  <c r="B103" i="6"/>
  <c r="P102" i="6"/>
  <c r="O102" i="6"/>
  <c r="N102" i="6"/>
  <c r="M102" i="6"/>
  <c r="B102" i="6"/>
  <c r="P101" i="6"/>
  <c r="O101" i="6"/>
  <c r="N101" i="6"/>
  <c r="M101" i="6"/>
  <c r="B101" i="6"/>
  <c r="P100" i="6"/>
  <c r="O100" i="6"/>
  <c r="N100" i="6"/>
  <c r="M100" i="6"/>
  <c r="B100" i="6"/>
  <c r="Q99" i="6"/>
  <c r="V99" i="6" s="1"/>
  <c r="P99" i="6"/>
  <c r="O99" i="6"/>
  <c r="N99" i="6"/>
  <c r="M99" i="6"/>
  <c r="B99" i="6"/>
  <c r="P98" i="6"/>
  <c r="O98" i="6"/>
  <c r="N98" i="6"/>
  <c r="M98" i="6"/>
  <c r="B98" i="6"/>
  <c r="P97" i="6"/>
  <c r="O97" i="6"/>
  <c r="N97" i="6"/>
  <c r="M97" i="6"/>
  <c r="B97" i="6"/>
  <c r="P96" i="6"/>
  <c r="O96" i="6"/>
  <c r="N96" i="6"/>
  <c r="M96" i="6"/>
  <c r="B96" i="6"/>
  <c r="P95" i="6"/>
  <c r="O95" i="6"/>
  <c r="N95" i="6"/>
  <c r="M95" i="6"/>
  <c r="B95" i="6"/>
  <c r="P94" i="6"/>
  <c r="O94" i="6"/>
  <c r="N94" i="6"/>
  <c r="M94" i="6"/>
  <c r="B94" i="6"/>
  <c r="P93" i="6"/>
  <c r="O93" i="6"/>
  <c r="N93" i="6"/>
  <c r="M93" i="6"/>
  <c r="B93" i="6"/>
  <c r="P92" i="6"/>
  <c r="O92" i="6"/>
  <c r="N92" i="6"/>
  <c r="M92" i="6"/>
  <c r="B92" i="6"/>
  <c r="P91" i="6"/>
  <c r="O91" i="6"/>
  <c r="N91" i="6"/>
  <c r="M91" i="6"/>
  <c r="B91" i="6"/>
  <c r="P90" i="6"/>
  <c r="O90" i="6"/>
  <c r="N90" i="6"/>
  <c r="M90" i="6"/>
  <c r="B90" i="6"/>
  <c r="P89" i="6"/>
  <c r="O89" i="6"/>
  <c r="N89" i="6"/>
  <c r="M89" i="6"/>
  <c r="B89" i="6"/>
  <c r="P88" i="6"/>
  <c r="O88" i="6"/>
  <c r="N88" i="6"/>
  <c r="M88" i="6"/>
  <c r="B88" i="6"/>
  <c r="T87" i="6"/>
  <c r="S87" i="6"/>
  <c r="P87" i="6"/>
  <c r="O87" i="6"/>
  <c r="N87" i="6"/>
  <c r="B87" i="6"/>
  <c r="P86" i="6"/>
  <c r="O86" i="6"/>
  <c r="N86" i="6"/>
  <c r="M86" i="6"/>
  <c r="B86" i="6"/>
  <c r="P85" i="6"/>
  <c r="O85" i="6"/>
  <c r="N85" i="6"/>
  <c r="M85" i="6"/>
  <c r="B85" i="6"/>
  <c r="P84" i="6"/>
  <c r="O84" i="6"/>
  <c r="N84" i="6"/>
  <c r="M84" i="6"/>
  <c r="B84" i="6"/>
  <c r="P83" i="6"/>
  <c r="O83" i="6"/>
  <c r="N83" i="6"/>
  <c r="M83" i="6"/>
  <c r="B83" i="6"/>
  <c r="P82" i="6"/>
  <c r="O82" i="6"/>
  <c r="N82" i="6"/>
  <c r="M82" i="6"/>
  <c r="B82" i="6"/>
  <c r="P81" i="6"/>
  <c r="O81" i="6"/>
  <c r="N81" i="6"/>
  <c r="M81" i="6"/>
  <c r="B81" i="6"/>
  <c r="P80" i="6"/>
  <c r="O80" i="6"/>
  <c r="N80" i="6"/>
  <c r="M80" i="6"/>
  <c r="B80" i="6"/>
  <c r="P79" i="6"/>
  <c r="O79" i="6"/>
  <c r="N79" i="6"/>
  <c r="M79" i="6"/>
  <c r="B79" i="6"/>
  <c r="P78" i="6"/>
  <c r="O78" i="6"/>
  <c r="N78" i="6"/>
  <c r="M78" i="6"/>
  <c r="B78" i="6"/>
  <c r="P77" i="6"/>
  <c r="O77" i="6"/>
  <c r="N77" i="6"/>
  <c r="M77" i="6"/>
  <c r="B77" i="6"/>
  <c r="P76" i="6"/>
  <c r="O76" i="6"/>
  <c r="N76" i="6"/>
  <c r="M76" i="6"/>
  <c r="B76" i="6"/>
  <c r="P75" i="6"/>
  <c r="O75" i="6"/>
  <c r="N75" i="6"/>
  <c r="M75" i="6"/>
  <c r="B75" i="6"/>
  <c r="P74" i="6"/>
  <c r="O74" i="6"/>
  <c r="N74" i="6"/>
  <c r="M74" i="6"/>
  <c r="B74" i="6"/>
  <c r="P73" i="6"/>
  <c r="O73" i="6"/>
  <c r="N73" i="6"/>
  <c r="M73" i="6"/>
  <c r="B73" i="6"/>
  <c r="P72" i="6"/>
  <c r="O72" i="6"/>
  <c r="N72" i="6"/>
  <c r="M72" i="6"/>
  <c r="B72" i="6"/>
  <c r="P71" i="6"/>
  <c r="O71" i="6"/>
  <c r="N71" i="6"/>
  <c r="B71" i="6"/>
  <c r="P70" i="6"/>
  <c r="O70" i="6"/>
  <c r="N70" i="6"/>
  <c r="B70" i="6"/>
  <c r="P69" i="6"/>
  <c r="O69" i="6"/>
  <c r="N69" i="6"/>
  <c r="M69" i="6"/>
  <c r="B69" i="6"/>
  <c r="P68" i="6"/>
  <c r="O68" i="6"/>
  <c r="N68" i="6"/>
  <c r="M68" i="6"/>
  <c r="B68" i="6"/>
  <c r="P67" i="6"/>
  <c r="O67" i="6"/>
  <c r="N67" i="6"/>
  <c r="M67" i="6"/>
  <c r="B67" i="6"/>
  <c r="P66" i="6"/>
  <c r="O66" i="6"/>
  <c r="N66" i="6"/>
  <c r="M66" i="6"/>
  <c r="B66" i="6"/>
  <c r="P65" i="6"/>
  <c r="O65" i="6"/>
  <c r="N65" i="6"/>
  <c r="M65" i="6"/>
  <c r="B65" i="6"/>
  <c r="P64" i="6"/>
  <c r="O64" i="6"/>
  <c r="N64" i="6"/>
  <c r="M64" i="6"/>
  <c r="B64" i="6"/>
  <c r="T63" i="6"/>
  <c r="S63" i="6"/>
  <c r="P63" i="6"/>
  <c r="O63" i="6"/>
  <c r="N63" i="6"/>
  <c r="M63" i="6"/>
  <c r="B63" i="6"/>
  <c r="P62" i="6"/>
  <c r="O62" i="6"/>
  <c r="N62" i="6"/>
  <c r="M62" i="6"/>
  <c r="F62" i="6"/>
  <c r="D62" i="6"/>
  <c r="B62" i="6"/>
  <c r="P61" i="6"/>
  <c r="O61" i="6"/>
  <c r="N61" i="6"/>
  <c r="M61" i="6"/>
  <c r="F61" i="6"/>
  <c r="D61" i="6"/>
  <c r="B61" i="6"/>
  <c r="P60" i="6"/>
  <c r="O60" i="6"/>
  <c r="N60" i="6"/>
  <c r="M60" i="6"/>
  <c r="F60" i="6"/>
  <c r="D60" i="6"/>
  <c r="B60" i="6"/>
  <c r="P59" i="6"/>
  <c r="O59" i="6"/>
  <c r="N59" i="6"/>
  <c r="M59" i="6"/>
  <c r="F59" i="6"/>
  <c r="D59" i="6"/>
  <c r="B59" i="6"/>
  <c r="P58" i="6"/>
  <c r="O58" i="6"/>
  <c r="N58" i="6"/>
  <c r="M58" i="6"/>
  <c r="F58" i="6"/>
  <c r="D58" i="6"/>
  <c r="B58" i="6"/>
  <c r="P57" i="6"/>
  <c r="O57" i="6"/>
  <c r="N57" i="6"/>
  <c r="M57" i="6"/>
  <c r="F57" i="6"/>
  <c r="D57" i="6"/>
  <c r="B57" i="6"/>
  <c r="P56" i="6"/>
  <c r="O56" i="6"/>
  <c r="N56" i="6"/>
  <c r="M56" i="6"/>
  <c r="F56" i="6"/>
  <c r="D56" i="6"/>
  <c r="B56" i="6"/>
  <c r="P55" i="6"/>
  <c r="O55" i="6"/>
  <c r="N55" i="6"/>
  <c r="M55" i="6"/>
  <c r="F55" i="6"/>
  <c r="D55" i="6"/>
  <c r="B55" i="6"/>
  <c r="P54" i="6"/>
  <c r="O54" i="6"/>
  <c r="N54" i="6"/>
  <c r="M54" i="6"/>
  <c r="F54" i="6"/>
  <c r="D54" i="6"/>
  <c r="B54" i="6"/>
  <c r="P53" i="6"/>
  <c r="O53" i="6"/>
  <c r="N53" i="6"/>
  <c r="M53" i="6"/>
  <c r="F53" i="6"/>
  <c r="D53" i="6"/>
  <c r="B53" i="6"/>
  <c r="P52" i="6"/>
  <c r="O52" i="6"/>
  <c r="N52" i="6"/>
  <c r="M52" i="6"/>
  <c r="F52" i="6"/>
  <c r="D52" i="6"/>
  <c r="B52" i="6"/>
  <c r="Q51" i="6"/>
  <c r="V51" i="6" s="1"/>
  <c r="P51" i="6"/>
  <c r="O51" i="6"/>
  <c r="N51" i="6"/>
  <c r="M51" i="6"/>
  <c r="F51" i="6"/>
  <c r="H7" i="2" s="1"/>
  <c r="D51" i="6"/>
  <c r="B51" i="6"/>
  <c r="P50" i="6"/>
  <c r="O50" i="6"/>
  <c r="N50" i="6"/>
  <c r="M50" i="6"/>
  <c r="F50" i="6"/>
  <c r="D50" i="6"/>
  <c r="B50" i="6"/>
  <c r="P49" i="6"/>
  <c r="O49" i="6"/>
  <c r="N49" i="6"/>
  <c r="M49" i="6"/>
  <c r="F49" i="6"/>
  <c r="D49" i="6"/>
  <c r="B49" i="6"/>
  <c r="P48" i="6"/>
  <c r="O48" i="6"/>
  <c r="N48" i="6"/>
  <c r="M48" i="6"/>
  <c r="F48" i="6"/>
  <c r="D48" i="6"/>
  <c r="B48" i="6"/>
  <c r="P47" i="6"/>
  <c r="O47" i="6"/>
  <c r="N47" i="6"/>
  <c r="M47" i="6"/>
  <c r="F47" i="6"/>
  <c r="D47" i="6"/>
  <c r="B47" i="6"/>
  <c r="P46" i="6"/>
  <c r="O46" i="6"/>
  <c r="N46" i="6"/>
  <c r="M46" i="6"/>
  <c r="F46" i="6"/>
  <c r="D46" i="6"/>
  <c r="B46" i="6"/>
  <c r="P45" i="6"/>
  <c r="O45" i="6"/>
  <c r="N45" i="6"/>
  <c r="M45" i="6"/>
  <c r="F45" i="6"/>
  <c r="D45" i="6"/>
  <c r="B45" i="6"/>
  <c r="P44" i="6"/>
  <c r="O44" i="6"/>
  <c r="N44" i="6"/>
  <c r="M44" i="6"/>
  <c r="F44" i="6"/>
  <c r="D44" i="6"/>
  <c r="B44" i="6"/>
  <c r="P43" i="6"/>
  <c r="O43" i="6"/>
  <c r="N43" i="6"/>
  <c r="M43" i="6"/>
  <c r="F43" i="6"/>
  <c r="D43" i="6"/>
  <c r="B43" i="6"/>
  <c r="P42" i="6"/>
  <c r="O42" i="6"/>
  <c r="N42" i="6"/>
  <c r="M42" i="6"/>
  <c r="F42" i="6"/>
  <c r="D42" i="6"/>
  <c r="B42" i="6"/>
  <c r="P41" i="6"/>
  <c r="O41" i="6"/>
  <c r="N41" i="6"/>
  <c r="M41" i="6"/>
  <c r="F41" i="6"/>
  <c r="D41" i="6"/>
  <c r="B41" i="6"/>
  <c r="P40" i="6"/>
  <c r="O40" i="6"/>
  <c r="N40" i="6"/>
  <c r="M40" i="6"/>
  <c r="F40" i="6"/>
  <c r="D40" i="6"/>
  <c r="B40" i="6"/>
  <c r="Q39" i="6"/>
  <c r="V39" i="6" s="1"/>
  <c r="P39" i="6"/>
  <c r="O39" i="6"/>
  <c r="N39" i="6"/>
  <c r="M39" i="6"/>
  <c r="F39" i="6"/>
  <c r="H6" i="2" s="1"/>
  <c r="D39" i="6"/>
  <c r="B39" i="6"/>
  <c r="P38" i="6"/>
  <c r="O38" i="6"/>
  <c r="N38" i="6"/>
  <c r="M38" i="6"/>
  <c r="F38" i="6"/>
  <c r="D38" i="6"/>
  <c r="B38" i="6"/>
  <c r="P37" i="6"/>
  <c r="O37" i="6"/>
  <c r="N37" i="6"/>
  <c r="M37" i="6"/>
  <c r="F37" i="6"/>
  <c r="D37" i="6"/>
  <c r="B37" i="6"/>
  <c r="P36" i="6"/>
  <c r="O36" i="6"/>
  <c r="N36" i="6"/>
  <c r="M36" i="6"/>
  <c r="F36" i="6"/>
  <c r="D36" i="6"/>
  <c r="B36" i="6"/>
  <c r="P35" i="6"/>
  <c r="O35" i="6"/>
  <c r="N35" i="6"/>
  <c r="M35" i="6"/>
  <c r="F35" i="6"/>
  <c r="D35" i="6"/>
  <c r="B35" i="6"/>
  <c r="P34" i="6"/>
  <c r="O34" i="6"/>
  <c r="N34" i="6"/>
  <c r="M34" i="6"/>
  <c r="F34" i="6"/>
  <c r="D34" i="6"/>
  <c r="B34" i="6"/>
  <c r="P33" i="6"/>
  <c r="O33" i="6"/>
  <c r="N33" i="6"/>
  <c r="M33" i="6"/>
  <c r="F33" i="6"/>
  <c r="D33" i="6"/>
  <c r="B33" i="6"/>
  <c r="P32" i="6"/>
  <c r="O32" i="6"/>
  <c r="N32" i="6"/>
  <c r="M32" i="6"/>
  <c r="F32" i="6"/>
  <c r="D32" i="6"/>
  <c r="B32" i="6"/>
  <c r="P31" i="6"/>
  <c r="O31" i="6"/>
  <c r="N31" i="6"/>
  <c r="M31" i="6"/>
  <c r="F31" i="6"/>
  <c r="D31" i="6"/>
  <c r="B31" i="6"/>
  <c r="P30" i="6"/>
  <c r="O30" i="6"/>
  <c r="N30" i="6"/>
  <c r="M30" i="6"/>
  <c r="F30" i="6"/>
  <c r="D30" i="6"/>
  <c r="B30" i="6"/>
  <c r="P29" i="6"/>
  <c r="O29" i="6"/>
  <c r="N29" i="6"/>
  <c r="M29" i="6"/>
  <c r="F29" i="6"/>
  <c r="D29" i="6"/>
  <c r="B29" i="6"/>
  <c r="P28" i="6"/>
  <c r="O28" i="6"/>
  <c r="N28" i="6"/>
  <c r="M28" i="6"/>
  <c r="F28" i="6"/>
  <c r="D28" i="6"/>
  <c r="B28" i="6"/>
  <c r="R27" i="6"/>
  <c r="Q27" i="6"/>
  <c r="P27" i="6"/>
  <c r="O27" i="6"/>
  <c r="N27" i="6"/>
  <c r="M27" i="6"/>
  <c r="F27" i="6"/>
  <c r="H4" i="2" s="1"/>
  <c r="D27" i="6"/>
  <c r="B27" i="6"/>
  <c r="P26" i="6"/>
  <c r="O26" i="6"/>
  <c r="N26" i="6"/>
  <c r="F26" i="6"/>
  <c r="D26" i="6"/>
  <c r="B26" i="6"/>
  <c r="P25" i="6"/>
  <c r="O25" i="6"/>
  <c r="N25" i="6"/>
  <c r="M25" i="6"/>
  <c r="F25" i="6"/>
  <c r="D25" i="6"/>
  <c r="B25" i="6"/>
  <c r="P24" i="6"/>
  <c r="O24" i="6"/>
  <c r="N24" i="6"/>
  <c r="M24" i="6"/>
  <c r="F24" i="6"/>
  <c r="D24" i="6"/>
  <c r="B24" i="6"/>
  <c r="P23" i="6"/>
  <c r="O23" i="6"/>
  <c r="N23" i="6"/>
  <c r="F23" i="6"/>
  <c r="D23" i="6"/>
  <c r="B23" i="6"/>
  <c r="P22" i="6"/>
  <c r="O22" i="6"/>
  <c r="N22" i="6"/>
  <c r="M22" i="6"/>
  <c r="F22" i="6"/>
  <c r="D22" i="6"/>
  <c r="B22" i="6"/>
  <c r="P21" i="6"/>
  <c r="O21" i="6"/>
  <c r="N21" i="6"/>
  <c r="M21" i="6"/>
  <c r="F21" i="6"/>
  <c r="D21" i="6"/>
  <c r="B21" i="6"/>
  <c r="P20" i="6"/>
  <c r="O20" i="6"/>
  <c r="N20" i="6"/>
  <c r="M20" i="6"/>
  <c r="F20" i="6"/>
  <c r="D20" i="6"/>
  <c r="B20" i="6"/>
  <c r="P19" i="6"/>
  <c r="O19" i="6"/>
  <c r="N19" i="6"/>
  <c r="M19" i="6"/>
  <c r="F19" i="6"/>
  <c r="D19" i="6"/>
  <c r="B19" i="6"/>
  <c r="P18" i="6"/>
  <c r="O18" i="6"/>
  <c r="N18" i="6"/>
  <c r="F18" i="6"/>
  <c r="D18" i="6"/>
  <c r="B18" i="6"/>
  <c r="P17" i="6"/>
  <c r="O17" i="6"/>
  <c r="N17" i="6"/>
  <c r="M17" i="6"/>
  <c r="F17" i="6"/>
  <c r="D17" i="6"/>
  <c r="B17" i="6"/>
  <c r="P16" i="6"/>
  <c r="O16" i="6"/>
  <c r="N16" i="6"/>
  <c r="M16" i="6"/>
  <c r="F16" i="6"/>
  <c r="D16" i="6"/>
  <c r="B16" i="6"/>
  <c r="T15" i="6"/>
  <c r="S15" i="6"/>
  <c r="R15" i="6"/>
  <c r="P15" i="6"/>
  <c r="O15" i="6"/>
  <c r="N15" i="6"/>
  <c r="F15" i="6"/>
  <c r="H5" i="2" s="1"/>
  <c r="D15" i="6"/>
  <c r="B15" i="6"/>
  <c r="P14" i="6"/>
  <c r="O14" i="6"/>
  <c r="N14" i="6"/>
  <c r="M14" i="6"/>
  <c r="F14" i="6"/>
  <c r="D14" i="6"/>
  <c r="B14" i="6"/>
  <c r="P13" i="6"/>
  <c r="O13" i="6"/>
  <c r="N13" i="6"/>
  <c r="M13" i="6"/>
  <c r="F13" i="6"/>
  <c r="D13" i="6"/>
  <c r="B13" i="6"/>
  <c r="P12" i="6"/>
  <c r="O12" i="6"/>
  <c r="N12" i="6"/>
  <c r="M12" i="6"/>
  <c r="F12" i="6"/>
  <c r="D12" i="6"/>
  <c r="B12" i="6"/>
  <c r="P11" i="6"/>
  <c r="O11" i="6"/>
  <c r="N11" i="6"/>
  <c r="M11" i="6"/>
  <c r="F11" i="6"/>
  <c r="D11" i="6"/>
  <c r="B11" i="6"/>
  <c r="P10" i="6"/>
  <c r="O10" i="6"/>
  <c r="N10" i="6"/>
  <c r="M10" i="6"/>
  <c r="F10" i="6"/>
  <c r="D10" i="6"/>
  <c r="B10" i="6"/>
  <c r="P9" i="6"/>
  <c r="O9" i="6"/>
  <c r="N9" i="6"/>
  <c r="M9" i="6"/>
  <c r="F9" i="6"/>
  <c r="D9" i="6"/>
  <c r="B9" i="6"/>
  <c r="P8" i="6"/>
  <c r="O8" i="6"/>
  <c r="N8" i="6"/>
  <c r="M8" i="6"/>
  <c r="F8" i="6"/>
  <c r="D8" i="6"/>
  <c r="B8" i="6"/>
  <c r="P7" i="6"/>
  <c r="O7" i="6"/>
  <c r="N7" i="6"/>
  <c r="M7" i="6"/>
  <c r="F7" i="6"/>
  <c r="D7" i="6"/>
  <c r="B7" i="6"/>
  <c r="P6" i="6"/>
  <c r="O6" i="6"/>
  <c r="N6" i="6"/>
  <c r="M6" i="6"/>
  <c r="F6" i="6"/>
  <c r="D6" i="6"/>
  <c r="B6" i="6"/>
  <c r="P5" i="6"/>
  <c r="O5" i="6"/>
  <c r="N5" i="6"/>
  <c r="M5" i="6"/>
  <c r="F5" i="6"/>
  <c r="D5" i="6"/>
  <c r="B5" i="6"/>
  <c r="P4" i="6"/>
  <c r="O4" i="6"/>
  <c r="N4" i="6"/>
  <c r="M4" i="6"/>
  <c r="F4" i="6"/>
  <c r="D4" i="6"/>
  <c r="B4" i="6"/>
  <c r="Q3" i="6"/>
  <c r="V3" i="6" s="1"/>
  <c r="P3" i="6"/>
  <c r="O3" i="6"/>
  <c r="N3" i="6"/>
  <c r="M3" i="6"/>
  <c r="F3" i="6"/>
  <c r="D3" i="6"/>
  <c r="B3" i="6"/>
  <c r="AH16" i="2" l="1"/>
  <c r="C49" i="2"/>
  <c r="E23" i="7"/>
  <c r="E31" i="7"/>
  <c r="D27" i="7"/>
  <c r="C23" i="7"/>
  <c r="C31" i="7"/>
  <c r="E24" i="7"/>
  <c r="E40" i="7" s="1"/>
  <c r="E20" i="7"/>
  <c r="D28" i="7"/>
  <c r="D44" i="7" s="1"/>
  <c r="C24" i="7"/>
  <c r="C20" i="7"/>
  <c r="C25" i="7"/>
  <c r="E22" i="7"/>
  <c r="E25" i="7"/>
  <c r="D21" i="7"/>
  <c r="D37" i="7" s="1"/>
  <c r="D29" i="7"/>
  <c r="C30" i="7"/>
  <c r="E26" i="7"/>
  <c r="D22" i="7"/>
  <c r="D30" i="7"/>
  <c r="C26" i="7"/>
  <c r="E30" i="7"/>
  <c r="E46" i="7" s="1"/>
  <c r="E27" i="7"/>
  <c r="E43" i="7" s="1"/>
  <c r="D23" i="7"/>
  <c r="D31" i="7"/>
  <c r="D47" i="7" s="1"/>
  <c r="C27" i="7"/>
  <c r="C28" i="7"/>
  <c r="C22" i="7"/>
  <c r="E28" i="7"/>
  <c r="D24" i="7"/>
  <c r="D20" i="7"/>
  <c r="E21" i="7"/>
  <c r="E29" i="7"/>
  <c r="E45" i="7" s="1"/>
  <c r="D25" i="7"/>
  <c r="C21" i="7"/>
  <c r="C29" i="7"/>
  <c r="D26" i="7"/>
  <c r="Q15" i="13"/>
  <c r="S15" i="13" s="1"/>
  <c r="M15" i="13"/>
  <c r="B25" i="7"/>
  <c r="B41" i="7" s="1"/>
  <c r="B26" i="7"/>
  <c r="B42" i="7" s="1"/>
  <c r="B27" i="7"/>
  <c r="B43" i="7" s="1"/>
  <c r="B28" i="7"/>
  <c r="B44" i="7" s="1"/>
  <c r="B21" i="7"/>
  <c r="B37" i="7" s="1"/>
  <c r="B29" i="7"/>
  <c r="B45" i="7" s="1"/>
  <c r="B20" i="7"/>
  <c r="B22" i="7"/>
  <c r="B38" i="7" s="1"/>
  <c r="B30" i="7"/>
  <c r="B46" i="7" s="1"/>
  <c r="B23" i="7"/>
  <c r="B39" i="7" s="1"/>
  <c r="B31" i="7"/>
  <c r="B47" i="7" s="1"/>
  <c r="B24" i="7"/>
  <c r="B40" i="7" s="1"/>
  <c r="AQ35" i="2"/>
  <c r="N622" i="6"/>
  <c r="M618" i="6"/>
  <c r="P615" i="6"/>
  <c r="P618" i="6"/>
  <c r="O616" i="6"/>
  <c r="N624" i="6"/>
  <c r="M622" i="6"/>
  <c r="P617" i="6"/>
  <c r="P622" i="6"/>
  <c r="N620" i="6"/>
  <c r="O620" i="6"/>
  <c r="P621" i="6"/>
  <c r="AQ52" i="2"/>
  <c r="M626" i="6"/>
  <c r="N626" i="6"/>
  <c r="F16" i="2"/>
  <c r="AQ16" i="2" s="1"/>
  <c r="S615" i="6"/>
  <c r="O624" i="6"/>
  <c r="P626" i="6"/>
  <c r="T663" i="6"/>
  <c r="V663" i="6" s="1"/>
  <c r="Y14" i="2"/>
  <c r="T723" i="6"/>
  <c r="M623" i="6"/>
  <c r="N616" i="6"/>
  <c r="N618" i="6"/>
  <c r="P625" i="6"/>
  <c r="F58" i="2"/>
  <c r="AQ58" i="2" s="1"/>
  <c r="T279" i="6"/>
  <c r="V279" i="6" s="1"/>
  <c r="M603" i="6"/>
  <c r="Q615" i="6"/>
  <c r="M619" i="6"/>
  <c r="Q723" i="6"/>
  <c r="F59" i="2"/>
  <c r="AQ59" i="2" s="1"/>
  <c r="Q471" i="6"/>
  <c r="C50" i="2"/>
  <c r="P159" i="6"/>
  <c r="T471" i="6"/>
  <c r="V471" i="6" s="1"/>
  <c r="R615" i="6"/>
  <c r="P616" i="6"/>
  <c r="N619" i="6"/>
  <c r="P620" i="6"/>
  <c r="N623" i="6"/>
  <c r="P624" i="6"/>
  <c r="P663" i="6"/>
  <c r="F40" i="2"/>
  <c r="AQ40" i="2" s="1"/>
  <c r="G50" i="2"/>
  <c r="Y50" i="2" s="1"/>
  <c r="T243" i="6"/>
  <c r="O619" i="6"/>
  <c r="O623" i="6"/>
  <c r="F60" i="2"/>
  <c r="AQ60" i="2" s="1"/>
  <c r="T159" i="6"/>
  <c r="T615" i="6"/>
  <c r="F24" i="2"/>
  <c r="AQ24" i="2" s="1"/>
  <c r="M615" i="6"/>
  <c r="M617" i="6"/>
  <c r="M621" i="6"/>
  <c r="M625" i="6"/>
  <c r="N615" i="6"/>
  <c r="N617" i="6"/>
  <c r="N621" i="6"/>
  <c r="N625" i="6"/>
  <c r="C58" i="2"/>
  <c r="AH23" i="2"/>
  <c r="Y61" i="2"/>
  <c r="AQ6" i="2"/>
  <c r="AQ23" i="2"/>
  <c r="AQ31" i="2"/>
  <c r="AH37" i="2"/>
  <c r="AQ44" i="2"/>
  <c r="AQ17" i="2"/>
  <c r="P61" i="2"/>
  <c r="AH61" i="2"/>
  <c r="P38" i="2"/>
  <c r="AQ61" i="2"/>
  <c r="Y28" i="2"/>
  <c r="Y3" i="2"/>
  <c r="AQ53" i="2"/>
  <c r="AQ54" i="2"/>
  <c r="Y4" i="2"/>
  <c r="AQ38" i="2"/>
  <c r="Y39" i="2"/>
  <c r="AQ48" i="2"/>
  <c r="AH49" i="2"/>
  <c r="C54" i="2"/>
  <c r="P54" i="2" s="1"/>
  <c r="C8" i="2"/>
  <c r="I8" i="2" s="1"/>
  <c r="C55" i="2"/>
  <c r="I55" i="2" s="1"/>
  <c r="C21" i="2"/>
  <c r="I21" i="2" s="1"/>
  <c r="Q603" i="6"/>
  <c r="B16" i="7"/>
  <c r="L111" i="9"/>
  <c r="M75" i="9"/>
  <c r="M99" i="9"/>
  <c r="J111" i="8"/>
  <c r="L99" i="9"/>
  <c r="S68" i="13"/>
  <c r="P21" i="5"/>
  <c r="R21" i="5" s="1"/>
  <c r="P22" i="5"/>
  <c r="R22" i="5" s="1"/>
  <c r="S71" i="13"/>
  <c r="P4" i="5"/>
  <c r="R4" i="5" s="1"/>
  <c r="P8" i="5"/>
  <c r="Q8" i="5" s="1"/>
  <c r="P12" i="5"/>
  <c r="R12" i="5" s="1"/>
  <c r="P16" i="5"/>
  <c r="Q16" i="5" s="1"/>
  <c r="P20" i="5"/>
  <c r="Q20" i="5" s="1"/>
  <c r="P5" i="5"/>
  <c r="R5" i="5" s="1"/>
  <c r="P9" i="5"/>
  <c r="Q9" i="5" s="1"/>
  <c r="P13" i="5"/>
  <c r="Q13" i="5" s="1"/>
  <c r="P17" i="5"/>
  <c r="Q17" i="5" s="1"/>
  <c r="P6" i="5"/>
  <c r="Q6" i="5" s="1"/>
  <c r="P10" i="5"/>
  <c r="R10" i="5" s="1"/>
  <c r="P14" i="5"/>
  <c r="Q14" i="5" s="1"/>
  <c r="P18" i="5"/>
  <c r="Q18" i="5" s="1"/>
  <c r="P3" i="5"/>
  <c r="Q3" i="5" s="1"/>
  <c r="P7" i="5"/>
  <c r="Q7" i="5" s="1"/>
  <c r="P11" i="5"/>
  <c r="R11" i="5" s="1"/>
  <c r="P15" i="5"/>
  <c r="Q15" i="5" s="1"/>
  <c r="P19" i="5"/>
  <c r="Q19" i="5" s="1"/>
  <c r="Q26" i="13"/>
  <c r="S26" i="13" s="1"/>
  <c r="F126" i="13" a="1"/>
  <c r="F126" i="13" s="1"/>
  <c r="J51" i="8"/>
  <c r="J27" i="9"/>
  <c r="J51" i="9"/>
  <c r="S70" i="13"/>
  <c r="Q18" i="13"/>
  <c r="S18" i="13" s="1"/>
  <c r="Q19" i="13"/>
  <c r="S19" i="13" s="1"/>
  <c r="J75" i="8"/>
  <c r="L111" i="8"/>
  <c r="J27" i="8"/>
  <c r="L75" i="9"/>
  <c r="F128" i="13" a="1"/>
  <c r="F128" i="13" s="1"/>
  <c r="J15" i="13"/>
  <c r="Q17" i="13"/>
  <c r="S17" i="13" s="1"/>
  <c r="Q25" i="13"/>
  <c r="S25" i="13" s="1"/>
  <c r="S74" i="13"/>
  <c r="F133" i="13" a="1"/>
  <c r="F133" i="13" s="1"/>
  <c r="L75" i="8"/>
  <c r="S66" i="13"/>
  <c r="S72" i="13"/>
  <c r="M99" i="8"/>
  <c r="F134" i="13" a="1"/>
  <c r="F134" i="13" s="1"/>
  <c r="J99" i="8"/>
  <c r="J111" i="9"/>
  <c r="S64" i="13"/>
  <c r="S73" i="13"/>
  <c r="F130" i="13" a="1"/>
  <c r="F130" i="13" s="1"/>
  <c r="J75" i="9"/>
  <c r="F123" i="13" a="1"/>
  <c r="F123" i="13" s="1"/>
  <c r="J123" i="13" s="1"/>
  <c r="N123" i="13" s="1"/>
  <c r="L99" i="8"/>
  <c r="M27" i="9"/>
  <c r="M75" i="8"/>
  <c r="F125" i="13" a="1"/>
  <c r="F125" i="13" s="1"/>
  <c r="F131" i="13" a="1"/>
  <c r="F131" i="13" s="1"/>
  <c r="F127" i="13" a="1"/>
  <c r="F127" i="13" s="1"/>
  <c r="J99" i="9"/>
  <c r="L51" i="13"/>
  <c r="L75" i="13"/>
  <c r="F124" i="13" a="1"/>
  <c r="F124" i="13" s="1"/>
  <c r="F132" i="13" a="1"/>
  <c r="F132" i="13" s="1"/>
  <c r="F129" i="13" a="1"/>
  <c r="F129" i="13" s="1"/>
  <c r="S63" i="13"/>
  <c r="S65" i="13"/>
  <c r="S67" i="13"/>
  <c r="S69" i="13"/>
  <c r="AQ51" i="2"/>
  <c r="V207" i="6"/>
  <c r="N227" i="6"/>
  <c r="V255" i="6"/>
  <c r="AQ3" i="2"/>
  <c r="P6" i="2"/>
  <c r="P42" i="2"/>
  <c r="M219" i="6"/>
  <c r="AH7" i="2"/>
  <c r="Y34" i="2"/>
  <c r="Y35" i="2"/>
  <c r="Y42" i="2"/>
  <c r="Y47" i="2"/>
  <c r="Y48" i="2"/>
  <c r="O227" i="6"/>
  <c r="V135" i="6"/>
  <c r="P219" i="6"/>
  <c r="AQ7" i="2"/>
  <c r="AQ14" i="2"/>
  <c r="AH35" i="2"/>
  <c r="P36" i="2"/>
  <c r="V423" i="6"/>
  <c r="AQ33" i="2"/>
  <c r="AQ34" i="2"/>
  <c r="Y36" i="2"/>
  <c r="P37" i="2"/>
  <c r="P7" i="2"/>
  <c r="AH11" i="2"/>
  <c r="Y53" i="2"/>
  <c r="Y54" i="2"/>
  <c r="N229" i="6"/>
  <c r="AQ5" i="2"/>
  <c r="AH6" i="2"/>
  <c r="Y7" i="2"/>
  <c r="AQ11" i="2"/>
  <c r="Y13" i="2"/>
  <c r="AH18" i="2"/>
  <c r="AQ19" i="2"/>
  <c r="AQ28" i="2"/>
  <c r="N223" i="6"/>
  <c r="Y46" i="2"/>
  <c r="Y51" i="2"/>
  <c r="V459" i="6"/>
  <c r="V639" i="6"/>
  <c r="P15" i="2"/>
  <c r="O228" i="6"/>
  <c r="Y26" i="2"/>
  <c r="AQ30" i="2"/>
  <c r="Y49" i="2"/>
  <c r="AH56" i="2"/>
  <c r="N222" i="6"/>
  <c r="V543" i="6"/>
  <c r="AH9" i="2"/>
  <c r="AH25" i="2"/>
  <c r="AQ9" i="2"/>
  <c r="AQ15" i="2"/>
  <c r="AH17" i="2"/>
  <c r="AQ25" i="2"/>
  <c r="P28" i="2"/>
  <c r="V27" i="6"/>
  <c r="R219" i="6"/>
  <c r="O222" i="6"/>
  <c r="O223" i="6"/>
  <c r="P228" i="6"/>
  <c r="V339" i="6"/>
  <c r="V651" i="6"/>
  <c r="P22" i="2"/>
  <c r="AH34" i="2"/>
  <c r="AH39" i="2"/>
  <c r="AH40" i="2"/>
  <c r="AQ49" i="2"/>
  <c r="AH53" i="2"/>
  <c r="AH54" i="2"/>
  <c r="AH55" i="2"/>
  <c r="P57" i="2"/>
  <c r="S219" i="6"/>
  <c r="P222" i="6"/>
  <c r="P223" i="6"/>
  <c r="N226" i="6"/>
  <c r="V327" i="6"/>
  <c r="V387" i="6"/>
  <c r="Y8" i="2"/>
  <c r="Y22" i="2"/>
  <c r="AQ26" i="2"/>
  <c r="AQ39" i="2"/>
  <c r="Y57" i="2"/>
  <c r="Y58" i="2"/>
  <c r="P59" i="2"/>
  <c r="O226" i="6"/>
  <c r="V291" i="6"/>
  <c r="AH8" i="2"/>
  <c r="AH20" i="2"/>
  <c r="AH51" i="2"/>
  <c r="AH52" i="2"/>
  <c r="AQ56" i="2"/>
  <c r="AH57" i="2"/>
  <c r="AH58" i="2"/>
  <c r="Y59" i="2"/>
  <c r="E32" i="2"/>
  <c r="AH32" i="2" s="1"/>
  <c r="V495" i="6"/>
  <c r="AH3" i="2"/>
  <c r="AQ8" i="2"/>
  <c r="Y9" i="2"/>
  <c r="AH13" i="2"/>
  <c r="AH19" i="2"/>
  <c r="AQ20" i="2"/>
  <c r="AQ22" i="2"/>
  <c r="AQ27" i="2"/>
  <c r="AH36" i="2"/>
  <c r="Y37" i="2"/>
  <c r="AQ43" i="2"/>
  <c r="P52" i="2"/>
  <c r="AQ57" i="2"/>
  <c r="AH59" i="2"/>
  <c r="V447" i="6"/>
  <c r="Y5" i="2"/>
  <c r="Y52" i="2"/>
  <c r="Y60" i="2"/>
  <c r="N219" i="6"/>
  <c r="Q579" i="6"/>
  <c r="V579" i="6" s="1"/>
  <c r="V711" i="6"/>
  <c r="AH5" i="2"/>
  <c r="AQ12" i="2"/>
  <c r="AQ13" i="2"/>
  <c r="Y15" i="2"/>
  <c r="Y16" i="2"/>
  <c r="AH24" i="2"/>
  <c r="I25" i="2"/>
  <c r="Y31" i="2"/>
  <c r="AQ36" i="2"/>
  <c r="Y38" i="2"/>
  <c r="AH46" i="2"/>
  <c r="AH60" i="2"/>
  <c r="O219" i="6"/>
  <c r="M228" i="6"/>
  <c r="V567" i="6"/>
  <c r="AQ4" i="2"/>
  <c r="Y6" i="2"/>
  <c r="AH15" i="2"/>
  <c r="Y17" i="2"/>
  <c r="Y25" i="2"/>
  <c r="AQ29" i="2"/>
  <c r="AH31" i="2"/>
  <c r="Y33" i="2"/>
  <c r="AQ37" i="2"/>
  <c r="AH38" i="2"/>
  <c r="P39" i="2"/>
  <c r="AH48" i="2"/>
  <c r="P53" i="2"/>
  <c r="Q411" i="6"/>
  <c r="V411" i="6" s="1"/>
  <c r="E37" i="7"/>
  <c r="D45" i="7"/>
  <c r="V111" i="6"/>
  <c r="C41" i="2"/>
  <c r="P41" i="2" s="1"/>
  <c r="E38" i="7"/>
  <c r="D38" i="7"/>
  <c r="D46" i="7"/>
  <c r="N221" i="6"/>
  <c r="E44" i="7"/>
  <c r="O220" i="6"/>
  <c r="P220" i="6"/>
  <c r="E47" i="7"/>
  <c r="N220" i="6"/>
  <c r="S375" i="6"/>
  <c r="C13" i="2"/>
  <c r="I13" i="2" s="1"/>
  <c r="E39" i="7"/>
  <c r="D39" i="7"/>
  <c r="D40" i="7"/>
  <c r="O229" i="6"/>
  <c r="M229" i="6"/>
  <c r="C26" i="2"/>
  <c r="P26" i="2" s="1"/>
  <c r="Q303" i="6"/>
  <c r="V303" i="6" s="1"/>
  <c r="M221" i="6"/>
  <c r="O221" i="6"/>
  <c r="E41" i="7"/>
  <c r="D41" i="7"/>
  <c r="Q123" i="6"/>
  <c r="V123" i="6" s="1"/>
  <c r="M224" i="6"/>
  <c r="V519" i="6"/>
  <c r="C46" i="2"/>
  <c r="I46" i="2" s="1"/>
  <c r="M555" i="6"/>
  <c r="J13" i="3"/>
  <c r="J15" i="14" s="1"/>
  <c r="V735" i="6"/>
  <c r="E42" i="7"/>
  <c r="D42" i="7"/>
  <c r="N224" i="6"/>
  <c r="C48" i="2"/>
  <c r="P48" i="2" s="1"/>
  <c r="M579" i="6"/>
  <c r="C35" i="2"/>
  <c r="I35" i="2" s="1"/>
  <c r="M411" i="6"/>
  <c r="H3" i="2"/>
  <c r="D43" i="7"/>
  <c r="V147" i="6"/>
  <c r="P224" i="6"/>
  <c r="V363" i="6"/>
  <c r="O375" i="6"/>
  <c r="V699" i="6"/>
  <c r="T219" i="6"/>
  <c r="V351" i="6"/>
  <c r="F32" i="2"/>
  <c r="AQ32" i="2" s="1"/>
  <c r="T375" i="6"/>
  <c r="AH4" i="2"/>
  <c r="AQ21" i="2"/>
  <c r="AH12" i="2"/>
  <c r="P4" i="2"/>
  <c r="I11" i="2"/>
  <c r="I18" i="2"/>
  <c r="Y11" i="2"/>
  <c r="Y18" i="2"/>
  <c r="P19" i="2"/>
  <c r="Y19" i="2"/>
  <c r="AH14" i="2"/>
  <c r="AQ18" i="2"/>
  <c r="Y20" i="2"/>
  <c r="Y21" i="2"/>
  <c r="Y23" i="2"/>
  <c r="Y12" i="2"/>
  <c r="AH21" i="2"/>
  <c r="I3" i="2"/>
  <c r="P9" i="2"/>
  <c r="AH22" i="2"/>
  <c r="Y24" i="2"/>
  <c r="AH30" i="2"/>
  <c r="P32" i="2"/>
  <c r="AQ41" i="2"/>
  <c r="Y32" i="2"/>
  <c r="AH26" i="2"/>
  <c r="AH28" i="2"/>
  <c r="P27" i="2"/>
  <c r="P29" i="2"/>
  <c r="Y27" i="2"/>
  <c r="Y29" i="2"/>
  <c r="P30" i="2"/>
  <c r="AH33" i="2"/>
  <c r="AH27" i="2"/>
  <c r="AH29" i="2"/>
  <c r="Y30" i="2"/>
  <c r="AH41" i="2"/>
  <c r="AH42" i="2"/>
  <c r="I43" i="2"/>
  <c r="Y44" i="2"/>
  <c r="AQ46" i="2"/>
  <c r="Y40" i="2"/>
  <c r="AQ42" i="2"/>
  <c r="Y43" i="2"/>
  <c r="AH44" i="2"/>
  <c r="AH43" i="2"/>
  <c r="AH47" i="2"/>
  <c r="Y45" i="2"/>
  <c r="AQ47" i="2"/>
  <c r="Y41" i="2"/>
  <c r="AH45" i="2"/>
  <c r="AQ45" i="2"/>
  <c r="I33" i="2"/>
  <c r="P34" i="2"/>
  <c r="Y55" i="2"/>
  <c r="M227" i="6"/>
  <c r="AQ55" i="2"/>
  <c r="P56" i="2"/>
  <c r="Y56" i="2"/>
  <c r="P44" i="2"/>
  <c r="P45" i="2"/>
  <c r="P47" i="2"/>
  <c r="I49" i="2"/>
  <c r="V603" i="6"/>
  <c r="I60" i="2"/>
  <c r="M729" i="6"/>
  <c r="M682" i="6"/>
  <c r="Q675" i="6"/>
  <c r="V675" i="6" s="1"/>
  <c r="M610" i="6"/>
  <c r="Q687" i="6"/>
  <c r="V687" i="6" s="1"/>
  <c r="M695" i="6"/>
  <c r="C40" i="2"/>
  <c r="P40" i="2" s="1"/>
  <c r="M226" i="6"/>
  <c r="Q219" i="6"/>
  <c r="C16" i="2"/>
  <c r="Q159" i="6"/>
  <c r="V159" i="6" s="1"/>
  <c r="M71" i="6"/>
  <c r="Q63" i="6"/>
  <c r="V63" i="6" s="1"/>
  <c r="M23" i="6"/>
  <c r="P11" i="2"/>
  <c r="I29" i="2"/>
  <c r="P3" i="2"/>
  <c r="I45" i="2"/>
  <c r="I47" i="2"/>
  <c r="P49" i="2"/>
  <c r="P24" i="2"/>
  <c r="I4" i="2"/>
  <c r="I34" i="2"/>
  <c r="I6" i="2"/>
  <c r="I15" i="2"/>
  <c r="P25" i="2"/>
  <c r="I56" i="2"/>
  <c r="I37" i="2"/>
  <c r="P60" i="2"/>
  <c r="P18" i="2"/>
  <c r="I44" i="2"/>
  <c r="I52" i="2"/>
  <c r="P33" i="2"/>
  <c r="C5" i="2"/>
  <c r="Q15" i="6"/>
  <c r="V15" i="6" s="1"/>
  <c r="M15" i="6"/>
  <c r="I17" i="2"/>
  <c r="P17" i="2"/>
  <c r="P20" i="2"/>
  <c r="I20" i="2"/>
  <c r="I12" i="2"/>
  <c r="P12" i="2"/>
  <c r="I23" i="2"/>
  <c r="P23" i="2"/>
  <c r="P31" i="2"/>
  <c r="I31" i="2"/>
  <c r="I7" i="2"/>
  <c r="I9" i="2"/>
  <c r="P14" i="2"/>
  <c r="I14" i="2"/>
  <c r="P51" i="2"/>
  <c r="I51" i="2"/>
  <c r="I19" i="2"/>
  <c r="I27" i="2"/>
  <c r="I36" i="2"/>
  <c r="I22" i="2"/>
  <c r="I30" i="2"/>
  <c r="I38" i="2"/>
  <c r="I28" i="2"/>
  <c r="I39" i="2"/>
  <c r="P43" i="2"/>
  <c r="I42" i="2"/>
  <c r="I53" i="2"/>
  <c r="I61" i="2"/>
  <c r="I59" i="2"/>
  <c r="I57" i="2"/>
  <c r="I41" i="2" l="1"/>
  <c r="I54" i="2"/>
  <c r="I16" i="2"/>
  <c r="V723" i="6"/>
  <c r="I24" i="2"/>
  <c r="N75" i="9"/>
  <c r="P13" i="2"/>
  <c r="I58" i="2"/>
  <c r="V615" i="6"/>
  <c r="P50" i="2"/>
  <c r="AQ50" i="2"/>
  <c r="AS21" i="2" s="1" a="1"/>
  <c r="AS21" i="2" s="1"/>
  <c r="I50" i="2"/>
  <c r="P58" i="2"/>
  <c r="D7" i="12" a="1"/>
  <c r="D7" i="12" s="1"/>
  <c r="P21" i="2"/>
  <c r="P55" i="2"/>
  <c r="AH50" i="2"/>
  <c r="AK37" i="2" s="1" a="1"/>
  <c r="AK37" i="2" s="1"/>
  <c r="P8" i="2"/>
  <c r="N51" i="9"/>
  <c r="F62" i="9" s="1"/>
  <c r="Q4" i="5"/>
  <c r="S4" i="5" s="1"/>
  <c r="N99" i="9"/>
  <c r="F102" i="9" s="1"/>
  <c r="N27" i="9"/>
  <c r="Q22" i="5"/>
  <c r="N111" i="9"/>
  <c r="F114" i="9" s="1"/>
  <c r="R15" i="5"/>
  <c r="S15" i="5" s="1"/>
  <c r="R14" i="5"/>
  <c r="S14" i="5" s="1"/>
  <c r="Q12" i="5"/>
  <c r="S12" i="5" s="1"/>
  <c r="R17" i="5"/>
  <c r="S17" i="5" s="1"/>
  <c r="Q5" i="5"/>
  <c r="S5" i="5" s="1"/>
  <c r="Q21" i="5"/>
  <c r="S21" i="5" s="1"/>
  <c r="S22" i="5"/>
  <c r="R7" i="5"/>
  <c r="S7" i="5" s="1"/>
  <c r="R16" i="5"/>
  <c r="S16" i="5" s="1"/>
  <c r="R6" i="5"/>
  <c r="S6" i="5" s="1"/>
  <c r="R9" i="5"/>
  <c r="S9" i="5" s="1"/>
  <c r="Q10" i="5"/>
  <c r="S10" i="5" s="1"/>
  <c r="R8" i="5"/>
  <c r="S8" i="5" s="1"/>
  <c r="R19" i="5"/>
  <c r="S19" i="5" s="1"/>
  <c r="R3" i="5"/>
  <c r="S3" i="5" s="1"/>
  <c r="R18" i="5"/>
  <c r="S18" i="5" s="1"/>
  <c r="R13" i="5"/>
  <c r="S13" i="5" s="1"/>
  <c r="Q11" i="5"/>
  <c r="S11" i="5" s="1"/>
  <c r="R20" i="5"/>
  <c r="S20" i="5" s="1"/>
  <c r="I17" i="12" a="1"/>
  <c r="I17" i="12" s="1"/>
  <c r="D24" i="12" a="1"/>
  <c r="D24" i="12" s="1"/>
  <c r="I8" i="12" a="1"/>
  <c r="I8" i="12" s="1"/>
  <c r="D13" i="12" a="1"/>
  <c r="D13" i="12" s="1"/>
  <c r="D9" i="12" a="1"/>
  <c r="D9" i="12" s="1"/>
  <c r="D23" i="12" a="1"/>
  <c r="D23" i="12" s="1"/>
  <c r="I9" i="12" a="1"/>
  <c r="I9" i="12" s="1"/>
  <c r="AS37" i="2" a="1"/>
  <c r="AS37" i="2" s="1"/>
  <c r="AJ38" i="2" a="1"/>
  <c r="AJ38" i="2" s="1"/>
  <c r="P46" i="2"/>
  <c r="I48" i="2"/>
  <c r="I26" i="2"/>
  <c r="AB51" i="2" a="1"/>
  <c r="AB51" i="2" s="1"/>
  <c r="AT52" i="2" a="1"/>
  <c r="AT52" i="2" s="1"/>
  <c r="AT16" i="2" a="1"/>
  <c r="AT16" i="2" s="1"/>
  <c r="D16" i="12" a="1"/>
  <c r="D16" i="12" s="1"/>
  <c r="I21" i="12" a="1"/>
  <c r="I21" i="12" s="1"/>
  <c r="G117" i="13" s="1" a="1"/>
  <c r="G117" i="13" s="1"/>
  <c r="I16" i="12" a="1"/>
  <c r="I16" i="12" s="1"/>
  <c r="I30" i="12" a="1"/>
  <c r="I30" i="12" s="1"/>
  <c r="G198" i="13" s="1" a="1"/>
  <c r="G198" i="13" s="1"/>
  <c r="D11" i="12" a="1"/>
  <c r="D11" i="12" s="1"/>
  <c r="I20" i="12" a="1"/>
  <c r="I20" i="12" s="1"/>
  <c r="G116" i="13" s="1" a="1"/>
  <c r="G116" i="13" s="1"/>
  <c r="D25" i="12" a="1"/>
  <c r="D25" i="12" s="1"/>
  <c r="D39" i="12" a="1"/>
  <c r="D39" i="12" s="1"/>
  <c r="D18" i="12" a="1"/>
  <c r="D18" i="12" s="1"/>
  <c r="I27" i="12" a="1"/>
  <c r="I27" i="12" s="1"/>
  <c r="G195" i="13" s="1" a="1"/>
  <c r="G195" i="13" s="1"/>
  <c r="D19" i="12" a="1"/>
  <c r="D19" i="12" s="1"/>
  <c r="I39" i="12" a="1"/>
  <c r="I39" i="12" s="1"/>
  <c r="D20" i="12" a="1"/>
  <c r="D20" i="12" s="1"/>
  <c r="I25" i="12" a="1"/>
  <c r="I25" i="12" s="1"/>
  <c r="D26" i="12" a="1"/>
  <c r="D26" i="12" s="1"/>
  <c r="D99" i="12" a="1"/>
  <c r="D99" i="12" s="1"/>
  <c r="D21" i="12" a="1"/>
  <c r="D21" i="12" s="1"/>
  <c r="I18" i="12" a="1"/>
  <c r="I18" i="12" s="1"/>
  <c r="G114" i="13" s="1" a="1"/>
  <c r="G114" i="13" s="1"/>
  <c r="I22" i="12" a="1"/>
  <c r="I22" i="12" s="1"/>
  <c r="I104" i="12" a="1"/>
  <c r="I104" i="12" s="1"/>
  <c r="I24" i="12" a="1"/>
  <c r="I24" i="12" s="1"/>
  <c r="D34" i="12" a="1"/>
  <c r="D34" i="12" s="1"/>
  <c r="D28" i="12" a="1"/>
  <c r="D28" i="12" s="1"/>
  <c r="D121" i="12" a="1"/>
  <c r="D121" i="12" s="1"/>
  <c r="I66" i="12" a="1"/>
  <c r="I66" i="12" s="1"/>
  <c r="AT51" i="2" a="1"/>
  <c r="AT51" i="2" s="1"/>
  <c r="I26" i="12" a="1"/>
  <c r="I26" i="12" s="1"/>
  <c r="D22" i="12" a="1"/>
  <c r="D22" i="12" s="1"/>
  <c r="I29" i="12" a="1"/>
  <c r="I29" i="12" s="1"/>
  <c r="G197" i="13" s="1" a="1"/>
  <c r="G197" i="13" s="1"/>
  <c r="I19" i="12" a="1"/>
  <c r="I19" i="12" s="1"/>
  <c r="G115" i="13" s="1" a="1"/>
  <c r="G115" i="13" s="1"/>
  <c r="I56" i="12" a="1"/>
  <c r="I56" i="12" s="1"/>
  <c r="I4" i="12" a="1"/>
  <c r="I4" i="12" s="1"/>
  <c r="I6" i="12" a="1"/>
  <c r="I6" i="12" s="1"/>
  <c r="I82" i="12" a="1"/>
  <c r="I82" i="12" s="1"/>
  <c r="AJ7" i="2" a="1"/>
  <c r="AJ7" i="2" s="1"/>
  <c r="D45" i="12" a="1"/>
  <c r="D45" i="12" s="1"/>
  <c r="I28" i="12" a="1"/>
  <c r="I28" i="12" s="1"/>
  <c r="G196" i="13" s="1" a="1"/>
  <c r="G196" i="13" s="1"/>
  <c r="I13" i="12" a="1"/>
  <c r="I13" i="12" s="1"/>
  <c r="I23" i="12" a="1"/>
  <c r="I23" i="12" s="1"/>
  <c r="G119" i="13" s="1" a="1"/>
  <c r="G119" i="13" s="1"/>
  <c r="D123" i="12" a="1"/>
  <c r="D123" i="12" s="1"/>
  <c r="D6" i="12" a="1"/>
  <c r="D6" i="12" s="1"/>
  <c r="I14" i="12" a="1"/>
  <c r="I14" i="12" s="1"/>
  <c r="D59" i="12" a="1"/>
  <c r="D59" i="12" s="1"/>
  <c r="I98" i="12" a="1"/>
  <c r="I98" i="12" s="1"/>
  <c r="I3" i="12" a="1"/>
  <c r="I3" i="12" s="1"/>
  <c r="D5" i="12" a="1"/>
  <c r="D5" i="12" s="1"/>
  <c r="D15" i="12" a="1"/>
  <c r="D15" i="12" s="1"/>
  <c r="I31" i="12" a="1"/>
  <c r="I31" i="12" s="1"/>
  <c r="G199" i="13" s="1" a="1"/>
  <c r="G199" i="13" s="1"/>
  <c r="I5" i="12" a="1"/>
  <c r="I5" i="12" s="1"/>
  <c r="D4" i="12" a="1"/>
  <c r="D4" i="12" s="1"/>
  <c r="D67" i="12" a="1"/>
  <c r="D67" i="12" s="1"/>
  <c r="I114" i="12" a="1"/>
  <c r="I114" i="12" s="1"/>
  <c r="P35" i="2"/>
  <c r="AS56" i="2" a="1"/>
  <c r="AS56" i="2" s="1"/>
  <c r="I11" i="12" a="1"/>
  <c r="I11" i="12" s="1"/>
  <c r="I7" i="12" a="1"/>
  <c r="I7" i="12" s="1"/>
  <c r="D17" i="12" a="1"/>
  <c r="D17" i="12" s="1"/>
  <c r="D3" i="12" a="1"/>
  <c r="D3" i="12" s="1"/>
  <c r="I15" i="12" a="1"/>
  <c r="I15" i="12" s="1"/>
  <c r="G111" i="13" s="1" a="1"/>
  <c r="G111" i="13" s="1"/>
  <c r="I10" i="12" a="1"/>
  <c r="I10" i="12" s="1"/>
  <c r="D48" i="12" a="1"/>
  <c r="D48" i="12" s="1"/>
  <c r="I130" i="12" a="1"/>
  <c r="I130" i="12" s="1"/>
  <c r="AJ41" i="2" a="1"/>
  <c r="AJ41" i="2" s="1"/>
  <c r="AJ31" i="2" a="1"/>
  <c r="AJ31" i="2" s="1"/>
  <c r="AJ23" i="2" a="1"/>
  <c r="AJ23" i="2" s="1"/>
  <c r="AK21" i="2" a="1"/>
  <c r="AK21" i="2" s="1"/>
  <c r="AB17" i="2" a="1"/>
  <c r="AB17" i="2" s="1"/>
  <c r="AB14" i="2" a="1"/>
  <c r="AB14" i="2" s="1"/>
  <c r="AA57" i="2" a="1"/>
  <c r="AA57" i="2" s="1"/>
  <c r="AK44" i="2" a="1"/>
  <c r="AK44" i="2" s="1"/>
  <c r="AK42" i="2" a="1"/>
  <c r="AK42" i="2" s="1"/>
  <c r="AJ32" i="2" a="1"/>
  <c r="AJ32" i="2" s="1"/>
  <c r="AA28" i="2" a="1"/>
  <c r="AA28" i="2" s="1"/>
  <c r="AB12" i="2" a="1"/>
  <c r="AB12" i="2" s="1"/>
  <c r="AK53" i="2" a="1"/>
  <c r="AK53" i="2" s="1"/>
  <c r="AA36" i="2" a="1"/>
  <c r="AA36" i="2" s="1"/>
  <c r="AA24" i="2" a="1"/>
  <c r="AA24" i="2" s="1"/>
  <c r="AJ13" i="2" a="1"/>
  <c r="AJ13" i="2" s="1"/>
  <c r="AT61" i="2" a="1"/>
  <c r="AT61" i="2" s="1"/>
  <c r="AA61" i="2" a="1"/>
  <c r="AA61" i="2" s="1"/>
  <c r="AA60" i="2" a="1"/>
  <c r="AA60" i="2" s="1"/>
  <c r="AT59" i="2" a="1"/>
  <c r="AT59" i="2" s="1"/>
  <c r="AA59" i="2" a="1"/>
  <c r="AA59" i="2" s="1"/>
  <c r="G65" i="2" a="1"/>
  <c r="AS61" i="2" a="1"/>
  <c r="AS61" i="2" s="1"/>
  <c r="AS60" i="2" a="1"/>
  <c r="AS60" i="2" s="1"/>
  <c r="AK57" i="2" a="1"/>
  <c r="AK57" i="2" s="1"/>
  <c r="AK56" i="2" a="1"/>
  <c r="AK56" i="2" s="1"/>
  <c r="AK55" i="2" a="1"/>
  <c r="AK55" i="2" s="1"/>
  <c r="AK61" i="2" a="1"/>
  <c r="AK61" i="2" s="1"/>
  <c r="AK60" i="2" a="1"/>
  <c r="AK60" i="2" s="1"/>
  <c r="AK59" i="2" a="1"/>
  <c r="AK59" i="2" s="1"/>
  <c r="AK58" i="2" a="1"/>
  <c r="AK58" i="2" s="1"/>
  <c r="AJ54" i="2" a="1"/>
  <c r="AJ54" i="2" s="1"/>
  <c r="AJ61" i="2" a="1"/>
  <c r="AJ61" i="2" s="1"/>
  <c r="AJ60" i="2" a="1"/>
  <c r="AJ60" i="2" s="1"/>
  <c r="AJ59" i="2" a="1"/>
  <c r="AJ59" i="2" s="1"/>
  <c r="AJ58" i="2" a="1"/>
  <c r="AJ58" i="2" s="1"/>
  <c r="AB57" i="2" a="1"/>
  <c r="AB57" i="2" s="1"/>
  <c r="AB61" i="2" a="1"/>
  <c r="AB61" i="2" s="1"/>
  <c r="AB60" i="2" a="1"/>
  <c r="AB60" i="2" s="1"/>
  <c r="AB59" i="2" a="1"/>
  <c r="AB59" i="2" s="1"/>
  <c r="AS45" i="2" a="1"/>
  <c r="AS45" i="2" s="1"/>
  <c r="AT45" i="2" a="1"/>
  <c r="AT45" i="2" s="1"/>
  <c r="AA45" i="2" a="1"/>
  <c r="AA45" i="2" s="1"/>
  <c r="AJ45" i="2" a="1"/>
  <c r="AJ45" i="2" s="1"/>
  <c r="AT38" i="2" a="1"/>
  <c r="AT38" i="2" s="1"/>
  <c r="AB45" i="2" a="1"/>
  <c r="AB45" i="2" s="1"/>
  <c r="AT37" i="2" a="1"/>
  <c r="AT37" i="2" s="1"/>
  <c r="AK45" i="2" a="1"/>
  <c r="AK45" i="2" s="1"/>
  <c r="AA38" i="2" a="1"/>
  <c r="AA38" i="2" s="1"/>
  <c r="BA3" i="2" a="1"/>
  <c r="BA3" i="2" s="1"/>
  <c r="AA37" i="2" a="1"/>
  <c r="AA37" i="2" s="1"/>
  <c r="AA10" i="2" a="1"/>
  <c r="AA10" i="2" s="1"/>
  <c r="AS8" i="2" a="1"/>
  <c r="AS8" i="2" s="1"/>
  <c r="AS3" i="2" a="1"/>
  <c r="AS3" i="2" s="1"/>
  <c r="AA22" i="2" a="1"/>
  <c r="AA22" i="2" s="1"/>
  <c r="AJ9" i="2" a="1"/>
  <c r="AJ9" i="2" s="1"/>
  <c r="AJ8" i="2" a="1"/>
  <c r="AJ8" i="2" s="1"/>
  <c r="AJ3" i="2" a="1"/>
  <c r="AJ3" i="2" s="1"/>
  <c r="AB9" i="2" a="1"/>
  <c r="AB9" i="2" s="1"/>
  <c r="AB8" i="2" a="1"/>
  <c r="AB8" i="2" s="1"/>
  <c r="AB3" i="2" a="1"/>
  <c r="AB3" i="2" s="1"/>
  <c r="AT22" i="2" a="1"/>
  <c r="AT22" i="2" s="1"/>
  <c r="AK8" i="2" a="1"/>
  <c r="AK8" i="2" s="1"/>
  <c r="AA3" i="2" a="1"/>
  <c r="AA3" i="2" s="1"/>
  <c r="AT3" i="2" a="1"/>
  <c r="AT3" i="2" s="1"/>
  <c r="AB10" i="2" a="1"/>
  <c r="AB10" i="2" s="1"/>
  <c r="AA9" i="2" a="1"/>
  <c r="AA9" i="2" s="1"/>
  <c r="AA8" i="2" a="1"/>
  <c r="AA8" i="2" s="1"/>
  <c r="AT8" i="2" a="1"/>
  <c r="AT8" i="2" s="1"/>
  <c r="AK3" i="2" a="1"/>
  <c r="AK3" i="2" s="1"/>
  <c r="AK9" i="2" a="1"/>
  <c r="AK9" i="2" s="1"/>
  <c r="AJ10" i="2" a="1"/>
  <c r="AJ10" i="2" s="1"/>
  <c r="AJ35" i="2" a="1"/>
  <c r="AJ35" i="2" s="1"/>
  <c r="E32" i="7"/>
  <c r="E48" i="7" s="1"/>
  <c r="E51" i="7" s="1"/>
  <c r="E52" i="7" s="1"/>
  <c r="E36" i="7"/>
  <c r="I43" i="12" a="1"/>
  <c r="I43" i="12" s="1"/>
  <c r="I59" i="12" a="1"/>
  <c r="I59" i="12" s="1"/>
  <c r="I75" i="12" a="1"/>
  <c r="I75" i="12" s="1"/>
  <c r="I91" i="12" a="1"/>
  <c r="I91" i="12" s="1"/>
  <c r="I107" i="12" a="1"/>
  <c r="I107" i="12" s="1"/>
  <c r="I123" i="12" a="1"/>
  <c r="I123" i="12" s="1"/>
  <c r="AB43" i="2" a="1"/>
  <c r="AB43" i="2" s="1"/>
  <c r="AK19" i="2" a="1"/>
  <c r="AK19" i="2" s="1"/>
  <c r="AA25" i="2" a="1"/>
  <c r="AA25" i="2" s="1"/>
  <c r="AA34" i="2" a="1"/>
  <c r="AA34" i="2" s="1"/>
  <c r="AB30" i="2" a="1"/>
  <c r="AB30" i="2" s="1"/>
  <c r="AK15" i="2" a="1"/>
  <c r="AK15" i="2" s="1"/>
  <c r="AA6" i="2" a="1"/>
  <c r="AA6" i="2" s="1"/>
  <c r="AB50" i="2" a="1"/>
  <c r="AB50" i="2" s="1"/>
  <c r="AT31" i="2" a="1"/>
  <c r="AT31" i="2" s="1"/>
  <c r="AB23" i="2" a="1"/>
  <c r="AB23" i="2" s="1"/>
  <c r="AB16" i="2" a="1"/>
  <c r="AB16" i="2" s="1"/>
  <c r="AA14" i="2" a="1"/>
  <c r="AA14" i="2" s="1"/>
  <c r="AK49" i="2" a="1"/>
  <c r="AK49" i="2" s="1"/>
  <c r="AB44" i="2" a="1"/>
  <c r="AB44" i="2" s="1"/>
  <c r="AB42" i="2" a="1"/>
  <c r="AB42" i="2" s="1"/>
  <c r="AA32" i="2" a="1"/>
  <c r="AA32" i="2" s="1"/>
  <c r="AJ12" i="2" a="1"/>
  <c r="AJ12" i="2" s="1"/>
  <c r="AT53" i="2" a="1"/>
  <c r="AT53" i="2" s="1"/>
  <c r="AA52" i="2" a="1"/>
  <c r="AA52" i="2" s="1"/>
  <c r="AA40" i="2" a="1"/>
  <c r="AA40" i="2" s="1"/>
  <c r="AB36" i="2" a="1"/>
  <c r="AB36" i="2" s="1"/>
  <c r="AB24" i="2" a="1"/>
  <c r="AB24" i="2" s="1"/>
  <c r="AK13" i="2" a="1"/>
  <c r="AK13" i="2" s="1"/>
  <c r="AK7" i="2" a="1"/>
  <c r="AK7" i="2" s="1"/>
  <c r="AK35" i="2" a="1"/>
  <c r="AK35" i="2" s="1"/>
  <c r="C32" i="7"/>
  <c r="C48" i="7" s="1"/>
  <c r="I33" i="12" a="1"/>
  <c r="I33" i="12" s="1"/>
  <c r="G201" i="13" s="1" a="1"/>
  <c r="G201" i="13" s="1"/>
  <c r="D75" i="12" a="1"/>
  <c r="D75" i="12" s="1"/>
  <c r="I40" i="12" a="1"/>
  <c r="I40" i="12" s="1"/>
  <c r="I49" i="12" a="1"/>
  <c r="I49" i="12" s="1"/>
  <c r="D30" i="12" a="1"/>
  <c r="D30" i="12" s="1"/>
  <c r="I88" i="12" a="1"/>
  <c r="I88" i="12" s="1"/>
  <c r="D10" i="12" a="1"/>
  <c r="D10" i="12" s="1"/>
  <c r="I45" i="12" a="1"/>
  <c r="I45" i="12" s="1"/>
  <c r="I128" i="12" a="1"/>
  <c r="I128" i="12" s="1"/>
  <c r="D69" i="12" a="1"/>
  <c r="D69" i="12" s="1"/>
  <c r="D85" i="12" a="1"/>
  <c r="D85" i="12" s="1"/>
  <c r="D101" i="12" a="1"/>
  <c r="D101" i="12" s="1"/>
  <c r="D117" i="12" a="1"/>
  <c r="D117" i="12" s="1"/>
  <c r="D133" i="12" a="1"/>
  <c r="D133" i="12" s="1"/>
  <c r="I63" i="12" a="1"/>
  <c r="I63" i="12" s="1"/>
  <c r="I79" i="12" a="1"/>
  <c r="I79" i="12" s="1"/>
  <c r="I95" i="12" a="1"/>
  <c r="I95" i="12" s="1"/>
  <c r="I111" i="12" a="1"/>
  <c r="I111" i="12" s="1"/>
  <c r="I127" i="12" a="1"/>
  <c r="I127" i="12" s="1"/>
  <c r="I53" i="12" a="1"/>
  <c r="I53" i="12" s="1"/>
  <c r="I69" i="12" a="1"/>
  <c r="I69" i="12" s="1"/>
  <c r="I85" i="12" a="1"/>
  <c r="I85" i="12" s="1"/>
  <c r="I101" i="12" a="1"/>
  <c r="I101" i="12" s="1"/>
  <c r="I117" i="12" a="1"/>
  <c r="I117" i="12" s="1"/>
  <c r="I44" i="12" a="1"/>
  <c r="I44" i="12" s="1"/>
  <c r="I60" i="12" a="1"/>
  <c r="I60" i="12" s="1"/>
  <c r="I76" i="12" a="1"/>
  <c r="I76" i="12" s="1"/>
  <c r="I92" i="12" a="1"/>
  <c r="I92" i="12" s="1"/>
  <c r="I108" i="12" a="1"/>
  <c r="I108" i="12" s="1"/>
  <c r="I124" i="12" a="1"/>
  <c r="I124" i="12" s="1"/>
  <c r="D46" i="12" a="1"/>
  <c r="D46" i="12" s="1"/>
  <c r="D62" i="12" a="1"/>
  <c r="D62" i="12" s="1"/>
  <c r="D78" i="12" a="1"/>
  <c r="D78" i="12" s="1"/>
  <c r="D94" i="12" a="1"/>
  <c r="D94" i="12" s="1"/>
  <c r="D110" i="12" a="1"/>
  <c r="D110" i="12" s="1"/>
  <c r="D126" i="12" a="1"/>
  <c r="D126" i="12" s="1"/>
  <c r="AT43" i="2" a="1"/>
  <c r="AT43" i="2" s="1"/>
  <c r="AA18" i="2" a="1"/>
  <c r="AA18" i="2" s="1"/>
  <c r="AJ46" i="2" a="1"/>
  <c r="AJ46" i="2" s="1"/>
  <c r="AT26" i="2" a="1"/>
  <c r="AT26" i="2" s="1"/>
  <c r="AB25" i="2" a="1"/>
  <c r="AB25" i="2" s="1"/>
  <c r="AB34" i="2" a="1"/>
  <c r="AB34" i="2" s="1"/>
  <c r="AK30" i="2" a="1"/>
  <c r="AK30" i="2" s="1"/>
  <c r="AT15" i="2" a="1"/>
  <c r="AT15" i="2" s="1"/>
  <c r="AJ29" i="2" a="1"/>
  <c r="AJ29" i="2" s="1"/>
  <c r="AT6" i="2" a="1"/>
  <c r="AT6" i="2" s="1"/>
  <c r="AJ27" i="2" a="1"/>
  <c r="AJ27" i="2" s="1"/>
  <c r="AJ33" i="2" a="1"/>
  <c r="AJ33" i="2" s="1"/>
  <c r="AA31" i="2" a="1"/>
  <c r="AA31" i="2" s="1"/>
  <c r="AK23" i="2" a="1"/>
  <c r="AK23" i="2" s="1"/>
  <c r="AJ20" i="2" a="1"/>
  <c r="AJ20" i="2" s="1"/>
  <c r="AJ17" i="2" a="1"/>
  <c r="AJ17" i="2" s="1"/>
  <c r="AJ16" i="2" a="1"/>
  <c r="AJ16" i="2" s="1"/>
  <c r="AJ57" i="2" a="1"/>
  <c r="AJ57" i="2" s="1"/>
  <c r="AA49" i="2" a="1"/>
  <c r="AA49" i="2" s="1"/>
  <c r="AA44" i="2" a="1"/>
  <c r="AA44" i="2" s="1"/>
  <c r="AB39" i="2" a="1"/>
  <c r="AB39" i="2" s="1"/>
  <c r="AS54" i="2" a="1"/>
  <c r="AS54" i="2" s="1"/>
  <c r="AB32" i="2" a="1"/>
  <c r="AB32" i="2" s="1"/>
  <c r="AK28" i="2" a="1"/>
  <c r="AK28" i="2" s="1"/>
  <c r="AS12" i="2" a="1"/>
  <c r="AS12" i="2" s="1"/>
  <c r="AS53" i="2" a="1"/>
  <c r="AS53" i="2" s="1"/>
  <c r="AJ52" i="2" a="1"/>
  <c r="AJ52" i="2" s="1"/>
  <c r="AB40" i="2" a="1"/>
  <c r="AB40" i="2" s="1"/>
  <c r="AJ36" i="2" a="1"/>
  <c r="AJ36" i="2" s="1"/>
  <c r="AT24" i="2" a="1"/>
  <c r="AT24" i="2" s="1"/>
  <c r="AT13" i="2" a="1"/>
  <c r="AT13" i="2" s="1"/>
  <c r="AS7" i="2" a="1"/>
  <c r="AS7" i="2" s="1"/>
  <c r="G122" i="13" a="1"/>
  <c r="G122" i="13" s="1"/>
  <c r="D27" i="12" a="1"/>
  <c r="D27" i="12" s="1"/>
  <c r="AS35" i="2" a="1"/>
  <c r="AS35" i="2" s="1"/>
  <c r="AA5" i="2" a="1"/>
  <c r="AA5" i="2" s="1"/>
  <c r="D36" i="12" a="1"/>
  <c r="D36" i="12" s="1"/>
  <c r="I12" i="12" a="1"/>
  <c r="I12" i="12" s="1"/>
  <c r="D42" i="12" a="1"/>
  <c r="D42" i="12" s="1"/>
  <c r="D33" i="12" a="1"/>
  <c r="D33" i="12" s="1"/>
  <c r="D31" i="12" a="1"/>
  <c r="D31" i="12" s="1"/>
  <c r="I46" i="12" a="1"/>
  <c r="I46" i="12" s="1"/>
  <c r="D107" i="12" a="1"/>
  <c r="D107" i="12" s="1"/>
  <c r="I42" i="12" a="1"/>
  <c r="I42" i="12" s="1"/>
  <c r="D58" i="12" a="1"/>
  <c r="D58" i="12" s="1"/>
  <c r="I34" i="12" a="1"/>
  <c r="I34" i="12" s="1"/>
  <c r="G202" i="13" s="1" a="1"/>
  <c r="G202" i="13" s="1"/>
  <c r="I73" i="12" a="1"/>
  <c r="I73" i="12" s="1"/>
  <c r="I89" i="12" a="1"/>
  <c r="I89" i="12" s="1"/>
  <c r="I105" i="12" a="1"/>
  <c r="I105" i="12" s="1"/>
  <c r="I121" i="12" a="1"/>
  <c r="I121" i="12" s="1"/>
  <c r="D66" i="12" a="1"/>
  <c r="D66" i="12" s="1"/>
  <c r="D82" i="12" a="1"/>
  <c r="D82" i="12" s="1"/>
  <c r="D98" i="12" a="1"/>
  <c r="D98" i="12" s="1"/>
  <c r="D114" i="12" a="1"/>
  <c r="D114" i="12" s="1"/>
  <c r="D130" i="12" a="1"/>
  <c r="D130" i="12" s="1"/>
  <c r="I62" i="12" a="1"/>
  <c r="I62" i="12" s="1"/>
  <c r="I78" i="12" a="1"/>
  <c r="I78" i="12" s="1"/>
  <c r="I94" i="12" a="1"/>
  <c r="I94" i="12" s="1"/>
  <c r="I110" i="12" a="1"/>
  <c r="I110" i="12" s="1"/>
  <c r="I126" i="12" a="1"/>
  <c r="I126" i="12" s="1"/>
  <c r="D56" i="12" a="1"/>
  <c r="D56" i="12" s="1"/>
  <c r="D72" i="12" a="1"/>
  <c r="D72" i="12" s="1"/>
  <c r="D88" i="12" a="1"/>
  <c r="D88" i="12" s="1"/>
  <c r="D104" i="12" a="1"/>
  <c r="D104" i="12" s="1"/>
  <c r="D120" i="12" a="1"/>
  <c r="D120" i="12" s="1"/>
  <c r="D47" i="12" a="1"/>
  <c r="D47" i="12" s="1"/>
  <c r="D63" i="12" a="1"/>
  <c r="D63" i="12" s="1"/>
  <c r="D79" i="12" a="1"/>
  <c r="D79" i="12" s="1"/>
  <c r="D95" i="12" a="1"/>
  <c r="D95" i="12" s="1"/>
  <c r="D111" i="12" a="1"/>
  <c r="D111" i="12" s="1"/>
  <c r="D127" i="12" a="1"/>
  <c r="D127" i="12" s="1"/>
  <c r="AJ43" i="2" a="1"/>
  <c r="AJ43" i="2" s="1"/>
  <c r="AB18" i="2" a="1"/>
  <c r="AB18" i="2" s="1"/>
  <c r="AK46" i="2" a="1"/>
  <c r="AK46" i="2" s="1"/>
  <c r="AA26" i="2" a="1"/>
  <c r="AA26" i="2" s="1"/>
  <c r="AT25" i="2" a="1"/>
  <c r="AT25" i="2" s="1"/>
  <c r="AJ34" i="2" a="1"/>
  <c r="AJ34" i="2" s="1"/>
  <c r="AS30" i="2" a="1"/>
  <c r="AS30" i="2" s="1"/>
  <c r="AJ4" i="2" a="1"/>
  <c r="AJ4" i="2" s="1"/>
  <c r="AT29" i="2" a="1"/>
  <c r="AT29" i="2" s="1"/>
  <c r="AB6" i="2" a="1"/>
  <c r="AB6" i="2" s="1"/>
  <c r="AT50" i="2" a="1"/>
  <c r="AT50" i="2" s="1"/>
  <c r="AJ37" i="2" a="1"/>
  <c r="AJ37" i="2" s="1"/>
  <c r="AB38" i="2" a="1"/>
  <c r="AB38" i="2" s="1"/>
  <c r="AJ22" i="2" a="1"/>
  <c r="AJ22" i="2" s="1"/>
  <c r="AA27" i="2" a="1"/>
  <c r="AA27" i="2" s="1"/>
  <c r="AA11" i="2" a="1"/>
  <c r="AA11" i="2" s="1"/>
  <c r="AA33" i="2" a="1"/>
  <c r="AA33" i="2" s="1"/>
  <c r="AB31" i="2" a="1"/>
  <c r="AB31" i="2" s="1"/>
  <c r="AS23" i="2" a="1"/>
  <c r="AS23" i="2" s="1"/>
  <c r="AT20" i="2" a="1"/>
  <c r="AT20" i="2" s="1"/>
  <c r="AT17" i="2" a="1"/>
  <c r="AT17" i="2" s="1"/>
  <c r="AK16" i="2" a="1"/>
  <c r="AK16" i="2" s="1"/>
  <c r="AB55" i="2" a="1"/>
  <c r="AB55" i="2" s="1"/>
  <c r="AS57" i="2" a="1"/>
  <c r="AS57" i="2" s="1"/>
  <c r="AT49" i="2" a="1"/>
  <c r="AT49" i="2" s="1"/>
  <c r="AT44" i="2" a="1"/>
  <c r="AT44" i="2" s="1"/>
  <c r="AB47" i="2" a="1"/>
  <c r="AB47" i="2" s="1"/>
  <c r="AJ39" i="2" a="1"/>
  <c r="AJ39" i="2" s="1"/>
  <c r="AA54" i="2" a="1"/>
  <c r="AA54" i="2" s="1"/>
  <c r="AK32" i="2" a="1"/>
  <c r="AK32" i="2" s="1"/>
  <c r="AS28" i="2" a="1"/>
  <c r="AS28" i="2" s="1"/>
  <c r="AB58" i="2" a="1"/>
  <c r="AB58" i="2" s="1"/>
  <c r="AB53" i="2" a="1"/>
  <c r="AB53" i="2" s="1"/>
  <c r="AK48" i="2" a="1"/>
  <c r="AK48" i="2" s="1"/>
  <c r="AJ40" i="2" a="1"/>
  <c r="AJ40" i="2" s="1"/>
  <c r="AK36" i="2" a="1"/>
  <c r="AK36" i="2" s="1"/>
  <c r="AK24" i="2" a="1"/>
  <c r="AK24" i="2" s="1"/>
  <c r="AA13" i="2" a="1"/>
  <c r="AA13" i="2" s="1"/>
  <c r="G112" i="13" a="1"/>
  <c r="G112" i="13" s="1"/>
  <c r="AT5" i="2" a="1"/>
  <c r="AT5" i="2" s="1"/>
  <c r="D14" i="12" a="1"/>
  <c r="D14" i="12" s="1"/>
  <c r="I112" i="12" a="1"/>
  <c r="I112" i="12" s="1"/>
  <c r="D32" i="12" a="1"/>
  <c r="D32" i="12" s="1"/>
  <c r="D44" i="12" a="1"/>
  <c r="D44" i="12" s="1"/>
  <c r="I35" i="12" a="1"/>
  <c r="I35" i="12" s="1"/>
  <c r="G203" i="13" s="1" a="1"/>
  <c r="G203" i="13" s="1"/>
  <c r="I72" i="12" a="1"/>
  <c r="I72" i="12" s="1"/>
  <c r="D37" i="12" a="1"/>
  <c r="D37" i="12" s="1"/>
  <c r="I50" i="12" a="1"/>
  <c r="I50" i="12" s="1"/>
  <c r="D60" i="12" a="1"/>
  <c r="D60" i="12" s="1"/>
  <c r="D76" i="12" a="1"/>
  <c r="D76" i="12" s="1"/>
  <c r="D92" i="12" a="1"/>
  <c r="D92" i="12" s="1"/>
  <c r="D108" i="12" a="1"/>
  <c r="D108" i="12" s="1"/>
  <c r="D124" i="12" a="1"/>
  <c r="D124" i="12" s="1"/>
  <c r="D65" i="12" a="1"/>
  <c r="D65" i="12" s="1"/>
  <c r="D81" i="12" a="1"/>
  <c r="D81" i="12" s="1"/>
  <c r="D97" i="12" a="1"/>
  <c r="D97" i="12" s="1"/>
  <c r="D113" i="12" a="1"/>
  <c r="D113" i="12" s="1"/>
  <c r="D129" i="12" a="1"/>
  <c r="D129" i="12" s="1"/>
  <c r="AK43" i="2" a="1"/>
  <c r="AK43" i="2" s="1"/>
  <c r="AJ19" i="2" a="1"/>
  <c r="AJ19" i="2" s="1"/>
  <c r="AS18" i="2" a="1"/>
  <c r="AS18" i="2" s="1"/>
  <c r="AB46" i="2" a="1"/>
  <c r="AB46" i="2" s="1"/>
  <c r="AB26" i="2" a="1"/>
  <c r="AB26" i="2" s="1"/>
  <c r="AK25" i="2" a="1"/>
  <c r="AK25" i="2" s="1"/>
  <c r="AK34" i="2" a="1"/>
  <c r="AK34" i="2" s="1"/>
  <c r="AS4" i="2" a="1"/>
  <c r="AS4" i="2" s="1"/>
  <c r="AA29" i="2" a="1"/>
  <c r="AA29" i="2" s="1"/>
  <c r="AJ6" i="2" a="1"/>
  <c r="AJ6" i="2" s="1"/>
  <c r="I32" i="2"/>
  <c r="AA51" i="2" a="1"/>
  <c r="AA51" i="2" s="1"/>
  <c r="AB37" i="2" a="1"/>
  <c r="AB37" i="2" s="1"/>
  <c r="AT27" i="2" a="1"/>
  <c r="AT27" i="2" s="1"/>
  <c r="AK41" i="2" a="1"/>
  <c r="AK41" i="2" s="1"/>
  <c r="AT33" i="2" a="1"/>
  <c r="AT33" i="2" s="1"/>
  <c r="AK31" i="2" a="1"/>
  <c r="AK31" i="2" s="1"/>
  <c r="AJ21" i="2" a="1"/>
  <c r="AJ21" i="2" s="1"/>
  <c r="AA20" i="2" a="1"/>
  <c r="AA20" i="2" s="1"/>
  <c r="AA17" i="2" a="1"/>
  <c r="AA17" i="2" s="1"/>
  <c r="AS14" i="2" a="1"/>
  <c r="AS14" i="2" s="1"/>
  <c r="AA55" i="2" a="1"/>
  <c r="AA55" i="2" s="1"/>
  <c r="AA56" i="2" a="1"/>
  <c r="AA56" i="2" s="1"/>
  <c r="AB49" i="2" a="1"/>
  <c r="AB49" i="2" s="1"/>
  <c r="AS44" i="2" a="1"/>
  <c r="AS44" i="2" s="1"/>
  <c r="AJ47" i="2" a="1"/>
  <c r="AJ47" i="2" s="1"/>
  <c r="AS39" i="2" a="1"/>
  <c r="AS39" i="2" s="1"/>
  <c r="AT54" i="2" a="1"/>
  <c r="AT54" i="2" s="1"/>
  <c r="AS32" i="2" a="1"/>
  <c r="AS32" i="2" s="1"/>
  <c r="AA58" i="2" a="1"/>
  <c r="AA58" i="2" s="1"/>
  <c r="AJ53" i="2" a="1"/>
  <c r="AJ53" i="2" s="1"/>
  <c r="AA48" i="2" a="1"/>
  <c r="AA48" i="2" s="1"/>
  <c r="AK40" i="2" a="1"/>
  <c r="AK40" i="2" s="1"/>
  <c r="AS36" i="2" a="1"/>
  <c r="AS36" i="2" s="1"/>
  <c r="AS24" i="2" a="1"/>
  <c r="AS24" i="2" s="1"/>
  <c r="AS13" i="2" a="1"/>
  <c r="AS13" i="2" s="1"/>
  <c r="D29" i="12" a="1"/>
  <c r="D29" i="12" s="1"/>
  <c r="D8" i="12" a="1"/>
  <c r="D8" i="12" s="1"/>
  <c r="AB5" i="2" a="1"/>
  <c r="AB5" i="2" s="1"/>
  <c r="I120" i="12" a="1"/>
  <c r="I120" i="12" s="1"/>
  <c r="D131" i="12" a="1"/>
  <c r="D131" i="12" s="1"/>
  <c r="D52" i="12" a="1"/>
  <c r="D52" i="12" s="1"/>
  <c r="I134" i="12" a="1"/>
  <c r="I134" i="12" s="1"/>
  <c r="D38" i="12" a="1"/>
  <c r="D38" i="12" s="1"/>
  <c r="D91" i="12" a="1"/>
  <c r="D91" i="12" s="1"/>
  <c r="D53" i="12" a="1"/>
  <c r="D53" i="12" s="1"/>
  <c r="I58" i="12" a="1"/>
  <c r="I58" i="12" s="1"/>
  <c r="I74" i="12" a="1"/>
  <c r="I74" i="12" s="1"/>
  <c r="I90" i="12" a="1"/>
  <c r="I90" i="12" s="1"/>
  <c r="I106" i="12" a="1"/>
  <c r="I106" i="12" s="1"/>
  <c r="I122" i="12" a="1"/>
  <c r="I122" i="12" s="1"/>
  <c r="I51" i="12" a="1"/>
  <c r="I51" i="12" s="1"/>
  <c r="I67" i="12" a="1"/>
  <c r="I67" i="12" s="1"/>
  <c r="I83" i="12" a="1"/>
  <c r="I83" i="12" s="1"/>
  <c r="I99" i="12" a="1"/>
  <c r="I99" i="12" s="1"/>
  <c r="I115" i="12" a="1"/>
  <c r="I115" i="12" s="1"/>
  <c r="I131" i="12" a="1"/>
  <c r="I131" i="12" s="1"/>
  <c r="AS43" i="2" a="1"/>
  <c r="AS43" i="2" s="1"/>
  <c r="AT19" i="2" a="1"/>
  <c r="AT19" i="2" s="1"/>
  <c r="AJ18" i="2" a="1"/>
  <c r="AJ18" i="2" s="1"/>
  <c r="AA46" i="2" a="1"/>
  <c r="AA46" i="2" s="1"/>
  <c r="AJ26" i="2" a="1"/>
  <c r="AJ26" i="2" s="1"/>
  <c r="AS25" i="2" a="1"/>
  <c r="AS25" i="2" s="1"/>
  <c r="AS34" i="2" a="1"/>
  <c r="AS34" i="2" s="1"/>
  <c r="AB15" i="2" a="1"/>
  <c r="AB15" i="2" s="1"/>
  <c r="AA4" i="2" a="1"/>
  <c r="AA4" i="2" s="1"/>
  <c r="AB29" i="2" a="1"/>
  <c r="AB29" i="2" s="1"/>
  <c r="AK6" i="2" a="1"/>
  <c r="AK6" i="2" s="1"/>
  <c r="V219" i="6"/>
  <c r="AA50" i="2" a="1"/>
  <c r="AA50" i="2" s="1"/>
  <c r="AJ51" i="2" a="1"/>
  <c r="AJ51" i="2" s="1"/>
  <c r="AK38" i="2" a="1"/>
  <c r="AK38" i="2" s="1"/>
  <c r="AB22" i="2" a="1"/>
  <c r="AB22" i="2" s="1"/>
  <c r="AK22" i="2" a="1"/>
  <c r="AK22" i="2" s="1"/>
  <c r="AB27" i="2" a="1"/>
  <c r="AB27" i="2" s="1"/>
  <c r="AT41" i="2" a="1"/>
  <c r="AT41" i="2" s="1"/>
  <c r="AB33" i="2" a="1"/>
  <c r="AB33" i="2" s="1"/>
  <c r="AS31" i="2" a="1"/>
  <c r="AS31" i="2" s="1"/>
  <c r="AT21" i="2" a="1"/>
  <c r="AT21" i="2" s="1"/>
  <c r="AB20" i="2" a="1"/>
  <c r="AB20" i="2" s="1"/>
  <c r="AK17" i="2" a="1"/>
  <c r="AK17" i="2" s="1"/>
  <c r="AJ14" i="2" a="1"/>
  <c r="AJ14" i="2" s="1"/>
  <c r="AJ55" i="2" a="1"/>
  <c r="AJ55" i="2" s="1"/>
  <c r="AJ56" i="2" a="1"/>
  <c r="AJ56" i="2" s="1"/>
  <c r="AJ49" i="2" a="1"/>
  <c r="AJ49" i="2" s="1"/>
  <c r="AJ42" i="2" a="1"/>
  <c r="AJ42" i="2" s="1"/>
  <c r="AK47" i="2" a="1"/>
  <c r="AK47" i="2" s="1"/>
  <c r="AT39" i="2" a="1"/>
  <c r="AT39" i="2" s="1"/>
  <c r="AB54" i="2" a="1"/>
  <c r="AB54" i="2" s="1"/>
  <c r="AK12" i="2" a="1"/>
  <c r="AK12" i="2" s="1"/>
  <c r="AT58" i="2" a="1"/>
  <c r="AT58" i="2" s="1"/>
  <c r="AB52" i="2" a="1"/>
  <c r="AB52" i="2" s="1"/>
  <c r="AT48" i="2" a="1"/>
  <c r="AT48" i="2" s="1"/>
  <c r="AT40" i="2" a="1"/>
  <c r="AT40" i="2" s="1"/>
  <c r="AA7" i="2" a="1"/>
  <c r="AA7" i="2" s="1"/>
  <c r="G118" i="13" a="1"/>
  <c r="G118" i="13" s="1"/>
  <c r="AA35" i="2" a="1"/>
  <c r="AA35" i="2" s="1"/>
  <c r="AJ5" i="2" a="1"/>
  <c r="AJ5" i="2" s="1"/>
  <c r="I32" i="12" a="1"/>
  <c r="I32" i="12" s="1"/>
  <c r="G200" i="13" s="1" a="1"/>
  <c r="G200" i="13" s="1"/>
  <c r="I47" i="12" a="1"/>
  <c r="I47" i="12" s="1"/>
  <c r="I38" i="12" a="1"/>
  <c r="I38" i="12" s="1"/>
  <c r="G206" i="13" s="1" a="1"/>
  <c r="G206" i="13" s="1"/>
  <c r="D50" i="12" a="1"/>
  <c r="D50" i="12" s="1"/>
  <c r="I64" i="12" a="1"/>
  <c r="I64" i="12" s="1"/>
  <c r="D61" i="12" a="1"/>
  <c r="D61" i="12" s="1"/>
  <c r="D77" i="12" a="1"/>
  <c r="D77" i="12" s="1"/>
  <c r="D93" i="12" a="1"/>
  <c r="D93" i="12" s="1"/>
  <c r="D109" i="12" a="1"/>
  <c r="D109" i="12" s="1"/>
  <c r="D125" i="12" a="1"/>
  <c r="D125" i="12" s="1"/>
  <c r="I71" i="12" a="1"/>
  <c r="I71" i="12" s="1"/>
  <c r="I87" i="12" a="1"/>
  <c r="I87" i="12" s="1"/>
  <c r="I103" i="12" a="1"/>
  <c r="I103" i="12" s="1"/>
  <c r="I119" i="12" a="1"/>
  <c r="I119" i="12" s="1"/>
  <c r="I61" i="12" a="1"/>
  <c r="I61" i="12" s="1"/>
  <c r="I77" i="12" a="1"/>
  <c r="I77" i="12" s="1"/>
  <c r="I93" i="12" a="1"/>
  <c r="I93" i="12" s="1"/>
  <c r="I109" i="12" a="1"/>
  <c r="I109" i="12" s="1"/>
  <c r="I125" i="12" a="1"/>
  <c r="I125" i="12" s="1"/>
  <c r="I52" i="12" a="1"/>
  <c r="I52" i="12" s="1"/>
  <c r="I68" i="12" a="1"/>
  <c r="I68" i="12" s="1"/>
  <c r="I84" i="12" a="1"/>
  <c r="I84" i="12" s="1"/>
  <c r="I100" i="12" a="1"/>
  <c r="I100" i="12" s="1"/>
  <c r="I116" i="12" a="1"/>
  <c r="I116" i="12" s="1"/>
  <c r="I132" i="12" a="1"/>
  <c r="I132" i="12" s="1"/>
  <c r="D54" i="12" a="1"/>
  <c r="D54" i="12" s="1"/>
  <c r="D70" i="12" a="1"/>
  <c r="D70" i="12" s="1"/>
  <c r="D86" i="12" a="1"/>
  <c r="D86" i="12" s="1"/>
  <c r="D102" i="12" a="1"/>
  <c r="D102" i="12" s="1"/>
  <c r="D118" i="12" a="1"/>
  <c r="D118" i="12" s="1"/>
  <c r="AA19" i="2" a="1"/>
  <c r="AA19" i="2" s="1"/>
  <c r="AT18" i="2" a="1"/>
  <c r="AT18" i="2" s="1"/>
  <c r="AT46" i="2" a="1"/>
  <c r="AT46" i="2" s="1"/>
  <c r="AK26" i="2" a="1"/>
  <c r="AK26" i="2" s="1"/>
  <c r="AJ30" i="2" a="1"/>
  <c r="AJ30" i="2" s="1"/>
  <c r="AS15" i="2" a="1"/>
  <c r="AS15" i="2" s="1"/>
  <c r="AT4" i="2" a="1"/>
  <c r="AT4" i="2" s="1"/>
  <c r="AK29" i="2" a="1"/>
  <c r="AK29" i="2" s="1"/>
  <c r="AS6" i="2" a="1"/>
  <c r="AS6" i="2" s="1"/>
  <c r="AK51" i="2" a="1"/>
  <c r="AK51" i="2" s="1"/>
  <c r="AJ50" i="2" a="1"/>
  <c r="AJ50" i="2" s="1"/>
  <c r="AT11" i="2" a="1"/>
  <c r="AT11" i="2" s="1"/>
  <c r="AJ11" i="2" a="1"/>
  <c r="AJ11" i="2" s="1"/>
  <c r="AS22" i="2" a="1"/>
  <c r="AS22" i="2" s="1"/>
  <c r="AK27" i="2" a="1"/>
  <c r="AK27" i="2" s="1"/>
  <c r="AK11" i="2" a="1"/>
  <c r="AK11" i="2" s="1"/>
  <c r="AK10" i="2" a="1"/>
  <c r="AK10" i="2" s="1"/>
  <c r="AA41" i="2" a="1"/>
  <c r="AA41" i="2" s="1"/>
  <c r="AK33" i="2" a="1"/>
  <c r="AK33" i="2" s="1"/>
  <c r="AA23" i="2" a="1"/>
  <c r="AA23" i="2" s="1"/>
  <c r="AA21" i="2" a="1"/>
  <c r="AA21" i="2" s="1"/>
  <c r="AS20" i="2" a="1"/>
  <c r="AS20" i="2" s="1"/>
  <c r="AS16" i="2" a="1"/>
  <c r="AS16" i="2" s="1"/>
  <c r="AK14" i="2" a="1"/>
  <c r="AK14" i="2" s="1"/>
  <c r="AT55" i="2" a="1"/>
  <c r="AT55" i="2" s="1"/>
  <c r="AT56" i="2" a="1"/>
  <c r="AT56" i="2" s="1"/>
  <c r="AS49" i="2" a="1"/>
  <c r="AS49" i="2" s="1"/>
  <c r="AT42" i="2" a="1"/>
  <c r="AT42" i="2" s="1"/>
  <c r="AA47" i="2" a="1"/>
  <c r="AA47" i="2" s="1"/>
  <c r="AA39" i="2" a="1"/>
  <c r="AA39" i="2" s="1"/>
  <c r="AK54" i="2" a="1"/>
  <c r="AK54" i="2" s="1"/>
  <c r="AB28" i="2" a="1"/>
  <c r="AB28" i="2" s="1"/>
  <c r="AT12" i="2" a="1"/>
  <c r="AT12" i="2" s="1"/>
  <c r="AK52" i="2" a="1"/>
  <c r="AK52" i="2" s="1"/>
  <c r="AB48" i="2" a="1"/>
  <c r="AB48" i="2" s="1"/>
  <c r="AS40" i="2" a="1"/>
  <c r="AS40" i="2" s="1"/>
  <c r="AT7" i="2" a="1"/>
  <c r="AT7" i="2" s="1"/>
  <c r="AT35" i="2" a="1"/>
  <c r="AT35" i="2" s="1"/>
  <c r="AK5" i="2" a="1"/>
  <c r="AK5" i="2" s="1"/>
  <c r="D49" i="12" a="1"/>
  <c r="D49" i="12" s="1"/>
  <c r="D35" i="12" a="1"/>
  <c r="D35" i="12" s="1"/>
  <c r="D51" i="12" a="1"/>
  <c r="D51" i="12" s="1"/>
  <c r="D41" i="12" a="1"/>
  <c r="D41" i="12" s="1"/>
  <c r="I96" i="12" a="1"/>
  <c r="I96" i="12" s="1"/>
  <c r="I37" i="12" a="1"/>
  <c r="I37" i="12" s="1"/>
  <c r="G205" i="13" s="1" a="1"/>
  <c r="G205" i="13" s="1"/>
  <c r="I57" i="12" a="1"/>
  <c r="I57" i="12" s="1"/>
  <c r="I41" i="12" a="1"/>
  <c r="I41" i="12" s="1"/>
  <c r="D83" i="12" a="1"/>
  <c r="D83" i="12" s="1"/>
  <c r="I65" i="12" a="1"/>
  <c r="I65" i="12" s="1"/>
  <c r="I81" i="12" a="1"/>
  <c r="I81" i="12" s="1"/>
  <c r="I97" i="12" a="1"/>
  <c r="I97" i="12" s="1"/>
  <c r="I113" i="12" a="1"/>
  <c r="I113" i="12" s="1"/>
  <c r="I129" i="12" a="1"/>
  <c r="I129" i="12" s="1"/>
  <c r="D74" i="12" a="1"/>
  <c r="D74" i="12" s="1"/>
  <c r="D90" i="12" a="1"/>
  <c r="D90" i="12" s="1"/>
  <c r="D106" i="12" a="1"/>
  <c r="D106" i="12" s="1"/>
  <c r="D122" i="12" a="1"/>
  <c r="D122" i="12" s="1"/>
  <c r="I54" i="12" a="1"/>
  <c r="I54" i="12" s="1"/>
  <c r="I70" i="12" a="1"/>
  <c r="I70" i="12" s="1"/>
  <c r="I86" i="12" a="1"/>
  <c r="I86" i="12" s="1"/>
  <c r="I102" i="12" a="1"/>
  <c r="I102" i="12" s="1"/>
  <c r="I118" i="12" a="1"/>
  <c r="I118" i="12" s="1"/>
  <c r="I133" i="12" a="1"/>
  <c r="I133" i="12" s="1"/>
  <c r="D64" i="12" a="1"/>
  <c r="D64" i="12" s="1"/>
  <c r="D80" i="12" a="1"/>
  <c r="D80" i="12" s="1"/>
  <c r="D96" i="12" a="1"/>
  <c r="D96" i="12" s="1"/>
  <c r="D112" i="12" a="1"/>
  <c r="D112" i="12" s="1"/>
  <c r="D128" i="12" a="1"/>
  <c r="D128" i="12" s="1"/>
  <c r="D55" i="12" a="1"/>
  <c r="D55" i="12" s="1"/>
  <c r="D71" i="12" a="1"/>
  <c r="D71" i="12" s="1"/>
  <c r="D87" i="12" a="1"/>
  <c r="D87" i="12" s="1"/>
  <c r="D103" i="12" a="1"/>
  <c r="D103" i="12" s="1"/>
  <c r="D119" i="12" a="1"/>
  <c r="D119" i="12" s="1"/>
  <c r="D134" i="12" a="1"/>
  <c r="D134" i="12" s="1"/>
  <c r="AB19" i="2" a="1"/>
  <c r="AB19" i="2" s="1"/>
  <c r="AK18" i="2" a="1"/>
  <c r="AK18" i="2" s="1"/>
  <c r="AS46" i="2" a="1"/>
  <c r="AS46" i="2" s="1"/>
  <c r="AS26" i="2" a="1"/>
  <c r="AS26" i="2" s="1"/>
  <c r="AT30" i="2" a="1"/>
  <c r="AT30" i="2" s="1"/>
  <c r="AA15" i="2" a="1"/>
  <c r="AA15" i="2" s="1"/>
  <c r="AB4" i="2" a="1"/>
  <c r="AB4" i="2" s="1"/>
  <c r="AS29" i="2" a="1"/>
  <c r="AS29" i="2" s="1"/>
  <c r="AK50" i="2" a="1"/>
  <c r="AK50" i="2" s="1"/>
  <c r="AS11" i="2" a="1"/>
  <c r="AS11" i="2" s="1"/>
  <c r="AB11" i="2" a="1"/>
  <c r="AB11" i="2" s="1"/>
  <c r="AS27" i="2" a="1"/>
  <c r="AS27" i="2" s="1"/>
  <c r="AB41" i="2" a="1"/>
  <c r="AB41" i="2" s="1"/>
  <c r="AS33" i="2" a="1"/>
  <c r="AS33" i="2" s="1"/>
  <c r="AT23" i="2" a="1"/>
  <c r="AT23" i="2" s="1"/>
  <c r="AB21" i="2" a="1"/>
  <c r="AB21" i="2" s="1"/>
  <c r="AK20" i="2" a="1"/>
  <c r="AK20" i="2" s="1"/>
  <c r="AA16" i="2" a="1"/>
  <c r="AA16" i="2" s="1"/>
  <c r="AT14" i="2" a="1"/>
  <c r="AT14" i="2" s="1"/>
  <c r="AS55" i="2" a="1"/>
  <c r="AS55" i="2" s="1"/>
  <c r="AB56" i="2" a="1"/>
  <c r="AB56" i="2" s="1"/>
  <c r="AJ44" i="2" a="1"/>
  <c r="AJ44" i="2" s="1"/>
  <c r="AA42" i="2" a="1"/>
  <c r="AA42" i="2" s="1"/>
  <c r="AT47" i="2" a="1"/>
  <c r="AT47" i="2" s="1"/>
  <c r="AK39" i="2" a="1"/>
  <c r="AK39" i="2" s="1"/>
  <c r="AT32" i="2" a="1"/>
  <c r="AT32" i="2" s="1"/>
  <c r="AJ28" i="2" a="1"/>
  <c r="AJ28" i="2" s="1"/>
  <c r="AA12" i="2" a="1"/>
  <c r="AA12" i="2" s="1"/>
  <c r="AA53" i="2" a="1"/>
  <c r="AA53" i="2" s="1"/>
  <c r="AS52" i="2" a="1"/>
  <c r="AS52" i="2" s="1"/>
  <c r="AU52" i="2" s="1"/>
  <c r="AW52" i="2" s="1"/>
  <c r="AJ48" i="2" a="1"/>
  <c r="AJ48" i="2" s="1"/>
  <c r="AT36" i="2" a="1"/>
  <c r="AT36" i="2" s="1"/>
  <c r="AJ24" i="2" a="1"/>
  <c r="AJ24" i="2" s="1"/>
  <c r="AB13" i="2" a="1"/>
  <c r="AB13" i="2" s="1"/>
  <c r="AB7" i="2" a="1"/>
  <c r="AB7" i="2" s="1"/>
  <c r="G120" i="13" a="1"/>
  <c r="G120" i="13" s="1"/>
  <c r="G113" i="13" a="1"/>
  <c r="G113" i="13" s="1"/>
  <c r="AB35" i="2" a="1"/>
  <c r="AB35" i="2" s="1"/>
  <c r="D32" i="7"/>
  <c r="D48" i="7" s="1"/>
  <c r="D36" i="7"/>
  <c r="AS5" i="2" a="1"/>
  <c r="AS5" i="2" s="1"/>
  <c r="I55" i="12" a="1"/>
  <c r="I55" i="12" s="1"/>
  <c r="D12" i="12" a="1"/>
  <c r="D12" i="12" s="1"/>
  <c r="D115" i="12" a="1"/>
  <c r="D115" i="12" s="1"/>
  <c r="D40" i="12" a="1"/>
  <c r="D40" i="12" s="1"/>
  <c r="I36" i="12" a="1"/>
  <c r="I36" i="12" s="1"/>
  <c r="G204" i="13" s="1" a="1"/>
  <c r="G204" i="13" s="1"/>
  <c r="I80" i="12" a="1"/>
  <c r="I80" i="12" s="1"/>
  <c r="I48" i="12" a="1"/>
  <c r="I48" i="12" s="1"/>
  <c r="D43" i="12" a="1"/>
  <c r="D43" i="12" s="1"/>
  <c r="D68" i="12" a="1"/>
  <c r="D68" i="12" s="1"/>
  <c r="D84" i="12" a="1"/>
  <c r="D84" i="12" s="1"/>
  <c r="D100" i="12" a="1"/>
  <c r="D100" i="12" s="1"/>
  <c r="D116" i="12" a="1"/>
  <c r="D116" i="12" s="1"/>
  <c r="D132" i="12" a="1"/>
  <c r="D132" i="12" s="1"/>
  <c r="D57" i="12" a="1"/>
  <c r="D57" i="12" s="1"/>
  <c r="D73" i="12" a="1"/>
  <c r="D73" i="12" s="1"/>
  <c r="D89" i="12" a="1"/>
  <c r="D89" i="12" s="1"/>
  <c r="D105" i="12" a="1"/>
  <c r="D105" i="12" s="1"/>
  <c r="AA43" i="2" a="1"/>
  <c r="AA43" i="2" s="1"/>
  <c r="AS19" i="2" a="1"/>
  <c r="AS19" i="2" s="1"/>
  <c r="V375" i="6"/>
  <c r="AJ25" i="2" a="1"/>
  <c r="AJ25" i="2" s="1"/>
  <c r="AT34" i="2" a="1"/>
  <c r="AT34" i="2" s="1"/>
  <c r="AA30" i="2" a="1"/>
  <c r="AA30" i="2" s="1"/>
  <c r="AJ15" i="2" a="1"/>
  <c r="AJ15" i="2" s="1"/>
  <c r="AK4" i="2" a="1"/>
  <c r="AK4" i="2" s="1"/>
  <c r="I40" i="2"/>
  <c r="K55" i="2" s="1" a="1"/>
  <c r="K55" i="2" s="1"/>
  <c r="F106" i="9"/>
  <c r="P16" i="2"/>
  <c r="K22" i="2" a="1"/>
  <c r="K22" i="2" s="1"/>
  <c r="F80" i="9"/>
  <c r="F85" i="9"/>
  <c r="F79" i="9"/>
  <c r="F76" i="9"/>
  <c r="F78" i="9"/>
  <c r="F77" i="9"/>
  <c r="F81" i="9"/>
  <c r="F84" i="9"/>
  <c r="F86" i="9"/>
  <c r="F82" i="9"/>
  <c r="F83" i="9"/>
  <c r="J27" i="2" a="1"/>
  <c r="J27" i="2" s="1"/>
  <c r="J17" i="2" a="1"/>
  <c r="J17" i="2" s="1"/>
  <c r="F110" i="9"/>
  <c r="K52" i="2" a="1"/>
  <c r="K52" i="2" s="1"/>
  <c r="K4" i="2" a="1"/>
  <c r="K4" i="2" s="1"/>
  <c r="K47" i="2" a="1"/>
  <c r="K47" i="2" s="1"/>
  <c r="J52" i="2" a="1"/>
  <c r="J52" i="2" s="1"/>
  <c r="J47" i="2" a="1"/>
  <c r="J47" i="2" s="1"/>
  <c r="J37" i="2" a="1"/>
  <c r="J37" i="2" s="1"/>
  <c r="K37" i="2" a="1"/>
  <c r="K37" i="2" s="1"/>
  <c r="K21" i="2" a="1"/>
  <c r="K21" i="2" s="1"/>
  <c r="J13" i="2" a="1"/>
  <c r="J13" i="2" s="1"/>
  <c r="K41" i="2" a="1"/>
  <c r="K41" i="2" s="1"/>
  <c r="F34" i="9"/>
  <c r="F36" i="9"/>
  <c r="F31" i="9"/>
  <c r="F29" i="9"/>
  <c r="F38" i="9"/>
  <c r="F32" i="9"/>
  <c r="F30" i="9"/>
  <c r="F28" i="9"/>
  <c r="F37" i="9"/>
  <c r="F35" i="9"/>
  <c r="F33" i="9"/>
  <c r="J28" i="2" a="1"/>
  <c r="J28" i="2" s="1"/>
  <c r="K28" i="2" a="1"/>
  <c r="K28" i="2" s="1"/>
  <c r="K27" i="2" a="1"/>
  <c r="K27" i="2" s="1"/>
  <c r="J41" i="2" a="1"/>
  <c r="J41" i="2" s="1"/>
  <c r="J22" i="2" a="1"/>
  <c r="J22" i="2" s="1"/>
  <c r="K18" i="2" a="1"/>
  <c r="K18" i="2" s="1"/>
  <c r="J19" i="2" a="1"/>
  <c r="J19" i="2" s="1"/>
  <c r="K19" i="2" a="1"/>
  <c r="K19" i="2" s="1"/>
  <c r="J45" i="2" a="1"/>
  <c r="J45" i="2" s="1"/>
  <c r="J11" i="2" a="1"/>
  <c r="J11" i="2" s="1"/>
  <c r="J4" i="2" a="1"/>
  <c r="J4" i="2" s="1"/>
  <c r="K17" i="2" a="1"/>
  <c r="K17" i="2" s="1"/>
  <c r="J54" i="2" a="1"/>
  <c r="J54" i="2" s="1"/>
  <c r="K45" i="2" a="1"/>
  <c r="K45" i="2" s="1"/>
  <c r="K11" i="2" a="1"/>
  <c r="K11" i="2" s="1"/>
  <c r="J20" i="2" a="1"/>
  <c r="J20" i="2" s="1"/>
  <c r="K9" i="2" a="1"/>
  <c r="K9" i="2" s="1"/>
  <c r="J9" i="2" a="1"/>
  <c r="J9" i="2" s="1"/>
  <c r="K20" i="2" a="1"/>
  <c r="K20" i="2" s="1"/>
  <c r="J7" i="2" a="1"/>
  <c r="J7" i="2" s="1"/>
  <c r="K13" i="2" a="1"/>
  <c r="K13" i="2" s="1"/>
  <c r="J21" i="2" a="1"/>
  <c r="J21" i="2" s="1"/>
  <c r="P5" i="2"/>
  <c r="I5" i="2"/>
  <c r="F121" i="9" l="1"/>
  <c r="F118" i="9"/>
  <c r="AT10" i="2" a="1"/>
  <c r="AT10" i="2" s="1"/>
  <c r="J48" i="2" a="1"/>
  <c r="J48" i="2" s="1"/>
  <c r="AS41" i="2" a="1"/>
  <c r="AS41" i="2" s="1"/>
  <c r="AT9" i="2" a="1"/>
  <c r="AT9" i="2" s="1"/>
  <c r="AS9" i="2" a="1"/>
  <c r="AS9" i="2" s="1"/>
  <c r="AS38" i="2" a="1"/>
  <c r="AS38" i="2" s="1"/>
  <c r="AU38" i="2" s="1"/>
  <c r="AW38" i="2" s="1"/>
  <c r="AS58" i="2" a="1"/>
  <c r="AS58" i="2" s="1"/>
  <c r="AU58" i="2" s="1"/>
  <c r="AV58" i="2" s="1"/>
  <c r="AT60" i="2" a="1"/>
  <c r="AT60" i="2" s="1"/>
  <c r="AU60" i="2" s="1"/>
  <c r="AV60" i="2" s="1"/>
  <c r="F116" i="9"/>
  <c r="F117" i="9"/>
  <c r="AS42" i="2" a="1"/>
  <c r="AS42" i="2" s="1"/>
  <c r="AT57" i="2" a="1"/>
  <c r="AT57" i="2" s="1"/>
  <c r="AS10" i="2" a="1"/>
  <c r="AS10" i="2" s="1"/>
  <c r="AU10" i="2" s="1"/>
  <c r="AW10" i="2" s="1"/>
  <c r="AS51" i="2" a="1"/>
  <c r="AS51" i="2" s="1"/>
  <c r="AU51" i="2" s="1"/>
  <c r="AW51" i="2" s="1"/>
  <c r="AS59" i="2" a="1"/>
  <c r="AS59" i="2" s="1"/>
  <c r="AS47" i="2" a="1"/>
  <c r="AS47" i="2" s="1"/>
  <c r="AU47" i="2" s="1"/>
  <c r="AV47" i="2" s="1"/>
  <c r="F122" i="9"/>
  <c r="F119" i="9"/>
  <c r="F120" i="9"/>
  <c r="F112" i="9"/>
  <c r="AT28" i="2" a="1"/>
  <c r="AT28" i="2" s="1"/>
  <c r="AU28" i="2" s="1"/>
  <c r="AW28" i="2" s="1"/>
  <c r="AS17" i="2" a="1"/>
  <c r="AS17" i="2" s="1"/>
  <c r="AU17" i="2" s="1"/>
  <c r="AV17" i="2" s="1"/>
  <c r="AS50" i="2" a="1"/>
  <c r="AS50" i="2" s="1"/>
  <c r="AU50" i="2" s="1"/>
  <c r="AV50" i="2" s="1"/>
  <c r="AS48" i="2" a="1"/>
  <c r="AS48" i="2" s="1"/>
  <c r="AU48" i="2" s="1"/>
  <c r="AV48" i="2" s="1"/>
  <c r="F115" i="9"/>
  <c r="F113" i="9"/>
  <c r="F100" i="9"/>
  <c r="F105" i="9"/>
  <c r="F108" i="9"/>
  <c r="F107" i="9"/>
  <c r="F103" i="9"/>
  <c r="F109" i="9"/>
  <c r="J46" i="2" a="1"/>
  <c r="J46" i="2" s="1"/>
  <c r="F101" i="9"/>
  <c r="F104" i="9"/>
  <c r="K54" i="2" a="1"/>
  <c r="K54" i="2" s="1"/>
  <c r="K53" i="2" a="1"/>
  <c r="K53" i="2" s="1"/>
  <c r="J53" i="2" a="1"/>
  <c r="J53" i="2" s="1"/>
  <c r="K3" i="2" a="1"/>
  <c r="K3" i="2" s="1"/>
  <c r="J38" i="2" a="1"/>
  <c r="J38" i="2" s="1"/>
  <c r="K48" i="2" a="1"/>
  <c r="K48" i="2" s="1"/>
  <c r="K7" i="2" a="1"/>
  <c r="K7" i="2" s="1"/>
  <c r="L7" i="2" s="1"/>
  <c r="M7" i="2" s="1"/>
  <c r="K60" i="2" a="1"/>
  <c r="K60" i="2" s="1"/>
  <c r="K61" i="2" a="1"/>
  <c r="K61" i="2" s="1"/>
  <c r="J60" i="2" a="1"/>
  <c r="J60" i="2" s="1"/>
  <c r="J3" i="2" a="1"/>
  <c r="J3" i="2" s="1"/>
  <c r="J61" i="2" a="1"/>
  <c r="J61" i="2" s="1"/>
  <c r="L61" i="2" s="1"/>
  <c r="M61" i="2" s="1"/>
  <c r="J18" i="2" a="1"/>
  <c r="J18" i="2" s="1"/>
  <c r="L18" i="2" s="1"/>
  <c r="N18" i="2" s="1"/>
  <c r="K38" i="2" a="1"/>
  <c r="K38" i="2" s="1"/>
  <c r="J6" i="2" a="1"/>
  <c r="J6" i="2" s="1"/>
  <c r="K6" i="2" a="1"/>
  <c r="K6" i="2" s="1"/>
  <c r="F53" i="9"/>
  <c r="F58" i="9"/>
  <c r="F56" i="9"/>
  <c r="F59" i="9"/>
  <c r="F54" i="9"/>
  <c r="F57" i="9"/>
  <c r="F52" i="9"/>
  <c r="F61" i="9"/>
  <c r="F60" i="9"/>
  <c r="F55" i="9"/>
  <c r="K42" i="2" a="1"/>
  <c r="K42" i="2" s="1"/>
  <c r="K46" i="2" a="1"/>
  <c r="K46" i="2" s="1"/>
  <c r="J49" i="2" a="1"/>
  <c r="J49" i="2" s="1"/>
  <c r="J50" i="2" a="1"/>
  <c r="J50" i="2" s="1"/>
  <c r="J58" i="2" a="1"/>
  <c r="J58" i="2" s="1"/>
  <c r="J42" i="2" a="1"/>
  <c r="J42" i="2" s="1"/>
  <c r="K58" i="2" a="1"/>
  <c r="K58" i="2" s="1"/>
  <c r="K26" i="2" a="1"/>
  <c r="K26" i="2" s="1"/>
  <c r="K50" i="2" a="1"/>
  <c r="K50" i="2" s="1"/>
  <c r="J26" i="2" a="1"/>
  <c r="J26" i="2" s="1"/>
  <c r="J35" i="2" a="1"/>
  <c r="J35" i="2" s="1"/>
  <c r="K35" i="2" a="1"/>
  <c r="K35" i="2" s="1"/>
  <c r="J51" i="2" a="1"/>
  <c r="J51" i="2" s="1"/>
  <c r="K49" i="2" a="1"/>
  <c r="K49" i="2" s="1"/>
  <c r="K51" i="2" a="1"/>
  <c r="K51" i="2" s="1"/>
  <c r="K24" i="2" a="1"/>
  <c r="K24" i="2" s="1"/>
  <c r="K36" i="2" a="1"/>
  <c r="K36" i="2" s="1"/>
  <c r="K16" i="2" a="1"/>
  <c r="K16" i="2" s="1"/>
  <c r="J30" i="2" a="1"/>
  <c r="J30" i="2" s="1"/>
  <c r="K159" i="13"/>
  <c r="K43" i="2" a="1"/>
  <c r="K43" i="2" s="1"/>
  <c r="K57" i="2" a="1"/>
  <c r="K57" i="2" s="1"/>
  <c r="J44" i="2" a="1"/>
  <c r="J44" i="2" s="1"/>
  <c r="J36" i="2" a="1"/>
  <c r="J36" i="2" s="1"/>
  <c r="K29" i="2" a="1"/>
  <c r="K29" i="2" s="1"/>
  <c r="J8" i="2" a="1"/>
  <c r="J8" i="2" s="1"/>
  <c r="K59" i="2" a="1"/>
  <c r="K59" i="2" s="1"/>
  <c r="K195" i="13"/>
  <c r="L21" i="2"/>
  <c r="N21" i="2" s="1"/>
  <c r="K25" i="2" a="1"/>
  <c r="K25" i="2" s="1"/>
  <c r="K15" i="2" a="1"/>
  <c r="K15" i="2" s="1"/>
  <c r="J15" i="2" a="1"/>
  <c r="J15" i="2" s="1"/>
  <c r="K30" i="2" a="1"/>
  <c r="K30" i="2" s="1"/>
  <c r="J16" i="2" a="1"/>
  <c r="J16" i="2" s="1"/>
  <c r="L16" i="2" s="1"/>
  <c r="M16" i="2" s="1"/>
  <c r="J29" i="2" a="1"/>
  <c r="J29" i="2" s="1"/>
  <c r="J59" i="2" a="1"/>
  <c r="J59" i="2" s="1"/>
  <c r="J43" i="2" a="1"/>
  <c r="J43" i="2" s="1"/>
  <c r="J24" i="2" a="1"/>
  <c r="J24" i="2" s="1"/>
  <c r="J25" i="2" a="1"/>
  <c r="J25" i="2" s="1"/>
  <c r="L4" i="2"/>
  <c r="N4" i="2" s="1"/>
  <c r="J14" i="2" a="1"/>
  <c r="J14" i="2" s="1"/>
  <c r="K8" i="2" a="1"/>
  <c r="K8" i="2" s="1"/>
  <c r="J55" i="2" a="1"/>
  <c r="J55" i="2" s="1"/>
  <c r="L55" i="2" s="1"/>
  <c r="M55" i="2" s="1"/>
  <c r="K44" i="2" a="1"/>
  <c r="K44" i="2" s="1"/>
  <c r="K14" i="2" a="1"/>
  <c r="K14" i="2" s="1"/>
  <c r="K171" i="13"/>
  <c r="G121" i="13" a="1"/>
  <c r="G121" i="13" s="1"/>
  <c r="J57" i="2" a="1"/>
  <c r="J57" i="2" s="1"/>
  <c r="K40" i="2" a="1"/>
  <c r="K40" i="2" s="1"/>
  <c r="J40" i="2" a="1"/>
  <c r="J40" i="2" s="1"/>
  <c r="AC35" i="2"/>
  <c r="AE35" i="2" s="1"/>
  <c r="AU36" i="2"/>
  <c r="AW36" i="2" s="1"/>
  <c r="AC21" i="2"/>
  <c r="AD21" i="2" s="1"/>
  <c r="AC28" i="2"/>
  <c r="AE28" i="2" s="1"/>
  <c r="AL14" i="2"/>
  <c r="AN14" i="2" s="1"/>
  <c r="AL11" i="2"/>
  <c r="AN11" i="2" s="1"/>
  <c r="AU39" i="2"/>
  <c r="AW39" i="2" s="1"/>
  <c r="AC20" i="2"/>
  <c r="AE20" i="2" s="1"/>
  <c r="AC49" i="2"/>
  <c r="AE49" i="2" s="1"/>
  <c r="AU33" i="2"/>
  <c r="AV33" i="2" s="1"/>
  <c r="AL43" i="2"/>
  <c r="AN43" i="2" s="1"/>
  <c r="AC53" i="2"/>
  <c r="AE53" i="2" s="1"/>
  <c r="AU49" i="2"/>
  <c r="AW49" i="2" s="1"/>
  <c r="AL46" i="2"/>
  <c r="AN46" i="2" s="1"/>
  <c r="AU26" i="2"/>
  <c r="AW26" i="2" s="1"/>
  <c r="AL7" i="2"/>
  <c r="AM7" i="2" s="1"/>
  <c r="AC16" i="2"/>
  <c r="AE16" i="2" s="1"/>
  <c r="AC30" i="2"/>
  <c r="AE30" i="2" s="1"/>
  <c r="AU3" i="2"/>
  <c r="AW3" i="2" s="1"/>
  <c r="AL57" i="2"/>
  <c r="AN57" i="2" s="1"/>
  <c r="AL44" i="2"/>
  <c r="AN44" i="2" s="1"/>
  <c r="AU23" i="2"/>
  <c r="AW23" i="2" s="1"/>
  <c r="AC4" i="2"/>
  <c r="AD4" i="2" s="1"/>
  <c r="AL54" i="2"/>
  <c r="AN54" i="2" s="1"/>
  <c r="AL27" i="2"/>
  <c r="AN27" i="2" s="1"/>
  <c r="AL26" i="2"/>
  <c r="AN26" i="2" s="1"/>
  <c r="AL47" i="2"/>
  <c r="AN47" i="2" s="1"/>
  <c r="AU21" i="2"/>
  <c r="AW21" i="2" s="1"/>
  <c r="AC22" i="2"/>
  <c r="AD22" i="2" s="1"/>
  <c r="AC15" i="2"/>
  <c r="AE15" i="2" s="1"/>
  <c r="AL41" i="2"/>
  <c r="AN41" i="2" s="1"/>
  <c r="AC58" i="2"/>
  <c r="AD58" i="2" s="1"/>
  <c r="AC6" i="2"/>
  <c r="AE6" i="2" s="1"/>
  <c r="AC18" i="2"/>
  <c r="AE18" i="2" s="1"/>
  <c r="AL35" i="2"/>
  <c r="AN35" i="2" s="1"/>
  <c r="AL13" i="2"/>
  <c r="AN13" i="2" s="1"/>
  <c r="AL9" i="2"/>
  <c r="AN9" i="2" s="1"/>
  <c r="G65" i="2"/>
  <c r="H65" i="2" s="1"/>
  <c r="H73" i="2"/>
  <c r="H69" i="2"/>
  <c r="H76" i="2"/>
  <c r="H72" i="2"/>
  <c r="H68" i="2"/>
  <c r="H75" i="2"/>
  <c r="H71" i="2"/>
  <c r="H67" i="2"/>
  <c r="H74" i="2"/>
  <c r="H70" i="2"/>
  <c r="H66" i="2"/>
  <c r="AV52" i="2"/>
  <c r="AX52" i="2" s="1"/>
  <c r="AY52" i="2" s="1"/>
  <c r="AL51" i="2"/>
  <c r="AM51" i="2" s="1"/>
  <c r="AU46" i="2"/>
  <c r="AW46" i="2" s="1"/>
  <c r="AU40" i="2"/>
  <c r="AV40" i="2" s="1"/>
  <c r="AL38" i="2"/>
  <c r="AM38" i="2" s="1"/>
  <c r="AU27" i="2"/>
  <c r="AW27" i="2" s="1"/>
  <c r="AC37" i="2"/>
  <c r="AD37" i="2" s="1"/>
  <c r="AL34" i="2"/>
  <c r="AN34" i="2" s="1"/>
  <c r="AC55" i="2"/>
  <c r="AD55" i="2" s="1"/>
  <c r="AU29" i="2"/>
  <c r="AV29" i="2" s="1"/>
  <c r="AU6" i="2"/>
  <c r="AW6" i="2" s="1"/>
  <c r="AC24" i="2"/>
  <c r="AE24" i="2" s="1"/>
  <c r="AL3" i="2"/>
  <c r="AN3" i="2" s="1"/>
  <c r="AL8" i="2"/>
  <c r="AN8" i="2" s="1"/>
  <c r="AL45" i="2"/>
  <c r="AM45" i="2" s="1"/>
  <c r="AL58" i="2"/>
  <c r="AN58" i="2" s="1"/>
  <c r="AL53" i="2"/>
  <c r="AM53" i="2" s="1"/>
  <c r="AC56" i="2"/>
  <c r="AE56" i="2" s="1"/>
  <c r="AC41" i="2"/>
  <c r="AE41" i="2" s="1"/>
  <c r="AU30" i="2"/>
  <c r="AW30" i="2" s="1"/>
  <c r="AL5" i="2"/>
  <c r="AM5" i="2" s="1"/>
  <c r="AU7" i="2"/>
  <c r="AW7" i="2" s="1"/>
  <c r="AU18" i="2"/>
  <c r="AW18" i="2" s="1"/>
  <c r="AC33" i="2"/>
  <c r="AD33" i="2" s="1"/>
  <c r="K147" i="13"/>
  <c r="AC5" i="2"/>
  <c r="AE5" i="2" s="1"/>
  <c r="AL25" i="2"/>
  <c r="AM25" i="2" s="1"/>
  <c r="AU5" i="2"/>
  <c r="AW5" i="2" s="1"/>
  <c r="AL32" i="2"/>
  <c r="AN32" i="2" s="1"/>
  <c r="AL16" i="2"/>
  <c r="AN16" i="2" s="1"/>
  <c r="AL28" i="2"/>
  <c r="AM28" i="2" s="1"/>
  <c r="AU43" i="2"/>
  <c r="AW43" i="2" s="1"/>
  <c r="AC36" i="2"/>
  <c r="AD36" i="2" s="1"/>
  <c r="AC42" i="2"/>
  <c r="AD42" i="2" s="1"/>
  <c r="AC23" i="2"/>
  <c r="AE23" i="2" s="1"/>
  <c r="AL19" i="2"/>
  <c r="AN19" i="2" s="1"/>
  <c r="AU8" i="2"/>
  <c r="AV8" i="2" s="1"/>
  <c r="AU22" i="2"/>
  <c r="AV22" i="2" s="1"/>
  <c r="AU37" i="2"/>
  <c r="AV37" i="2" s="1"/>
  <c r="AU45" i="2"/>
  <c r="AW45" i="2" s="1"/>
  <c r="AL59" i="2"/>
  <c r="AM59" i="2" s="1"/>
  <c r="AU61" i="2"/>
  <c r="AW61" i="2" s="1"/>
  <c r="AC12" i="2"/>
  <c r="AD12" i="2" s="1"/>
  <c r="AC14" i="2"/>
  <c r="AD14" i="2" s="1"/>
  <c r="AL37" i="2"/>
  <c r="AN37" i="2" s="1"/>
  <c r="AU35" i="2"/>
  <c r="AW35" i="2" s="1"/>
  <c r="AU42" i="2"/>
  <c r="AW42" i="2" s="1"/>
  <c r="AC52" i="2"/>
  <c r="AD52" i="2" s="1"/>
  <c r="AU41" i="2"/>
  <c r="AW41" i="2" s="1"/>
  <c r="AU54" i="2"/>
  <c r="AV54" i="2" s="1"/>
  <c r="AC26" i="2"/>
  <c r="AE26" i="2" s="1"/>
  <c r="AL24" i="2"/>
  <c r="AM24" i="2" s="1"/>
  <c r="AU13" i="2"/>
  <c r="AV13" i="2" s="1"/>
  <c r="AC32" i="2"/>
  <c r="AD32" i="2" s="1"/>
  <c r="AU15" i="2"/>
  <c r="AW15" i="2" s="1"/>
  <c r="AC44" i="2"/>
  <c r="AE44" i="2" s="1"/>
  <c r="AU31" i="2"/>
  <c r="AV31" i="2" s="1"/>
  <c r="AC43" i="2"/>
  <c r="AD43" i="2" s="1"/>
  <c r="AC3" i="2"/>
  <c r="AE3" i="2" s="1"/>
  <c r="AC45" i="2"/>
  <c r="AD45" i="2" s="1"/>
  <c r="AC57" i="2"/>
  <c r="AD57" i="2" s="1"/>
  <c r="AL60" i="2"/>
  <c r="AN60" i="2" s="1"/>
  <c r="AU16" i="2"/>
  <c r="AW16" i="2" s="1"/>
  <c r="AC7" i="2"/>
  <c r="AD7" i="2" s="1"/>
  <c r="AU14" i="2"/>
  <c r="AV14" i="2" s="1"/>
  <c r="AC11" i="2"/>
  <c r="AD11" i="2" s="1"/>
  <c r="AC48" i="2"/>
  <c r="AE48" i="2" s="1"/>
  <c r="AL33" i="2"/>
  <c r="AM33" i="2" s="1"/>
  <c r="AU11" i="2"/>
  <c r="AV11" i="2" s="1"/>
  <c r="AL29" i="2"/>
  <c r="AM29" i="2" s="1"/>
  <c r="AC46" i="2"/>
  <c r="AE46" i="2" s="1"/>
  <c r="AL36" i="2"/>
  <c r="AN36" i="2" s="1"/>
  <c r="AU20" i="2"/>
  <c r="AV20" i="2" s="1"/>
  <c r="AU24" i="2"/>
  <c r="AV24" i="2" s="1"/>
  <c r="AL30" i="2"/>
  <c r="AM30" i="2" s="1"/>
  <c r="AL49" i="2"/>
  <c r="AM49" i="2" s="1"/>
  <c r="AC50" i="2"/>
  <c r="AD50" i="2" s="1"/>
  <c r="AC8" i="2"/>
  <c r="AE8" i="2" s="1"/>
  <c r="AC59" i="2"/>
  <c r="AE59" i="2" s="1"/>
  <c r="AL61" i="2"/>
  <c r="AM61" i="2" s="1"/>
  <c r="AL4" i="2"/>
  <c r="AM4" i="2" s="1"/>
  <c r="AC13" i="2"/>
  <c r="AD13" i="2" s="1"/>
  <c r="AU32" i="2"/>
  <c r="AV32" i="2" s="1"/>
  <c r="AL18" i="2"/>
  <c r="AN18" i="2" s="1"/>
  <c r="K231" i="13"/>
  <c r="AL52" i="2"/>
  <c r="AN52" i="2" s="1"/>
  <c r="AU56" i="2"/>
  <c r="AV56" i="2" s="1"/>
  <c r="AU4" i="2"/>
  <c r="AW4" i="2" s="1"/>
  <c r="AL12" i="2"/>
  <c r="AM12" i="2" s="1"/>
  <c r="AC27" i="2"/>
  <c r="AD27" i="2" s="1"/>
  <c r="AL6" i="2"/>
  <c r="AN6" i="2" s="1"/>
  <c r="AC47" i="2"/>
  <c r="AD47" i="2" s="1"/>
  <c r="AU25" i="2"/>
  <c r="AV25" i="2" s="1"/>
  <c r="AC39" i="2"/>
  <c r="AD39" i="2" s="1"/>
  <c r="AL23" i="2"/>
  <c r="AN23" i="2" s="1"/>
  <c r="AC34" i="2"/>
  <c r="AD34" i="2" s="1"/>
  <c r="AU53" i="2"/>
  <c r="AW53" i="2" s="1"/>
  <c r="AU57" i="2"/>
  <c r="AV57" i="2" s="1"/>
  <c r="AC9" i="2"/>
  <c r="AE9" i="2" s="1"/>
  <c r="AC60" i="2"/>
  <c r="AD60" i="2" s="1"/>
  <c r="AL55" i="2"/>
  <c r="AM55" i="2" s="1"/>
  <c r="AC17" i="2"/>
  <c r="AD17" i="2" s="1"/>
  <c r="AU34" i="2"/>
  <c r="AV34" i="2" s="1"/>
  <c r="AL39" i="2"/>
  <c r="AM39" i="2" s="1"/>
  <c r="AL20" i="2"/>
  <c r="AN20" i="2" s="1"/>
  <c r="AL50" i="2"/>
  <c r="AN50" i="2" s="1"/>
  <c r="AC19" i="2"/>
  <c r="AD19" i="2" s="1"/>
  <c r="AU12" i="2"/>
  <c r="AV12" i="2" s="1"/>
  <c r="AU55" i="2"/>
  <c r="AV55" i="2" s="1"/>
  <c r="AL10" i="2"/>
  <c r="AM10" i="2" s="1"/>
  <c r="AC54" i="2"/>
  <c r="AE54" i="2" s="1"/>
  <c r="AL17" i="2"/>
  <c r="AN17" i="2" s="1"/>
  <c r="AL22" i="2"/>
  <c r="AM22" i="2" s="1"/>
  <c r="AC29" i="2"/>
  <c r="AD29" i="2" s="1"/>
  <c r="AU19" i="2"/>
  <c r="AW19" i="2" s="1"/>
  <c r="AL40" i="2"/>
  <c r="AN40" i="2" s="1"/>
  <c r="AL31" i="2"/>
  <c r="AM31" i="2" s="1"/>
  <c r="AL48" i="2"/>
  <c r="AM48" i="2" s="1"/>
  <c r="AU44" i="2"/>
  <c r="AV44" i="2" s="1"/>
  <c r="AC31" i="2"/>
  <c r="AE31" i="2" s="1"/>
  <c r="AC38" i="2"/>
  <c r="AD38" i="2" s="1"/>
  <c r="AC40" i="2"/>
  <c r="AD40" i="2" s="1"/>
  <c r="AC25" i="2"/>
  <c r="AD25" i="2" s="1"/>
  <c r="AL15" i="2"/>
  <c r="AM15" i="2" s="1"/>
  <c r="AC10" i="2"/>
  <c r="AD10" i="2" s="1"/>
  <c r="AC61" i="2"/>
  <c r="AD61" i="2" s="1"/>
  <c r="AL56" i="2"/>
  <c r="AM56" i="2" s="1"/>
  <c r="AU59" i="2"/>
  <c r="AW59" i="2" s="1"/>
  <c r="AL42" i="2"/>
  <c r="AM42" i="2" s="1"/>
  <c r="AL21" i="2"/>
  <c r="AM21" i="2" s="1"/>
  <c r="AC51" i="2"/>
  <c r="AE51" i="2" s="1"/>
  <c r="L47" i="2"/>
  <c r="N47" i="2" s="1"/>
  <c r="L52" i="2"/>
  <c r="N52" i="2" s="1"/>
  <c r="L37" i="2"/>
  <c r="M37" i="2" s="1"/>
  <c r="L9" i="2"/>
  <c r="N9" i="2" s="1"/>
  <c r="L54" i="2"/>
  <c r="N54" i="2" s="1"/>
  <c r="L41" i="2"/>
  <c r="N41" i="2" s="1"/>
  <c r="L13" i="2"/>
  <c r="N13" i="2" s="1"/>
  <c r="L11" i="2"/>
  <c r="M11" i="2" s="1"/>
  <c r="L17" i="2"/>
  <c r="M17" i="2" s="1"/>
  <c r="L20" i="2"/>
  <c r="M20" i="2" s="1"/>
  <c r="L45" i="2"/>
  <c r="M45" i="2" s="1"/>
  <c r="L19" i="2"/>
  <c r="M19" i="2" s="1"/>
  <c r="L28" i="2"/>
  <c r="M28" i="2" s="1"/>
  <c r="J31" i="2" a="1"/>
  <c r="J31" i="2" s="1"/>
  <c r="J39" i="2" a="1"/>
  <c r="J39" i="2" s="1"/>
  <c r="K32" i="2" a="1"/>
  <c r="K32" i="2" s="1"/>
  <c r="J32" i="2" a="1"/>
  <c r="J32" i="2" s="1"/>
  <c r="K31" i="2" a="1"/>
  <c r="K31" i="2" s="1"/>
  <c r="J23" i="2" a="1"/>
  <c r="J23" i="2" s="1"/>
  <c r="K5" i="2" a="1"/>
  <c r="K5" i="2" s="1"/>
  <c r="J5" i="2" a="1"/>
  <c r="J5" i="2" s="1"/>
  <c r="K39" i="2" a="1"/>
  <c r="K39" i="2" s="1"/>
  <c r="K23" i="2" a="1"/>
  <c r="K23" i="2" s="1"/>
  <c r="L27" i="2"/>
  <c r="M27" i="2" s="1"/>
  <c r="L48" i="2"/>
  <c r="N48" i="2" s="1"/>
  <c r="L22" i="2"/>
  <c r="N22" i="2" s="1"/>
  <c r="AU9" i="2" l="1"/>
  <c r="AW9" i="2" s="1"/>
  <c r="L46" i="2"/>
  <c r="N46" i="2" s="1"/>
  <c r="L3" i="2"/>
  <c r="N3" i="2" s="1"/>
  <c r="L53" i="2"/>
  <c r="M53" i="2" s="1"/>
  <c r="L24" i="2"/>
  <c r="N24" i="2" s="1"/>
  <c r="L38" i="2"/>
  <c r="M38" i="2" s="1"/>
  <c r="L36" i="2"/>
  <c r="N36" i="2" s="1"/>
  <c r="L49" i="2"/>
  <c r="N49" i="2" s="1"/>
  <c r="L51" i="2"/>
  <c r="N51" i="2" s="1"/>
  <c r="L58" i="2"/>
  <c r="M58" i="2" s="1"/>
  <c r="L42" i="2"/>
  <c r="M42" i="2" s="1"/>
  <c r="L6" i="2"/>
  <c r="N6" i="2" s="1"/>
  <c r="L60" i="2"/>
  <c r="M60" i="2" s="1"/>
  <c r="L35" i="2"/>
  <c r="M35" i="2" s="1"/>
  <c r="L50" i="2"/>
  <c r="N50" i="2" s="1"/>
  <c r="L44" i="2"/>
  <c r="N44" i="2" s="1"/>
  <c r="L59" i="2"/>
  <c r="M59" i="2" s="1"/>
  <c r="AV23" i="2"/>
  <c r="AX23" i="2" s="1"/>
  <c r="AY23" i="2" s="1"/>
  <c r="AB265" i="6" s="1"/>
  <c r="L25" i="2"/>
  <c r="N25" i="2" s="1"/>
  <c r="L26" i="2"/>
  <c r="M26" i="2" s="1"/>
  <c r="AV51" i="2"/>
  <c r="AX51" i="2" s="1"/>
  <c r="AY51" i="2" s="1"/>
  <c r="AB638" i="6" s="1"/>
  <c r="L30" i="2"/>
  <c r="N30" i="2" s="1"/>
  <c r="AV36" i="2"/>
  <c r="AX36" i="2" s="1"/>
  <c r="AY36" i="2" s="1"/>
  <c r="AD6" i="2"/>
  <c r="AF6" i="2" s="1"/>
  <c r="AG6" i="2" s="1"/>
  <c r="AD35" i="2"/>
  <c r="AF35" i="2" s="1"/>
  <c r="AG35" i="2" s="1"/>
  <c r="M21" i="2"/>
  <c r="O21" i="2" s="1"/>
  <c r="AM27" i="2"/>
  <c r="AO27" i="2" s="1"/>
  <c r="AP27" i="2" s="1"/>
  <c r="AM26" i="2"/>
  <c r="AO26" i="2" s="1"/>
  <c r="AP26" i="2" s="1"/>
  <c r="L8" i="2"/>
  <c r="N8" i="2" s="1"/>
  <c r="AM14" i="2"/>
  <c r="AO14" i="2" s="1"/>
  <c r="AP14" i="2" s="1"/>
  <c r="AD30" i="2"/>
  <c r="AF30" i="2" s="1"/>
  <c r="AG30" i="2" s="1"/>
  <c r="M4" i="2"/>
  <c r="O4" i="2" s="1"/>
  <c r="AM32" i="2"/>
  <c r="AO32" i="2" s="1"/>
  <c r="AP32" i="2" s="1"/>
  <c r="AM34" i="2"/>
  <c r="AO34" i="2" s="1"/>
  <c r="AP34" i="2" s="1"/>
  <c r="AM41" i="2"/>
  <c r="AO41" i="2" s="1"/>
  <c r="AP41" i="2" s="1"/>
  <c r="AM13" i="2"/>
  <c r="AO13" i="2" s="1"/>
  <c r="AP13" i="2" s="1"/>
  <c r="AV49" i="2"/>
  <c r="AX49" i="2" s="1"/>
  <c r="AY49" i="2" s="1"/>
  <c r="AB612" i="6" s="1"/>
  <c r="AM11" i="2"/>
  <c r="AO11" i="2" s="1"/>
  <c r="AP11" i="2" s="1"/>
  <c r="AA100" i="6" s="1"/>
  <c r="AM6" i="2"/>
  <c r="AO6" i="2" s="1"/>
  <c r="AP6" i="2" s="1"/>
  <c r="AM19" i="2"/>
  <c r="AO19" i="2" s="1"/>
  <c r="AP19" i="2" s="1"/>
  <c r="AN39" i="2"/>
  <c r="AO39" i="2" s="1"/>
  <c r="AP39" i="2" s="1"/>
  <c r="AA464" i="6" s="1"/>
  <c r="AN53" i="2"/>
  <c r="AO53" i="2" s="1"/>
  <c r="AP53" i="2" s="1"/>
  <c r="AD59" i="2"/>
  <c r="AF59" i="2" s="1"/>
  <c r="AG59" i="2" s="1"/>
  <c r="AD5" i="2"/>
  <c r="AF5" i="2" s="1"/>
  <c r="AG5" i="2" s="1"/>
  <c r="L14" i="2"/>
  <c r="M14" i="2" s="1"/>
  <c r="AW40" i="2"/>
  <c r="AX40" i="2" s="1"/>
  <c r="AY40" i="2" s="1"/>
  <c r="L57" i="2"/>
  <c r="M57" i="2" s="1"/>
  <c r="L43" i="2"/>
  <c r="N43" i="2" s="1"/>
  <c r="AW50" i="2"/>
  <c r="AX50" i="2" s="1"/>
  <c r="AY50" i="2" s="1"/>
  <c r="K183" i="13"/>
  <c r="AN24" i="2"/>
  <c r="AO24" i="2" s="1"/>
  <c r="AP24" i="2" s="1"/>
  <c r="AD49" i="2"/>
  <c r="AF49" i="2" s="1"/>
  <c r="AG49" i="2" s="1"/>
  <c r="AM40" i="2"/>
  <c r="AO40" i="2" s="1"/>
  <c r="AP40" i="2" s="1"/>
  <c r="AE50" i="2"/>
  <c r="AF50" i="2" s="1"/>
  <c r="AG50" i="2" s="1"/>
  <c r="AD28" i="2"/>
  <c r="AF28" i="2" s="1"/>
  <c r="AG28" i="2" s="1"/>
  <c r="L15" i="2"/>
  <c r="M15" i="2" s="1"/>
  <c r="L29" i="2"/>
  <c r="M29" i="2" s="1"/>
  <c r="AN22" i="2"/>
  <c r="AO22" i="2" s="1"/>
  <c r="AP22" i="2" s="1"/>
  <c r="L40" i="2"/>
  <c r="M40" i="2" s="1"/>
  <c r="K207" i="13"/>
  <c r="AV6" i="2"/>
  <c r="AX6" i="2" s="1"/>
  <c r="AY6" i="2" s="1"/>
  <c r="AD53" i="2"/>
  <c r="AF53" i="2" s="1"/>
  <c r="AG53" i="2" s="1"/>
  <c r="AV21" i="2"/>
  <c r="AX21" i="2" s="1"/>
  <c r="AY21" i="2" s="1"/>
  <c r="AE22" i="2"/>
  <c r="AF22" i="2" s="1"/>
  <c r="AG22" i="2" s="1"/>
  <c r="AM60" i="2"/>
  <c r="AO60" i="2" s="1"/>
  <c r="AP60" i="2" s="1"/>
  <c r="AE40" i="2"/>
  <c r="AF40" i="2" s="1"/>
  <c r="AG40" i="2" s="1"/>
  <c r="AV18" i="2"/>
  <c r="AX18" i="2" s="1"/>
  <c r="AY18" i="2" s="1"/>
  <c r="AB186" i="6" s="1"/>
  <c r="AD16" i="2"/>
  <c r="AF16" i="2" s="1"/>
  <c r="AG16" i="2" s="1"/>
  <c r="AD24" i="2"/>
  <c r="AF24" i="2" s="1"/>
  <c r="AG24" i="2" s="1"/>
  <c r="AV35" i="2"/>
  <c r="AX35" i="2" s="1"/>
  <c r="AY35" i="2" s="1"/>
  <c r="AM47" i="2"/>
  <c r="AO47" i="2" s="1"/>
  <c r="AP47" i="2" s="1"/>
  <c r="AW32" i="2"/>
  <c r="AX32" i="2" s="1"/>
  <c r="AY32" i="2" s="1"/>
  <c r="AD20" i="2"/>
  <c r="AF20" i="2" s="1"/>
  <c r="AG20" i="2" s="1"/>
  <c r="AV27" i="2"/>
  <c r="AX27" i="2" s="1"/>
  <c r="AY27" i="2" s="1"/>
  <c r="AB319" i="6" s="1"/>
  <c r="AV3" i="2"/>
  <c r="AX3" i="2" s="1"/>
  <c r="AY3" i="2" s="1"/>
  <c r="AB12" i="6" s="1"/>
  <c r="AD15" i="2"/>
  <c r="AF15" i="2" s="1"/>
  <c r="AG15" i="2" s="1"/>
  <c r="AM36" i="2"/>
  <c r="AO36" i="2" s="1"/>
  <c r="AP36" i="2" s="1"/>
  <c r="AV61" i="2"/>
  <c r="AX61" i="2" s="1"/>
  <c r="AY61" i="2" s="1"/>
  <c r="AM3" i="2"/>
  <c r="AO3" i="2" s="1"/>
  <c r="AP3" i="2" s="1"/>
  <c r="AA13" i="6" s="1"/>
  <c r="AV19" i="2"/>
  <c r="AX19" i="2" s="1"/>
  <c r="AY19" i="2" s="1"/>
  <c r="AE13" i="2"/>
  <c r="AF13" i="2" s="1"/>
  <c r="AG13" i="2" s="1"/>
  <c r="AV9" i="2"/>
  <c r="AX9" i="2" s="1"/>
  <c r="AY9" i="2" s="1"/>
  <c r="AW13" i="2"/>
  <c r="AX13" i="2" s="1"/>
  <c r="AY13" i="2" s="1"/>
  <c r="AW29" i="2"/>
  <c r="AX29" i="2" s="1"/>
  <c r="AY29" i="2" s="1"/>
  <c r="AE33" i="2"/>
  <c r="AF33" i="2" s="1"/>
  <c r="AG33" i="2" s="1"/>
  <c r="AM44" i="2"/>
  <c r="AO44" i="2" s="1"/>
  <c r="AP44" i="2" s="1"/>
  <c r="AM8" i="2"/>
  <c r="AO8" i="2" s="1"/>
  <c r="AP8" i="2" s="1"/>
  <c r="AN4" i="2"/>
  <c r="AO4" i="2" s="1"/>
  <c r="AP4" i="2" s="1"/>
  <c r="AA29" i="6" s="1"/>
  <c r="AE19" i="2"/>
  <c r="AF19" i="2" s="1"/>
  <c r="AG19" i="2" s="1"/>
  <c r="AA73" i="2" s="1"/>
  <c r="AE17" i="2"/>
  <c r="AF17" i="2" s="1"/>
  <c r="AG17" i="2" s="1"/>
  <c r="AD9" i="2"/>
  <c r="AF9" i="2" s="1"/>
  <c r="AG9" i="2" s="1"/>
  <c r="AE39" i="2"/>
  <c r="AF39" i="2" s="1"/>
  <c r="AG39" i="2" s="1"/>
  <c r="AE14" i="2"/>
  <c r="AF14" i="2" s="1"/>
  <c r="AG14" i="2" s="1"/>
  <c r="AW22" i="2"/>
  <c r="AX22" i="2" s="1"/>
  <c r="AY22" i="2" s="1"/>
  <c r="AE21" i="2"/>
  <c r="AF21" i="2" s="1"/>
  <c r="AG21" i="2" s="1"/>
  <c r="AE38" i="2"/>
  <c r="AF38" i="2" s="1"/>
  <c r="AG38" i="2" s="1"/>
  <c r="AV15" i="2"/>
  <c r="AX15" i="2" s="1"/>
  <c r="AY15" i="2" s="1"/>
  <c r="AM18" i="2"/>
  <c r="AO18" i="2" s="1"/>
  <c r="AP18" i="2" s="1"/>
  <c r="AE57" i="2"/>
  <c r="AF57" i="2" s="1"/>
  <c r="AG57" i="2" s="1"/>
  <c r="AE58" i="2"/>
  <c r="AF58" i="2" s="1"/>
  <c r="AG58" i="2" s="1"/>
  <c r="AM35" i="2"/>
  <c r="AO35" i="2" s="1"/>
  <c r="AP35" i="2" s="1"/>
  <c r="AN55" i="2"/>
  <c r="AO55" i="2" s="1"/>
  <c r="AP55" i="2" s="1"/>
  <c r="AW57" i="2"/>
  <c r="AX57" i="2" s="1"/>
  <c r="AY57" i="2" s="1"/>
  <c r="AN30" i="2"/>
  <c r="AO30" i="2" s="1"/>
  <c r="AP30" i="2" s="1"/>
  <c r="AV45" i="2"/>
  <c r="AX45" i="2" s="1"/>
  <c r="AY45" i="2" s="1"/>
  <c r="AB537" i="6" s="1"/>
  <c r="AM16" i="2"/>
  <c r="AO16" i="2" s="1"/>
  <c r="AP16" i="2" s="1"/>
  <c r="AM57" i="2"/>
  <c r="AO57" i="2" s="1"/>
  <c r="AP57" i="2" s="1"/>
  <c r="AM46" i="2"/>
  <c r="AO46" i="2" s="1"/>
  <c r="AP46" i="2" s="1"/>
  <c r="AV4" i="2"/>
  <c r="AX4" i="2" s="1"/>
  <c r="AY4" i="2" s="1"/>
  <c r="AW33" i="2"/>
  <c r="AX33" i="2" s="1"/>
  <c r="AY33" i="2" s="1"/>
  <c r="AE61" i="2"/>
  <c r="AF61" i="2" s="1"/>
  <c r="AG61" i="2" s="1"/>
  <c r="AE25" i="2"/>
  <c r="AF25" i="2" s="1"/>
  <c r="AG25" i="2" s="1"/>
  <c r="AE12" i="2"/>
  <c r="AF12" i="2" s="1"/>
  <c r="AG12" i="2" s="1"/>
  <c r="AE37" i="2"/>
  <c r="AF37" i="2" s="1"/>
  <c r="AG37" i="2" s="1"/>
  <c r="AV53" i="2"/>
  <c r="AX53" i="2" s="1"/>
  <c r="AY53" i="2" s="1"/>
  <c r="AD31" i="2"/>
  <c r="AF31" i="2" s="1"/>
  <c r="AG31" i="2" s="1"/>
  <c r="AE34" i="2"/>
  <c r="AF34" i="2" s="1"/>
  <c r="AG34" i="2" s="1"/>
  <c r="AW11" i="2"/>
  <c r="AX11" i="2" s="1"/>
  <c r="AY11" i="2" s="1"/>
  <c r="AW14" i="2"/>
  <c r="AX14" i="2" s="1"/>
  <c r="AY14" i="2" s="1"/>
  <c r="AV30" i="2"/>
  <c r="AX30" i="2" s="1"/>
  <c r="AY30" i="2" s="1"/>
  <c r="AW60" i="2"/>
  <c r="AX60" i="2" s="1"/>
  <c r="AY60" i="2" s="1"/>
  <c r="AD56" i="2"/>
  <c r="AF56" i="2" s="1"/>
  <c r="AG56" i="2" s="1"/>
  <c r="AN42" i="2"/>
  <c r="AO42" i="2" s="1"/>
  <c r="AP42" i="2" s="1"/>
  <c r="AV42" i="2"/>
  <c r="AX42" i="2" s="1"/>
  <c r="AY42" i="2" s="1"/>
  <c r="AW44" i="2"/>
  <c r="AX44" i="2" s="1"/>
  <c r="AY44" i="2" s="1"/>
  <c r="AN10" i="2"/>
  <c r="AO10" i="2" s="1"/>
  <c r="AP10" i="2" s="1"/>
  <c r="AE47" i="2"/>
  <c r="AF47" i="2" s="1"/>
  <c r="AG47" i="2" s="1"/>
  <c r="AM58" i="2"/>
  <c r="AO58" i="2" s="1"/>
  <c r="AP58" i="2" s="1"/>
  <c r="AV41" i="2"/>
  <c r="AX41" i="2" s="1"/>
  <c r="AY41" i="2" s="1"/>
  <c r="AW20" i="2"/>
  <c r="AX20" i="2" s="1"/>
  <c r="AY20" i="2" s="1"/>
  <c r="AV39" i="2"/>
  <c r="AX39" i="2" s="1"/>
  <c r="AY39" i="2" s="1"/>
  <c r="AN33" i="2"/>
  <c r="AO33" i="2" s="1"/>
  <c r="AP33" i="2" s="1"/>
  <c r="AV26" i="2"/>
  <c r="AX26" i="2" s="1"/>
  <c r="AY26" i="2" s="1"/>
  <c r="AN48" i="2"/>
  <c r="AO48" i="2" s="1"/>
  <c r="AP48" i="2" s="1"/>
  <c r="AN49" i="2"/>
  <c r="AO49" i="2" s="1"/>
  <c r="AP49" i="2" s="1"/>
  <c r="M47" i="2"/>
  <c r="O47" i="2" s="1"/>
  <c r="AN56" i="2"/>
  <c r="AO56" i="2" s="1"/>
  <c r="AP56" i="2" s="1"/>
  <c r="AW55" i="2"/>
  <c r="AX55" i="2" s="1"/>
  <c r="AY55" i="2" s="1"/>
  <c r="AN12" i="2"/>
  <c r="AO12" i="2" s="1"/>
  <c r="AP12" i="2" s="1"/>
  <c r="AW48" i="2"/>
  <c r="AX48" i="2" s="1"/>
  <c r="AY48" i="2" s="1"/>
  <c r="AB582" i="6" s="1"/>
  <c r="AN5" i="2"/>
  <c r="AO5" i="2" s="1"/>
  <c r="AP5" i="2" s="1"/>
  <c r="AA24" i="6" s="1"/>
  <c r="AW58" i="2"/>
  <c r="AX58" i="2" s="1"/>
  <c r="AY58" i="2" s="1"/>
  <c r="AE45" i="2"/>
  <c r="AF45" i="2" s="1"/>
  <c r="AG45" i="2" s="1"/>
  <c r="AE32" i="2"/>
  <c r="AF32" i="2" s="1"/>
  <c r="AG32" i="2" s="1"/>
  <c r="AW37" i="2"/>
  <c r="AX37" i="2" s="1"/>
  <c r="AY37" i="2" s="1"/>
  <c r="AB439" i="6" s="1"/>
  <c r="AM9" i="2"/>
  <c r="AO9" i="2" s="1"/>
  <c r="AP9" i="2" s="1"/>
  <c r="AE60" i="2"/>
  <c r="AF60" i="2" s="1"/>
  <c r="AG60" i="2" s="1"/>
  <c r="AB650" i="6"/>
  <c r="AB642" i="6"/>
  <c r="AB648" i="6"/>
  <c r="AB646" i="6"/>
  <c r="AB649" i="6"/>
  <c r="AB647" i="6"/>
  <c r="AB645" i="6"/>
  <c r="AB643" i="6"/>
  <c r="AB641" i="6"/>
  <c r="AB640" i="6"/>
  <c r="AB639" i="6"/>
  <c r="AB644" i="6"/>
  <c r="AW25" i="2"/>
  <c r="AX25" i="2" s="1"/>
  <c r="AY25" i="2" s="1"/>
  <c r="AD41" i="2"/>
  <c r="AF41" i="2" s="1"/>
  <c r="AG41" i="2" s="1"/>
  <c r="AV38" i="2"/>
  <c r="AX38" i="2" s="1"/>
  <c r="AY38" i="2" s="1"/>
  <c r="AW24" i="2"/>
  <c r="AX24" i="2" s="1"/>
  <c r="AY24" i="2" s="1"/>
  <c r="AV46" i="2"/>
  <c r="AX46" i="2" s="1"/>
  <c r="AY46" i="2" s="1"/>
  <c r="AV5" i="2"/>
  <c r="AX5" i="2" s="1"/>
  <c r="AY5" i="2" s="1"/>
  <c r="AD8" i="2"/>
  <c r="AF8" i="2" s="1"/>
  <c r="AG8" i="2" s="1"/>
  <c r="AN59" i="2"/>
  <c r="AO59" i="2" s="1"/>
  <c r="AP59" i="2" s="1"/>
  <c r="AE42" i="2"/>
  <c r="AF42" i="2" s="1"/>
  <c r="AG42" i="2" s="1"/>
  <c r="AN25" i="2"/>
  <c r="AO25" i="2" s="1"/>
  <c r="AP25" i="2" s="1"/>
  <c r="AN45" i="2"/>
  <c r="AO45" i="2" s="1"/>
  <c r="AP45" i="2" s="1"/>
  <c r="AM43" i="2"/>
  <c r="AO43" i="2" s="1"/>
  <c r="AP43" i="2" s="1"/>
  <c r="AV28" i="2"/>
  <c r="AX28" i="2" s="1"/>
  <c r="AY28" i="2" s="1"/>
  <c r="AW47" i="2"/>
  <c r="AX47" i="2" s="1"/>
  <c r="AY47" i="2" s="1"/>
  <c r="AM23" i="2"/>
  <c r="AO23" i="2" s="1"/>
  <c r="AP23" i="2" s="1"/>
  <c r="AD44" i="2"/>
  <c r="AF44" i="2" s="1"/>
  <c r="AG44" i="2" s="1"/>
  <c r="AE10" i="2"/>
  <c r="AF10" i="2" s="1"/>
  <c r="AG10" i="2" s="1"/>
  <c r="AE29" i="2"/>
  <c r="AF29" i="2" s="1"/>
  <c r="AG29" i="2" s="1"/>
  <c r="AW56" i="2"/>
  <c r="AX56" i="2" s="1"/>
  <c r="AY56" i="2" s="1"/>
  <c r="AD46" i="2"/>
  <c r="AF46" i="2" s="1"/>
  <c r="AG46" i="2" s="1"/>
  <c r="AE11" i="2"/>
  <c r="AF11" i="2" s="1"/>
  <c r="AG11" i="2" s="1"/>
  <c r="AE43" i="2"/>
  <c r="AF43" i="2" s="1"/>
  <c r="AG43" i="2" s="1"/>
  <c r="AM17" i="2"/>
  <c r="AO17" i="2" s="1"/>
  <c r="AP17" i="2" s="1"/>
  <c r="AW17" i="2"/>
  <c r="AX17" i="2" s="1"/>
  <c r="AY17" i="2" s="1"/>
  <c r="AW54" i="2"/>
  <c r="AX54" i="2" s="1"/>
  <c r="AY54" i="2" s="1"/>
  <c r="AE52" i="2"/>
  <c r="AF52" i="2" s="1"/>
  <c r="AG52" i="2" s="1"/>
  <c r="AW8" i="2"/>
  <c r="AX8" i="2" s="1"/>
  <c r="AY8" i="2" s="1"/>
  <c r="AE36" i="2"/>
  <c r="AF36" i="2" s="1"/>
  <c r="AG36" i="2" s="1"/>
  <c r="AN28" i="2"/>
  <c r="AO28" i="2" s="1"/>
  <c r="AP28" i="2" s="1"/>
  <c r="AM50" i="2"/>
  <c r="AO50" i="2" s="1"/>
  <c r="AP50" i="2" s="1"/>
  <c r="AM52" i="2"/>
  <c r="AO52" i="2" s="1"/>
  <c r="AP52" i="2" s="1"/>
  <c r="AD48" i="2"/>
  <c r="AF48" i="2" s="1"/>
  <c r="AG48" i="2" s="1"/>
  <c r="AN21" i="2"/>
  <c r="AO21" i="2" s="1"/>
  <c r="AP21" i="2" s="1"/>
  <c r="AN31" i="2"/>
  <c r="AO31" i="2" s="1"/>
  <c r="AP31" i="2" s="1"/>
  <c r="AW34" i="2"/>
  <c r="AX34" i="2" s="1"/>
  <c r="AY34" i="2" s="1"/>
  <c r="AN61" i="2"/>
  <c r="AO61" i="2" s="1"/>
  <c r="AP61" i="2" s="1"/>
  <c r="AW31" i="2"/>
  <c r="AX31" i="2" s="1"/>
  <c r="AY31" i="2" s="1"/>
  <c r="AD54" i="2"/>
  <c r="AF54" i="2" s="1"/>
  <c r="AG54" i="2" s="1"/>
  <c r="AV7" i="2"/>
  <c r="AX7" i="2" s="1"/>
  <c r="AY7" i="2" s="1"/>
  <c r="AD18" i="2"/>
  <c r="AF18" i="2" s="1"/>
  <c r="AG18" i="2" s="1"/>
  <c r="AD3" i="2"/>
  <c r="AF3" i="2" s="1"/>
  <c r="AG3" i="2" s="1"/>
  <c r="AE4" i="2"/>
  <c r="AF4" i="2" s="1"/>
  <c r="AG4" i="2" s="1"/>
  <c r="AV43" i="2"/>
  <c r="AX43" i="2" s="1"/>
  <c r="AY43" i="2" s="1"/>
  <c r="AN15" i="2"/>
  <c r="AO15" i="2" s="1"/>
  <c r="AP15" i="2" s="1"/>
  <c r="AD51" i="2"/>
  <c r="AF51" i="2" s="1"/>
  <c r="AG51" i="2" s="1"/>
  <c r="AV59" i="2"/>
  <c r="AX59" i="2" s="1"/>
  <c r="AY59" i="2" s="1"/>
  <c r="AN38" i="2"/>
  <c r="AO38" i="2" s="1"/>
  <c r="AP38" i="2" s="1"/>
  <c r="AN51" i="2"/>
  <c r="AO51" i="2" s="1"/>
  <c r="AP51" i="2" s="1"/>
  <c r="S16" i="3"/>
  <c r="K16" i="3"/>
  <c r="O13" i="3"/>
  <c r="Y13" i="3" s="1"/>
  <c r="AC13" i="3" s="1"/>
  <c r="Q8" i="3"/>
  <c r="I8" i="3"/>
  <c r="I6" i="3"/>
  <c r="R16" i="3"/>
  <c r="J16" i="3"/>
  <c r="N13" i="3"/>
  <c r="P8" i="3"/>
  <c r="Z8" i="3" s="1"/>
  <c r="AD8" i="3" s="1"/>
  <c r="H8" i="3"/>
  <c r="R6" i="3"/>
  <c r="H6" i="3"/>
  <c r="Q16" i="3"/>
  <c r="I16" i="3"/>
  <c r="M13" i="3"/>
  <c r="O8" i="3"/>
  <c r="Y8" i="3" s="1"/>
  <c r="AC8" i="3" s="1"/>
  <c r="Q6" i="3"/>
  <c r="P16" i="3"/>
  <c r="Z16" i="3" s="1"/>
  <c r="AD16" i="3" s="1"/>
  <c r="H16" i="3"/>
  <c r="L13" i="3"/>
  <c r="N8" i="3"/>
  <c r="O6" i="3"/>
  <c r="Y6" i="3" s="1"/>
  <c r="AC6" i="3" s="1"/>
  <c r="O16" i="3"/>
  <c r="Y16" i="3" s="1"/>
  <c r="AC16" i="3" s="1"/>
  <c r="S13" i="3"/>
  <c r="K13" i="3"/>
  <c r="M8" i="3"/>
  <c r="N6" i="3"/>
  <c r="N16" i="3"/>
  <c r="R13" i="3"/>
  <c r="L8" i="3"/>
  <c r="M6" i="3"/>
  <c r="V6" i="3" s="1"/>
  <c r="M16" i="3"/>
  <c r="Q13" i="3"/>
  <c r="I13" i="3"/>
  <c r="S8" i="3"/>
  <c r="K8" i="3"/>
  <c r="L6" i="3"/>
  <c r="L16" i="3"/>
  <c r="P13" i="3"/>
  <c r="Z13" i="3" s="1"/>
  <c r="AD13" i="3" s="1"/>
  <c r="R8" i="3"/>
  <c r="J8" i="3"/>
  <c r="H13" i="3"/>
  <c r="K6" i="3"/>
  <c r="K135" i="13"/>
  <c r="AV16" i="2"/>
  <c r="AX16" i="2" s="1"/>
  <c r="AY16" i="2" s="1"/>
  <c r="AN7" i="2"/>
  <c r="AO7" i="2" s="1"/>
  <c r="AP7" i="2" s="1"/>
  <c r="AM37" i="2"/>
  <c r="AO37" i="2" s="1"/>
  <c r="AP37" i="2" s="1"/>
  <c r="AE27" i="2"/>
  <c r="AF27" i="2" s="1"/>
  <c r="AG27" i="2" s="1"/>
  <c r="AM20" i="2"/>
  <c r="AO20" i="2" s="1"/>
  <c r="AP20" i="2" s="1"/>
  <c r="AD23" i="2"/>
  <c r="AF23" i="2" s="1"/>
  <c r="AG23" i="2" s="1"/>
  <c r="K243" i="13"/>
  <c r="AD26" i="2"/>
  <c r="AF26" i="2" s="1"/>
  <c r="AG26" i="2" s="1"/>
  <c r="AW12" i="2"/>
  <c r="AX12" i="2" s="1"/>
  <c r="AY12" i="2" s="1"/>
  <c r="AN29" i="2"/>
  <c r="AO29" i="2" s="1"/>
  <c r="AP29" i="2" s="1"/>
  <c r="AE7" i="2"/>
  <c r="AF7" i="2" s="1"/>
  <c r="AG7" i="2" s="1"/>
  <c r="AE55" i="2"/>
  <c r="AF55" i="2" s="1"/>
  <c r="AG55" i="2" s="1"/>
  <c r="AM54" i="2"/>
  <c r="AO54" i="2" s="1"/>
  <c r="AP54" i="2" s="1"/>
  <c r="AV10" i="2"/>
  <c r="AX10" i="2" s="1"/>
  <c r="AY10" i="2" s="1"/>
  <c r="M52" i="2"/>
  <c r="O52" i="2" s="1"/>
  <c r="M9" i="2"/>
  <c r="O9" i="2" s="1"/>
  <c r="M41" i="2"/>
  <c r="O41" i="2" s="1"/>
  <c r="M24" i="2"/>
  <c r="O24" i="2" s="1"/>
  <c r="M3" i="2"/>
  <c r="O3" i="2" s="1"/>
  <c r="M18" i="2"/>
  <c r="O18" i="2" s="1"/>
  <c r="N7" i="2"/>
  <c r="O7" i="2" s="1"/>
  <c r="N28" i="2"/>
  <c r="O28" i="2" s="1"/>
  <c r="M13" i="2"/>
  <c r="O13" i="2" s="1"/>
  <c r="M46" i="2"/>
  <c r="O46" i="2" s="1"/>
  <c r="M8" i="2"/>
  <c r="O8" i="2" s="1"/>
  <c r="M54" i="2"/>
  <c r="O54" i="2" s="1"/>
  <c r="N37" i="2"/>
  <c r="O37" i="2" s="1"/>
  <c r="N35" i="2"/>
  <c r="O35" i="2" s="1"/>
  <c r="M22" i="2"/>
  <c r="O22" i="2" s="1"/>
  <c r="N53" i="2"/>
  <c r="O53" i="2" s="1"/>
  <c r="N55" i="2"/>
  <c r="O55" i="2" s="1"/>
  <c r="L31" i="2"/>
  <c r="N31" i="2" s="1"/>
  <c r="N17" i="2"/>
  <c r="O17" i="2" s="1"/>
  <c r="N27" i="2"/>
  <c r="O27" i="2" s="1"/>
  <c r="N26" i="2"/>
  <c r="O26" i="2" s="1"/>
  <c r="N45" i="2"/>
  <c r="O45" i="2" s="1"/>
  <c r="N11" i="2"/>
  <c r="O11" i="2" s="1"/>
  <c r="L5" i="2"/>
  <c r="M5" i="2" s="1"/>
  <c r="N38" i="2"/>
  <c r="O38" i="2" s="1"/>
  <c r="L23" i="2"/>
  <c r="M23" i="2" s="1"/>
  <c r="L32" i="2"/>
  <c r="M32" i="2" s="1"/>
  <c r="M48" i="2"/>
  <c r="O48" i="2" s="1"/>
  <c r="N16" i="2"/>
  <c r="O16" i="2" s="1"/>
  <c r="L39" i="2"/>
  <c r="N39" i="2" s="1"/>
  <c r="N20" i="2"/>
  <c r="O20" i="2" s="1"/>
  <c r="N19" i="2"/>
  <c r="O19" i="2" s="1"/>
  <c r="N61" i="2"/>
  <c r="O61" i="2" s="1"/>
  <c r="M36" i="2" l="1"/>
  <c r="O36" i="2" s="1"/>
  <c r="AJ76" i="2"/>
  <c r="BB11" i="2"/>
  <c r="AJ73" i="2"/>
  <c r="AA76" i="2"/>
  <c r="M51" i="2"/>
  <c r="O51" i="2" s="1"/>
  <c r="M49" i="2"/>
  <c r="O49" i="2" s="1"/>
  <c r="N59" i="2"/>
  <c r="O59" i="2" s="1"/>
  <c r="BB12" i="2"/>
  <c r="N29" i="2"/>
  <c r="O29" i="2" s="1"/>
  <c r="N58" i="2"/>
  <c r="O58" i="2" s="1"/>
  <c r="N42" i="2"/>
  <c r="O42" i="2" s="1"/>
  <c r="BB14" i="2" s="1"/>
  <c r="M25" i="2"/>
  <c r="O25" i="2" s="1"/>
  <c r="N60" i="2"/>
  <c r="O60" i="2" s="1"/>
  <c r="M6" i="2"/>
  <c r="O6" i="2" s="1"/>
  <c r="BB3" i="2" s="1"/>
  <c r="AB585" i="6"/>
  <c r="AA322" i="6"/>
  <c r="AA319" i="6"/>
  <c r="M50" i="2"/>
  <c r="O50" i="2" s="1"/>
  <c r="M44" i="2"/>
  <c r="O44" i="2" s="1"/>
  <c r="AB627" i="6"/>
  <c r="AB634" i="6"/>
  <c r="AB635" i="6"/>
  <c r="M30" i="2"/>
  <c r="O30" i="2" s="1"/>
  <c r="AB628" i="6"/>
  <c r="AB636" i="6"/>
  <c r="AB629" i="6"/>
  <c r="AB637" i="6"/>
  <c r="AB630" i="6"/>
  <c r="N14" i="2"/>
  <c r="O14" i="2" s="1"/>
  <c r="AB631" i="6"/>
  <c r="AB632" i="6"/>
  <c r="AB633" i="6"/>
  <c r="AA16" i="6"/>
  <c r="AA25" i="6"/>
  <c r="AA20" i="6"/>
  <c r="AA17" i="6"/>
  <c r="AA21" i="6"/>
  <c r="AA26" i="6"/>
  <c r="AA23" i="6"/>
  <c r="AA19" i="6"/>
  <c r="AA22" i="6"/>
  <c r="AA18" i="6"/>
  <c r="AA15" i="6"/>
  <c r="AA324" i="6"/>
  <c r="AA142" i="6"/>
  <c r="AA143" i="6"/>
  <c r="AB444" i="6"/>
  <c r="N40" i="2"/>
  <c r="O40" i="2" s="1"/>
  <c r="N57" i="2"/>
  <c r="O57" i="2" s="1"/>
  <c r="AB603" i="6"/>
  <c r="AB443" i="6"/>
  <c r="AB440" i="6"/>
  <c r="AB446" i="6"/>
  <c r="AB442" i="6"/>
  <c r="AB438" i="6"/>
  <c r="AB257" i="6"/>
  <c r="AB441" i="6"/>
  <c r="AB445" i="6"/>
  <c r="AB437" i="6"/>
  <c r="AB435" i="6"/>
  <c r="AB588" i="6"/>
  <c r="AB610" i="6"/>
  <c r="AB580" i="6"/>
  <c r="AB611" i="6"/>
  <c r="AB590" i="6"/>
  <c r="AB589" i="6"/>
  <c r="AB606" i="6"/>
  <c r="AB581" i="6"/>
  <c r="AB579" i="6"/>
  <c r="AB586" i="6"/>
  <c r="AB587" i="6"/>
  <c r="AB584" i="6"/>
  <c r="AB583" i="6"/>
  <c r="AB614" i="6"/>
  <c r="AB605" i="6"/>
  <c r="M43" i="2"/>
  <c r="O43" i="2" s="1"/>
  <c r="AA71" i="2"/>
  <c r="AB607" i="6"/>
  <c r="AA36" i="6"/>
  <c r="AB436" i="6"/>
  <c r="AA465" i="6"/>
  <c r="AA38" i="6"/>
  <c r="AA135" i="6"/>
  <c r="AA31" i="6"/>
  <c r="AA138" i="6"/>
  <c r="AA27" i="6"/>
  <c r="AA145" i="6"/>
  <c r="AA28" i="6"/>
  <c r="AA146" i="6"/>
  <c r="AA37" i="6"/>
  <c r="AB14" i="6"/>
  <c r="AA30" i="6"/>
  <c r="AA315" i="6"/>
  <c r="AA326" i="6"/>
  <c r="AA323" i="6"/>
  <c r="AA136" i="6"/>
  <c r="AA318" i="6"/>
  <c r="AA321" i="6"/>
  <c r="AA317" i="6"/>
  <c r="AA325" i="6"/>
  <c r="AA316" i="6"/>
  <c r="AA320" i="6"/>
  <c r="AA34" i="6"/>
  <c r="AA32" i="6"/>
  <c r="AA137" i="6"/>
  <c r="AB597" i="6"/>
  <c r="AB595" i="6"/>
  <c r="AB602" i="6"/>
  <c r="AB591" i="6"/>
  <c r="AB601" i="6"/>
  <c r="AB596" i="6"/>
  <c r="AA144" i="6"/>
  <c r="AA139" i="6"/>
  <c r="AA141" i="6"/>
  <c r="AA140" i="6"/>
  <c r="AA573" i="6"/>
  <c r="AA577" i="6"/>
  <c r="AA567" i="6"/>
  <c r="AA568" i="6"/>
  <c r="AA571" i="6"/>
  <c r="AA569" i="6"/>
  <c r="AA578" i="6"/>
  <c r="AA576" i="6"/>
  <c r="AA574" i="6"/>
  <c r="AA572" i="6"/>
  <c r="AB221" i="6"/>
  <c r="AB224" i="6"/>
  <c r="AB220" i="6"/>
  <c r="AB219" i="6"/>
  <c r="AB230" i="6"/>
  <c r="AB229" i="6"/>
  <c r="AB226" i="6"/>
  <c r="AB225" i="6"/>
  <c r="AB228" i="6"/>
  <c r="AB222" i="6"/>
  <c r="AB227" i="6"/>
  <c r="AB223" i="6"/>
  <c r="AB8" i="6"/>
  <c r="AB608" i="6"/>
  <c r="AB592" i="6"/>
  <c r="AB7" i="6"/>
  <c r="AB609" i="6"/>
  <c r="AB594" i="6"/>
  <c r="AB10" i="6"/>
  <c r="AB3" i="6"/>
  <c r="AB4" i="6"/>
  <c r="AB11" i="6"/>
  <c r="AB613" i="6"/>
  <c r="AB316" i="6"/>
  <c r="AB599" i="6"/>
  <c r="AB13" i="6"/>
  <c r="AB604" i="6"/>
  <c r="AB318" i="6"/>
  <c r="AB593" i="6"/>
  <c r="AB6" i="6"/>
  <c r="AB413" i="6"/>
  <c r="AB419" i="6"/>
  <c r="AB422" i="6"/>
  <c r="AB418" i="6"/>
  <c r="AB412" i="6"/>
  <c r="AB411" i="6"/>
  <c r="AB415" i="6"/>
  <c r="AB417" i="6"/>
  <c r="AB416" i="6"/>
  <c r="AB420" i="6"/>
  <c r="AB421" i="6"/>
  <c r="AB414" i="6"/>
  <c r="AA35" i="6"/>
  <c r="AA33" i="6"/>
  <c r="AB262" i="6"/>
  <c r="AB323" i="6"/>
  <c r="AB598" i="6"/>
  <c r="AB9" i="6"/>
  <c r="AA570" i="6"/>
  <c r="AA575" i="6"/>
  <c r="AB600" i="6"/>
  <c r="AB5" i="6"/>
  <c r="AS69" i="2"/>
  <c r="Q7" i="3" s="1"/>
  <c r="AB314" i="6"/>
  <c r="AB303" i="6"/>
  <c r="AB309" i="6"/>
  <c r="AB312" i="6"/>
  <c r="AB311" i="6"/>
  <c r="AB184" i="6"/>
  <c r="AA166" i="6"/>
  <c r="AA162" i="6"/>
  <c r="AA168" i="6"/>
  <c r="AA160" i="6"/>
  <c r="AA163" i="6"/>
  <c r="AA165" i="6"/>
  <c r="AA159" i="6"/>
  <c r="AA170" i="6"/>
  <c r="AA164" i="6"/>
  <c r="AA169" i="6"/>
  <c r="AA167" i="6"/>
  <c r="AA161" i="6"/>
  <c r="AB313" i="6"/>
  <c r="AB306" i="6"/>
  <c r="AB305" i="6"/>
  <c r="AB308" i="6"/>
  <c r="AS74" i="2"/>
  <c r="AB41" i="6"/>
  <c r="AB45" i="6"/>
  <c r="AB43" i="6"/>
  <c r="AB42" i="6"/>
  <c r="AB49" i="6"/>
  <c r="AB48" i="6"/>
  <c r="AB39" i="6"/>
  <c r="AA475" i="6"/>
  <c r="AA473" i="6"/>
  <c r="AA480" i="6"/>
  <c r="AA479" i="6"/>
  <c r="AA482" i="6"/>
  <c r="AA472" i="6"/>
  <c r="AA477" i="6"/>
  <c r="AA478" i="6"/>
  <c r="AA481" i="6"/>
  <c r="AA474" i="6"/>
  <c r="AA476" i="6"/>
  <c r="AA471" i="6"/>
  <c r="AB532" i="6"/>
  <c r="AA459" i="6"/>
  <c r="AA467" i="6"/>
  <c r="AB263" i="6"/>
  <c r="AB260" i="6"/>
  <c r="AB304" i="6"/>
  <c r="AB536" i="6"/>
  <c r="N15" i="2"/>
  <c r="O15" i="2" s="1"/>
  <c r="AJ71" i="2"/>
  <c r="AA109" i="6"/>
  <c r="AA461" i="6"/>
  <c r="AA469" i="6"/>
  <c r="AB264" i="6"/>
  <c r="AB307" i="6"/>
  <c r="AB540" i="6"/>
  <c r="AA75" i="2"/>
  <c r="K5" i="3" s="1"/>
  <c r="AS71" i="2"/>
  <c r="AA462" i="6"/>
  <c r="AA460" i="6"/>
  <c r="AB266" i="6"/>
  <c r="AB535" i="6"/>
  <c r="AA74" i="2"/>
  <c r="K10" i="3" s="1"/>
  <c r="AA466" i="6"/>
  <c r="AA468" i="6"/>
  <c r="AB256" i="6"/>
  <c r="AA9" i="6"/>
  <c r="AA470" i="6"/>
  <c r="AB258" i="6"/>
  <c r="AA72" i="2"/>
  <c r="K12" i="3" s="1"/>
  <c r="AA463" i="6"/>
  <c r="AB259" i="6"/>
  <c r="AB255" i="6"/>
  <c r="AB534" i="6"/>
  <c r="AB261" i="6"/>
  <c r="AB533" i="6"/>
  <c r="AB28" i="6"/>
  <c r="AB35" i="6"/>
  <c r="AB33" i="6"/>
  <c r="AB31" i="6"/>
  <c r="AB27" i="6"/>
  <c r="AB37" i="6"/>
  <c r="AB38" i="6"/>
  <c r="AB32" i="6"/>
  <c r="AB30" i="6"/>
  <c r="AB34" i="6"/>
  <c r="AB29" i="6"/>
  <c r="AS66" i="2"/>
  <c r="Q15" i="3" s="1"/>
  <c r="AB36" i="6"/>
  <c r="AA418" i="6"/>
  <c r="AA421" i="6"/>
  <c r="AA412" i="6"/>
  <c r="AA416" i="6"/>
  <c r="AA415" i="6"/>
  <c r="AA419" i="6"/>
  <c r="AA420" i="6"/>
  <c r="AA411" i="6"/>
  <c r="AA413" i="6"/>
  <c r="AA414" i="6"/>
  <c r="AA422" i="6"/>
  <c r="AA417" i="6"/>
  <c r="AB195" i="6"/>
  <c r="AB197" i="6"/>
  <c r="AB203" i="6"/>
  <c r="AB196" i="6"/>
  <c r="AB202" i="6"/>
  <c r="AB199" i="6"/>
  <c r="AB200" i="6"/>
  <c r="AB204" i="6"/>
  <c r="AS73" i="2"/>
  <c r="Q17" i="3" s="1"/>
  <c r="AB201" i="6"/>
  <c r="AB206" i="6"/>
  <c r="AB205" i="6"/>
  <c r="AB198" i="6"/>
  <c r="AA556" i="6"/>
  <c r="AA563" i="6"/>
  <c r="AA558" i="6"/>
  <c r="AA559" i="6"/>
  <c r="AA562" i="6"/>
  <c r="AA557" i="6"/>
  <c r="AA566" i="6"/>
  <c r="AA561" i="6"/>
  <c r="AA560" i="6"/>
  <c r="AA565" i="6"/>
  <c r="AA564" i="6"/>
  <c r="AA555" i="6"/>
  <c r="AA74" i="6"/>
  <c r="AA71" i="6"/>
  <c r="AA67" i="6"/>
  <c r="AA64" i="6"/>
  <c r="AA72" i="6"/>
  <c r="AA68" i="6"/>
  <c r="AA69" i="6"/>
  <c r="AA65" i="6"/>
  <c r="AA73" i="6"/>
  <c r="AA70" i="6"/>
  <c r="AA66" i="6"/>
  <c r="AA63" i="6"/>
  <c r="AA552" i="6"/>
  <c r="AA551" i="6"/>
  <c r="AA547" i="6"/>
  <c r="AA544" i="6"/>
  <c r="AA549" i="6"/>
  <c r="AA553" i="6"/>
  <c r="AA550" i="6"/>
  <c r="AA545" i="6"/>
  <c r="AA548" i="6"/>
  <c r="AA543" i="6"/>
  <c r="AA546" i="6"/>
  <c r="AA554" i="6"/>
  <c r="AB500" i="6"/>
  <c r="AB505" i="6"/>
  <c r="AB506" i="6"/>
  <c r="AB503" i="6"/>
  <c r="AB502" i="6"/>
  <c r="AB501" i="6"/>
  <c r="AB499" i="6"/>
  <c r="AB498" i="6"/>
  <c r="AB504" i="6"/>
  <c r="AB497" i="6"/>
  <c r="AB496" i="6"/>
  <c r="AB495" i="6"/>
  <c r="AA187" i="6"/>
  <c r="AA183" i="6"/>
  <c r="AA193" i="6"/>
  <c r="AA194" i="6"/>
  <c r="AA192" i="6"/>
  <c r="AA186" i="6"/>
  <c r="AA191" i="6"/>
  <c r="AA185" i="6"/>
  <c r="AA188" i="6"/>
  <c r="AA190" i="6"/>
  <c r="AA189" i="6"/>
  <c r="AA184" i="6"/>
  <c r="AA104" i="6"/>
  <c r="AA108" i="6"/>
  <c r="AB322" i="6"/>
  <c r="AB183" i="6"/>
  <c r="AB188" i="6"/>
  <c r="AA103" i="6"/>
  <c r="AB317" i="6"/>
  <c r="AB310" i="6"/>
  <c r="AB189" i="6"/>
  <c r="AB187" i="6"/>
  <c r="AB50" i="6"/>
  <c r="AB541" i="6"/>
  <c r="AA102" i="6"/>
  <c r="AJ70" i="2"/>
  <c r="N14" i="3" s="1"/>
  <c r="AB326" i="6"/>
  <c r="AB315" i="6"/>
  <c r="AB190" i="6"/>
  <c r="AB47" i="6"/>
  <c r="AB46" i="6"/>
  <c r="AB542" i="6"/>
  <c r="AB531" i="6"/>
  <c r="AA107" i="6"/>
  <c r="AB325" i="6"/>
  <c r="AB321" i="6"/>
  <c r="AB185" i="6"/>
  <c r="AB40" i="6"/>
  <c r="AB44" i="6"/>
  <c r="AB538" i="6"/>
  <c r="AB539" i="6"/>
  <c r="AA105" i="6"/>
  <c r="AA106" i="6"/>
  <c r="AB324" i="6"/>
  <c r="AB320" i="6"/>
  <c r="AB191" i="6"/>
  <c r="AA69" i="2"/>
  <c r="K7" i="3" s="1"/>
  <c r="AA110" i="6"/>
  <c r="AA101" i="6"/>
  <c r="AB194" i="6"/>
  <c r="AB192" i="6"/>
  <c r="AA8" i="6"/>
  <c r="AA99" i="6"/>
  <c r="AB193" i="6"/>
  <c r="AA10" i="6"/>
  <c r="AA6" i="6"/>
  <c r="AA3" i="6"/>
  <c r="AA14" i="6"/>
  <c r="AA11" i="6"/>
  <c r="AA7" i="6"/>
  <c r="AA4" i="6"/>
  <c r="AA5" i="6"/>
  <c r="AA12" i="6"/>
  <c r="AB653" i="6"/>
  <c r="AB655" i="6"/>
  <c r="AB659" i="6"/>
  <c r="AB654" i="6"/>
  <c r="AB651" i="6"/>
  <c r="AB652" i="6"/>
  <c r="AB657" i="6"/>
  <c r="AB662" i="6"/>
  <c r="AB660" i="6"/>
  <c r="AB658" i="6"/>
  <c r="AB661" i="6"/>
  <c r="AB656" i="6"/>
  <c r="AA75" i="6"/>
  <c r="AA82" i="6"/>
  <c r="AA76" i="6"/>
  <c r="AA86" i="6"/>
  <c r="AA83" i="6"/>
  <c r="AA78" i="6"/>
  <c r="AA77" i="6"/>
  <c r="AA80" i="6"/>
  <c r="AA84" i="6"/>
  <c r="AA79" i="6"/>
  <c r="AA85" i="6"/>
  <c r="AA81" i="6"/>
  <c r="AB483" i="6"/>
  <c r="AB493" i="6"/>
  <c r="AB485" i="6"/>
  <c r="AB488" i="6"/>
  <c r="AB484" i="6"/>
  <c r="AB486" i="6"/>
  <c r="AB494" i="6"/>
  <c r="AB487" i="6"/>
  <c r="AB490" i="6"/>
  <c r="AB489" i="6"/>
  <c r="AB491" i="6"/>
  <c r="AB492" i="6"/>
  <c r="AA733" i="6"/>
  <c r="AA727" i="6"/>
  <c r="AA725" i="6"/>
  <c r="AA726" i="6"/>
  <c r="AA731" i="6"/>
  <c r="AA732" i="6"/>
  <c r="AA724" i="6"/>
  <c r="AA723" i="6"/>
  <c r="AA729" i="6"/>
  <c r="AA728" i="6"/>
  <c r="AA730" i="6"/>
  <c r="AA734" i="6"/>
  <c r="AA66" i="2"/>
  <c r="K15" i="3" s="1"/>
  <c r="AA70" i="2"/>
  <c r="K14" i="3" s="1"/>
  <c r="AS68" i="2"/>
  <c r="Q4" i="3" s="1"/>
  <c r="AA67" i="2"/>
  <c r="K9" i="3" s="1"/>
  <c r="AJ72" i="2"/>
  <c r="N12" i="3" s="1"/>
  <c r="Y69" i="2" a="1"/>
  <c r="Y69" i="2" s="1"/>
  <c r="L7" i="3" s="1"/>
  <c r="AA65" i="2"/>
  <c r="K11" i="3" s="1"/>
  <c r="Z71" i="2" a="1"/>
  <c r="Z71" i="2" s="1"/>
  <c r="Y75" i="2" a="1"/>
  <c r="Y75" i="2" s="1"/>
  <c r="L5" i="3" s="1"/>
  <c r="Z70" i="2" a="1"/>
  <c r="Z70" i="2" s="1"/>
  <c r="M14" i="3" s="1"/>
  <c r="Z67" i="2" a="1"/>
  <c r="Z67" i="2" s="1"/>
  <c r="M9" i="3" s="1"/>
  <c r="Z65" i="2" a="1"/>
  <c r="Z65" i="2" s="1"/>
  <c r="M11" i="3" s="1"/>
  <c r="Z68" i="2" a="1"/>
  <c r="Z68" i="2" s="1"/>
  <c r="M4" i="3" s="1"/>
  <c r="Y65" i="2" a="1"/>
  <c r="Y65" i="2" s="1"/>
  <c r="L11" i="3" s="1"/>
  <c r="Z76" i="2" a="1"/>
  <c r="Z76" i="2" s="1"/>
  <c r="Z69" i="2" a="1"/>
  <c r="Z69" i="2" s="1"/>
  <c r="M7" i="3" s="1"/>
  <c r="Y67" i="2" a="1"/>
  <c r="Y67" i="2" s="1"/>
  <c r="L9" i="3" s="1"/>
  <c r="Y68" i="2" a="1"/>
  <c r="Y68" i="2" s="1"/>
  <c r="L4" i="3" s="1"/>
  <c r="Z66" i="2" a="1"/>
  <c r="Z66" i="2" s="1"/>
  <c r="M15" i="3" s="1"/>
  <c r="Y76" i="2" a="1"/>
  <c r="Y76" i="2" s="1"/>
  <c r="Z74" i="2" a="1"/>
  <c r="Z74" i="2" s="1"/>
  <c r="Z72" i="2" a="1"/>
  <c r="Z72" i="2" s="1"/>
  <c r="M12" i="3" s="1"/>
  <c r="Y66" i="2" a="1"/>
  <c r="Y66" i="2" s="1"/>
  <c r="L15" i="3" s="1"/>
  <c r="Y74" i="2" a="1"/>
  <c r="Y74" i="2" s="1"/>
  <c r="Z73" i="2" a="1"/>
  <c r="Z73" i="2" s="1"/>
  <c r="M17" i="3" s="1"/>
  <c r="Z75" i="2" a="1"/>
  <c r="Z75" i="2" s="1"/>
  <c r="M5" i="3" s="1"/>
  <c r="Y72" i="2" a="1"/>
  <c r="Y72" i="2" s="1"/>
  <c r="L12" i="3" s="1"/>
  <c r="Y70" i="2" a="1"/>
  <c r="Y70" i="2" s="1"/>
  <c r="L14" i="3" s="1"/>
  <c r="Y73" i="2" a="1"/>
  <c r="Y73" i="2" s="1"/>
  <c r="L17" i="3" s="1"/>
  <c r="Y71" i="2" a="1"/>
  <c r="Y71" i="2" s="1"/>
  <c r="AA261" i="6"/>
  <c r="AA258" i="6"/>
  <c r="AA266" i="6"/>
  <c r="AA256" i="6"/>
  <c r="AA257" i="6"/>
  <c r="AA265" i="6"/>
  <c r="AA259" i="6"/>
  <c r="AA264" i="6"/>
  <c r="AA255" i="6"/>
  <c r="AA263" i="6"/>
  <c r="AA262" i="6"/>
  <c r="AA260" i="6"/>
  <c r="AJ67" i="2"/>
  <c r="N9" i="3" s="1"/>
  <c r="AH66" i="2" a="1"/>
  <c r="AH66" i="2" s="1"/>
  <c r="O15" i="3" s="1"/>
  <c r="Y15" i="3" s="1"/>
  <c r="AC15" i="3" s="1"/>
  <c r="AA68" i="2"/>
  <c r="K4" i="3" s="1"/>
  <c r="AA621" i="6"/>
  <c r="AA622" i="6"/>
  <c r="AA623" i="6"/>
  <c r="AA615" i="6"/>
  <c r="AA624" i="6"/>
  <c r="AA616" i="6"/>
  <c r="AA625" i="6"/>
  <c r="AA617" i="6"/>
  <c r="AA626" i="6"/>
  <c r="AA618" i="6"/>
  <c r="AA619" i="6"/>
  <c r="AA620" i="6"/>
  <c r="AJ75" i="2"/>
  <c r="N5" i="3" s="1"/>
  <c r="AB26" i="6"/>
  <c r="AB17" i="6"/>
  <c r="AB25" i="6"/>
  <c r="AB16" i="6"/>
  <c r="AB18" i="6"/>
  <c r="AB24" i="6"/>
  <c r="AB15" i="6"/>
  <c r="AB21" i="6"/>
  <c r="AB23" i="6"/>
  <c r="AB22" i="6"/>
  <c r="AB20" i="6"/>
  <c r="AB19" i="6"/>
  <c r="AR72" i="2" a="1"/>
  <c r="AR72" i="2" s="1"/>
  <c r="S12" i="3" s="1"/>
  <c r="AQ70" i="2" a="1"/>
  <c r="AQ70" i="2" s="1"/>
  <c r="R14" i="3" s="1"/>
  <c r="AQ67" i="2" a="1"/>
  <c r="AQ67" i="2" s="1"/>
  <c r="R9" i="3" s="1"/>
  <c r="AQ65" i="2" a="1"/>
  <c r="AQ65" i="2" s="1"/>
  <c r="R11" i="3" s="1"/>
  <c r="AQ69" i="2" a="1"/>
  <c r="AQ69" i="2" s="1"/>
  <c r="R7" i="3" s="1"/>
  <c r="AR71" i="2" a="1"/>
  <c r="AR71" i="2" s="1"/>
  <c r="AQ72" i="2" a="1"/>
  <c r="AQ72" i="2" s="1"/>
  <c r="R12" i="3" s="1"/>
  <c r="AR66" i="2" a="1"/>
  <c r="AR66" i="2" s="1"/>
  <c r="S15" i="3" s="1"/>
  <c r="AR70" i="2" a="1"/>
  <c r="AR70" i="2" s="1"/>
  <c r="S14" i="3" s="1"/>
  <c r="AR69" i="2" a="1"/>
  <c r="AR69" i="2" s="1"/>
  <c r="S7" i="3" s="1"/>
  <c r="AR74" i="2" a="1"/>
  <c r="AR74" i="2" s="1"/>
  <c r="S10" i="3" s="1"/>
  <c r="AQ66" i="2" a="1"/>
  <c r="AQ66" i="2" s="1"/>
  <c r="R15" i="3" s="1"/>
  <c r="AQ74" i="2" a="1"/>
  <c r="AQ74" i="2" s="1"/>
  <c r="AR73" i="2" a="1"/>
  <c r="AR73" i="2" s="1"/>
  <c r="S17" i="3" s="1"/>
  <c r="AS67" i="2"/>
  <c r="Q9" i="3" s="1"/>
  <c r="AR75" i="2" a="1"/>
  <c r="AR75" i="2" s="1"/>
  <c r="S5" i="3" s="1"/>
  <c r="AR68" i="2" a="1"/>
  <c r="AR68" i="2" s="1"/>
  <c r="S4" i="3" s="1"/>
  <c r="AQ73" i="2" a="1"/>
  <c r="AQ73" i="2" s="1"/>
  <c r="AQ75" i="2" a="1"/>
  <c r="AQ75" i="2" s="1"/>
  <c r="R5" i="3" s="1"/>
  <c r="AQ68" i="2" a="1"/>
  <c r="AQ68" i="2" s="1"/>
  <c r="R4" i="3" s="1"/>
  <c r="AR76" i="2" a="1"/>
  <c r="AR76" i="2" s="1"/>
  <c r="AR65" i="2" a="1"/>
  <c r="AR65" i="2" s="1"/>
  <c r="S11" i="3" s="1"/>
  <c r="AQ71" i="2" a="1"/>
  <c r="AQ71" i="2" s="1"/>
  <c r="AQ76" i="2" a="1"/>
  <c r="AQ76" i="2" s="1"/>
  <c r="AR67" i="2" a="1"/>
  <c r="AR67" i="2" s="1"/>
  <c r="S9" i="3" s="1"/>
  <c r="AA446" i="6"/>
  <c r="AA438" i="6"/>
  <c r="AA444" i="6"/>
  <c r="AA439" i="6"/>
  <c r="AA442" i="6"/>
  <c r="AA443" i="6"/>
  <c r="AA441" i="6"/>
  <c r="AA445" i="6"/>
  <c r="AA435" i="6"/>
  <c r="AA440" i="6"/>
  <c r="AA436" i="6"/>
  <c r="AA437" i="6"/>
  <c r="AB254" i="6"/>
  <c r="AB253" i="6"/>
  <c r="AB252" i="6"/>
  <c r="AB251" i="6"/>
  <c r="AB250" i="6"/>
  <c r="AB249" i="6"/>
  <c r="AB248" i="6"/>
  <c r="AB247" i="6"/>
  <c r="AB246" i="6"/>
  <c r="AB245" i="6"/>
  <c r="AB244" i="6"/>
  <c r="AB243" i="6"/>
  <c r="AA182" i="6"/>
  <c r="AA174" i="6"/>
  <c r="AA179" i="6"/>
  <c r="AA177" i="6"/>
  <c r="AA176" i="6"/>
  <c r="AA175" i="6"/>
  <c r="AA173" i="6"/>
  <c r="AA172" i="6"/>
  <c r="AA180" i="6"/>
  <c r="AA171" i="6"/>
  <c r="AA178" i="6"/>
  <c r="AA181" i="6"/>
  <c r="AJ66" i="2"/>
  <c r="N15" i="3" s="1"/>
  <c r="AH67" i="2" a="1"/>
  <c r="AH67" i="2" s="1"/>
  <c r="O9" i="3" s="1"/>
  <c r="Y9" i="3" s="1"/>
  <c r="AC9" i="3" s="1"/>
  <c r="AH71" i="2" a="1"/>
  <c r="AH71" i="2" s="1"/>
  <c r="AI75" i="2" a="1"/>
  <c r="AI75" i="2" s="1"/>
  <c r="P5" i="3" s="1"/>
  <c r="Z5" i="3" s="1"/>
  <c r="AD5" i="3" s="1"/>
  <c r="AI71" i="2" a="1"/>
  <c r="AI71" i="2" s="1"/>
  <c r="AI67" i="2" a="1"/>
  <c r="AI67" i="2" s="1"/>
  <c r="P9" i="3" s="1"/>
  <c r="Z9" i="3" s="1"/>
  <c r="AD9" i="3" s="1"/>
  <c r="AI65" i="2" a="1"/>
  <c r="AI65" i="2" s="1"/>
  <c r="P11" i="3" s="1"/>
  <c r="AH65" i="2" a="1"/>
  <c r="AH65" i="2" s="1"/>
  <c r="O11" i="3" s="1"/>
  <c r="Y11" i="3" s="1"/>
  <c r="AC11" i="3" s="1"/>
  <c r="AH75" i="2" a="1"/>
  <c r="AH75" i="2" s="1"/>
  <c r="O5" i="3" s="1"/>
  <c r="Y5" i="3" s="1"/>
  <c r="AC5" i="3" s="1"/>
  <c r="AB335" i="6"/>
  <c r="AB327" i="6"/>
  <c r="AB338" i="6"/>
  <c r="AB328" i="6"/>
  <c r="AB336" i="6"/>
  <c r="AB334" i="6"/>
  <c r="AB332" i="6"/>
  <c r="AB337" i="6"/>
  <c r="AB331" i="6"/>
  <c r="AB330" i="6"/>
  <c r="AB329" i="6"/>
  <c r="AB333" i="6"/>
  <c r="AS76" i="2"/>
  <c r="AB565" i="6"/>
  <c r="AB557" i="6"/>
  <c r="AB561" i="6"/>
  <c r="AB562" i="6"/>
  <c r="AB566" i="6"/>
  <c r="AB556" i="6"/>
  <c r="AB555" i="6"/>
  <c r="AB563" i="6"/>
  <c r="AB564" i="6"/>
  <c r="AB559" i="6"/>
  <c r="AB560" i="6"/>
  <c r="AB558" i="6"/>
  <c r="AS75" i="2"/>
  <c r="Q5" i="3" s="1"/>
  <c r="AI69" i="2" a="1"/>
  <c r="AI69" i="2" s="1"/>
  <c r="P7" i="3" s="1"/>
  <c r="Z7" i="3" s="1"/>
  <c r="AD7" i="3" s="1"/>
  <c r="AB59" i="6"/>
  <c r="AB51" i="6"/>
  <c r="AB58" i="6"/>
  <c r="AB57" i="6"/>
  <c r="AB56" i="6"/>
  <c r="AB55" i="6"/>
  <c r="AB60" i="6"/>
  <c r="AB52" i="6"/>
  <c r="AB62" i="6"/>
  <c r="AB54" i="6"/>
  <c r="AB61" i="6"/>
  <c r="AB53" i="6"/>
  <c r="AS65" i="2"/>
  <c r="Q11" i="3" s="1"/>
  <c r="AA527" i="6"/>
  <c r="AA519" i="6"/>
  <c r="AA523" i="6"/>
  <c r="AA524" i="6"/>
  <c r="AA522" i="6"/>
  <c r="AA520" i="6"/>
  <c r="AA528" i="6"/>
  <c r="AA526" i="6"/>
  <c r="AA521" i="6"/>
  <c r="AA525" i="6"/>
  <c r="AA529" i="6"/>
  <c r="AA530" i="6"/>
  <c r="AB91" i="6"/>
  <c r="AB95" i="6"/>
  <c r="AB89" i="6"/>
  <c r="AB90" i="6"/>
  <c r="AB96" i="6"/>
  <c r="AB97" i="6"/>
  <c r="AB92" i="6"/>
  <c r="AB87" i="6"/>
  <c r="AB98" i="6"/>
  <c r="AB93" i="6"/>
  <c r="AB88" i="6"/>
  <c r="AB94" i="6"/>
  <c r="AS70" i="2"/>
  <c r="Q14" i="3" s="1"/>
  <c r="AB169" i="6"/>
  <c r="AB159" i="6"/>
  <c r="AB167" i="6"/>
  <c r="AB161" i="6"/>
  <c r="AB166" i="6"/>
  <c r="AB160" i="6"/>
  <c r="AB165" i="6"/>
  <c r="AB170" i="6"/>
  <c r="AB164" i="6"/>
  <c r="AB163" i="6"/>
  <c r="AB162" i="6"/>
  <c r="AB168" i="6"/>
  <c r="AA643" i="6"/>
  <c r="AA649" i="6"/>
  <c r="AA641" i="6"/>
  <c r="AA647" i="6"/>
  <c r="AA639" i="6"/>
  <c r="AA650" i="6"/>
  <c r="AA648" i="6"/>
  <c r="AA646" i="6"/>
  <c r="AA644" i="6"/>
  <c r="AA642" i="6"/>
  <c r="AA640" i="6"/>
  <c r="AA645" i="6"/>
  <c r="AB452" i="6"/>
  <c r="AB455" i="6"/>
  <c r="AB449" i="6"/>
  <c r="AB457" i="6"/>
  <c r="AB458" i="6"/>
  <c r="AB451" i="6"/>
  <c r="AB453" i="6"/>
  <c r="AB454" i="6"/>
  <c r="AB450" i="6"/>
  <c r="AB447" i="6"/>
  <c r="AB456" i="6"/>
  <c r="AB448" i="6"/>
  <c r="AB526" i="6"/>
  <c r="AB530" i="6"/>
  <c r="AB522" i="6"/>
  <c r="AB523" i="6"/>
  <c r="AB521" i="6"/>
  <c r="AB519" i="6"/>
  <c r="AB527" i="6"/>
  <c r="AB525" i="6"/>
  <c r="AB524" i="6"/>
  <c r="AB529" i="6"/>
  <c r="AB528" i="6"/>
  <c r="AB520" i="6"/>
  <c r="AA684" i="6"/>
  <c r="AA680" i="6"/>
  <c r="AA678" i="6"/>
  <c r="AA686" i="6"/>
  <c r="AA682" i="6"/>
  <c r="AA676" i="6"/>
  <c r="AA685" i="6"/>
  <c r="AA683" i="6"/>
  <c r="AA675" i="6"/>
  <c r="AA681" i="6"/>
  <c r="AA679" i="6"/>
  <c r="AA677" i="6"/>
  <c r="AJ65" i="2"/>
  <c r="N11" i="3" s="1"/>
  <c r="AA215" i="6"/>
  <c r="AA207" i="6"/>
  <c r="AA212" i="6"/>
  <c r="AA216" i="6"/>
  <c r="AA214" i="6"/>
  <c r="AA213" i="6"/>
  <c r="AA211" i="6"/>
  <c r="AA210" i="6"/>
  <c r="AA217" i="6"/>
  <c r="AA209" i="6"/>
  <c r="AA208" i="6"/>
  <c r="AA218" i="6"/>
  <c r="AJ69" i="2"/>
  <c r="N7" i="3" s="1"/>
  <c r="AB392" i="6"/>
  <c r="AB390" i="6"/>
  <c r="AB398" i="6"/>
  <c r="AB388" i="6"/>
  <c r="AB397" i="6"/>
  <c r="AB396" i="6"/>
  <c r="AB395" i="6"/>
  <c r="AB394" i="6"/>
  <c r="AB393" i="6"/>
  <c r="AB391" i="6"/>
  <c r="AB389" i="6"/>
  <c r="AB387" i="6"/>
  <c r="AA586" i="6"/>
  <c r="AA590" i="6"/>
  <c r="AA582" i="6"/>
  <c r="AA585" i="6"/>
  <c r="AA584" i="6"/>
  <c r="AA579" i="6"/>
  <c r="AA588" i="6"/>
  <c r="AA583" i="6"/>
  <c r="AA587" i="6"/>
  <c r="AA580" i="6"/>
  <c r="AA589" i="6"/>
  <c r="AA581" i="6"/>
  <c r="AB140" i="6"/>
  <c r="AB145" i="6"/>
  <c r="AB135" i="6"/>
  <c r="AB146" i="6"/>
  <c r="AB144" i="6"/>
  <c r="AB143" i="6"/>
  <c r="AB142" i="6"/>
  <c r="AB138" i="6"/>
  <c r="AB141" i="6"/>
  <c r="AB139" i="6"/>
  <c r="AB137" i="6"/>
  <c r="AB136" i="6"/>
  <c r="AH69" i="2" a="1"/>
  <c r="AH69" i="2" s="1"/>
  <c r="O7" i="3" s="1"/>
  <c r="Y7" i="3" s="1"/>
  <c r="AC7" i="3" s="1"/>
  <c r="AB346" i="6"/>
  <c r="AB342" i="6"/>
  <c r="AB350" i="6"/>
  <c r="AB340" i="6"/>
  <c r="AB349" i="6"/>
  <c r="AB348" i="6"/>
  <c r="AB347" i="6"/>
  <c r="AB345" i="6"/>
  <c r="AB344" i="6"/>
  <c r="AB343" i="6"/>
  <c r="AB341" i="6"/>
  <c r="AB339" i="6"/>
  <c r="AB574" i="6"/>
  <c r="AB578" i="6"/>
  <c r="AB570" i="6"/>
  <c r="AB577" i="6"/>
  <c r="AB575" i="6"/>
  <c r="AB573" i="6"/>
  <c r="AB572" i="6"/>
  <c r="AB571" i="6"/>
  <c r="AB569" i="6"/>
  <c r="AB568" i="6"/>
  <c r="AB576" i="6"/>
  <c r="AB567" i="6"/>
  <c r="AB357" i="6"/>
  <c r="AB358" i="6"/>
  <c r="AB356" i="6"/>
  <c r="AB354" i="6"/>
  <c r="AB362" i="6"/>
  <c r="AB361" i="6"/>
  <c r="AB355" i="6"/>
  <c r="AB353" i="6"/>
  <c r="AB360" i="6"/>
  <c r="AB352" i="6"/>
  <c r="AB359" i="6"/>
  <c r="AB351" i="6"/>
  <c r="AA289" i="6"/>
  <c r="AA285" i="6"/>
  <c r="AA281" i="6"/>
  <c r="AA290" i="6"/>
  <c r="AA284" i="6"/>
  <c r="AA283" i="6"/>
  <c r="AA288" i="6"/>
  <c r="AA282" i="6"/>
  <c r="AA287" i="6"/>
  <c r="AA280" i="6"/>
  <c r="AA286" i="6"/>
  <c r="AA279" i="6"/>
  <c r="AA505" i="6"/>
  <c r="AA497" i="6"/>
  <c r="AA501" i="6"/>
  <c r="AA503" i="6"/>
  <c r="AA502" i="6"/>
  <c r="AA500" i="6"/>
  <c r="AA499" i="6"/>
  <c r="AA498" i="6"/>
  <c r="AA496" i="6"/>
  <c r="AA495" i="6"/>
  <c r="AA506" i="6"/>
  <c r="AA504" i="6"/>
  <c r="AH70" i="2" a="1"/>
  <c r="AH70" i="2" s="1"/>
  <c r="O14" i="3" s="1"/>
  <c r="Y14" i="3" s="1"/>
  <c r="AC14" i="3" s="1"/>
  <c r="AB368" i="6"/>
  <c r="AB371" i="6"/>
  <c r="AB369" i="6"/>
  <c r="AB367" i="6"/>
  <c r="AB374" i="6"/>
  <c r="AB366" i="6"/>
  <c r="AB373" i="6"/>
  <c r="AB365" i="6"/>
  <c r="AB372" i="6"/>
  <c r="AB370" i="6"/>
  <c r="AB364" i="6"/>
  <c r="AB363" i="6"/>
  <c r="AA393" i="6"/>
  <c r="AA391" i="6"/>
  <c r="AA389" i="6"/>
  <c r="AA398" i="6"/>
  <c r="AA397" i="6"/>
  <c r="AA396" i="6"/>
  <c r="AA395" i="6"/>
  <c r="AA394" i="6"/>
  <c r="AA392" i="6"/>
  <c r="AA390" i="6"/>
  <c r="AA388" i="6"/>
  <c r="AA387" i="6"/>
  <c r="AA662" i="6"/>
  <c r="AA654" i="6"/>
  <c r="AA660" i="6"/>
  <c r="AA652" i="6"/>
  <c r="AA658" i="6"/>
  <c r="AA661" i="6"/>
  <c r="AA659" i="6"/>
  <c r="AA657" i="6"/>
  <c r="AA656" i="6"/>
  <c r="AA655" i="6"/>
  <c r="AA653" i="6"/>
  <c r="AA651" i="6"/>
  <c r="AB235" i="6"/>
  <c r="AB241" i="6"/>
  <c r="AB234" i="6"/>
  <c r="AB238" i="6"/>
  <c r="AB233" i="6"/>
  <c r="AB239" i="6"/>
  <c r="AB237" i="6"/>
  <c r="AB242" i="6"/>
  <c r="AB240" i="6"/>
  <c r="AB232" i="6"/>
  <c r="AB236" i="6"/>
  <c r="AB231" i="6"/>
  <c r="AA721" i="6"/>
  <c r="AA713" i="6"/>
  <c r="AA719" i="6"/>
  <c r="AA711" i="6"/>
  <c r="AA717" i="6"/>
  <c r="AA715" i="6"/>
  <c r="AA714" i="6"/>
  <c r="AA712" i="6"/>
  <c r="AA720" i="6"/>
  <c r="AA722" i="6"/>
  <c r="AA718" i="6"/>
  <c r="AA716" i="6"/>
  <c r="AA60" i="6"/>
  <c r="AA52" i="6"/>
  <c r="AA59" i="6"/>
  <c r="AA51" i="6"/>
  <c r="AA61" i="6"/>
  <c r="AA53" i="6"/>
  <c r="AA58" i="6"/>
  <c r="AA57" i="6"/>
  <c r="AA56" i="6"/>
  <c r="AA55" i="6"/>
  <c r="AA62" i="6"/>
  <c r="AA54" i="6"/>
  <c r="V13" i="3"/>
  <c r="AB127" i="6"/>
  <c r="AB133" i="6"/>
  <c r="AB130" i="6"/>
  <c r="AB123" i="6"/>
  <c r="AB131" i="6"/>
  <c r="AB126" i="6"/>
  <c r="AB134" i="6"/>
  <c r="AB129" i="6"/>
  <c r="AB125" i="6"/>
  <c r="AB128" i="6"/>
  <c r="AB124" i="6"/>
  <c r="AB132" i="6"/>
  <c r="AB697" i="6"/>
  <c r="AB688" i="6"/>
  <c r="AB695" i="6"/>
  <c r="AB694" i="6"/>
  <c r="AB692" i="6"/>
  <c r="AB693" i="6"/>
  <c r="AB691" i="6"/>
  <c r="AB698" i="6"/>
  <c r="AB696" i="6"/>
  <c r="AB690" i="6"/>
  <c r="AB689" i="6"/>
  <c r="AB687" i="6"/>
  <c r="AA634" i="6"/>
  <c r="AA635" i="6"/>
  <c r="AA627" i="6"/>
  <c r="AA636" i="6"/>
  <c r="AA628" i="6"/>
  <c r="AA637" i="6"/>
  <c r="AA629" i="6"/>
  <c r="AA638" i="6"/>
  <c r="AA630" i="6"/>
  <c r="AA631" i="6"/>
  <c r="AA632" i="6"/>
  <c r="AA633" i="6"/>
  <c r="AB214" i="6"/>
  <c r="AB211" i="6"/>
  <c r="AB215" i="6"/>
  <c r="AB213" i="6"/>
  <c r="AB212" i="6"/>
  <c r="AB210" i="6"/>
  <c r="AB209" i="6"/>
  <c r="AB208" i="6"/>
  <c r="AB207" i="6"/>
  <c r="AB216" i="6"/>
  <c r="AB218" i="6"/>
  <c r="AB217" i="6"/>
  <c r="AI70" i="2" a="1"/>
  <c r="AI70" i="2" s="1"/>
  <c r="P14" i="3" s="1"/>
  <c r="Z14" i="3" s="1"/>
  <c r="AD14" i="3" s="1"/>
  <c r="AA602" i="6"/>
  <c r="AA594" i="6"/>
  <c r="AA598" i="6"/>
  <c r="AA600" i="6"/>
  <c r="AA599" i="6"/>
  <c r="AA597" i="6"/>
  <c r="AA596" i="6"/>
  <c r="AA595" i="6"/>
  <c r="AA593" i="6"/>
  <c r="AA601" i="6"/>
  <c r="AA592" i="6"/>
  <c r="AA591" i="6"/>
  <c r="AA382" i="6"/>
  <c r="AA376" i="6"/>
  <c r="AA378" i="6"/>
  <c r="AA386" i="6"/>
  <c r="AA385" i="6"/>
  <c r="AA375" i="6"/>
  <c r="AA384" i="6"/>
  <c r="AA383" i="6"/>
  <c r="AA381" i="6"/>
  <c r="AA380" i="6"/>
  <c r="AA379" i="6"/>
  <c r="AA377" i="6"/>
  <c r="AI72" i="2" a="1"/>
  <c r="AI72" i="2" s="1"/>
  <c r="P12" i="3" s="1"/>
  <c r="Z12" i="3" s="1"/>
  <c r="AD12" i="3" s="1"/>
  <c r="AB109" i="6"/>
  <c r="AB101" i="6"/>
  <c r="AB108" i="6"/>
  <c r="AB107" i="6"/>
  <c r="AB106" i="6"/>
  <c r="AB100" i="6"/>
  <c r="AB102" i="6"/>
  <c r="AB103" i="6"/>
  <c r="AB104" i="6"/>
  <c r="AB99" i="6"/>
  <c r="AB110" i="6"/>
  <c r="AB105" i="6"/>
  <c r="AB467" i="6"/>
  <c r="AB459" i="6"/>
  <c r="AB468" i="6"/>
  <c r="AB466" i="6"/>
  <c r="AB464" i="6"/>
  <c r="AB463" i="6"/>
  <c r="AB462" i="6"/>
  <c r="AB465" i="6"/>
  <c r="AB461" i="6"/>
  <c r="AB470" i="6"/>
  <c r="AB460" i="6"/>
  <c r="AB469" i="6"/>
  <c r="AB732" i="6"/>
  <c r="AB727" i="6"/>
  <c r="AB723" i="6"/>
  <c r="AB731" i="6"/>
  <c r="AB726" i="6"/>
  <c r="AB734" i="6"/>
  <c r="AB725" i="6"/>
  <c r="AB730" i="6"/>
  <c r="AB729" i="6"/>
  <c r="AB728" i="6"/>
  <c r="AB733" i="6"/>
  <c r="AB724" i="6"/>
  <c r="AH73" i="2" a="1"/>
  <c r="AH73" i="2" s="1"/>
  <c r="O17" i="3" s="1"/>
  <c r="Y17" i="3" s="1"/>
  <c r="AC17" i="3" s="1"/>
  <c r="AH74" i="2" a="1"/>
  <c r="AH74" i="2" s="1"/>
  <c r="AA451" i="6"/>
  <c r="AA454" i="6"/>
  <c r="AA448" i="6"/>
  <c r="AA456" i="6"/>
  <c r="AA450" i="6"/>
  <c r="AA457" i="6"/>
  <c r="AA449" i="6"/>
  <c r="AA453" i="6"/>
  <c r="AA458" i="6"/>
  <c r="AA455" i="6"/>
  <c r="AA452" i="6"/>
  <c r="AA447" i="6"/>
  <c r="AB408" i="6"/>
  <c r="AB400" i="6"/>
  <c r="AB402" i="6"/>
  <c r="AB410" i="6"/>
  <c r="AB403" i="6"/>
  <c r="AB401" i="6"/>
  <c r="AB399" i="6"/>
  <c r="AB404" i="6"/>
  <c r="AB409" i="6"/>
  <c r="AB407" i="6"/>
  <c r="AB406" i="6"/>
  <c r="AB405" i="6"/>
  <c r="AH76" i="2" a="1"/>
  <c r="AH76" i="2" s="1"/>
  <c r="AA336" i="6"/>
  <c r="AA328" i="6"/>
  <c r="AA329" i="6"/>
  <c r="AA327" i="6"/>
  <c r="AA337" i="6"/>
  <c r="AA335" i="6"/>
  <c r="AA333" i="6"/>
  <c r="AA338" i="6"/>
  <c r="AA332" i="6"/>
  <c r="AA331" i="6"/>
  <c r="AA330" i="6"/>
  <c r="AA334" i="6"/>
  <c r="AB683" i="6"/>
  <c r="AB682" i="6"/>
  <c r="AB681" i="6"/>
  <c r="AB679" i="6"/>
  <c r="AB677" i="6"/>
  <c r="AB685" i="6"/>
  <c r="AB675" i="6"/>
  <c r="AB684" i="6"/>
  <c r="AB686" i="6"/>
  <c r="AB680" i="6"/>
  <c r="AB678" i="6"/>
  <c r="AB676" i="6"/>
  <c r="AB709" i="6"/>
  <c r="AB701" i="6"/>
  <c r="AB707" i="6"/>
  <c r="AB699" i="6"/>
  <c r="AB705" i="6"/>
  <c r="AB710" i="6"/>
  <c r="AB708" i="6"/>
  <c r="AB706" i="6"/>
  <c r="AB704" i="6"/>
  <c r="AB702" i="6"/>
  <c r="AB700" i="6"/>
  <c r="AB703" i="6"/>
  <c r="AA607" i="6"/>
  <c r="AA613" i="6"/>
  <c r="AA603" i="6"/>
  <c r="AA614" i="6"/>
  <c r="AA612" i="6"/>
  <c r="AA611" i="6"/>
  <c r="AA610" i="6"/>
  <c r="AA609" i="6"/>
  <c r="AA608" i="6"/>
  <c r="AA606" i="6"/>
  <c r="AA605" i="6"/>
  <c r="AA604" i="6"/>
  <c r="AB298" i="6"/>
  <c r="AB293" i="6"/>
  <c r="AB301" i="6"/>
  <c r="AB291" i="6"/>
  <c r="AB299" i="6"/>
  <c r="AB297" i="6"/>
  <c r="AB300" i="6"/>
  <c r="AB296" i="6"/>
  <c r="AB295" i="6"/>
  <c r="AB294" i="6"/>
  <c r="AB292" i="6"/>
  <c r="AB302" i="6"/>
  <c r="AA347" i="6"/>
  <c r="AA339" i="6"/>
  <c r="AA343" i="6"/>
  <c r="AA341" i="6"/>
  <c r="AA350" i="6"/>
  <c r="AA349" i="6"/>
  <c r="AA348" i="6"/>
  <c r="AA346" i="6"/>
  <c r="AA345" i="6"/>
  <c r="AA344" i="6"/>
  <c r="AA342" i="6"/>
  <c r="AA340" i="6"/>
  <c r="AA431" i="6"/>
  <c r="AA423" i="6"/>
  <c r="AA429" i="6"/>
  <c r="AA427" i="6"/>
  <c r="AA426" i="6"/>
  <c r="AA434" i="6"/>
  <c r="AA433" i="6"/>
  <c r="AA425" i="6"/>
  <c r="AA432" i="6"/>
  <c r="AA430" i="6"/>
  <c r="AA428" i="6"/>
  <c r="AA424" i="6"/>
  <c r="V8" i="3"/>
  <c r="AA358" i="6"/>
  <c r="AA359" i="6"/>
  <c r="AA357" i="6"/>
  <c r="AA355" i="6"/>
  <c r="AA362" i="6"/>
  <c r="AA356" i="6"/>
  <c r="AA354" i="6"/>
  <c r="AA361" i="6"/>
  <c r="AA353" i="6"/>
  <c r="AA360" i="6"/>
  <c r="AA352" i="6"/>
  <c r="AA351" i="6"/>
  <c r="AA202" i="6"/>
  <c r="AA206" i="6"/>
  <c r="AA196" i="6"/>
  <c r="AA204" i="6"/>
  <c r="AA205" i="6"/>
  <c r="AA203" i="6"/>
  <c r="AA201" i="6"/>
  <c r="AA200" i="6"/>
  <c r="AA199" i="6"/>
  <c r="AA198" i="6"/>
  <c r="AA197" i="6"/>
  <c r="AA195" i="6"/>
  <c r="AA46" i="6"/>
  <c r="AA39" i="6"/>
  <c r="AA45" i="6"/>
  <c r="AA44" i="6"/>
  <c r="AA50" i="6"/>
  <c r="AA42" i="6"/>
  <c r="AA43" i="6"/>
  <c r="AA47" i="6"/>
  <c r="AA49" i="6"/>
  <c r="AA41" i="6"/>
  <c r="AA48" i="6"/>
  <c r="AA40" i="6"/>
  <c r="AA369" i="6"/>
  <c r="AA372" i="6"/>
  <c r="AA370" i="6"/>
  <c r="AA368" i="6"/>
  <c r="AA367" i="6"/>
  <c r="AA374" i="6"/>
  <c r="AA366" i="6"/>
  <c r="AA373" i="6"/>
  <c r="AA371" i="6"/>
  <c r="AA365" i="6"/>
  <c r="AA364" i="6"/>
  <c r="AA363" i="6"/>
  <c r="AB181" i="6"/>
  <c r="AB173" i="6"/>
  <c r="AB178" i="6"/>
  <c r="AB176" i="6"/>
  <c r="AB179" i="6"/>
  <c r="AB175" i="6"/>
  <c r="AB174" i="6"/>
  <c r="AB172" i="6"/>
  <c r="AB171" i="6"/>
  <c r="AB182" i="6"/>
  <c r="AB180" i="6"/>
  <c r="AB177" i="6"/>
  <c r="AA98" i="6"/>
  <c r="AA90" i="6"/>
  <c r="AA94" i="6"/>
  <c r="AA95" i="6"/>
  <c r="AA89" i="6"/>
  <c r="AA96" i="6"/>
  <c r="AA91" i="6"/>
  <c r="AA97" i="6"/>
  <c r="AA92" i="6"/>
  <c r="AA87" i="6"/>
  <c r="AA93" i="6"/>
  <c r="AA88" i="6"/>
  <c r="AA310" i="6"/>
  <c r="AA311" i="6"/>
  <c r="AA305" i="6"/>
  <c r="AA309" i="6"/>
  <c r="AA304" i="6"/>
  <c r="AA306" i="6"/>
  <c r="AA308" i="6"/>
  <c r="AA303" i="6"/>
  <c r="AA314" i="6"/>
  <c r="AA313" i="6"/>
  <c r="AA307" i="6"/>
  <c r="AA312" i="6"/>
  <c r="AB381" i="6"/>
  <c r="AB377" i="6"/>
  <c r="AB385" i="6"/>
  <c r="AB375" i="6"/>
  <c r="AB386" i="6"/>
  <c r="AB384" i="6"/>
  <c r="AB383" i="6"/>
  <c r="AB376" i="6"/>
  <c r="AB382" i="6"/>
  <c r="AB380" i="6"/>
  <c r="AB379" i="6"/>
  <c r="AB378" i="6"/>
  <c r="AH68" i="2" a="1"/>
  <c r="AH68" i="2" s="1"/>
  <c r="O4" i="3" s="1"/>
  <c r="Y4" i="3" s="1"/>
  <c r="AC4" i="3" s="1"/>
  <c r="AA542" i="6"/>
  <c r="AA534" i="6"/>
  <c r="AA538" i="6"/>
  <c r="AA533" i="6"/>
  <c r="AA540" i="6"/>
  <c r="AA535" i="6"/>
  <c r="AA536" i="6"/>
  <c r="AA532" i="6"/>
  <c r="AA531" i="6"/>
  <c r="AA541" i="6"/>
  <c r="AA537" i="6"/>
  <c r="AA539" i="6"/>
  <c r="AB285" i="6"/>
  <c r="AB280" i="6"/>
  <c r="AB288" i="6"/>
  <c r="AB279" i="6"/>
  <c r="AB289" i="6"/>
  <c r="AB282" i="6"/>
  <c r="AB283" i="6"/>
  <c r="AB287" i="6"/>
  <c r="AB281" i="6"/>
  <c r="AB286" i="6"/>
  <c r="AB290" i="6"/>
  <c r="AB284" i="6"/>
  <c r="AB115" i="6"/>
  <c r="AB119" i="6"/>
  <c r="AB113" i="6"/>
  <c r="AB112" i="6"/>
  <c r="AB114" i="6"/>
  <c r="AB111" i="6"/>
  <c r="AB122" i="6"/>
  <c r="AB121" i="6"/>
  <c r="AB120" i="6"/>
  <c r="AB118" i="6"/>
  <c r="AB117" i="6"/>
  <c r="AB116" i="6"/>
  <c r="U16" i="3"/>
  <c r="U6" i="3"/>
  <c r="AB79" i="6"/>
  <c r="AB80" i="6"/>
  <c r="AB81" i="6"/>
  <c r="AB75" i="6"/>
  <c r="AB82" i="6"/>
  <c r="AB76" i="6"/>
  <c r="AB83" i="6"/>
  <c r="AB77" i="6"/>
  <c r="AB84" i="6"/>
  <c r="AB85" i="6"/>
  <c r="AB78" i="6"/>
  <c r="AB86" i="6"/>
  <c r="AI73" i="2" a="1"/>
  <c r="AI73" i="2" s="1"/>
  <c r="AB626" i="6"/>
  <c r="AB625" i="6"/>
  <c r="AB624" i="6"/>
  <c r="AB623" i="6"/>
  <c r="AB622" i="6"/>
  <c r="AB621" i="6"/>
  <c r="AB620" i="6"/>
  <c r="AB619" i="6"/>
  <c r="AB618" i="6"/>
  <c r="AB617" i="6"/>
  <c r="AB616" i="6"/>
  <c r="AB615" i="6"/>
  <c r="AA228" i="6"/>
  <c r="AA223" i="6"/>
  <c r="AA219" i="6"/>
  <c r="AA226" i="6"/>
  <c r="AA222" i="6"/>
  <c r="AA229" i="6"/>
  <c r="AA221" i="6"/>
  <c r="AA220" i="6"/>
  <c r="AA224" i="6"/>
  <c r="AA227" i="6"/>
  <c r="AA230" i="6"/>
  <c r="AA225" i="6"/>
  <c r="AI76" i="2" a="1"/>
  <c r="AI76" i="2" s="1"/>
  <c r="AB74" i="6"/>
  <c r="AB67" i="6"/>
  <c r="AB66" i="6"/>
  <c r="AB68" i="6"/>
  <c r="AB69" i="6"/>
  <c r="AB70" i="6"/>
  <c r="AB63" i="6"/>
  <c r="AB71" i="6"/>
  <c r="AB64" i="6"/>
  <c r="AB72" i="6"/>
  <c r="AB65" i="6"/>
  <c r="AB73" i="6"/>
  <c r="AS72" i="2"/>
  <c r="Q12" i="3" s="1"/>
  <c r="AA116" i="6"/>
  <c r="AA120" i="6"/>
  <c r="AA114" i="6"/>
  <c r="AA113" i="6"/>
  <c r="AA117" i="6"/>
  <c r="AA112" i="6"/>
  <c r="AA111" i="6"/>
  <c r="AA122" i="6"/>
  <c r="AA121" i="6"/>
  <c r="AA119" i="6"/>
  <c r="AA118" i="6"/>
  <c r="AA115" i="6"/>
  <c r="AA299" i="6"/>
  <c r="AA291" i="6"/>
  <c r="AA294" i="6"/>
  <c r="AA302" i="6"/>
  <c r="AA292" i="6"/>
  <c r="AA300" i="6"/>
  <c r="AA298" i="6"/>
  <c r="AA297" i="6"/>
  <c r="AA296" i="6"/>
  <c r="AA295" i="6"/>
  <c r="AA293" i="6"/>
  <c r="AA301" i="6"/>
  <c r="U13" i="3"/>
  <c r="AI74" i="2" a="1"/>
  <c r="AI74" i="2" s="1"/>
  <c r="P10" i="3" s="1"/>
  <c r="Z10" i="3" s="1"/>
  <c r="AD10" i="3" s="1"/>
  <c r="AA242" i="6"/>
  <c r="AA234" i="6"/>
  <c r="AA240" i="6"/>
  <c r="AA237" i="6"/>
  <c r="AA232" i="6"/>
  <c r="AA238" i="6"/>
  <c r="AA233" i="6"/>
  <c r="AA239" i="6"/>
  <c r="AA231" i="6"/>
  <c r="AA236" i="6"/>
  <c r="AA241" i="6"/>
  <c r="AA235" i="6"/>
  <c r="AB430" i="6"/>
  <c r="AB428" i="6"/>
  <c r="AB426" i="6"/>
  <c r="AB425" i="6"/>
  <c r="AB434" i="6"/>
  <c r="AB433" i="6"/>
  <c r="AB432" i="6"/>
  <c r="AB424" i="6"/>
  <c r="AB431" i="6"/>
  <c r="AB429" i="6"/>
  <c r="AB427" i="6"/>
  <c r="AB423" i="6"/>
  <c r="AI66" i="2" a="1"/>
  <c r="AI66" i="2" s="1"/>
  <c r="P15" i="3" s="1"/>
  <c r="Z15" i="3" s="1"/>
  <c r="AD15" i="3" s="1"/>
  <c r="AH72" i="2" a="1"/>
  <c r="AH72" i="2" s="1"/>
  <c r="O12" i="3" s="1"/>
  <c r="Y12" i="3" s="1"/>
  <c r="AC12" i="3" s="1"/>
  <c r="AB475" i="6"/>
  <c r="AB471" i="6"/>
  <c r="AB472" i="6"/>
  <c r="AB480" i="6"/>
  <c r="AB481" i="6"/>
  <c r="AB473" i="6"/>
  <c r="AB479" i="6"/>
  <c r="AB478" i="6"/>
  <c r="AB477" i="6"/>
  <c r="AB482" i="6"/>
  <c r="AB476" i="6"/>
  <c r="AB474" i="6"/>
  <c r="AA710" i="6"/>
  <c r="AA702" i="6"/>
  <c r="AA708" i="6"/>
  <c r="AA700" i="6"/>
  <c r="AA706" i="6"/>
  <c r="AA709" i="6"/>
  <c r="AA707" i="6"/>
  <c r="AA705" i="6"/>
  <c r="AA703" i="6"/>
  <c r="AA701" i="6"/>
  <c r="AA699" i="6"/>
  <c r="AA704" i="6"/>
  <c r="AI68" i="2" a="1"/>
  <c r="AI68" i="2" s="1"/>
  <c r="P4" i="3" s="1"/>
  <c r="V16" i="3"/>
  <c r="U8" i="3"/>
  <c r="AB720" i="6"/>
  <c r="AB712" i="6"/>
  <c r="AB718" i="6"/>
  <c r="AB716" i="6"/>
  <c r="AB722" i="6"/>
  <c r="AB714" i="6"/>
  <c r="AB713" i="6"/>
  <c r="AB711" i="6"/>
  <c r="AB717" i="6"/>
  <c r="AB721" i="6"/>
  <c r="AB719" i="6"/>
  <c r="AB715" i="6"/>
  <c r="AB552" i="6"/>
  <c r="AB544" i="6"/>
  <c r="AB548" i="6"/>
  <c r="AB554" i="6"/>
  <c r="AB553" i="6"/>
  <c r="AB551" i="6"/>
  <c r="AB543" i="6"/>
  <c r="AB545" i="6"/>
  <c r="AB550" i="6"/>
  <c r="AB549" i="6"/>
  <c r="AB547" i="6"/>
  <c r="AB546" i="6"/>
  <c r="AA494" i="6"/>
  <c r="AA486" i="6"/>
  <c r="AA492" i="6"/>
  <c r="AA491" i="6"/>
  <c r="AA488" i="6"/>
  <c r="AA484" i="6"/>
  <c r="AA493" i="6"/>
  <c r="AA483" i="6"/>
  <c r="AA490" i="6"/>
  <c r="AA489" i="6"/>
  <c r="AA487" i="6"/>
  <c r="AA485" i="6"/>
  <c r="AJ74" i="2"/>
  <c r="N10" i="3" s="1"/>
  <c r="AA154" i="6"/>
  <c r="AA152" i="6"/>
  <c r="AA157" i="6"/>
  <c r="AA156" i="6"/>
  <c r="AA155" i="6"/>
  <c r="AA153" i="6"/>
  <c r="AA151" i="6"/>
  <c r="AA150" i="6"/>
  <c r="AA149" i="6"/>
  <c r="AA158" i="6"/>
  <c r="AA148" i="6"/>
  <c r="AA147" i="6"/>
  <c r="AA130" i="6"/>
  <c r="AA132" i="6"/>
  <c r="AA127" i="6"/>
  <c r="AA123" i="6"/>
  <c r="AA131" i="6"/>
  <c r="AA124" i="6"/>
  <c r="AA134" i="6"/>
  <c r="AA126" i="6"/>
  <c r="AA133" i="6"/>
  <c r="AA129" i="6"/>
  <c r="AA125" i="6"/>
  <c r="AA128" i="6"/>
  <c r="AA409" i="6"/>
  <c r="AA401" i="6"/>
  <c r="AA403" i="6"/>
  <c r="AA399" i="6"/>
  <c r="AA404" i="6"/>
  <c r="AA402" i="6"/>
  <c r="AA400" i="6"/>
  <c r="AA405" i="6"/>
  <c r="AA410" i="6"/>
  <c r="AA408" i="6"/>
  <c r="AA407" i="6"/>
  <c r="AA406" i="6"/>
  <c r="AB153" i="6"/>
  <c r="AB151" i="6"/>
  <c r="AB156" i="6"/>
  <c r="AB155" i="6"/>
  <c r="AB154" i="6"/>
  <c r="AB152" i="6"/>
  <c r="AB150" i="6"/>
  <c r="AB149" i="6"/>
  <c r="AB157" i="6"/>
  <c r="AB148" i="6"/>
  <c r="AB147" i="6"/>
  <c r="AB158" i="6"/>
  <c r="AA698" i="6"/>
  <c r="AA689" i="6"/>
  <c r="AA696" i="6"/>
  <c r="AA687" i="6"/>
  <c r="AA693" i="6"/>
  <c r="AA694" i="6"/>
  <c r="AA692" i="6"/>
  <c r="AA697" i="6"/>
  <c r="AA695" i="6"/>
  <c r="AA691" i="6"/>
  <c r="AA690" i="6"/>
  <c r="AA688" i="6"/>
  <c r="AJ68" i="2"/>
  <c r="N4" i="3" s="1"/>
  <c r="AA250" i="6"/>
  <c r="AA249" i="6"/>
  <c r="AA251" i="6"/>
  <c r="AA252" i="6"/>
  <c r="AA243" i="6"/>
  <c r="AA253" i="6"/>
  <c r="AA244" i="6"/>
  <c r="AA254" i="6"/>
  <c r="AA246" i="6"/>
  <c r="AA245" i="6"/>
  <c r="AA247" i="6"/>
  <c r="AA248" i="6"/>
  <c r="BB4" i="2"/>
  <c r="BB7" i="2"/>
  <c r="M39" i="2"/>
  <c r="O39" i="2" s="1"/>
  <c r="M31" i="2"/>
  <c r="O31" i="2" s="1"/>
  <c r="N32" i="2"/>
  <c r="O32" i="2" s="1"/>
  <c r="BB10" i="2"/>
  <c r="N5" i="2"/>
  <c r="O5" i="2" s="1"/>
  <c r="N23" i="2"/>
  <c r="O23" i="2" s="1"/>
  <c r="BB9" i="2"/>
  <c r="BB13" i="2" l="1"/>
  <c r="M10" i="3"/>
  <c r="R17" i="3"/>
  <c r="P17" i="3"/>
  <c r="Z17" i="3" s="1"/>
  <c r="AD17" i="3" s="1"/>
  <c r="R10" i="3"/>
  <c r="O10" i="3"/>
  <c r="Y10" i="3" s="1"/>
  <c r="AC10" i="3" s="1"/>
  <c r="L10" i="3"/>
  <c r="K17" i="3"/>
  <c r="Q10" i="3"/>
  <c r="N17" i="3"/>
  <c r="BB6" i="2"/>
  <c r="U13" i="12"/>
  <c r="T3" i="12"/>
  <c r="U14" i="12"/>
  <c r="T13" i="12"/>
  <c r="U10" i="12"/>
  <c r="U11" i="12"/>
  <c r="U3" i="12"/>
  <c r="E31" i="12" a="1"/>
  <c r="E31" i="12" s="1"/>
  <c r="U5" i="12"/>
  <c r="E101" i="12" a="1"/>
  <c r="E101" i="12" s="1"/>
  <c r="T6" i="12"/>
  <c r="U7" i="12"/>
  <c r="U9" i="12"/>
  <c r="E98" i="12" a="1"/>
  <c r="E98" i="12" s="1"/>
  <c r="U12" i="12"/>
  <c r="F112" i="12" a="1"/>
  <c r="F112" i="12" s="1"/>
  <c r="U4" i="12"/>
  <c r="U8" i="12"/>
  <c r="Z4" i="3"/>
  <c r="AD4" i="3" s="1"/>
  <c r="L15" i="8"/>
  <c r="L135" i="8"/>
  <c r="L15" i="9"/>
  <c r="T10" i="12"/>
  <c r="E44" i="12" a="1"/>
  <c r="E44" i="12" s="1"/>
  <c r="E107" i="12" a="1"/>
  <c r="E107" i="12" s="1"/>
  <c r="E117" i="12" a="1"/>
  <c r="E117" i="12" s="1"/>
  <c r="E71" i="12" a="1"/>
  <c r="E71" i="12" s="1"/>
  <c r="E112" i="12" a="1"/>
  <c r="E112" i="12" s="1"/>
  <c r="E125" i="12" a="1"/>
  <c r="E125" i="12" s="1"/>
  <c r="E58" i="12" a="1"/>
  <c r="E58" i="12" s="1"/>
  <c r="E97" i="12" a="1"/>
  <c r="E97" i="12" s="1"/>
  <c r="E27" i="12" a="1"/>
  <c r="E27" i="12" s="1"/>
  <c r="E67" i="12" a="1"/>
  <c r="E67" i="12" s="1"/>
  <c r="E20" i="12" a="1"/>
  <c r="E20" i="12" s="1"/>
  <c r="E77" i="12" a="1"/>
  <c r="E77" i="12" s="1"/>
  <c r="E127" i="12" a="1"/>
  <c r="E127" i="12" s="1"/>
  <c r="E22" i="12" a="1"/>
  <c r="E22" i="12" s="1"/>
  <c r="E76" i="12" a="1"/>
  <c r="E76" i="12" s="1"/>
  <c r="E114" i="12" a="1"/>
  <c r="E114" i="12" s="1"/>
  <c r="T14" i="12"/>
  <c r="V14" i="12" s="1"/>
  <c r="F42" i="12" a="1"/>
  <c r="F42" i="12" s="1"/>
  <c r="F51" i="12" a="1"/>
  <c r="F51" i="12" s="1"/>
  <c r="F90" i="12" a="1"/>
  <c r="F90" i="12" s="1"/>
  <c r="F24" i="12" a="1"/>
  <c r="F24" i="12" s="1"/>
  <c r="F76" i="12" a="1"/>
  <c r="F76" i="12" s="1"/>
  <c r="F33" i="12" a="1"/>
  <c r="F33" i="12" s="1"/>
  <c r="F56" i="12" a="1"/>
  <c r="F56" i="12" s="1"/>
  <c r="F97" i="12" a="1"/>
  <c r="F97" i="12" s="1"/>
  <c r="F14" i="12" a="1"/>
  <c r="F14" i="12" s="1"/>
  <c r="F91" i="12" a="1"/>
  <c r="F91" i="12" s="1"/>
  <c r="F130" i="12" a="1"/>
  <c r="F130" i="12" s="1"/>
  <c r="F78" i="12" a="1"/>
  <c r="F78" i="12" s="1"/>
  <c r="F127" i="12" a="1"/>
  <c r="F127" i="12" s="1"/>
  <c r="F86" i="12" a="1"/>
  <c r="F86" i="12" s="1"/>
  <c r="F7" i="12" a="1"/>
  <c r="F7" i="12" s="1"/>
  <c r="F128" i="12" a="1"/>
  <c r="F128" i="12" s="1"/>
  <c r="T8" i="12"/>
  <c r="T9" i="12"/>
  <c r="E70" i="12" a="1"/>
  <c r="E70" i="12" s="1"/>
  <c r="E32" i="12" a="1"/>
  <c r="E32" i="12" s="1"/>
  <c r="E87" i="12" a="1"/>
  <c r="E87" i="12" s="1"/>
  <c r="E128" i="12" a="1"/>
  <c r="E128" i="12" s="1"/>
  <c r="E12" i="12" a="1"/>
  <c r="E12" i="12" s="1"/>
  <c r="H108" i="13" s="1" a="1"/>
  <c r="H108" i="13" s="1"/>
  <c r="E74" i="12" a="1"/>
  <c r="E74" i="12" s="1"/>
  <c r="E113" i="12" a="1"/>
  <c r="E113" i="12" s="1"/>
  <c r="E39" i="12" a="1"/>
  <c r="E39" i="12" s="1"/>
  <c r="E83" i="12" a="1"/>
  <c r="E83" i="12" s="1"/>
  <c r="E10" i="12" a="1"/>
  <c r="E10" i="12" s="1"/>
  <c r="H106" i="13" s="1" a="1"/>
  <c r="H106" i="13" s="1"/>
  <c r="E21" i="12" a="1"/>
  <c r="E21" i="12" s="1"/>
  <c r="E56" i="12" a="1"/>
  <c r="E56" i="12" s="1"/>
  <c r="E8" i="12" a="1"/>
  <c r="E8" i="12" s="1"/>
  <c r="H104" i="13" s="1" a="1"/>
  <c r="H104" i="13" s="1"/>
  <c r="E92" i="12" a="1"/>
  <c r="E92" i="12" s="1"/>
  <c r="E130" i="12" a="1"/>
  <c r="E130" i="12" s="1"/>
  <c r="T11" i="12"/>
  <c r="F70" i="12" a="1"/>
  <c r="F70" i="12" s="1"/>
  <c r="F67" i="12" a="1"/>
  <c r="F67" i="12" s="1"/>
  <c r="F106" i="12" a="1"/>
  <c r="F106" i="12" s="1"/>
  <c r="F55" i="12" a="1"/>
  <c r="F55" i="12" s="1"/>
  <c r="F92" i="12" a="1"/>
  <c r="F92" i="12" s="1"/>
  <c r="F47" i="12" a="1"/>
  <c r="F47" i="12" s="1"/>
  <c r="F72" i="12" a="1"/>
  <c r="F72" i="12" s="1"/>
  <c r="F113" i="12" a="1"/>
  <c r="F113" i="12" s="1"/>
  <c r="F45" i="12" a="1"/>
  <c r="F45" i="12" s="1"/>
  <c r="F107" i="12" a="1"/>
  <c r="F107" i="12" s="1"/>
  <c r="F46" i="12" a="1"/>
  <c r="F46" i="12" s="1"/>
  <c r="F35" i="12" a="1"/>
  <c r="F35" i="12" s="1"/>
  <c r="F52" i="12" a="1"/>
  <c r="F52" i="12" s="1"/>
  <c r="F20" i="12" a="1"/>
  <c r="F20" i="12" s="1"/>
  <c r="F53" i="12" a="1"/>
  <c r="F53" i="12" s="1"/>
  <c r="F41" i="12" a="1"/>
  <c r="F41" i="12" s="1"/>
  <c r="M123" i="9"/>
  <c r="M123" i="8"/>
  <c r="M63" i="9"/>
  <c r="M3" i="8"/>
  <c r="M3" i="9"/>
  <c r="M63" i="8"/>
  <c r="E123" i="12" a="1"/>
  <c r="E123" i="12" s="1"/>
  <c r="U6" i="12"/>
  <c r="V6" i="12" s="1"/>
  <c r="E86" i="12" a="1"/>
  <c r="E86" i="12" s="1"/>
  <c r="E18" i="12" a="1"/>
  <c r="E18" i="12" s="1"/>
  <c r="E15" i="12" a="1"/>
  <c r="E15" i="12" s="1"/>
  <c r="E103" i="12" a="1"/>
  <c r="E103" i="12" s="1"/>
  <c r="E19" i="12" a="1"/>
  <c r="E19" i="12" s="1"/>
  <c r="E26" i="12" a="1"/>
  <c r="E26" i="12" s="1"/>
  <c r="E90" i="12" a="1"/>
  <c r="E90" i="12" s="1"/>
  <c r="E129" i="12" a="1"/>
  <c r="E129" i="12" s="1"/>
  <c r="E62" i="12" a="1"/>
  <c r="E62" i="12" s="1"/>
  <c r="E99" i="12" a="1"/>
  <c r="E99" i="12" s="1"/>
  <c r="E4" i="12" a="1"/>
  <c r="E4" i="12" s="1"/>
  <c r="H100" i="13" s="1" a="1"/>
  <c r="H100" i="13" s="1"/>
  <c r="E29" i="12" a="1"/>
  <c r="E29" i="12" s="1"/>
  <c r="E72" i="12" a="1"/>
  <c r="E72" i="12" s="1"/>
  <c r="E37" i="12" a="1"/>
  <c r="E37" i="12" s="1"/>
  <c r="E108" i="12" a="1"/>
  <c r="E108" i="12" s="1"/>
  <c r="E57" i="12" a="1"/>
  <c r="E57" i="12" s="1"/>
  <c r="T12" i="12"/>
  <c r="F110" i="12" a="1"/>
  <c r="F110" i="12" s="1"/>
  <c r="F83" i="12" a="1"/>
  <c r="F83" i="12" s="1"/>
  <c r="F122" i="12" a="1"/>
  <c r="F122" i="12" s="1"/>
  <c r="F32" i="12" a="1"/>
  <c r="F32" i="12" s="1"/>
  <c r="F108" i="12" a="1"/>
  <c r="F108" i="12" s="1"/>
  <c r="F134" i="12" a="1"/>
  <c r="F134" i="12" s="1"/>
  <c r="F88" i="12" a="1"/>
  <c r="F88" i="12" s="1"/>
  <c r="F129" i="12" a="1"/>
  <c r="F129" i="12" s="1"/>
  <c r="F69" i="12" a="1"/>
  <c r="F69" i="12" s="1"/>
  <c r="F123" i="12" a="1"/>
  <c r="F123" i="12" s="1"/>
  <c r="F37" i="12" a="1"/>
  <c r="F37" i="12" s="1"/>
  <c r="F54" i="12" a="1"/>
  <c r="F54" i="12" s="1"/>
  <c r="F68" i="12" a="1"/>
  <c r="F68" i="12" s="1"/>
  <c r="F12" i="12" a="1"/>
  <c r="F12" i="12" s="1"/>
  <c r="F21" i="12" a="1"/>
  <c r="F21" i="12" s="1"/>
  <c r="F57" i="12" a="1"/>
  <c r="F57" i="12" s="1"/>
  <c r="E16" i="12" a="1"/>
  <c r="E16" i="12" s="1"/>
  <c r="E102" i="12" a="1"/>
  <c r="E102" i="12" s="1"/>
  <c r="E24" i="12" a="1"/>
  <c r="E24" i="12" s="1"/>
  <c r="E3" i="12" a="1"/>
  <c r="E3" i="12" s="1"/>
  <c r="H99" i="13" s="1" a="1"/>
  <c r="H99" i="13" s="1"/>
  <c r="E119" i="12" a="1"/>
  <c r="E119" i="12" s="1"/>
  <c r="E17" i="12" a="1"/>
  <c r="E17" i="12" s="1"/>
  <c r="E68" i="12" a="1"/>
  <c r="E68" i="12" s="1"/>
  <c r="E106" i="12" a="1"/>
  <c r="E106" i="12" s="1"/>
  <c r="E36" i="12" a="1"/>
  <c r="E36" i="12" s="1"/>
  <c r="E78" i="12" a="1"/>
  <c r="E78" i="12" s="1"/>
  <c r="E115" i="12" a="1"/>
  <c r="E115" i="12" s="1"/>
  <c r="E33" i="12" a="1"/>
  <c r="E33" i="12" s="1"/>
  <c r="E47" i="12" a="1"/>
  <c r="E47" i="12" s="1"/>
  <c r="E88" i="12" a="1"/>
  <c r="E88" i="12" s="1"/>
  <c r="E53" i="12" a="1"/>
  <c r="E53" i="12" s="1"/>
  <c r="E124" i="12" a="1"/>
  <c r="E124" i="12" s="1"/>
  <c r="E73" i="12" a="1"/>
  <c r="E73" i="12" s="1"/>
  <c r="F23" i="12" a="1"/>
  <c r="F23" i="12" s="1"/>
  <c r="F61" i="12" a="1"/>
  <c r="F61" i="12" s="1"/>
  <c r="F99" i="12" a="1"/>
  <c r="F99" i="12" s="1"/>
  <c r="F3" i="12" a="1"/>
  <c r="F3" i="12" s="1"/>
  <c r="F71" i="12" a="1"/>
  <c r="F71" i="12" s="1"/>
  <c r="F124" i="12" a="1"/>
  <c r="F124" i="12" s="1"/>
  <c r="F4" i="12" a="1"/>
  <c r="F4" i="12" s="1"/>
  <c r="F104" i="12" a="1"/>
  <c r="F104" i="12" s="1"/>
  <c r="F15" i="12" a="1"/>
  <c r="F15" i="12" s="1"/>
  <c r="F85" i="12" a="1"/>
  <c r="F85" i="12" s="1"/>
  <c r="F50" i="12" a="1"/>
  <c r="F50" i="12" s="1"/>
  <c r="F17" i="12" a="1"/>
  <c r="F17" i="12" s="1"/>
  <c r="F40" i="12" a="1"/>
  <c r="F40" i="12" s="1"/>
  <c r="F84" i="12" a="1"/>
  <c r="F84" i="12" s="1"/>
  <c r="F29" i="12" a="1"/>
  <c r="F29" i="12" s="1"/>
  <c r="F30" i="12" a="1"/>
  <c r="F30" i="12" s="1"/>
  <c r="F73" i="12" a="1"/>
  <c r="F73" i="12" s="1"/>
  <c r="Z11" i="3"/>
  <c r="AD11" i="3" s="1"/>
  <c r="L63" i="9"/>
  <c r="L3" i="8"/>
  <c r="L123" i="8"/>
  <c r="L63" i="8"/>
  <c r="L123" i="9"/>
  <c r="L3" i="9"/>
  <c r="E13" i="12" a="1"/>
  <c r="E13" i="12" s="1"/>
  <c r="H109" i="13" s="1" a="1"/>
  <c r="H109" i="13" s="1"/>
  <c r="E118" i="12" a="1"/>
  <c r="E118" i="12" s="1"/>
  <c r="E85" i="12" a="1"/>
  <c r="E85" i="12" s="1"/>
  <c r="E25" i="12" a="1"/>
  <c r="E25" i="12" s="1"/>
  <c r="E48" i="12" a="1"/>
  <c r="E48" i="12" s="1"/>
  <c r="E38" i="12" a="1"/>
  <c r="E38" i="12" s="1"/>
  <c r="E84" i="12" a="1"/>
  <c r="E84" i="12" s="1"/>
  <c r="E122" i="12" a="1"/>
  <c r="E122" i="12" s="1"/>
  <c r="E6" i="12" a="1"/>
  <c r="E6" i="12" s="1"/>
  <c r="H102" i="13" s="1" a="1"/>
  <c r="H102" i="13" s="1"/>
  <c r="E94" i="12" a="1"/>
  <c r="E94" i="12" s="1"/>
  <c r="E131" i="12" a="1"/>
  <c r="E131" i="12" s="1"/>
  <c r="E28" i="12" a="1"/>
  <c r="E28" i="12" s="1"/>
  <c r="E63" i="12" a="1"/>
  <c r="E63" i="12" s="1"/>
  <c r="E104" i="12" a="1"/>
  <c r="E104" i="12" s="1"/>
  <c r="E42" i="12" a="1"/>
  <c r="E42" i="12" s="1"/>
  <c r="E50" i="12" a="1"/>
  <c r="E50" i="12" s="1"/>
  <c r="E89" i="12" a="1"/>
  <c r="E89" i="12" s="1"/>
  <c r="T7" i="12"/>
  <c r="V7" i="12" s="1"/>
  <c r="F31" i="12" a="1"/>
  <c r="F31" i="12" s="1"/>
  <c r="F77" i="12" a="1"/>
  <c r="F77" i="12" s="1"/>
  <c r="F115" i="12" a="1"/>
  <c r="F115" i="12" s="1"/>
  <c r="F22" i="12" a="1"/>
  <c r="F22" i="12" s="1"/>
  <c r="F87" i="12" a="1"/>
  <c r="F87" i="12" s="1"/>
  <c r="F13" i="12" a="1"/>
  <c r="F13" i="12" s="1"/>
  <c r="F43" i="12" a="1"/>
  <c r="F43" i="12" s="1"/>
  <c r="F120" i="12" a="1"/>
  <c r="F120" i="12" s="1"/>
  <c r="F18" i="12" a="1"/>
  <c r="F18" i="12" s="1"/>
  <c r="F101" i="12" a="1"/>
  <c r="F101" i="12" s="1"/>
  <c r="F66" i="12" a="1"/>
  <c r="F66" i="12" s="1"/>
  <c r="F19" i="12" a="1"/>
  <c r="F19" i="12" s="1"/>
  <c r="F63" i="12" a="1"/>
  <c r="F63" i="12" s="1"/>
  <c r="F100" i="12" a="1"/>
  <c r="F100" i="12" s="1"/>
  <c r="F6" i="12" a="1"/>
  <c r="F6" i="12" s="1"/>
  <c r="F64" i="12" a="1"/>
  <c r="F64" i="12" s="1"/>
  <c r="F89" i="12" a="1"/>
  <c r="F89" i="12" s="1"/>
  <c r="T5" i="12"/>
  <c r="V5" i="12" s="1"/>
  <c r="V17" i="3"/>
  <c r="E23" i="12" a="1"/>
  <c r="E23" i="12" s="1"/>
  <c r="E59" i="12" a="1"/>
  <c r="E59" i="12" s="1"/>
  <c r="E14" i="12" a="1"/>
  <c r="E14" i="12" s="1"/>
  <c r="H110" i="13" s="1" a="1"/>
  <c r="H110" i="13" s="1"/>
  <c r="E93" i="12" a="1"/>
  <c r="E93" i="12" s="1"/>
  <c r="E64" i="12" a="1"/>
  <c r="E64" i="12" s="1"/>
  <c r="E43" i="12" a="1"/>
  <c r="E43" i="12" s="1"/>
  <c r="E100" i="12" a="1"/>
  <c r="E100" i="12" s="1"/>
  <c r="E49" i="12" a="1"/>
  <c r="E49" i="12" s="1"/>
  <c r="E46" i="12" a="1"/>
  <c r="E46" i="12" s="1"/>
  <c r="E110" i="12" a="1"/>
  <c r="E110" i="12" s="1"/>
  <c r="E5" i="12" a="1"/>
  <c r="E5" i="12" s="1"/>
  <c r="H101" i="13" s="1" a="1"/>
  <c r="H101" i="13" s="1"/>
  <c r="E40" i="12" a="1"/>
  <c r="E40" i="12" s="1"/>
  <c r="E79" i="12" a="1"/>
  <c r="E79" i="12" s="1"/>
  <c r="E120" i="12" a="1"/>
  <c r="E120" i="12" s="1"/>
  <c r="E61" i="12" a="1"/>
  <c r="E61" i="12" s="1"/>
  <c r="E66" i="12" a="1"/>
  <c r="E66" i="12" s="1"/>
  <c r="E105" i="12" a="1"/>
  <c r="E105" i="12" s="1"/>
  <c r="F10" i="12" a="1"/>
  <c r="F10" i="12" s="1"/>
  <c r="F93" i="12" a="1"/>
  <c r="F93" i="12" s="1"/>
  <c r="F131" i="12" a="1"/>
  <c r="F131" i="12" s="1"/>
  <c r="F16" i="12" a="1"/>
  <c r="F16" i="12" s="1"/>
  <c r="F103" i="12" a="1"/>
  <c r="F103" i="12" s="1"/>
  <c r="F25" i="12" a="1"/>
  <c r="F25" i="12" s="1"/>
  <c r="F26" i="12" a="1"/>
  <c r="F26" i="12" s="1"/>
  <c r="F49" i="12" a="1"/>
  <c r="F49" i="12" s="1"/>
  <c r="F27" i="12" a="1"/>
  <c r="F27" i="12" s="1"/>
  <c r="F117" i="12" a="1"/>
  <c r="F117" i="12" s="1"/>
  <c r="F82" i="12" a="1"/>
  <c r="F82" i="12" s="1"/>
  <c r="F8" i="12" a="1"/>
  <c r="F8" i="12" s="1"/>
  <c r="F79" i="12" a="1"/>
  <c r="F79" i="12" s="1"/>
  <c r="F116" i="12" a="1"/>
  <c r="F116" i="12" s="1"/>
  <c r="F34" i="12" a="1"/>
  <c r="F34" i="12" s="1"/>
  <c r="F80" i="12" a="1"/>
  <c r="F80" i="12" s="1"/>
  <c r="F105" i="12" a="1"/>
  <c r="F105" i="12" s="1"/>
  <c r="E75" i="12" a="1"/>
  <c r="E75" i="12" s="1"/>
  <c r="E45" i="12" a="1"/>
  <c r="E45" i="12" s="1"/>
  <c r="E54" i="12" a="1"/>
  <c r="E54" i="12" s="1"/>
  <c r="E80" i="12" a="1"/>
  <c r="E80" i="12" s="1"/>
  <c r="E35" i="12" a="1"/>
  <c r="E35" i="12" s="1"/>
  <c r="E116" i="12" a="1"/>
  <c r="E116" i="12" s="1"/>
  <c r="E65" i="12" a="1"/>
  <c r="E65" i="12" s="1"/>
  <c r="E69" i="12" a="1"/>
  <c r="E69" i="12" s="1"/>
  <c r="E126" i="12" a="1"/>
  <c r="E126" i="12" s="1"/>
  <c r="E7" i="12" a="1"/>
  <c r="E7" i="12" s="1"/>
  <c r="H103" i="13" s="1" a="1"/>
  <c r="H103" i="13" s="1"/>
  <c r="E109" i="12" a="1"/>
  <c r="E109" i="12" s="1"/>
  <c r="E95" i="12" a="1"/>
  <c r="E95" i="12" s="1"/>
  <c r="E134" i="12" a="1"/>
  <c r="E134" i="12" s="1"/>
  <c r="E30" i="12" a="1"/>
  <c r="E30" i="12" s="1"/>
  <c r="E82" i="12" a="1"/>
  <c r="E82" i="12" s="1"/>
  <c r="E121" i="12" a="1"/>
  <c r="E121" i="12" s="1"/>
  <c r="T4" i="12"/>
  <c r="V4" i="12" s="1"/>
  <c r="F38" i="12" a="1"/>
  <c r="F38" i="12" s="1"/>
  <c r="F109" i="12" a="1"/>
  <c r="F109" i="12" s="1"/>
  <c r="F58" i="12" a="1"/>
  <c r="F58" i="12" s="1"/>
  <c r="F9" i="12" a="1"/>
  <c r="F9" i="12" s="1"/>
  <c r="F119" i="12" a="1"/>
  <c r="F119" i="12" s="1"/>
  <c r="F94" i="12" a="1"/>
  <c r="F94" i="12" s="1"/>
  <c r="F102" i="12" a="1"/>
  <c r="F102" i="12" s="1"/>
  <c r="F65" i="12" a="1"/>
  <c r="F65" i="12" s="1"/>
  <c r="F39" i="12" a="1"/>
  <c r="F39" i="12" s="1"/>
  <c r="F59" i="12" a="1"/>
  <c r="F59" i="12" s="1"/>
  <c r="F98" i="12" a="1"/>
  <c r="F98" i="12" s="1"/>
  <c r="F28" i="12" a="1"/>
  <c r="F28" i="12" s="1"/>
  <c r="F95" i="12" a="1"/>
  <c r="F95" i="12" s="1"/>
  <c r="F132" i="12" a="1"/>
  <c r="F132" i="12" s="1"/>
  <c r="F62" i="12" a="1"/>
  <c r="F62" i="12" s="1"/>
  <c r="F96" i="12" a="1"/>
  <c r="F96" i="12" s="1"/>
  <c r="F121" i="12" a="1"/>
  <c r="F121" i="12" s="1"/>
  <c r="M15" i="9"/>
  <c r="M15" i="8"/>
  <c r="E52" i="12" a="1"/>
  <c r="E52" i="12" s="1"/>
  <c r="E91" i="12" a="1"/>
  <c r="E91" i="12" s="1"/>
  <c r="E41" i="12" a="1"/>
  <c r="E41" i="12" s="1"/>
  <c r="E55" i="12" a="1"/>
  <c r="E55" i="12" s="1"/>
  <c r="E96" i="12" a="1"/>
  <c r="E96" i="12" s="1"/>
  <c r="E60" i="12" a="1"/>
  <c r="E60" i="12" s="1"/>
  <c r="E132" i="12" a="1"/>
  <c r="E132" i="12" s="1"/>
  <c r="E81" i="12" a="1"/>
  <c r="E81" i="12" s="1"/>
  <c r="E34" i="12" a="1"/>
  <c r="E34" i="12" s="1"/>
  <c r="E51" i="12" a="1"/>
  <c r="E51" i="12" s="1"/>
  <c r="E11" i="12" a="1"/>
  <c r="E11" i="12" s="1"/>
  <c r="H107" i="13" s="1" a="1"/>
  <c r="H107" i="13" s="1"/>
  <c r="E133" i="12" a="1"/>
  <c r="E133" i="12" s="1"/>
  <c r="E111" i="12" a="1"/>
  <c r="E111" i="12" s="1"/>
  <c r="E9" i="12" a="1"/>
  <c r="E9" i="12" s="1"/>
  <c r="H105" i="13" s="1" a="1"/>
  <c r="H105" i="13" s="1"/>
  <c r="F133" i="12" a="1"/>
  <c r="F133" i="12" s="1"/>
  <c r="F125" i="12" a="1"/>
  <c r="F125" i="12" s="1"/>
  <c r="F74" i="12" a="1"/>
  <c r="F74" i="12" s="1"/>
  <c r="F5" i="12" a="1"/>
  <c r="F5" i="12" s="1"/>
  <c r="F60" i="12" a="1"/>
  <c r="F60" i="12" s="1"/>
  <c r="F126" i="12" a="1"/>
  <c r="F126" i="12" s="1"/>
  <c r="F48" i="12" a="1"/>
  <c r="F48" i="12" s="1"/>
  <c r="F81" i="12" a="1"/>
  <c r="F81" i="12" s="1"/>
  <c r="F36" i="12" a="1"/>
  <c r="F36" i="12" s="1"/>
  <c r="F75" i="12" a="1"/>
  <c r="F75" i="12" s="1"/>
  <c r="F114" i="12" a="1"/>
  <c r="F114" i="12" s="1"/>
  <c r="F44" i="12" a="1"/>
  <c r="F44" i="12" s="1"/>
  <c r="F111" i="12" a="1"/>
  <c r="F111" i="12" s="1"/>
  <c r="F11" i="12" a="1"/>
  <c r="F11" i="12" s="1"/>
  <c r="F118" i="12" a="1"/>
  <c r="F118" i="12" s="1"/>
  <c r="BB5" i="2"/>
  <c r="V9" i="12" l="1"/>
  <c r="V11" i="12"/>
  <c r="V13" i="12"/>
  <c r="V8" i="12"/>
  <c r="V3" i="12"/>
  <c r="V10" i="12"/>
  <c r="Q15" i="9"/>
  <c r="I26" i="9" s="1"/>
  <c r="V12" i="12"/>
  <c r="Q15" i="8"/>
  <c r="I23" i="8" s="1"/>
  <c r="P63" i="9"/>
  <c r="H74" i="9" s="1"/>
  <c r="H13" i="13" a="1"/>
  <c r="H13" i="13" s="1"/>
  <c r="H97" i="13" a="1"/>
  <c r="H97" i="13" s="1"/>
  <c r="H49" i="13" a="1"/>
  <c r="H49" i="13" s="1"/>
  <c r="P99" i="8"/>
  <c r="P3" i="8"/>
  <c r="P111" i="8"/>
  <c r="P75" i="8"/>
  <c r="I89" i="13" a="1"/>
  <c r="I89" i="13" s="1"/>
  <c r="I41" i="13" a="1"/>
  <c r="I41" i="13" s="1"/>
  <c r="I5" i="13" a="1"/>
  <c r="I5" i="13" s="1"/>
  <c r="H98" i="13" a="1"/>
  <c r="H98" i="13" s="1"/>
  <c r="H50" i="13" a="1"/>
  <c r="H50" i="13" s="1"/>
  <c r="H14" i="13" a="1"/>
  <c r="H14" i="13" s="1"/>
  <c r="Q63" i="8"/>
  <c r="I92" i="13" a="1"/>
  <c r="I92" i="13" s="1"/>
  <c r="I44" i="13" a="1"/>
  <c r="I44" i="13" s="1"/>
  <c r="I8" i="13" a="1"/>
  <c r="I8" i="13" s="1"/>
  <c r="I88" i="13" a="1"/>
  <c r="I88" i="13" s="1"/>
  <c r="I40" i="13" a="1"/>
  <c r="I40" i="13" s="1"/>
  <c r="I4" i="13" a="1"/>
  <c r="I4" i="13" s="1"/>
  <c r="I90" i="13" a="1"/>
  <c r="I90" i="13" s="1"/>
  <c r="I42" i="13" a="1"/>
  <c r="I42" i="13" s="1"/>
  <c r="I6" i="13" a="1"/>
  <c r="I6" i="13" s="1"/>
  <c r="H73" i="9"/>
  <c r="L99" i="13"/>
  <c r="H91" i="13" a="1"/>
  <c r="H91" i="13" s="1"/>
  <c r="H43" i="13" a="1"/>
  <c r="H43" i="13" s="1"/>
  <c r="H7" i="13" a="1"/>
  <c r="H7" i="13" s="1"/>
  <c r="Q99" i="9"/>
  <c r="Q27" i="9"/>
  <c r="Q75" i="9"/>
  <c r="Q3" i="9"/>
  <c r="H96" i="13" a="1"/>
  <c r="H96" i="13" s="1"/>
  <c r="H48" i="13" a="1"/>
  <c r="H48" i="13" s="1"/>
  <c r="H12" i="13" a="1"/>
  <c r="H12" i="13" s="1"/>
  <c r="Q99" i="8"/>
  <c r="Q75" i="8"/>
  <c r="Q27" i="8"/>
  <c r="Q3" i="8"/>
  <c r="P15" i="9"/>
  <c r="I87" i="13" a="1"/>
  <c r="I87" i="13" s="1"/>
  <c r="I39" i="13" a="1"/>
  <c r="I39" i="13" s="1"/>
  <c r="I3" i="13" a="1"/>
  <c r="I3" i="13" s="1"/>
  <c r="I95" i="13" a="1"/>
  <c r="I95" i="13" s="1"/>
  <c r="I47" i="13" a="1"/>
  <c r="I47" i="13" s="1"/>
  <c r="I11" i="13" a="1"/>
  <c r="I11" i="13" s="1"/>
  <c r="H3" i="13" a="1"/>
  <c r="H3" i="13" s="1"/>
  <c r="H87" i="13" a="1"/>
  <c r="H87" i="13" s="1"/>
  <c r="H39" i="13" a="1"/>
  <c r="H39" i="13" s="1"/>
  <c r="Q63" i="9"/>
  <c r="H93" i="13" a="1"/>
  <c r="H93" i="13" s="1"/>
  <c r="H45" i="13" a="1"/>
  <c r="H45" i="13" s="1"/>
  <c r="H9" i="13" a="1"/>
  <c r="H9" i="13" s="1"/>
  <c r="H94" i="13" a="1"/>
  <c r="H94" i="13" s="1"/>
  <c r="H10" i="13" a="1"/>
  <c r="H10" i="13" s="1"/>
  <c r="H46" i="13" a="1"/>
  <c r="H46" i="13" s="1"/>
  <c r="P135" i="8"/>
  <c r="P111" i="9"/>
  <c r="P75" i="9"/>
  <c r="P3" i="9"/>
  <c r="P99" i="9"/>
  <c r="H88" i="13" a="1"/>
  <c r="H88" i="13" s="1"/>
  <c r="H4" i="13" a="1"/>
  <c r="H4" i="13" s="1"/>
  <c r="H40" i="13" a="1"/>
  <c r="H40" i="13" s="1"/>
  <c r="H90" i="13" a="1"/>
  <c r="H90" i="13" s="1"/>
  <c r="H6" i="13" a="1"/>
  <c r="H6" i="13" s="1"/>
  <c r="H42" i="13" a="1"/>
  <c r="H42" i="13" s="1"/>
  <c r="Q123" i="8"/>
  <c r="I96" i="13" a="1"/>
  <c r="I96" i="13" s="1"/>
  <c r="I12" i="13" a="1"/>
  <c r="I12" i="13" s="1"/>
  <c r="I48" i="13" a="1"/>
  <c r="I48" i="13" s="1"/>
  <c r="P15" i="8"/>
  <c r="H95" i="13" a="1"/>
  <c r="H95" i="13" s="1"/>
  <c r="H47" i="13" a="1"/>
  <c r="H47" i="13" s="1"/>
  <c r="H11" i="13" a="1"/>
  <c r="H11" i="13" s="1"/>
  <c r="P123" i="9"/>
  <c r="Q123" i="9"/>
  <c r="I98" i="13" a="1"/>
  <c r="I98" i="13" s="1"/>
  <c r="I50" i="13" a="1"/>
  <c r="I50" i="13" s="1"/>
  <c r="I14" i="13" a="1"/>
  <c r="I14" i="13" s="1"/>
  <c r="I7" i="13" a="1"/>
  <c r="I7" i="13" s="1"/>
  <c r="I43" i="13" a="1"/>
  <c r="I43" i="13" s="1"/>
  <c r="I91" i="13" a="1"/>
  <c r="I91" i="13" s="1"/>
  <c r="I94" i="13" a="1"/>
  <c r="I94" i="13" s="1"/>
  <c r="I46" i="13" a="1"/>
  <c r="I46" i="13" s="1"/>
  <c r="I10" i="13" a="1"/>
  <c r="I10" i="13" s="1"/>
  <c r="P63" i="8"/>
  <c r="I93" i="13" a="1"/>
  <c r="I93" i="13" s="1"/>
  <c r="I45" i="13" a="1"/>
  <c r="I45" i="13" s="1"/>
  <c r="I9" i="13" a="1"/>
  <c r="I9" i="13" s="1"/>
  <c r="H92" i="13" a="1"/>
  <c r="H92" i="13" s="1"/>
  <c r="H44" i="13" a="1"/>
  <c r="H44" i="13" s="1"/>
  <c r="H8" i="13" a="1"/>
  <c r="H8" i="13" s="1"/>
  <c r="I97" i="13" a="1"/>
  <c r="I97" i="13" s="1"/>
  <c r="I49" i="13" a="1"/>
  <c r="I49" i="13" s="1"/>
  <c r="I13" i="13" a="1"/>
  <c r="I13" i="13" s="1"/>
  <c r="P123" i="8"/>
  <c r="H5" i="13" a="1"/>
  <c r="H5" i="13" s="1"/>
  <c r="H41" i="13" a="1"/>
  <c r="H41" i="13" s="1"/>
  <c r="H89" i="13" a="1"/>
  <c r="H89" i="13" s="1"/>
  <c r="I18" i="9" l="1"/>
  <c r="I19" i="9"/>
  <c r="I15" i="9"/>
  <c r="T15" i="9" s="1"/>
  <c r="I20" i="9"/>
  <c r="I16" i="9"/>
  <c r="I22" i="9"/>
  <c r="I23" i="9"/>
  <c r="I24" i="9"/>
  <c r="I21" i="9"/>
  <c r="I17" i="9"/>
  <c r="I25" i="9"/>
  <c r="H65" i="9"/>
  <c r="H68" i="9"/>
  <c r="H70" i="9"/>
  <c r="H69" i="9"/>
  <c r="H67" i="9"/>
  <c r="H72" i="9"/>
  <c r="I22" i="8"/>
  <c r="H63" i="9"/>
  <c r="I25" i="8"/>
  <c r="I19" i="8"/>
  <c r="H64" i="9"/>
  <c r="H66" i="9"/>
  <c r="H71" i="9"/>
  <c r="I15" i="8"/>
  <c r="I20" i="8"/>
  <c r="I16" i="8"/>
  <c r="I21" i="8"/>
  <c r="I24" i="8"/>
  <c r="I17" i="8"/>
  <c r="I18" i="8"/>
  <c r="I26" i="8"/>
  <c r="I125" i="8"/>
  <c r="I129" i="8"/>
  <c r="I128" i="8"/>
  <c r="I132" i="8"/>
  <c r="I124" i="8"/>
  <c r="I131" i="8"/>
  <c r="I127" i="8"/>
  <c r="I126" i="8"/>
  <c r="I130" i="8"/>
  <c r="I133" i="8"/>
  <c r="I134" i="8"/>
  <c r="I123" i="8"/>
  <c r="H12" i="9"/>
  <c r="H5" i="9"/>
  <c r="H11" i="9"/>
  <c r="H8" i="9"/>
  <c r="H7" i="9"/>
  <c r="H6" i="9"/>
  <c r="H3" i="9"/>
  <c r="H13" i="9"/>
  <c r="H4" i="9"/>
  <c r="H9" i="9"/>
  <c r="H14" i="9"/>
  <c r="H10" i="9"/>
  <c r="I100" i="8"/>
  <c r="I108" i="8"/>
  <c r="I107" i="8"/>
  <c r="I99" i="8"/>
  <c r="I104" i="8"/>
  <c r="I101" i="8"/>
  <c r="I103" i="8"/>
  <c r="I110" i="8"/>
  <c r="I105" i="8"/>
  <c r="I106" i="8"/>
  <c r="I109" i="8"/>
  <c r="I102" i="8"/>
  <c r="I13" i="9"/>
  <c r="I14" i="9"/>
  <c r="I8" i="9"/>
  <c r="I11" i="9"/>
  <c r="I7" i="9"/>
  <c r="I6" i="9"/>
  <c r="I12" i="9"/>
  <c r="I10" i="9"/>
  <c r="I9" i="9"/>
  <c r="I5" i="9"/>
  <c r="I3" i="9"/>
  <c r="T3" i="9" s="1"/>
  <c r="I4" i="9"/>
  <c r="H102" i="8"/>
  <c r="H104" i="8"/>
  <c r="H108" i="8"/>
  <c r="H99" i="8"/>
  <c r="H101" i="8"/>
  <c r="H105" i="8"/>
  <c r="H100" i="8"/>
  <c r="H106" i="8"/>
  <c r="H110" i="8"/>
  <c r="H103" i="8"/>
  <c r="H107" i="8"/>
  <c r="H109" i="8"/>
  <c r="H126" i="8"/>
  <c r="H134" i="8"/>
  <c r="H129" i="8"/>
  <c r="H125" i="8"/>
  <c r="H127" i="8"/>
  <c r="H124" i="8"/>
  <c r="H133" i="8"/>
  <c r="H123" i="8"/>
  <c r="H131" i="8"/>
  <c r="H130" i="8"/>
  <c r="H128" i="8"/>
  <c r="H132" i="8"/>
  <c r="H86" i="9"/>
  <c r="H76" i="9"/>
  <c r="H79" i="9"/>
  <c r="H84" i="9"/>
  <c r="H75" i="9"/>
  <c r="H82" i="9"/>
  <c r="H85" i="9"/>
  <c r="H80" i="9"/>
  <c r="H81" i="9"/>
  <c r="H83" i="9"/>
  <c r="H77" i="9"/>
  <c r="H78" i="9"/>
  <c r="M3" i="13"/>
  <c r="I80" i="9"/>
  <c r="I83" i="9"/>
  <c r="I75" i="9"/>
  <c r="T75" i="9" s="1"/>
  <c r="I77" i="9"/>
  <c r="I76" i="9"/>
  <c r="I81" i="9"/>
  <c r="I78" i="9"/>
  <c r="I79" i="9"/>
  <c r="I84" i="9"/>
  <c r="I82" i="9"/>
  <c r="I85" i="9"/>
  <c r="I86" i="9"/>
  <c r="H114" i="9"/>
  <c r="H118" i="9"/>
  <c r="H116" i="9"/>
  <c r="H120" i="9"/>
  <c r="H112" i="9"/>
  <c r="H119" i="9"/>
  <c r="H121" i="9"/>
  <c r="H115" i="9"/>
  <c r="H113" i="9"/>
  <c r="H122" i="9"/>
  <c r="H117" i="9"/>
  <c r="H111" i="9"/>
  <c r="I69" i="9"/>
  <c r="I67" i="9"/>
  <c r="I72" i="9"/>
  <c r="I70" i="9"/>
  <c r="I63" i="9"/>
  <c r="T63" i="9" s="1"/>
  <c r="I68" i="9"/>
  <c r="I73" i="9"/>
  <c r="I74" i="9"/>
  <c r="I65" i="9"/>
  <c r="I66" i="9"/>
  <c r="I64" i="9"/>
  <c r="I71" i="9"/>
  <c r="M39" i="13"/>
  <c r="I30" i="9"/>
  <c r="I31" i="9"/>
  <c r="I38" i="9"/>
  <c r="I36" i="9"/>
  <c r="I37" i="9"/>
  <c r="I34" i="9"/>
  <c r="I29" i="9"/>
  <c r="I32" i="9"/>
  <c r="I27" i="9"/>
  <c r="T27" i="9" s="1"/>
  <c r="I28" i="9"/>
  <c r="I35" i="9"/>
  <c r="I33" i="9"/>
  <c r="H135" i="8"/>
  <c r="H137" i="8"/>
  <c r="H139" i="8"/>
  <c r="H146" i="8"/>
  <c r="H138" i="8"/>
  <c r="H141" i="8"/>
  <c r="H140" i="8"/>
  <c r="H143" i="8"/>
  <c r="H142" i="8"/>
  <c r="H145" i="8"/>
  <c r="H136" i="8"/>
  <c r="H144" i="8"/>
  <c r="L39" i="13"/>
  <c r="M87" i="13"/>
  <c r="I99" i="9"/>
  <c r="T99" i="9" s="1"/>
  <c r="I100" i="9"/>
  <c r="I103" i="9"/>
  <c r="I107" i="9"/>
  <c r="I106" i="9"/>
  <c r="I104" i="9"/>
  <c r="I110" i="9"/>
  <c r="I102" i="9"/>
  <c r="I101" i="9"/>
  <c r="I105" i="9"/>
  <c r="I108" i="9"/>
  <c r="I109" i="9"/>
  <c r="H64" i="8"/>
  <c r="H74" i="8"/>
  <c r="H70" i="8"/>
  <c r="H71" i="8"/>
  <c r="H65" i="8"/>
  <c r="H67" i="8"/>
  <c r="H68" i="8"/>
  <c r="H66" i="8"/>
  <c r="H72" i="8"/>
  <c r="H73" i="8"/>
  <c r="H63" i="8"/>
  <c r="H69" i="8"/>
  <c r="H24" i="8"/>
  <c r="H25" i="8"/>
  <c r="H21" i="8"/>
  <c r="H16" i="8"/>
  <c r="H23" i="8"/>
  <c r="H19" i="8"/>
  <c r="H26" i="8"/>
  <c r="H17" i="8"/>
  <c r="H20" i="8"/>
  <c r="H22" i="8"/>
  <c r="H15" i="8"/>
  <c r="H18" i="8"/>
  <c r="L87" i="13"/>
  <c r="H26" i="9"/>
  <c r="H16" i="9"/>
  <c r="H24" i="9"/>
  <c r="H15" i="9"/>
  <c r="H23" i="9"/>
  <c r="H22" i="9"/>
  <c r="H18" i="9"/>
  <c r="H25" i="9"/>
  <c r="H20" i="9"/>
  <c r="H21" i="9"/>
  <c r="H19" i="9"/>
  <c r="H17" i="9"/>
  <c r="L3" i="13"/>
  <c r="I7" i="8"/>
  <c r="I4" i="8"/>
  <c r="I3" i="8"/>
  <c r="I10" i="8"/>
  <c r="I11" i="8"/>
  <c r="I9" i="8"/>
  <c r="I5" i="8"/>
  <c r="I12" i="8"/>
  <c r="I14" i="8"/>
  <c r="I8" i="8"/>
  <c r="I13" i="8"/>
  <c r="I6" i="8"/>
  <c r="I74" i="8"/>
  <c r="I73" i="8"/>
  <c r="I68" i="8"/>
  <c r="I69" i="8"/>
  <c r="I70" i="8"/>
  <c r="I65" i="8"/>
  <c r="I71" i="8"/>
  <c r="I72" i="8"/>
  <c r="I63" i="8"/>
  <c r="I66" i="8"/>
  <c r="I67" i="8"/>
  <c r="I64" i="8"/>
  <c r="H83" i="8"/>
  <c r="H85" i="8"/>
  <c r="H86" i="8"/>
  <c r="H84" i="8"/>
  <c r="H76" i="8"/>
  <c r="H79" i="8"/>
  <c r="H80" i="8"/>
  <c r="H75" i="8"/>
  <c r="H82" i="8"/>
  <c r="H78" i="8"/>
  <c r="H77" i="8"/>
  <c r="H81" i="8"/>
  <c r="I131" i="9"/>
  <c r="I133" i="9"/>
  <c r="I126" i="9"/>
  <c r="I134" i="9"/>
  <c r="I128" i="9"/>
  <c r="I129" i="9"/>
  <c r="I123" i="9"/>
  <c r="T123" i="9" s="1"/>
  <c r="I125" i="9"/>
  <c r="I124" i="9"/>
  <c r="I132" i="9"/>
  <c r="I127" i="9"/>
  <c r="I130" i="9"/>
  <c r="I32" i="8"/>
  <c r="I36" i="8"/>
  <c r="I29" i="8"/>
  <c r="I33" i="8"/>
  <c r="I30" i="8"/>
  <c r="I37" i="8"/>
  <c r="I28" i="8"/>
  <c r="I27" i="8"/>
  <c r="I34" i="8"/>
  <c r="I38" i="8"/>
  <c r="I31" i="8"/>
  <c r="I35" i="8"/>
  <c r="H118" i="8"/>
  <c r="H113" i="8"/>
  <c r="H116" i="8"/>
  <c r="H114" i="8"/>
  <c r="H121" i="8"/>
  <c r="H112" i="8"/>
  <c r="H119" i="8"/>
  <c r="H117" i="8"/>
  <c r="H115" i="8"/>
  <c r="H111" i="8"/>
  <c r="H120" i="8"/>
  <c r="H122" i="8"/>
  <c r="H132" i="9"/>
  <c r="H129" i="9"/>
  <c r="H124" i="9"/>
  <c r="H125" i="9"/>
  <c r="H127" i="9"/>
  <c r="H134" i="9"/>
  <c r="H133" i="9"/>
  <c r="H123" i="9"/>
  <c r="H130" i="9"/>
  <c r="H126" i="9"/>
  <c r="H131" i="9"/>
  <c r="H128" i="9"/>
  <c r="H100" i="9"/>
  <c r="H104" i="9"/>
  <c r="H109" i="9"/>
  <c r="H102" i="9"/>
  <c r="H101" i="9"/>
  <c r="H108" i="9"/>
  <c r="H106" i="9"/>
  <c r="H110" i="9"/>
  <c r="H105" i="9"/>
  <c r="H99" i="9"/>
  <c r="H103" i="9"/>
  <c r="H107" i="9"/>
  <c r="I79" i="8"/>
  <c r="I86" i="8"/>
  <c r="I80" i="8"/>
  <c r="I77" i="8"/>
  <c r="I84" i="8"/>
  <c r="I85" i="8"/>
  <c r="I83" i="8"/>
  <c r="I75" i="8"/>
  <c r="I76" i="8"/>
  <c r="I78" i="8"/>
  <c r="I81" i="8"/>
  <c r="I82" i="8"/>
  <c r="H3" i="8"/>
  <c r="H6" i="8"/>
  <c r="H4" i="8"/>
  <c r="H14" i="8"/>
  <c r="H9" i="8"/>
  <c r="H10" i="8"/>
  <c r="H12" i="8"/>
  <c r="H8" i="8"/>
  <c r="H5" i="8"/>
  <c r="H7" i="8"/>
  <c r="H11" i="8"/>
  <c r="H13" i="8"/>
  <c r="S63" i="9" l="1"/>
  <c r="T15" i="8"/>
  <c r="W135" i="8"/>
  <c r="T75" i="8"/>
  <c r="S123" i="9"/>
  <c r="T27" i="8"/>
  <c r="S75" i="8"/>
  <c r="W75" i="8"/>
  <c r="S15" i="8"/>
  <c r="W15" i="8"/>
  <c r="S135" i="8"/>
  <c r="S99" i="9"/>
  <c r="S111" i="8"/>
  <c r="W111" i="8"/>
  <c r="S15" i="9"/>
  <c r="S111" i="9"/>
  <c r="S75" i="9"/>
  <c r="S3" i="8"/>
  <c r="W3" i="8"/>
  <c r="T63" i="8"/>
  <c r="S123" i="8"/>
  <c r="W123" i="8"/>
  <c r="S99" i="8"/>
  <c r="W99" i="8"/>
  <c r="T99" i="8"/>
  <c r="T123" i="8"/>
  <c r="S63" i="8"/>
  <c r="W63" i="8"/>
  <c r="S3" i="9"/>
  <c r="T3" i="8"/>
  <c r="W1" i="8" l="1"/>
  <c r="D50" i="7" s="1"/>
  <c r="D51" i="7" s="1"/>
  <c r="B32" i="7" l="1"/>
  <c r="Q87" i="6"/>
  <c r="V87" i="6" s="1"/>
  <c r="M87" i="6"/>
  <c r="C10" i="2"/>
  <c r="P10" i="2" s="1"/>
  <c r="B48" i="7" l="1"/>
  <c r="R61" i="2" a="1"/>
  <c r="R61" i="2" s="1"/>
  <c r="S22" i="2" a="1"/>
  <c r="S22" i="2" s="1"/>
  <c r="S14" i="2" a="1"/>
  <c r="S14" i="2" s="1"/>
  <c r="S11" i="2" a="1"/>
  <c r="S11" i="2" s="1"/>
  <c r="S28" i="2" a="1"/>
  <c r="S28" i="2" s="1"/>
  <c r="S24" i="2" a="1"/>
  <c r="S24" i="2" s="1"/>
  <c r="R6" i="2" a="1"/>
  <c r="R6" i="2" s="1"/>
  <c r="S37" i="2" a="1"/>
  <c r="S37" i="2" s="1"/>
  <c r="S34" i="2" a="1"/>
  <c r="S34" i="2" s="1"/>
  <c r="S47" i="2" a="1"/>
  <c r="S47" i="2" s="1"/>
  <c r="S15" i="2" a="1"/>
  <c r="S15" i="2" s="1"/>
  <c r="S60" i="2" a="1"/>
  <c r="S60" i="2" s="1"/>
  <c r="S7" i="2" a="1"/>
  <c r="S7" i="2" s="1"/>
  <c r="R19" i="2" a="1"/>
  <c r="R19" i="2" s="1"/>
  <c r="S42" i="2" a="1"/>
  <c r="S42" i="2" s="1"/>
  <c r="S17" i="2" a="1"/>
  <c r="S17" i="2" s="1"/>
  <c r="S3" i="2" a="1"/>
  <c r="S3" i="2" s="1"/>
  <c r="S48" i="2" a="1"/>
  <c r="S48" i="2" s="1"/>
  <c r="R11" i="2" a="1"/>
  <c r="R11" i="2" s="1"/>
  <c r="R13" i="2" a="1"/>
  <c r="R13" i="2" s="1"/>
  <c r="S29" i="2" a="1"/>
  <c r="S29" i="2" s="1"/>
  <c r="S45" i="2" a="1"/>
  <c r="S45" i="2" s="1"/>
  <c r="S59" i="2" a="1"/>
  <c r="S59" i="2" s="1"/>
  <c r="R23" i="2" a="1"/>
  <c r="R23" i="2" s="1"/>
  <c r="S41" i="2" a="1"/>
  <c r="S41" i="2" s="1"/>
  <c r="R57" i="2" a="1"/>
  <c r="R57" i="2" s="1"/>
  <c r="S9" i="2" a="1"/>
  <c r="S9" i="2" s="1"/>
  <c r="R18" i="2" a="1"/>
  <c r="R18" i="2" s="1"/>
  <c r="S40" i="2" a="1"/>
  <c r="S40" i="2" s="1"/>
  <c r="S31" i="2" a="1"/>
  <c r="S31" i="2" s="1"/>
  <c r="R14" i="2" a="1"/>
  <c r="R14" i="2" s="1"/>
  <c r="T14" i="2" s="1"/>
  <c r="U14" i="2" s="1"/>
  <c r="I10" i="2"/>
  <c r="J33" i="2" s="1" a="1"/>
  <c r="J33" i="2" s="1"/>
  <c r="B36" i="7"/>
  <c r="R32" i="2" a="1"/>
  <c r="R32" i="2" s="1"/>
  <c r="R33" i="2" a="1"/>
  <c r="R33" i="2" s="1"/>
  <c r="R26" i="2" a="1"/>
  <c r="R26" i="2" s="1"/>
  <c r="R31" i="2" a="1"/>
  <c r="R31" i="2" s="1"/>
  <c r="R51" i="2" a="1"/>
  <c r="R51" i="2" s="1"/>
  <c r="R59" i="2" a="1"/>
  <c r="R59" i="2" s="1"/>
  <c r="S56" i="2" a="1"/>
  <c r="S56" i="2" s="1"/>
  <c r="R5" i="2" a="1"/>
  <c r="R5" i="2" s="1"/>
  <c r="S16" i="2" a="1"/>
  <c r="S16" i="2" s="1"/>
  <c r="R35" i="2" a="1"/>
  <c r="R35" i="2" s="1"/>
  <c r="S21" i="2" a="1"/>
  <c r="S21" i="2" s="1"/>
  <c r="S39" i="2" a="1"/>
  <c r="S39" i="2" s="1"/>
  <c r="R48" i="2" a="1"/>
  <c r="R48" i="2" s="1"/>
  <c r="T48" i="2" s="1"/>
  <c r="V48" i="2" s="1"/>
  <c r="R40" i="2" a="1"/>
  <c r="R40" i="2" s="1"/>
  <c r="R50" i="2" a="1"/>
  <c r="R50" i="2" s="1"/>
  <c r="R10" i="2" a="1"/>
  <c r="R10" i="2" s="1"/>
  <c r="S53" i="2" a="1"/>
  <c r="S53" i="2" s="1"/>
  <c r="R25" i="2" a="1"/>
  <c r="R25" i="2" s="1"/>
  <c r="R20" i="2" a="1"/>
  <c r="R20" i="2" s="1"/>
  <c r="R30" i="2" a="1"/>
  <c r="R30" i="2" s="1"/>
  <c r="R17" i="2" a="1"/>
  <c r="R17" i="2" s="1"/>
  <c r="R9" i="2" a="1"/>
  <c r="R9" i="2" s="1"/>
  <c r="T9" i="2" s="1"/>
  <c r="V9" i="2" s="1"/>
  <c r="R37" i="2" a="1"/>
  <c r="R37" i="2" s="1"/>
  <c r="R34" i="2" a="1"/>
  <c r="R34" i="2" s="1"/>
  <c r="R41" i="2" a="1"/>
  <c r="R41" i="2" s="1"/>
  <c r="R58" i="2" a="1"/>
  <c r="R58" i="2" s="1"/>
  <c r="R39" i="2" a="1"/>
  <c r="R39" i="2" s="1"/>
  <c r="R16" i="2" a="1"/>
  <c r="R16" i="2" s="1"/>
  <c r="R3" i="2" a="1"/>
  <c r="R3" i="2" s="1"/>
  <c r="R4" i="2" a="1"/>
  <c r="R4" i="2" s="1"/>
  <c r="R60" i="2" a="1"/>
  <c r="R60" i="2" s="1"/>
  <c r="R7" i="2" a="1"/>
  <c r="R7" i="2" s="1"/>
  <c r="T7" i="2" s="1"/>
  <c r="V7" i="2" s="1"/>
  <c r="R29" i="2" a="1"/>
  <c r="R29" i="2" s="1"/>
  <c r="R27" i="2" a="1"/>
  <c r="R27" i="2" s="1"/>
  <c r="R15" i="2" a="1"/>
  <c r="R15" i="2" s="1"/>
  <c r="T15" i="2" s="1"/>
  <c r="V15" i="2" s="1"/>
  <c r="S38" i="2" a="1"/>
  <c r="S38" i="2" s="1"/>
  <c r="R42" i="2" a="1"/>
  <c r="R42" i="2" s="1"/>
  <c r="S12" i="2" a="1"/>
  <c r="S12" i="2" s="1"/>
  <c r="S36" i="2" a="1"/>
  <c r="S36" i="2" s="1"/>
  <c r="S35" i="2" a="1"/>
  <c r="S35" i="2" s="1"/>
  <c r="R22" i="2" a="1"/>
  <c r="R22" i="2" s="1"/>
  <c r="S5" i="2" a="1"/>
  <c r="S5" i="2" s="1"/>
  <c r="R53" i="2" a="1"/>
  <c r="R53" i="2" s="1"/>
  <c r="R44" i="2" a="1"/>
  <c r="R44" i="2" s="1"/>
  <c r="S49" i="2" a="1"/>
  <c r="S49" i="2" s="1"/>
  <c r="S43" i="2" a="1"/>
  <c r="S43" i="2" s="1"/>
  <c r="S26" i="2" a="1"/>
  <c r="S26" i="2" s="1"/>
  <c r="R38" i="2" a="1"/>
  <c r="R38" i="2" s="1"/>
  <c r="S51" i="2" a="1"/>
  <c r="S51" i="2" s="1"/>
  <c r="R36" i="2" a="1"/>
  <c r="R36" i="2" s="1"/>
  <c r="S55" i="2" a="1"/>
  <c r="S55" i="2" s="1"/>
  <c r="R49" i="2" a="1"/>
  <c r="R49" i="2" s="1"/>
  <c r="S20" i="2" a="1"/>
  <c r="S20" i="2" s="1"/>
  <c r="S50" i="2" a="1"/>
  <c r="S50" i="2" s="1"/>
  <c r="S54" i="2" a="1"/>
  <c r="S54" i="2" s="1"/>
  <c r="S8" i="2" a="1"/>
  <c r="S8" i="2" s="1"/>
  <c r="S4" i="2" a="1"/>
  <c r="S4" i="2" s="1"/>
  <c r="R56" i="2" a="1"/>
  <c r="R56" i="2" s="1"/>
  <c r="T41" i="2"/>
  <c r="V41" i="2" s="1"/>
  <c r="R54" i="2" a="1"/>
  <c r="R54" i="2" s="1"/>
  <c r="S6" i="2" a="1"/>
  <c r="S6" i="2" s="1"/>
  <c r="R8" i="2" a="1"/>
  <c r="R8" i="2" s="1"/>
  <c r="S25" i="2" a="1"/>
  <c r="S25" i="2" s="1"/>
  <c r="S23" i="2" a="1"/>
  <c r="S23" i="2" s="1"/>
  <c r="R21" i="2" a="1"/>
  <c r="R21" i="2" s="1"/>
  <c r="S19" i="2" a="1"/>
  <c r="S19" i="2" s="1"/>
  <c r="R43" i="2" a="1"/>
  <c r="R43" i="2" s="1"/>
  <c r="R52" i="2" a="1"/>
  <c r="R52" i="2" s="1"/>
  <c r="S57" i="2" a="1"/>
  <c r="S57" i="2" s="1"/>
  <c r="R45" i="2" a="1"/>
  <c r="R45" i="2" s="1"/>
  <c r="S58" i="2" a="1"/>
  <c r="S58" i="2" s="1"/>
  <c r="S10" i="2" a="1"/>
  <c r="S10" i="2" s="1"/>
  <c r="S46" i="2" a="1"/>
  <c r="S46" i="2" s="1"/>
  <c r="R47" i="2" a="1"/>
  <c r="R47" i="2" s="1"/>
  <c r="T47" i="2" s="1"/>
  <c r="V47" i="2" s="1"/>
  <c r="S52" i="2" a="1"/>
  <c r="S52" i="2" s="1"/>
  <c r="S27" i="2" a="1"/>
  <c r="S27" i="2" s="1"/>
  <c r="S30" i="2" a="1"/>
  <c r="S30" i="2" s="1"/>
  <c r="R28" i="2" a="1"/>
  <c r="R28" i="2" s="1"/>
  <c r="R24" i="2" a="1"/>
  <c r="R24" i="2" s="1"/>
  <c r="R46" i="2" a="1"/>
  <c r="R46" i="2" s="1"/>
  <c r="S32" i="2" a="1"/>
  <c r="S32" i="2" s="1"/>
  <c r="S18" i="2" a="1"/>
  <c r="S18" i="2" s="1"/>
  <c r="S13" i="2" a="1"/>
  <c r="S13" i="2" s="1"/>
  <c r="S44" i="2" a="1"/>
  <c r="S44" i="2" s="1"/>
  <c r="S33" i="2" a="1"/>
  <c r="S33" i="2" s="1"/>
  <c r="S61" i="2" a="1"/>
  <c r="S61" i="2" s="1"/>
  <c r="R12" i="2" a="1"/>
  <c r="R12" i="2" s="1"/>
  <c r="R55" i="2" a="1"/>
  <c r="R55" i="2" s="1"/>
  <c r="T59" i="2" l="1"/>
  <c r="V59" i="2" s="1"/>
  <c r="T42" i="2"/>
  <c r="V42" i="2" s="1"/>
  <c r="T17" i="2"/>
  <c r="V17" i="2" s="1"/>
  <c r="T37" i="2"/>
  <c r="V37" i="2" s="1"/>
  <c r="T31" i="2"/>
  <c r="V31" i="2" s="1"/>
  <c r="T11" i="2"/>
  <c r="V11" i="2" s="1"/>
  <c r="K33" i="2" a="1"/>
  <c r="K33" i="2" s="1"/>
  <c r="L33" i="2" s="1"/>
  <c r="J56" i="2" a="1"/>
  <c r="J56" i="2" s="1"/>
  <c r="J10" i="2" a="1"/>
  <c r="J10" i="2" s="1"/>
  <c r="K56" i="2" a="1"/>
  <c r="K56" i="2" s="1"/>
  <c r="J34" i="2" a="1"/>
  <c r="J34" i="2" s="1"/>
  <c r="K10" i="2" a="1"/>
  <c r="K10" i="2" s="1"/>
  <c r="J12" i="2" a="1"/>
  <c r="J12" i="2" s="1"/>
  <c r="K12" i="2" a="1"/>
  <c r="K12" i="2" s="1"/>
  <c r="K34" i="2" a="1"/>
  <c r="K34" i="2" s="1"/>
  <c r="T44" i="2"/>
  <c r="V44" i="2" s="1"/>
  <c r="T10" i="2"/>
  <c r="U10" i="2" s="1"/>
  <c r="T6" i="2"/>
  <c r="U6" i="2" s="1"/>
  <c r="T26" i="2"/>
  <c r="V26" i="2" s="1"/>
  <c r="T61" i="2"/>
  <c r="U61" i="2" s="1"/>
  <c r="T58" i="2"/>
  <c r="V58" i="2" s="1"/>
  <c r="T4" i="2"/>
  <c r="V4" i="2" s="1"/>
  <c r="T43" i="2"/>
  <c r="V43" i="2" s="1"/>
  <c r="T35" i="2"/>
  <c r="U35" i="2" s="1"/>
  <c r="U41" i="2"/>
  <c r="W41" i="2" s="1"/>
  <c r="X41" i="2" s="1"/>
  <c r="T53" i="2"/>
  <c r="V53" i="2" s="1"/>
  <c r="T16" i="2"/>
  <c r="V16" i="2" s="1"/>
  <c r="T29" i="2"/>
  <c r="V29" i="2" s="1"/>
  <c r="T22" i="2"/>
  <c r="V22" i="2" s="1"/>
  <c r="T18" i="2"/>
  <c r="U18" i="2" s="1"/>
  <c r="T24" i="2"/>
  <c r="V24" i="2" s="1"/>
  <c r="T8" i="2"/>
  <c r="V8" i="2" s="1"/>
  <c r="T49" i="2"/>
  <c r="V49" i="2" s="1"/>
  <c r="T36" i="2"/>
  <c r="V36" i="2" s="1"/>
  <c r="U7" i="2"/>
  <c r="W7" i="2" s="1"/>
  <c r="X7" i="2" s="1"/>
  <c r="F51" i="9"/>
  <c r="R51" i="9" s="1"/>
  <c r="F99" i="9"/>
  <c r="R99" i="9" s="1"/>
  <c r="U99" i="9" s="1"/>
  <c r="F111" i="9"/>
  <c r="R111" i="9" s="1"/>
  <c r="F27" i="9"/>
  <c r="R27" i="9" s="1"/>
  <c r="F75" i="9"/>
  <c r="R75" i="9" s="1"/>
  <c r="U75" i="9" s="1"/>
  <c r="T13" i="2"/>
  <c r="U13" i="2" s="1"/>
  <c r="T30" i="2"/>
  <c r="V30" i="2" s="1"/>
  <c r="T57" i="2"/>
  <c r="U57" i="2" s="1"/>
  <c r="T19" i="2"/>
  <c r="U19" i="2" s="1"/>
  <c r="T54" i="2"/>
  <c r="V54" i="2" s="1"/>
  <c r="T12" i="2"/>
  <c r="V12" i="2" s="1"/>
  <c r="T56" i="2"/>
  <c r="U56" i="2" s="1"/>
  <c r="T34" i="2"/>
  <c r="V34" i="2" s="1"/>
  <c r="T32" i="2"/>
  <c r="U32" i="2" s="1"/>
  <c r="T27" i="2"/>
  <c r="U27" i="2" s="1"/>
  <c r="T45" i="2"/>
  <c r="V45" i="2" s="1"/>
  <c r="T50" i="2"/>
  <c r="U50" i="2" s="1"/>
  <c r="T55" i="2"/>
  <c r="V55" i="2" s="1"/>
  <c r="U9" i="2"/>
  <c r="W9" i="2" s="1"/>
  <c r="X9" i="2" s="1"/>
  <c r="T60" i="2"/>
  <c r="V60" i="2" s="1"/>
  <c r="T52" i="2"/>
  <c r="U52" i="2" s="1"/>
  <c r="T23" i="2"/>
  <c r="U23" i="2" s="1"/>
  <c r="T38" i="2"/>
  <c r="V38" i="2" s="1"/>
  <c r="U48" i="2"/>
  <c r="W48" i="2" s="1"/>
  <c r="X48" i="2" s="1"/>
  <c r="T40" i="2"/>
  <c r="V40" i="2" s="1"/>
  <c r="U47" i="2"/>
  <c r="W47" i="2" s="1"/>
  <c r="X47" i="2" s="1"/>
  <c r="T25" i="2"/>
  <c r="V25" i="2" s="1"/>
  <c r="T20" i="2"/>
  <c r="V20" i="2" s="1"/>
  <c r="T51" i="2"/>
  <c r="U51" i="2" s="1"/>
  <c r="T3" i="2"/>
  <c r="V3" i="2" s="1"/>
  <c r="T39" i="2"/>
  <c r="V39" i="2" s="1"/>
  <c r="T28" i="2"/>
  <c r="V28" i="2" s="1"/>
  <c r="T33" i="2"/>
  <c r="U33" i="2" s="1"/>
  <c r="T46" i="2"/>
  <c r="V46" i="2" s="1"/>
  <c r="T5" i="2"/>
  <c r="V5" i="2" s="1"/>
  <c r="U15" i="2"/>
  <c r="W15" i="2" s="1"/>
  <c r="X15" i="2" s="1"/>
  <c r="T21" i="2"/>
  <c r="V21" i="2" s="1"/>
  <c r="V14" i="2"/>
  <c r="W14" i="2" s="1"/>
  <c r="X14" i="2" s="1"/>
  <c r="U59" i="2" l="1"/>
  <c r="W59" i="2" s="1"/>
  <c r="X59" i="2" s="1"/>
  <c r="U42" i="2"/>
  <c r="W42" i="2" s="1"/>
  <c r="X42" i="2" s="1"/>
  <c r="Z501" i="6" s="1"/>
  <c r="U37" i="2"/>
  <c r="W37" i="2" s="1"/>
  <c r="X37" i="2" s="1"/>
  <c r="U31" i="2"/>
  <c r="W31" i="2" s="1"/>
  <c r="X31" i="2" s="1"/>
  <c r="Z365" i="6" s="1"/>
  <c r="U17" i="2"/>
  <c r="W17" i="2" s="1"/>
  <c r="X17" i="2" s="1"/>
  <c r="Z174" i="6" s="1"/>
  <c r="U8" i="2"/>
  <c r="W8" i="2" s="1"/>
  <c r="X8" i="2" s="1"/>
  <c r="U30" i="2"/>
  <c r="W30" i="2" s="1"/>
  <c r="X30" i="2" s="1"/>
  <c r="U26" i="2"/>
  <c r="W26" i="2" s="1"/>
  <c r="X26" i="2" s="1"/>
  <c r="U49" i="2"/>
  <c r="W49" i="2" s="1"/>
  <c r="X49" i="2" s="1"/>
  <c r="U16" i="2"/>
  <c r="W16" i="2" s="1"/>
  <c r="X16" i="2" s="1"/>
  <c r="Z160" i="6" s="1"/>
  <c r="L34" i="2"/>
  <c r="N34" i="2" s="1"/>
  <c r="V50" i="2"/>
  <c r="W50" i="2" s="1"/>
  <c r="X50" i="2" s="1"/>
  <c r="U44" i="2"/>
  <c r="W44" i="2" s="1"/>
  <c r="X44" i="2" s="1"/>
  <c r="U21" i="2"/>
  <c r="W21" i="2" s="1"/>
  <c r="X21" i="2" s="1"/>
  <c r="U24" i="2"/>
  <c r="W24" i="2" s="1"/>
  <c r="X24" i="2" s="1"/>
  <c r="L12" i="2"/>
  <c r="N12" i="2" s="1"/>
  <c r="U20" i="2"/>
  <c r="W20" i="2" s="1"/>
  <c r="X20" i="2" s="1"/>
  <c r="U3" i="2"/>
  <c r="W3" i="2" s="1"/>
  <c r="X3" i="2" s="1"/>
  <c r="V10" i="2"/>
  <c r="W10" i="2" s="1"/>
  <c r="X10" i="2" s="1"/>
  <c r="V35" i="2"/>
  <c r="W35" i="2" s="1"/>
  <c r="X35" i="2" s="1"/>
  <c r="V32" i="2"/>
  <c r="W32" i="2" s="1"/>
  <c r="X32" i="2" s="1"/>
  <c r="V56" i="2"/>
  <c r="W56" i="2" s="1"/>
  <c r="X56" i="2" s="1"/>
  <c r="U12" i="2"/>
  <c r="W12" i="2" s="1"/>
  <c r="X12" i="2" s="1"/>
  <c r="N33" i="2"/>
  <c r="M33" i="2"/>
  <c r="V51" i="2"/>
  <c r="W51" i="2" s="1"/>
  <c r="U36" i="2"/>
  <c r="W36" i="2" s="1"/>
  <c r="X36" i="2" s="1"/>
  <c r="U58" i="2"/>
  <c r="W58" i="2" s="1"/>
  <c r="X58" i="2" s="1"/>
  <c r="U43" i="2"/>
  <c r="W43" i="2" s="1"/>
  <c r="X43" i="2" s="1"/>
  <c r="U11" i="2"/>
  <c r="W11" i="2" s="1"/>
  <c r="X11" i="2" s="1"/>
  <c r="U4" i="2"/>
  <c r="W4" i="2" s="1"/>
  <c r="X4" i="2" s="1"/>
  <c r="V19" i="2"/>
  <c r="W19" i="2" s="1"/>
  <c r="X19" i="2" s="1"/>
  <c r="Z204" i="6" s="1"/>
  <c r="V61" i="2"/>
  <c r="W61" i="2" s="1"/>
  <c r="X61" i="2" s="1"/>
  <c r="Z598" i="6" s="1"/>
  <c r="L10" i="2"/>
  <c r="M10" i="2" s="1"/>
  <c r="U60" i="2"/>
  <c r="V57" i="2"/>
  <c r="W57" i="2" s="1"/>
  <c r="X57" i="2" s="1"/>
  <c r="Z715" i="6" s="1"/>
  <c r="L56" i="2"/>
  <c r="Z149" i="6"/>
  <c r="Z147" i="6"/>
  <c r="Z152" i="6"/>
  <c r="Z148" i="6"/>
  <c r="Z158" i="6"/>
  <c r="Z150" i="6"/>
  <c r="Z156" i="6"/>
  <c r="Z151" i="6"/>
  <c r="Z157" i="6"/>
  <c r="Z154" i="6"/>
  <c r="Z155" i="6"/>
  <c r="Z153" i="6"/>
  <c r="Z85" i="6"/>
  <c r="Z75" i="6"/>
  <c r="Z83" i="6"/>
  <c r="Z81" i="6"/>
  <c r="Z76" i="6"/>
  <c r="Z78" i="6"/>
  <c r="Z82" i="6"/>
  <c r="Z86" i="6"/>
  <c r="Z79" i="6"/>
  <c r="Z77" i="6"/>
  <c r="Z80" i="6"/>
  <c r="Z84" i="6"/>
  <c r="Z368" i="6"/>
  <c r="Z584" i="6"/>
  <c r="Z582" i="6"/>
  <c r="Z587" i="6"/>
  <c r="Z581" i="6"/>
  <c r="Z589" i="6"/>
  <c r="Z586" i="6"/>
  <c r="Z588" i="6"/>
  <c r="Z585" i="6"/>
  <c r="Z590" i="6"/>
  <c r="Z579" i="6"/>
  <c r="Z580" i="6"/>
  <c r="Z583" i="6"/>
  <c r="Z56" i="6"/>
  <c r="Z53" i="6"/>
  <c r="Z55" i="6"/>
  <c r="Z54" i="6"/>
  <c r="Z61" i="6"/>
  <c r="Z51" i="6"/>
  <c r="Z57" i="6"/>
  <c r="Z62" i="6"/>
  <c r="Z59" i="6"/>
  <c r="Z52" i="6"/>
  <c r="Z58" i="6"/>
  <c r="Z60" i="6"/>
  <c r="Z577" i="6"/>
  <c r="Z570" i="6"/>
  <c r="Z576" i="6"/>
  <c r="Z578" i="6"/>
  <c r="Z567" i="6"/>
  <c r="Z573" i="6"/>
  <c r="Z571" i="6"/>
  <c r="Z569" i="6"/>
  <c r="Z574" i="6"/>
  <c r="Z572" i="6"/>
  <c r="Z568" i="6"/>
  <c r="Z575" i="6"/>
  <c r="Z499" i="6"/>
  <c r="Z505" i="6"/>
  <c r="Z504" i="6"/>
  <c r="Z500" i="6"/>
  <c r="Z498" i="6"/>
  <c r="Z502" i="6"/>
  <c r="Z506" i="6"/>
  <c r="Z503" i="6"/>
  <c r="Z496" i="6"/>
  <c r="Z497" i="6"/>
  <c r="Z483" i="6"/>
  <c r="Z490" i="6"/>
  <c r="Z484" i="6"/>
  <c r="Z486" i="6"/>
  <c r="Z491" i="6"/>
  <c r="Z494" i="6"/>
  <c r="Z492" i="6"/>
  <c r="Z487" i="6"/>
  <c r="Z488" i="6"/>
  <c r="Z493" i="6"/>
  <c r="Z485" i="6"/>
  <c r="Z489" i="6"/>
  <c r="U38" i="2"/>
  <c r="W38" i="2" s="1"/>
  <c r="X38" i="2" s="1"/>
  <c r="V33" i="2"/>
  <c r="W33" i="2" s="1"/>
  <c r="X33" i="2" s="1"/>
  <c r="U53" i="2"/>
  <c r="W53" i="2" s="1"/>
  <c r="X53" i="2" s="1"/>
  <c r="U55" i="2"/>
  <c r="W55" i="2" s="1"/>
  <c r="X55" i="2" s="1"/>
  <c r="U46" i="2"/>
  <c r="W46" i="2" s="1"/>
  <c r="X46" i="2" s="1"/>
  <c r="W60" i="2"/>
  <c r="X60" i="2" s="1"/>
  <c r="U34" i="2"/>
  <c r="W34" i="2" s="1"/>
  <c r="X34" i="2" s="1"/>
  <c r="U22" i="2"/>
  <c r="W22" i="2" s="1"/>
  <c r="X22" i="2" s="1"/>
  <c r="U45" i="2"/>
  <c r="W45" i="2" s="1"/>
  <c r="X45" i="2" s="1"/>
  <c r="V27" i="2"/>
  <c r="W27" i="2" s="1"/>
  <c r="X27" i="2" s="1"/>
  <c r="U28" i="2"/>
  <c r="W28" i="2" s="1"/>
  <c r="X28" i="2" s="1"/>
  <c r="U40" i="2"/>
  <c r="W40" i="2" s="1"/>
  <c r="X40" i="2" s="1"/>
  <c r="U39" i="2"/>
  <c r="W39" i="2" s="1"/>
  <c r="X39" i="2" s="1"/>
  <c r="V23" i="2"/>
  <c r="W23" i="2" s="1"/>
  <c r="X23" i="2" s="1"/>
  <c r="Z717" i="6"/>
  <c r="Z722" i="6"/>
  <c r="Z719" i="6"/>
  <c r="Z716" i="6"/>
  <c r="Z713" i="6"/>
  <c r="Z712" i="6"/>
  <c r="V18" i="2"/>
  <c r="W18" i="2" s="1"/>
  <c r="X18" i="2" s="1"/>
  <c r="V52" i="2"/>
  <c r="W52" i="2" s="1"/>
  <c r="X52" i="2" s="1"/>
  <c r="U25" i="2"/>
  <c r="W25" i="2" s="1"/>
  <c r="X25" i="2" s="1"/>
  <c r="V6" i="2"/>
  <c r="W6" i="2" s="1"/>
  <c r="X6" i="2" s="1"/>
  <c r="Z382" i="6"/>
  <c r="Z377" i="6"/>
  <c r="Z381" i="6"/>
  <c r="Z384" i="6"/>
  <c r="Z380" i="6"/>
  <c r="Z385" i="6"/>
  <c r="Z379" i="6"/>
  <c r="Z386" i="6"/>
  <c r="Z375" i="6"/>
  <c r="Z378" i="6"/>
  <c r="Z383" i="6"/>
  <c r="Z376" i="6"/>
  <c r="Z144" i="6"/>
  <c r="Z137" i="6"/>
  <c r="Z140" i="6"/>
  <c r="Z138" i="6"/>
  <c r="Z135" i="6"/>
  <c r="Z143" i="6"/>
  <c r="Z141" i="6"/>
  <c r="Z139" i="6"/>
  <c r="Z136" i="6"/>
  <c r="Z145" i="6"/>
  <c r="Z142" i="6"/>
  <c r="Z146" i="6"/>
  <c r="U5" i="2"/>
  <c r="W5" i="2" s="1"/>
  <c r="X5" i="2" s="1"/>
  <c r="U54" i="2"/>
  <c r="W54" i="2" s="1"/>
  <c r="X54" i="2" s="1"/>
  <c r="V13" i="2"/>
  <c r="W13" i="2" s="1"/>
  <c r="X13" i="2" s="1"/>
  <c r="U29" i="2"/>
  <c r="W29" i="2" s="1"/>
  <c r="X29" i="2" s="1"/>
  <c r="Z251" i="6" l="1"/>
  <c r="Z254" i="6"/>
  <c r="Z245" i="6"/>
  <c r="Z247" i="6"/>
  <c r="Z250" i="6"/>
  <c r="Z248" i="6"/>
  <c r="Z246" i="6"/>
  <c r="Z252" i="6"/>
  <c r="Z243" i="6"/>
  <c r="Z244" i="6"/>
  <c r="Z249" i="6"/>
  <c r="Z253" i="6"/>
  <c r="Z196" i="6"/>
  <c r="Z197" i="6"/>
  <c r="Z711" i="6"/>
  <c r="Z714" i="6"/>
  <c r="Z182" i="6"/>
  <c r="Z178" i="6"/>
  <c r="Z180" i="6"/>
  <c r="Z371" i="6"/>
  <c r="Z720" i="6"/>
  <c r="Z495" i="6"/>
  <c r="Z176" i="6"/>
  <c r="Z718" i="6"/>
  <c r="Z373" i="6"/>
  <c r="Z172" i="6"/>
  <c r="Z173" i="6"/>
  <c r="Z181" i="6"/>
  <c r="Z179" i="6"/>
  <c r="Z600" i="6"/>
  <c r="Z597" i="6"/>
  <c r="Z438" i="6"/>
  <c r="Z442" i="6"/>
  <c r="Z436" i="6"/>
  <c r="Z446" i="6"/>
  <c r="Z721" i="6"/>
  <c r="Z175" i="6"/>
  <c r="Z364" i="6"/>
  <c r="Z171" i="6"/>
  <c r="Z370" i="6"/>
  <c r="Z66" i="6"/>
  <c r="Z65" i="6"/>
  <c r="Z366" i="6"/>
  <c r="Z367" i="6"/>
  <c r="Z363" i="6"/>
  <c r="Z177" i="6"/>
  <c r="Z369" i="6"/>
  <c r="Z372" i="6"/>
  <c r="Z374" i="6"/>
  <c r="Z594" i="6"/>
  <c r="Z596" i="6"/>
  <c r="Z591" i="6"/>
  <c r="Z602" i="6"/>
  <c r="Z599" i="6"/>
  <c r="Z593" i="6"/>
  <c r="Z595" i="6"/>
  <c r="Z601" i="6"/>
  <c r="Z592" i="6"/>
  <c r="Z440" i="6"/>
  <c r="Z443" i="6"/>
  <c r="Z439" i="6"/>
  <c r="Z445" i="6"/>
  <c r="Z437" i="6"/>
  <c r="Z444" i="6"/>
  <c r="Z435" i="6"/>
  <c r="Z441" i="6"/>
  <c r="Z612" i="6"/>
  <c r="Z603" i="6"/>
  <c r="Z71" i="6"/>
  <c r="Z72" i="6"/>
  <c r="Z73" i="6"/>
  <c r="Z69" i="6"/>
  <c r="Z70" i="6"/>
  <c r="Z68" i="6"/>
  <c r="Z64" i="6"/>
  <c r="Z63" i="6"/>
  <c r="Z67" i="6"/>
  <c r="Z74" i="6"/>
  <c r="Z306" i="6"/>
  <c r="Z313" i="6"/>
  <c r="Z308" i="6"/>
  <c r="Z305" i="6"/>
  <c r="Z312" i="6"/>
  <c r="Z314" i="6"/>
  <c r="Z310" i="6"/>
  <c r="Z311" i="6"/>
  <c r="Z303" i="6"/>
  <c r="Z307" i="6"/>
  <c r="Z304" i="6"/>
  <c r="Z309" i="6"/>
  <c r="Z201" i="6"/>
  <c r="Z195" i="6"/>
  <c r="Z198" i="6"/>
  <c r="Z203" i="6"/>
  <c r="Z205" i="6"/>
  <c r="Z200" i="6"/>
  <c r="R73" i="2"/>
  <c r="Z202" i="6"/>
  <c r="Z199" i="6"/>
  <c r="Z206" i="6"/>
  <c r="M34" i="2"/>
  <c r="O34" i="2" s="1"/>
  <c r="Z547" i="6"/>
  <c r="Z553" i="6"/>
  <c r="Z546" i="6"/>
  <c r="Z550" i="6"/>
  <c r="Z543" i="6"/>
  <c r="Z549" i="6"/>
  <c r="Z552" i="6"/>
  <c r="Z551" i="6"/>
  <c r="Z545" i="6"/>
  <c r="Z548" i="6"/>
  <c r="Z544" i="6"/>
  <c r="Z554" i="6"/>
  <c r="Z159" i="6"/>
  <c r="Z165" i="6"/>
  <c r="Z93" i="6"/>
  <c r="Z88" i="6"/>
  <c r="Z97" i="6"/>
  <c r="Z89" i="6"/>
  <c r="Z95" i="6"/>
  <c r="Z96" i="6"/>
  <c r="Z92" i="6"/>
  <c r="Z90" i="6"/>
  <c r="Z94" i="6"/>
  <c r="Z87" i="6"/>
  <c r="Z91" i="6"/>
  <c r="Z98" i="6"/>
  <c r="Z217" i="6"/>
  <c r="Z216" i="6"/>
  <c r="Z209" i="6"/>
  <c r="Z215" i="6"/>
  <c r="Z214" i="6"/>
  <c r="Z208" i="6"/>
  <c r="Z211" i="6"/>
  <c r="Z212" i="6"/>
  <c r="Z210" i="6"/>
  <c r="Z213" i="6"/>
  <c r="R69" i="2"/>
  <c r="H7" i="3" s="1"/>
  <c r="Z207" i="6"/>
  <c r="Z218" i="6"/>
  <c r="Z519" i="6"/>
  <c r="Z525" i="6"/>
  <c r="Z529" i="6"/>
  <c r="Z522" i="6"/>
  <c r="Z530" i="6"/>
  <c r="Z528" i="6"/>
  <c r="Z526" i="6"/>
  <c r="Z527" i="6"/>
  <c r="Z520" i="6"/>
  <c r="Z521" i="6"/>
  <c r="Z523" i="6"/>
  <c r="Z524" i="6"/>
  <c r="Z228" i="6"/>
  <c r="Z229" i="6"/>
  <c r="Z219" i="6"/>
  <c r="Z221" i="6"/>
  <c r="Z225" i="6"/>
  <c r="Z220" i="6"/>
  <c r="Z230" i="6"/>
  <c r="Z226" i="6"/>
  <c r="Z227" i="6"/>
  <c r="Z223" i="6"/>
  <c r="Z224" i="6"/>
  <c r="Z222" i="6"/>
  <c r="O33" i="2"/>
  <c r="M12" i="2"/>
  <c r="O12" i="2" s="1"/>
  <c r="Z37" i="6"/>
  <c r="Z31" i="6"/>
  <c r="Z27" i="6"/>
  <c r="Z28" i="6"/>
  <c r="Z33" i="6"/>
  <c r="Z29" i="6"/>
  <c r="Z38" i="6"/>
  <c r="Z34" i="6"/>
  <c r="Z36" i="6"/>
  <c r="Z35" i="6"/>
  <c r="Z30" i="6"/>
  <c r="Z32" i="6"/>
  <c r="Z113" i="6"/>
  <c r="Z121" i="6"/>
  <c r="Z112" i="6"/>
  <c r="Z122" i="6"/>
  <c r="Z116" i="6"/>
  <c r="R70" i="2"/>
  <c r="H14" i="3" s="1"/>
  <c r="Z119" i="6"/>
  <c r="Z120" i="6"/>
  <c r="Z117" i="6"/>
  <c r="Z114" i="6"/>
  <c r="Z115" i="6"/>
  <c r="Z111" i="6"/>
  <c r="Z118" i="6"/>
  <c r="Z431" i="6"/>
  <c r="Z429" i="6"/>
  <c r="Z423" i="6"/>
  <c r="Z426" i="6"/>
  <c r="Z432" i="6"/>
  <c r="Z425" i="6"/>
  <c r="Z433" i="6"/>
  <c r="Z424" i="6"/>
  <c r="Z428" i="6"/>
  <c r="Z434" i="6"/>
  <c r="Z430" i="6"/>
  <c r="Z427" i="6"/>
  <c r="Z419" i="6"/>
  <c r="Z414" i="6"/>
  <c r="Z417" i="6"/>
  <c r="Z422" i="6"/>
  <c r="Z418" i="6"/>
  <c r="Z420" i="6"/>
  <c r="Z416" i="6"/>
  <c r="Z411" i="6"/>
  <c r="Z413" i="6"/>
  <c r="Z421" i="6"/>
  <c r="Z415" i="6"/>
  <c r="Z412" i="6"/>
  <c r="R66" i="2"/>
  <c r="H15" i="3" s="1"/>
  <c r="N10" i="2"/>
  <c r="O10" i="2" s="1"/>
  <c r="Z724" i="6"/>
  <c r="Z728" i="6"/>
  <c r="Z731" i="6"/>
  <c r="Z734" i="6"/>
  <c r="Z733" i="6"/>
  <c r="Z727" i="6"/>
  <c r="Z730" i="6"/>
  <c r="Z732" i="6"/>
  <c r="Z723" i="6"/>
  <c r="Z729" i="6"/>
  <c r="Z725" i="6"/>
  <c r="Z726" i="6"/>
  <c r="N56" i="2"/>
  <c r="M56" i="2"/>
  <c r="Z613" i="6"/>
  <c r="Z167" i="6"/>
  <c r="Z169" i="6"/>
  <c r="Z104" i="6"/>
  <c r="Z99" i="6"/>
  <c r="Z110" i="6"/>
  <c r="Z106" i="6"/>
  <c r="Z107" i="6"/>
  <c r="Z100" i="6"/>
  <c r="Z102" i="6"/>
  <c r="Z103" i="6"/>
  <c r="Z105" i="6"/>
  <c r="Z101" i="6"/>
  <c r="Z108" i="6"/>
  <c r="Z109" i="6"/>
  <c r="Z604" i="6"/>
  <c r="Z162" i="6"/>
  <c r="Z166" i="6"/>
  <c r="Z614" i="6"/>
  <c r="Z605" i="6"/>
  <c r="Z168" i="6"/>
  <c r="Z606" i="6"/>
  <c r="Z608" i="6"/>
  <c r="Z163" i="6"/>
  <c r="Z611" i="6"/>
  <c r="Z609" i="6"/>
  <c r="Z161" i="6"/>
  <c r="Z610" i="6"/>
  <c r="Z607" i="6"/>
  <c r="Z164" i="6"/>
  <c r="Z170" i="6"/>
  <c r="Z448" i="6"/>
  <c r="Z453" i="6"/>
  <c r="Z449" i="6"/>
  <c r="Z450" i="6"/>
  <c r="Z454" i="6"/>
  <c r="Z456" i="6"/>
  <c r="Z457" i="6"/>
  <c r="Z451" i="6"/>
  <c r="Z452" i="6"/>
  <c r="Z455" i="6"/>
  <c r="Z447" i="6"/>
  <c r="Z458" i="6"/>
  <c r="Z460" i="6"/>
  <c r="Z465" i="6"/>
  <c r="Z462" i="6"/>
  <c r="Z464" i="6"/>
  <c r="Z466" i="6"/>
  <c r="Z468" i="6"/>
  <c r="Z459" i="6"/>
  <c r="Z461" i="6"/>
  <c r="Z463" i="6"/>
  <c r="Z467" i="6"/>
  <c r="Z469" i="6"/>
  <c r="Z470" i="6"/>
  <c r="Z298" i="6"/>
  <c r="Z292" i="6"/>
  <c r="Z300" i="6"/>
  <c r="Z291" i="6"/>
  <c r="Z295" i="6"/>
  <c r="Z301" i="6"/>
  <c r="Z293" i="6"/>
  <c r="Z299" i="6"/>
  <c r="Z297" i="6"/>
  <c r="Z302" i="6"/>
  <c r="Z294" i="6"/>
  <c r="Z296" i="6"/>
  <c r="Z18" i="6"/>
  <c r="Z26" i="6"/>
  <c r="Z17" i="6"/>
  <c r="Z24" i="6"/>
  <c r="Z22" i="6"/>
  <c r="Z20" i="6"/>
  <c r="R67" i="2"/>
  <c r="H9" i="3" s="1"/>
  <c r="Z16" i="6"/>
  <c r="Z15" i="6"/>
  <c r="Z23" i="6"/>
  <c r="Z25" i="6"/>
  <c r="Z21" i="6"/>
  <c r="Z19" i="6"/>
  <c r="Z555" i="6"/>
  <c r="Z562" i="6"/>
  <c r="Z556" i="6"/>
  <c r="Z558" i="6"/>
  <c r="Z565" i="6"/>
  <c r="Z557" i="6"/>
  <c r="Z560" i="6"/>
  <c r="Z563" i="6"/>
  <c r="Z561" i="6"/>
  <c r="Z566" i="6"/>
  <c r="Z564" i="6"/>
  <c r="Z559" i="6"/>
  <c r="R75" i="2"/>
  <c r="H5" i="3" s="1"/>
  <c r="Z680" i="6"/>
  <c r="Z678" i="6"/>
  <c r="Z684" i="6"/>
  <c r="Z675" i="6"/>
  <c r="Z676" i="6"/>
  <c r="Z682" i="6"/>
  <c r="Z681" i="6"/>
  <c r="Z679" i="6"/>
  <c r="Z677" i="6"/>
  <c r="Z683" i="6"/>
  <c r="Z686" i="6"/>
  <c r="Z685" i="6"/>
  <c r="Q65" i="2" a="1"/>
  <c r="Q65" i="2" s="1"/>
  <c r="J11" i="3" s="1"/>
  <c r="Q74" i="2" a="1"/>
  <c r="Q74" i="2" s="1"/>
  <c r="Z5" i="6"/>
  <c r="Q75" i="2" a="1"/>
  <c r="Q75" i="2" s="1"/>
  <c r="J5" i="3" s="1"/>
  <c r="V5" i="3" s="1"/>
  <c r="P73" i="2" a="1"/>
  <c r="P73" i="2" s="1"/>
  <c r="Z14" i="6"/>
  <c r="P72" i="2" a="1"/>
  <c r="P72" i="2" s="1"/>
  <c r="I12" i="3" s="1"/>
  <c r="U12" i="3" s="1"/>
  <c r="P68" i="2" a="1"/>
  <c r="P68" i="2" s="1"/>
  <c r="I4" i="3" s="1"/>
  <c r="U4" i="3" s="1"/>
  <c r="Z3" i="6"/>
  <c r="P76" i="2" a="1"/>
  <c r="P76" i="2" s="1"/>
  <c r="Z10" i="6"/>
  <c r="P71" i="2" a="1"/>
  <c r="P71" i="2" s="1"/>
  <c r="P69" i="2" a="1"/>
  <c r="P69" i="2" s="1"/>
  <c r="I7" i="3" s="1"/>
  <c r="U7" i="3" s="1"/>
  <c r="P67" i="2" a="1"/>
  <c r="P67" i="2" s="1"/>
  <c r="I9" i="3" s="1"/>
  <c r="U9" i="3" s="1"/>
  <c r="Q69" i="2" a="1"/>
  <c r="Q69" i="2" s="1"/>
  <c r="J7" i="3" s="1"/>
  <c r="V7" i="3" s="1"/>
  <c r="Q68" i="2" a="1"/>
  <c r="Q68" i="2" s="1"/>
  <c r="J4" i="3" s="1"/>
  <c r="V4" i="3" s="1"/>
  <c r="Q76" i="2" a="1"/>
  <c r="Q76" i="2" s="1"/>
  <c r="Z7" i="6"/>
  <c r="P65" i="2" a="1"/>
  <c r="P65" i="2" s="1"/>
  <c r="I11" i="3" s="1"/>
  <c r="U11" i="3" s="1"/>
  <c r="Q71" i="2" a="1"/>
  <c r="Q71" i="2" s="1"/>
  <c r="Z11" i="6"/>
  <c r="P75" i="2" a="1"/>
  <c r="P75" i="2" s="1"/>
  <c r="I5" i="3" s="1"/>
  <c r="U5" i="3" s="1"/>
  <c r="R65" i="2"/>
  <c r="H11" i="3" s="1"/>
  <c r="Z12" i="6"/>
  <c r="Z6" i="6"/>
  <c r="Z8" i="6"/>
  <c r="Z13" i="6"/>
  <c r="P74" i="2" a="1"/>
  <c r="P74" i="2" s="1"/>
  <c r="Z4" i="6"/>
  <c r="Q73" i="2" a="1"/>
  <c r="Q73" i="2" s="1"/>
  <c r="Z9" i="6"/>
  <c r="Q66" i="2" a="1"/>
  <c r="Q66" i="2" s="1"/>
  <c r="J15" i="3" s="1"/>
  <c r="V15" i="3" s="1"/>
  <c r="Q70" i="2" a="1"/>
  <c r="Q70" i="2" s="1"/>
  <c r="J14" i="3" s="1"/>
  <c r="J3" i="14" s="1"/>
  <c r="P66" i="2" a="1"/>
  <c r="P66" i="2" s="1"/>
  <c r="I15" i="3" s="1"/>
  <c r="U15" i="3" s="1"/>
  <c r="P70" i="2" a="1"/>
  <c r="P70" i="2" s="1"/>
  <c r="I14" i="3" s="1"/>
  <c r="U14" i="3" s="1"/>
  <c r="Q72" i="2" a="1"/>
  <c r="Q72" i="2" s="1"/>
  <c r="J12" i="3" s="1"/>
  <c r="V12" i="3" s="1"/>
  <c r="Q67" i="2" a="1"/>
  <c r="Q67" i="2" s="1"/>
  <c r="J9" i="3" s="1"/>
  <c r="V9" i="3" s="1"/>
  <c r="Z644" i="6"/>
  <c r="Z649" i="6"/>
  <c r="Z650" i="6"/>
  <c r="Z641" i="6"/>
  <c r="Z646" i="6"/>
  <c r="Z648" i="6"/>
  <c r="Z647" i="6"/>
  <c r="Z640" i="6"/>
  <c r="Z643" i="6"/>
  <c r="Z639" i="6"/>
  <c r="Z645" i="6"/>
  <c r="Z642" i="6"/>
  <c r="Z260" i="6"/>
  <c r="Z256" i="6"/>
  <c r="Z255" i="6"/>
  <c r="Z258" i="6"/>
  <c r="Z261" i="6"/>
  <c r="Z266" i="6"/>
  <c r="Z264" i="6"/>
  <c r="Z257" i="6"/>
  <c r="Z265" i="6"/>
  <c r="Z259" i="6"/>
  <c r="Z262" i="6"/>
  <c r="Z263" i="6"/>
  <c r="Z343" i="6"/>
  <c r="Z342" i="6"/>
  <c r="Z339" i="6"/>
  <c r="Z345" i="6"/>
  <c r="Z346" i="6"/>
  <c r="Z349" i="6"/>
  <c r="Z347" i="6"/>
  <c r="Z350" i="6"/>
  <c r="Z341" i="6"/>
  <c r="Z344" i="6"/>
  <c r="Z340" i="6"/>
  <c r="Z348" i="6"/>
  <c r="Z240" i="6"/>
  <c r="Z235" i="6"/>
  <c r="Z237" i="6"/>
  <c r="Z242" i="6"/>
  <c r="Z231" i="6"/>
  <c r="Z232" i="6"/>
  <c r="Z233" i="6"/>
  <c r="Z241" i="6"/>
  <c r="Z238" i="6"/>
  <c r="Z239" i="6"/>
  <c r="Z234" i="6"/>
  <c r="Z236" i="6"/>
  <c r="R74" i="2"/>
  <c r="H10" i="3" s="1"/>
  <c r="Z625" i="6"/>
  <c r="Z622" i="6"/>
  <c r="Z617" i="6"/>
  <c r="Z615" i="6"/>
  <c r="Z618" i="6"/>
  <c r="Z621" i="6"/>
  <c r="Z623" i="6"/>
  <c r="Z624" i="6"/>
  <c r="Z620" i="6"/>
  <c r="Z619" i="6"/>
  <c r="Z626" i="6"/>
  <c r="Z616" i="6"/>
  <c r="Z404" i="6"/>
  <c r="Z403" i="6"/>
  <c r="Z399" i="6"/>
  <c r="Z406" i="6"/>
  <c r="Z407" i="6"/>
  <c r="Z402" i="6"/>
  <c r="Z401" i="6"/>
  <c r="Z408" i="6"/>
  <c r="Z405" i="6"/>
  <c r="Z400" i="6"/>
  <c r="Z410" i="6"/>
  <c r="Z409" i="6"/>
  <c r="Z362" i="6"/>
  <c r="Z357" i="6"/>
  <c r="Z351" i="6"/>
  <c r="Z352" i="6"/>
  <c r="Z355" i="6"/>
  <c r="Z359" i="6"/>
  <c r="Z360" i="6"/>
  <c r="Z353" i="6"/>
  <c r="Z361" i="6"/>
  <c r="Z354" i="6"/>
  <c r="Z356" i="6"/>
  <c r="Z358" i="6"/>
  <c r="Z317" i="6"/>
  <c r="Z319" i="6"/>
  <c r="Z316" i="6"/>
  <c r="Z323" i="6"/>
  <c r="Z326" i="6"/>
  <c r="Z315" i="6"/>
  <c r="Z318" i="6"/>
  <c r="Z321" i="6"/>
  <c r="Z320" i="6"/>
  <c r="Z322" i="6"/>
  <c r="Z324" i="6"/>
  <c r="Z325" i="6"/>
  <c r="R71" i="2"/>
  <c r="Z125" i="6"/>
  <c r="Z131" i="6"/>
  <c r="Z133" i="6"/>
  <c r="R72" i="2"/>
  <c r="H12" i="3" s="1"/>
  <c r="Z128" i="6"/>
  <c r="Z129" i="6"/>
  <c r="Z126" i="6"/>
  <c r="Z130" i="6"/>
  <c r="Z123" i="6"/>
  <c r="Z124" i="6"/>
  <c r="Z132" i="6"/>
  <c r="Z127" i="6"/>
  <c r="Z134" i="6"/>
  <c r="Z390" i="6"/>
  <c r="Z389" i="6"/>
  <c r="Z388" i="6"/>
  <c r="Z392" i="6"/>
  <c r="Z391" i="6"/>
  <c r="Z397" i="6"/>
  <c r="Z396" i="6"/>
  <c r="Z395" i="6"/>
  <c r="Z398" i="6"/>
  <c r="Z393" i="6"/>
  <c r="Z394" i="6"/>
  <c r="Z387" i="6"/>
  <c r="Z282" i="6"/>
  <c r="Z287" i="6"/>
  <c r="Z285" i="6"/>
  <c r="Z290" i="6"/>
  <c r="Z283" i="6"/>
  <c r="Z279" i="6"/>
  <c r="Z281" i="6"/>
  <c r="Z289" i="6"/>
  <c r="Z284" i="6"/>
  <c r="Z280" i="6"/>
  <c r="Z288" i="6"/>
  <c r="Z286" i="6"/>
  <c r="Z706" i="6"/>
  <c r="Z702" i="6"/>
  <c r="Z699" i="6"/>
  <c r="Z710" i="6"/>
  <c r="Z708" i="6"/>
  <c r="Z707" i="6"/>
  <c r="Z701" i="6"/>
  <c r="Z705" i="6"/>
  <c r="Z709" i="6"/>
  <c r="Z704" i="6"/>
  <c r="Z703" i="6"/>
  <c r="Z700" i="6"/>
  <c r="Z693" i="6"/>
  <c r="Z687" i="6"/>
  <c r="Z697" i="6"/>
  <c r="Z690" i="6"/>
  <c r="Z691" i="6"/>
  <c r="Z688" i="6"/>
  <c r="Z692" i="6"/>
  <c r="Z689" i="6"/>
  <c r="Z694" i="6"/>
  <c r="Z695" i="6"/>
  <c r="Z698" i="6"/>
  <c r="Z696" i="6"/>
  <c r="Z657" i="6"/>
  <c r="Z651" i="6"/>
  <c r="Z655" i="6"/>
  <c r="Z660" i="6"/>
  <c r="Z661" i="6"/>
  <c r="Z662" i="6"/>
  <c r="Z658" i="6"/>
  <c r="Z656" i="6"/>
  <c r="Z659" i="6"/>
  <c r="Z653" i="6"/>
  <c r="Z652" i="6"/>
  <c r="Z654" i="6"/>
  <c r="R68" i="2"/>
  <c r="H4" i="3" s="1"/>
  <c r="Z44" i="6"/>
  <c r="Z43" i="6"/>
  <c r="Z47" i="6"/>
  <c r="Z50" i="6"/>
  <c r="Z45" i="6"/>
  <c r="Z42" i="6"/>
  <c r="Z40" i="6"/>
  <c r="Z48" i="6"/>
  <c r="Z41" i="6"/>
  <c r="Z46" i="6"/>
  <c r="Z49" i="6"/>
  <c r="Z39" i="6"/>
  <c r="Z472" i="6"/>
  <c r="Z471" i="6"/>
  <c r="Z477" i="6"/>
  <c r="Z480" i="6"/>
  <c r="Z482" i="6"/>
  <c r="Z474" i="6"/>
  <c r="Z475" i="6"/>
  <c r="Z481" i="6"/>
  <c r="Z478" i="6"/>
  <c r="Z479" i="6"/>
  <c r="Z473" i="6"/>
  <c r="Z476" i="6"/>
  <c r="Z540" i="6"/>
  <c r="Z538" i="6"/>
  <c r="Z535" i="6"/>
  <c r="Z539" i="6"/>
  <c r="Z537" i="6"/>
  <c r="Z531" i="6"/>
  <c r="Z532" i="6"/>
  <c r="Z533" i="6"/>
  <c r="Z542" i="6"/>
  <c r="Z536" i="6"/>
  <c r="Z534" i="6"/>
  <c r="Z541" i="6"/>
  <c r="Z184" i="6"/>
  <c r="Z189" i="6"/>
  <c r="Z192" i="6"/>
  <c r="Z185" i="6"/>
  <c r="Z194" i="6"/>
  <c r="Z186" i="6"/>
  <c r="Z188" i="6"/>
  <c r="Z183" i="6"/>
  <c r="Z190" i="6"/>
  <c r="Z187" i="6"/>
  <c r="Z191" i="6"/>
  <c r="Z193" i="6"/>
  <c r="Z329" i="6"/>
  <c r="Z330" i="6"/>
  <c r="Z327" i="6"/>
  <c r="R76" i="2"/>
  <c r="Z334" i="6"/>
  <c r="Z331" i="6"/>
  <c r="Z338" i="6"/>
  <c r="Z328" i="6"/>
  <c r="Z335" i="6"/>
  <c r="Z337" i="6"/>
  <c r="Z333" i="6"/>
  <c r="Z332" i="6"/>
  <c r="Z336" i="6"/>
  <c r="J10" i="3" l="1"/>
  <c r="V10" i="3" s="1"/>
  <c r="I17" i="3"/>
  <c r="U17" i="3" s="1"/>
  <c r="I10" i="3"/>
  <c r="U10" i="3" s="1"/>
  <c r="H17" i="3"/>
  <c r="O56" i="2"/>
  <c r="BB8" i="2" s="1"/>
  <c r="V14" i="3"/>
  <c r="H69" i="12" a="1"/>
  <c r="H69" i="12" s="1"/>
  <c r="C21" i="12" a="1"/>
  <c r="C21" i="12" s="1"/>
  <c r="H65" i="12" a="1"/>
  <c r="H65" i="12" s="1"/>
  <c r="C23" i="12" a="1"/>
  <c r="C23" i="12" s="1"/>
  <c r="C20" i="12" a="1"/>
  <c r="C20" i="12" s="1"/>
  <c r="C135" i="12" a="1"/>
  <c r="C135" i="12" s="1"/>
  <c r="H135" i="12" s="1"/>
  <c r="F219" i="13" s="1" a="1"/>
  <c r="F219" i="13" s="1"/>
  <c r="H70" i="12" a="1"/>
  <c r="H70" i="12" s="1"/>
  <c r="H80" i="12" a="1"/>
  <c r="H80" i="12" s="1"/>
  <c r="C22" i="12" a="1"/>
  <c r="C22" i="12" s="1"/>
  <c r="C17" i="12" a="1"/>
  <c r="C17" i="12" s="1"/>
  <c r="H73" i="12" a="1"/>
  <c r="H73" i="12" s="1"/>
  <c r="C18" i="12" a="1"/>
  <c r="C18" i="12" s="1"/>
  <c r="C19" i="12" a="1"/>
  <c r="C19" i="12" s="1"/>
  <c r="C25" i="12" a="1"/>
  <c r="C25" i="12" s="1"/>
  <c r="H86" i="12" a="1"/>
  <c r="H86" i="12" s="1"/>
  <c r="H81" i="12" a="1"/>
  <c r="H81" i="12" s="1"/>
  <c r="H63" i="12" a="1"/>
  <c r="H63" i="12" s="1"/>
  <c r="H15" i="12" a="1"/>
  <c r="H15" i="12" s="1"/>
  <c r="C26" i="12" a="1"/>
  <c r="C26" i="12" s="1"/>
  <c r="H74" i="12" a="1"/>
  <c r="H74" i="12" s="1"/>
  <c r="H75" i="12" a="1"/>
  <c r="H75" i="12" s="1"/>
  <c r="C15" i="12" a="1"/>
  <c r="C15" i="12" s="1"/>
  <c r="H64" i="12" a="1"/>
  <c r="H64" i="12" s="1"/>
  <c r="H84" i="12" a="1"/>
  <c r="H84" i="12" s="1"/>
  <c r="H99" i="12" a="1"/>
  <c r="H99" i="12" s="1"/>
  <c r="F147" i="13" s="1" a="1"/>
  <c r="F147" i="13" s="1"/>
  <c r="H67" i="12" a="1"/>
  <c r="H67" i="12" s="1"/>
  <c r="C16" i="12" a="1"/>
  <c r="C16" i="12" s="1"/>
  <c r="H79" i="12" a="1"/>
  <c r="H79" i="12" s="1"/>
  <c r="H18" i="12" a="1"/>
  <c r="H18" i="12" s="1"/>
  <c r="H72" i="12" a="1"/>
  <c r="H72" i="12" s="1"/>
  <c r="H71" i="12" a="1"/>
  <c r="H71" i="12" s="1"/>
  <c r="H23" i="12" a="1"/>
  <c r="H23" i="12" s="1"/>
  <c r="H27" i="12" a="1"/>
  <c r="H27" i="12" s="1"/>
  <c r="F195" i="13" s="1" a="1"/>
  <c r="F195" i="13" s="1"/>
  <c r="H26" i="12" a="1"/>
  <c r="H26" i="12" s="1"/>
  <c r="H82" i="12" a="1"/>
  <c r="H82" i="12" s="1"/>
  <c r="H22" i="12" a="1"/>
  <c r="H22" i="12" s="1"/>
  <c r="H39" i="12" a="1"/>
  <c r="H39" i="12" s="1"/>
  <c r="H83" i="12" a="1"/>
  <c r="H83" i="12" s="1"/>
  <c r="C90" i="12" a="1"/>
  <c r="C90" i="12" s="1"/>
  <c r="H41" i="12" a="1"/>
  <c r="H41" i="12" s="1"/>
  <c r="C104" i="12" a="1"/>
  <c r="C104" i="12" s="1"/>
  <c r="H129" i="12" a="1"/>
  <c r="H129" i="12" s="1"/>
  <c r="H100" i="12" a="1"/>
  <c r="H100" i="12" s="1"/>
  <c r="F148" i="13" s="1" a="1"/>
  <c r="F148" i="13" s="1"/>
  <c r="H130" i="12" a="1"/>
  <c r="H130" i="12" s="1"/>
  <c r="H40" i="12" a="1"/>
  <c r="H40" i="12" s="1"/>
  <c r="C3" i="12" a="1"/>
  <c r="C3" i="12" s="1"/>
  <c r="H91" i="12" a="1"/>
  <c r="H91" i="12" s="1"/>
  <c r="C68" i="12" a="1"/>
  <c r="C68" i="12" s="1"/>
  <c r="H30" i="12" a="1"/>
  <c r="H30" i="12" s="1"/>
  <c r="F198" i="13" s="1" a="1"/>
  <c r="F198" i="13" s="1"/>
  <c r="C134" i="12" a="1"/>
  <c r="C134" i="12" s="1"/>
  <c r="C100" i="12" a="1"/>
  <c r="C100" i="12" s="1"/>
  <c r="H76" i="12" a="1"/>
  <c r="H76" i="12" s="1"/>
  <c r="H68" i="12" a="1"/>
  <c r="H68" i="12" s="1"/>
  <c r="H77" i="12" a="1"/>
  <c r="H77" i="12" s="1"/>
  <c r="C13" i="12" a="1"/>
  <c r="C13" i="12" s="1"/>
  <c r="H123" i="12" a="1"/>
  <c r="H123" i="12" s="1"/>
  <c r="H95" i="12" a="1"/>
  <c r="H95" i="12" s="1"/>
  <c r="C49" i="12" a="1"/>
  <c r="C49" i="12" s="1"/>
  <c r="C45" i="12" a="1"/>
  <c r="C45" i="12" s="1"/>
  <c r="C107" i="12" a="1"/>
  <c r="C107" i="12" s="1"/>
  <c r="H94" i="12" a="1"/>
  <c r="H94" i="12" s="1"/>
  <c r="H44" i="12" a="1"/>
  <c r="H44" i="12" s="1"/>
  <c r="H119" i="12" a="1"/>
  <c r="H119" i="12" s="1"/>
  <c r="H133" i="12" a="1"/>
  <c r="H133" i="12" s="1"/>
  <c r="C37" i="12" a="1"/>
  <c r="C37" i="12" s="1"/>
  <c r="C9" i="12" a="1"/>
  <c r="C9" i="12" s="1"/>
  <c r="C50" i="12" a="1"/>
  <c r="C50" i="12" s="1"/>
  <c r="H78" i="12" a="1"/>
  <c r="H78" i="12" s="1"/>
  <c r="H20" i="12" a="1"/>
  <c r="H20" i="12" s="1"/>
  <c r="H19" i="12" a="1"/>
  <c r="H19" i="12" s="1"/>
  <c r="H66" i="12" a="1"/>
  <c r="H66" i="12" s="1"/>
  <c r="H43" i="12" a="1"/>
  <c r="H43" i="12" s="1"/>
  <c r="C28" i="12" a="1"/>
  <c r="C28" i="12" s="1"/>
  <c r="H57" i="12" a="1"/>
  <c r="H57" i="12" s="1"/>
  <c r="C36" i="12" a="1"/>
  <c r="C36" i="12" s="1"/>
  <c r="H46" i="12" a="1"/>
  <c r="H46" i="12" s="1"/>
  <c r="C118" i="12" a="1"/>
  <c r="C118" i="12" s="1"/>
  <c r="C98" i="12" a="1"/>
  <c r="C98" i="12" s="1"/>
  <c r="H59" i="12" a="1"/>
  <c r="H59" i="12" s="1"/>
  <c r="C44" i="12" a="1"/>
  <c r="C44" i="12" s="1"/>
  <c r="H47" i="12" a="1"/>
  <c r="H47" i="12" s="1"/>
  <c r="C24" i="12" a="1"/>
  <c r="C24" i="12" s="1"/>
  <c r="C88" i="12" a="1"/>
  <c r="C88" i="12" s="1"/>
  <c r="H35" i="12" a="1"/>
  <c r="H35" i="12" s="1"/>
  <c r="F203" i="13" s="1" a="1"/>
  <c r="F203" i="13" s="1"/>
  <c r="C62" i="12" a="1"/>
  <c r="C62" i="12" s="1"/>
  <c r="C89" i="12" a="1"/>
  <c r="C89" i="12" s="1"/>
  <c r="H36" i="12" a="1"/>
  <c r="H36" i="12" s="1"/>
  <c r="F204" i="13" s="1" a="1"/>
  <c r="F204" i="13" s="1"/>
  <c r="C119" i="12" a="1"/>
  <c r="C119" i="12" s="1"/>
  <c r="H109" i="12" a="1"/>
  <c r="H109" i="12" s="1"/>
  <c r="F157" i="13" s="1" a="1"/>
  <c r="F157" i="13" s="1"/>
  <c r="H104" i="12" a="1"/>
  <c r="H104" i="12" s="1"/>
  <c r="F152" i="13" s="1" a="1"/>
  <c r="F152" i="13" s="1"/>
  <c r="C143" i="12" a="1"/>
  <c r="C143" i="12" s="1"/>
  <c r="H143" i="12" s="1"/>
  <c r="F227" i="13" s="1" a="1"/>
  <c r="F227" i="13" s="1"/>
  <c r="C14" i="12" a="1"/>
  <c r="C14" i="12" s="1"/>
  <c r="C91" i="12" a="1"/>
  <c r="C91" i="12" s="1"/>
  <c r="C128" i="12" a="1"/>
  <c r="C128" i="12" s="1"/>
  <c r="H89" i="12" a="1"/>
  <c r="H89" i="12" s="1"/>
  <c r="H21" i="12" a="1"/>
  <c r="H21" i="12" s="1"/>
  <c r="C74" i="12" a="1"/>
  <c r="C74" i="12" s="1"/>
  <c r="C139" i="12" a="1"/>
  <c r="C139" i="12" s="1"/>
  <c r="H139" i="12" s="1"/>
  <c r="F223" i="13" s="1" a="1"/>
  <c r="F223" i="13" s="1"/>
  <c r="H9" i="12" a="1"/>
  <c r="H9" i="12" s="1"/>
  <c r="C71" i="12" a="1"/>
  <c r="C71" i="12" s="1"/>
  <c r="C79" i="12" a="1"/>
  <c r="C79" i="12" s="1"/>
  <c r="H10" i="12" a="1"/>
  <c r="H10" i="12" s="1"/>
  <c r="H103" i="12" a="1"/>
  <c r="H103" i="12" s="1"/>
  <c r="F151" i="13" s="1" a="1"/>
  <c r="F151" i="13" s="1"/>
  <c r="H117" i="12" a="1"/>
  <c r="H117" i="12" s="1"/>
  <c r="C32" i="12" a="1"/>
  <c r="C32" i="12" s="1"/>
  <c r="C82" i="12" a="1"/>
  <c r="C82" i="12" s="1"/>
  <c r="C52" i="12" a="1"/>
  <c r="C52" i="12" s="1"/>
  <c r="C105" i="12" a="1"/>
  <c r="C105" i="12" s="1"/>
  <c r="C141" i="12" a="1"/>
  <c r="C141" i="12" s="1"/>
  <c r="H141" i="12" s="1"/>
  <c r="F225" i="13" s="1" a="1"/>
  <c r="F225" i="13" s="1"/>
  <c r="H24" i="12" a="1"/>
  <c r="H24" i="12" s="1"/>
  <c r="H85" i="12" a="1"/>
  <c r="H85" i="12" s="1"/>
  <c r="H16" i="12" a="1"/>
  <c r="H16" i="12" s="1"/>
  <c r="H25" i="12" a="1"/>
  <c r="H25" i="12" s="1"/>
  <c r="C55" i="12" a="1"/>
  <c r="C55" i="12" s="1"/>
  <c r="C83" i="12" a="1"/>
  <c r="C83" i="12" s="1"/>
  <c r="C63" i="12" a="1"/>
  <c r="C63" i="12" s="1"/>
  <c r="C110" i="12" a="1"/>
  <c r="C110" i="12" s="1"/>
  <c r="H8" i="12" a="1"/>
  <c r="H8" i="12" s="1"/>
  <c r="C133" i="12" a="1"/>
  <c r="C133" i="12" s="1"/>
  <c r="C60" i="12" a="1"/>
  <c r="C60" i="12" s="1"/>
  <c r="C51" i="12" a="1"/>
  <c r="C51" i="12" s="1"/>
  <c r="C113" i="12" a="1"/>
  <c r="C113" i="12" s="1"/>
  <c r="H108" i="12" a="1"/>
  <c r="H108" i="12" s="1"/>
  <c r="F156" i="13" s="1" a="1"/>
  <c r="F156" i="13" s="1"/>
  <c r="C43" i="12" a="1"/>
  <c r="C43" i="12" s="1"/>
  <c r="C144" i="12" a="1"/>
  <c r="C144" i="12" s="1"/>
  <c r="H144" i="12" s="1"/>
  <c r="F228" i="13" s="1" a="1"/>
  <c r="F228" i="13" s="1"/>
  <c r="C59" i="12" a="1"/>
  <c r="C59" i="12" s="1"/>
  <c r="C11" i="12" a="1"/>
  <c r="C11" i="12" s="1"/>
  <c r="H31" i="12" a="1"/>
  <c r="H31" i="12" s="1"/>
  <c r="F199" i="13" s="1" a="1"/>
  <c r="F199" i="13" s="1"/>
  <c r="C112" i="12" a="1"/>
  <c r="C112" i="12" s="1"/>
  <c r="H110" i="12" a="1"/>
  <c r="H110" i="12" s="1"/>
  <c r="F158" i="13" s="1" a="1"/>
  <c r="F158" i="13" s="1"/>
  <c r="H60" i="12" a="1"/>
  <c r="H60" i="12" s="1"/>
  <c r="C127" i="12" a="1"/>
  <c r="C127" i="12" s="1"/>
  <c r="H6" i="12" a="1"/>
  <c r="H6" i="12" s="1"/>
  <c r="C146" i="12" a="1"/>
  <c r="C146" i="12" s="1"/>
  <c r="H146" i="12" s="1"/>
  <c r="F230" i="13" s="1" a="1"/>
  <c r="F230" i="13" s="1"/>
  <c r="C145" i="12" a="1"/>
  <c r="C145" i="12" s="1"/>
  <c r="H145" i="12" s="1"/>
  <c r="F229" i="13" s="1" a="1"/>
  <c r="F229" i="13" s="1"/>
  <c r="C75" i="12" a="1"/>
  <c r="C75" i="12" s="1"/>
  <c r="C29" i="12" a="1"/>
  <c r="C29" i="12" s="1"/>
  <c r="C99" i="12" a="1"/>
  <c r="C99" i="12" s="1"/>
  <c r="C87" i="12" a="1"/>
  <c r="C87" i="12" s="1"/>
  <c r="H14" i="12" a="1"/>
  <c r="H14" i="12" s="1"/>
  <c r="C42" i="12" a="1"/>
  <c r="C42" i="12" s="1"/>
  <c r="H5" i="12" a="1"/>
  <c r="H5" i="12" s="1"/>
  <c r="H113" i="12" a="1"/>
  <c r="H113" i="12" s="1"/>
  <c r="H93" i="12" a="1"/>
  <c r="H93" i="12" s="1"/>
  <c r="C78" i="12" a="1"/>
  <c r="C78" i="12" s="1"/>
  <c r="C64" i="12" a="1"/>
  <c r="C64" i="12" s="1"/>
  <c r="H54" i="12" a="1"/>
  <c r="H54" i="12" s="1"/>
  <c r="H127" i="12" a="1"/>
  <c r="H127" i="12" s="1"/>
  <c r="C27" i="12" a="1"/>
  <c r="C27" i="12" s="1"/>
  <c r="C102" i="12" a="1"/>
  <c r="C102" i="12" s="1"/>
  <c r="C120" i="12" a="1"/>
  <c r="C120" i="12" s="1"/>
  <c r="C69" i="12" a="1"/>
  <c r="C69" i="12" s="1"/>
  <c r="C40" i="12" a="1"/>
  <c r="C40" i="12" s="1"/>
  <c r="C93" i="12" a="1"/>
  <c r="C93" i="12" s="1"/>
  <c r="H3" i="12" a="1"/>
  <c r="H3" i="12" s="1"/>
  <c r="C56" i="12" a="1"/>
  <c r="C56" i="12" s="1"/>
  <c r="C131" i="12" a="1"/>
  <c r="C131" i="12" s="1"/>
  <c r="C10" i="12" a="1"/>
  <c r="C10" i="12" s="1"/>
  <c r="C117" i="12" a="1"/>
  <c r="C117" i="12" s="1"/>
  <c r="C48" i="12" a="1"/>
  <c r="C48" i="12" s="1"/>
  <c r="H128" i="12" a="1"/>
  <c r="H128" i="12" s="1"/>
  <c r="C65" i="12" a="1"/>
  <c r="C65" i="12" s="1"/>
  <c r="C41" i="12" a="1"/>
  <c r="C41" i="12" s="1"/>
  <c r="H118" i="12" a="1"/>
  <c r="H118" i="12" s="1"/>
  <c r="C70" i="12" a="1"/>
  <c r="C70" i="12" s="1"/>
  <c r="C47" i="12" a="1"/>
  <c r="C47" i="12" s="1"/>
  <c r="H121" i="12" a="1"/>
  <c r="H121" i="12" s="1"/>
  <c r="H106" i="12" a="1"/>
  <c r="H106" i="12" s="1"/>
  <c r="F154" i="13" s="1" a="1"/>
  <c r="F154" i="13" s="1"/>
  <c r="H17" i="12" a="1"/>
  <c r="H17" i="12" s="1"/>
  <c r="C114" i="12" a="1"/>
  <c r="C114" i="12" s="1"/>
  <c r="H49" i="12" a="1"/>
  <c r="H49" i="12" s="1"/>
  <c r="C30" i="12" a="1"/>
  <c r="C30" i="12" s="1"/>
  <c r="C6" i="12" a="1"/>
  <c r="C6" i="12" s="1"/>
  <c r="C97" i="12" a="1"/>
  <c r="C97" i="12" s="1"/>
  <c r="H34" i="12" a="1"/>
  <c r="H34" i="12" s="1"/>
  <c r="F202" i="13" s="1" a="1"/>
  <c r="F202" i="13" s="1"/>
  <c r="C39" i="12" a="1"/>
  <c r="C39" i="12" s="1"/>
  <c r="C96" i="12" a="1"/>
  <c r="C96" i="12" s="1"/>
  <c r="C12" i="12" a="1"/>
  <c r="C12" i="12" s="1"/>
  <c r="C106" i="12" a="1"/>
  <c r="C106" i="12" s="1"/>
  <c r="C5" i="12" a="1"/>
  <c r="C5" i="12" s="1"/>
  <c r="C129" i="12" a="1"/>
  <c r="C129" i="12" s="1"/>
  <c r="C116" i="12" a="1"/>
  <c r="C116" i="12" s="1"/>
  <c r="H38" i="12" a="1"/>
  <c r="H38" i="12" s="1"/>
  <c r="F206" i="13" s="1" a="1"/>
  <c r="F206" i="13" s="1"/>
  <c r="H52" i="12" a="1"/>
  <c r="H52" i="12" s="1"/>
  <c r="H56" i="12" a="1"/>
  <c r="H56" i="12" s="1"/>
  <c r="H51" i="12" a="1"/>
  <c r="H51" i="12" s="1"/>
  <c r="C142" i="12" a="1"/>
  <c r="C142" i="12" s="1"/>
  <c r="H142" i="12" s="1"/>
  <c r="F226" i="13" s="1" a="1"/>
  <c r="F226" i="13" s="1"/>
  <c r="H37" i="12" a="1"/>
  <c r="H37" i="12" s="1"/>
  <c r="F205" i="13" s="1" a="1"/>
  <c r="F205" i="13" s="1"/>
  <c r="H97" i="12" a="1"/>
  <c r="H97" i="12" s="1"/>
  <c r="H98" i="12" a="1"/>
  <c r="H98" i="12" s="1"/>
  <c r="C137" i="12" a="1"/>
  <c r="C137" i="12" s="1"/>
  <c r="H137" i="12" s="1"/>
  <c r="F221" i="13" s="1" a="1"/>
  <c r="F221" i="13" s="1"/>
  <c r="H115" i="12" a="1"/>
  <c r="H115" i="12" s="1"/>
  <c r="H87" i="12" a="1"/>
  <c r="H87" i="12" s="1"/>
  <c r="H101" i="12" a="1"/>
  <c r="H101" i="12" s="1"/>
  <c r="F149" i="13" s="1" a="1"/>
  <c r="F149" i="13" s="1"/>
  <c r="C35" i="12" a="1"/>
  <c r="C35" i="12" s="1"/>
  <c r="C138" i="12" a="1"/>
  <c r="C138" i="12" s="1"/>
  <c r="H138" i="12" s="1"/>
  <c r="F222" i="13" s="1" a="1"/>
  <c r="F222" i="13" s="1"/>
  <c r="H45" i="12" a="1"/>
  <c r="H45" i="12" s="1"/>
  <c r="H12" i="12" a="1"/>
  <c r="H12" i="12" s="1"/>
  <c r="H48" i="12" a="1"/>
  <c r="H48" i="12" s="1"/>
  <c r="C54" i="12" a="1"/>
  <c r="C54" i="12" s="1"/>
  <c r="C73" i="12" a="1"/>
  <c r="C73" i="12" s="1"/>
  <c r="H116" i="12" a="1"/>
  <c r="H116" i="12" s="1"/>
  <c r="H90" i="12" a="1"/>
  <c r="H90" i="12" s="1"/>
  <c r="H29" i="12" a="1"/>
  <c r="H29" i="12" s="1"/>
  <c r="F197" i="13" s="1" a="1"/>
  <c r="F197" i="13" s="1"/>
  <c r="C85" i="12" a="1"/>
  <c r="C85" i="12" s="1"/>
  <c r="C121" i="12" a="1"/>
  <c r="C121" i="12" s="1"/>
  <c r="C66" i="12" a="1"/>
  <c r="C66" i="12" s="1"/>
  <c r="H4" i="12" a="1"/>
  <c r="H4" i="12" s="1"/>
  <c r="C111" i="12" a="1"/>
  <c r="C111" i="12" s="1"/>
  <c r="H125" i="12" a="1"/>
  <c r="H125" i="12" s="1"/>
  <c r="H33" i="12" a="1"/>
  <c r="H33" i="12" s="1"/>
  <c r="F201" i="13" s="1" a="1"/>
  <c r="F201" i="13" s="1"/>
  <c r="C57" i="12" a="1"/>
  <c r="C57" i="12" s="1"/>
  <c r="C86" i="12" a="1"/>
  <c r="C86" i="12" s="1"/>
  <c r="H112" i="12" a="1"/>
  <c r="H112" i="12" s="1"/>
  <c r="H61" i="12" a="1"/>
  <c r="H61" i="12" s="1"/>
  <c r="C31" i="12" a="1"/>
  <c r="C31" i="12" s="1"/>
  <c r="C103" i="12" a="1"/>
  <c r="C103" i="12" s="1"/>
  <c r="H120" i="12" a="1"/>
  <c r="H120" i="12" s="1"/>
  <c r="H131" i="12" a="1"/>
  <c r="H131" i="12" s="1"/>
  <c r="H11" i="12" a="1"/>
  <c r="H11" i="12" s="1"/>
  <c r="C76" i="12" a="1"/>
  <c r="C76" i="12" s="1"/>
  <c r="H132" i="12" a="1"/>
  <c r="H132" i="12" s="1"/>
  <c r="C101" i="12" a="1"/>
  <c r="C101" i="12" s="1"/>
  <c r="C7" i="12" a="1"/>
  <c r="C7" i="12" s="1"/>
  <c r="C72" i="12" a="1"/>
  <c r="C72" i="12" s="1"/>
  <c r="C132" i="12" a="1"/>
  <c r="C132" i="12" s="1"/>
  <c r="C125" i="12" a="1"/>
  <c r="C125" i="12" s="1"/>
  <c r="C126" i="12" a="1"/>
  <c r="C126" i="12" s="1"/>
  <c r="H134" i="12" a="1"/>
  <c r="H134" i="12" s="1"/>
  <c r="O3" i="12" a="1"/>
  <c r="O3" i="12" s="1"/>
  <c r="H102" i="12" a="1"/>
  <c r="H102" i="12" s="1"/>
  <c r="F150" i="13" s="1" a="1"/>
  <c r="F150" i="13" s="1"/>
  <c r="C124" i="12" a="1"/>
  <c r="C124" i="12" s="1"/>
  <c r="H55" i="12" a="1"/>
  <c r="H55" i="12" s="1"/>
  <c r="C61" i="12" a="1"/>
  <c r="C61" i="12" s="1"/>
  <c r="C115" i="12" a="1"/>
  <c r="C115" i="12" s="1"/>
  <c r="C108" i="12" a="1"/>
  <c r="C108" i="12" s="1"/>
  <c r="C122" i="12" a="1"/>
  <c r="C122" i="12" s="1"/>
  <c r="C46" i="12" a="1"/>
  <c r="C46" i="12" s="1"/>
  <c r="H62" i="12" a="1"/>
  <c r="H62" i="12" s="1"/>
  <c r="H42" i="12" a="1"/>
  <c r="H42" i="12" s="1"/>
  <c r="H13" i="12" a="1"/>
  <c r="H13" i="12" s="1"/>
  <c r="C33" i="12" a="1"/>
  <c r="C33" i="12" s="1"/>
  <c r="H88" i="12" a="1"/>
  <c r="H88" i="12" s="1"/>
  <c r="C80" i="12" a="1"/>
  <c r="C80" i="12" s="1"/>
  <c r="H107" i="12" a="1"/>
  <c r="H107" i="12" s="1"/>
  <c r="F155" i="13" s="1" a="1"/>
  <c r="F155" i="13" s="1"/>
  <c r="C94" i="12" a="1"/>
  <c r="C94" i="12" s="1"/>
  <c r="H124" i="12" a="1"/>
  <c r="H124" i="12" s="1"/>
  <c r="C53" i="12" a="1"/>
  <c r="C53" i="12" s="1"/>
  <c r="C67" i="12" a="1"/>
  <c r="C67" i="12" s="1"/>
  <c r="C4" i="12" a="1"/>
  <c r="C4" i="12" s="1"/>
  <c r="C58" i="12" a="1"/>
  <c r="C58" i="12" s="1"/>
  <c r="C84" i="12" a="1"/>
  <c r="C84" i="12" s="1"/>
  <c r="C34" i="12" a="1"/>
  <c r="C34" i="12" s="1"/>
  <c r="C123" i="12" a="1"/>
  <c r="C123" i="12" s="1"/>
  <c r="H28" i="12" a="1"/>
  <c r="H28" i="12" s="1"/>
  <c r="F196" i="13" s="1" a="1"/>
  <c r="F196" i="13" s="1"/>
  <c r="C77" i="12" a="1"/>
  <c r="C77" i="12" s="1"/>
  <c r="H96" i="12" a="1"/>
  <c r="H96" i="12" s="1"/>
  <c r="H126" i="12" a="1"/>
  <c r="H126" i="12" s="1"/>
  <c r="C92" i="12" a="1"/>
  <c r="C92" i="12" s="1"/>
  <c r="C140" i="12" a="1"/>
  <c r="C140" i="12" s="1"/>
  <c r="H140" i="12" s="1"/>
  <c r="F224" i="13" s="1" a="1"/>
  <c r="F224" i="13" s="1"/>
  <c r="H111" i="12" a="1"/>
  <c r="H111" i="12" s="1"/>
  <c r="C109" i="12" a="1"/>
  <c r="C109" i="12" s="1"/>
  <c r="H7" i="12" a="1"/>
  <c r="H7" i="12" s="1"/>
  <c r="H105" i="12" a="1"/>
  <c r="H105" i="12" s="1"/>
  <c r="F153" i="13" s="1" a="1"/>
  <c r="F153" i="13" s="1"/>
  <c r="C95" i="12" a="1"/>
  <c r="C95" i="12" s="1"/>
  <c r="H50" i="12" a="1"/>
  <c r="H50" i="12" s="1"/>
  <c r="H114" i="12" a="1"/>
  <c r="H114" i="12" s="1"/>
  <c r="C38" i="12" a="1"/>
  <c r="C38" i="12" s="1"/>
  <c r="H53" i="12" a="1"/>
  <c r="H53" i="12" s="1"/>
  <c r="H92" i="12" a="1"/>
  <c r="H92" i="12" s="1"/>
  <c r="C8" i="12" a="1"/>
  <c r="C8" i="12" s="1"/>
  <c r="C81" i="12" a="1"/>
  <c r="C81" i="12" s="1"/>
  <c r="H58" i="12" a="1"/>
  <c r="H58" i="12" s="1"/>
  <c r="H122" i="12" a="1"/>
  <c r="H122" i="12" s="1"/>
  <c r="C130" i="12" a="1"/>
  <c r="C130" i="12" s="1"/>
  <c r="H32" i="12" a="1"/>
  <c r="H32" i="12" s="1"/>
  <c r="F200" i="13" s="1" a="1"/>
  <c r="F200" i="13" s="1"/>
  <c r="C136" i="12" a="1"/>
  <c r="C136" i="12" s="1"/>
  <c r="H136" i="12" s="1"/>
  <c r="F220" i="13" s="1" a="1"/>
  <c r="F220" i="13" s="1"/>
  <c r="J123" i="8"/>
  <c r="J63" i="9"/>
  <c r="N63" i="9" s="1"/>
  <c r="J39" i="8"/>
  <c r="J63" i="8"/>
  <c r="J123" i="9"/>
  <c r="N123" i="9" s="1"/>
  <c r="J39" i="9"/>
  <c r="N39" i="9" s="1"/>
  <c r="V11" i="3"/>
  <c r="N63" i="8" l="1"/>
  <c r="N123" i="8"/>
  <c r="F216" i="13" a="1"/>
  <c r="F216" i="13" s="1"/>
  <c r="F168" i="13" a="1"/>
  <c r="F168" i="13" s="1"/>
  <c r="F192" i="13" a="1"/>
  <c r="F192" i="13" s="1"/>
  <c r="F180" i="13" a="1"/>
  <c r="F180" i="13" s="1"/>
  <c r="F120" i="13" a="1"/>
  <c r="F120" i="13" s="1"/>
  <c r="F240" i="13" a="1"/>
  <c r="F240" i="13" s="1"/>
  <c r="F163" i="13" a="1"/>
  <c r="F163" i="13" s="1"/>
  <c r="F211" i="13" a="1"/>
  <c r="F211" i="13" s="1"/>
  <c r="F175" i="13" a="1"/>
  <c r="F175" i="13" s="1"/>
  <c r="F235" i="13" a="1"/>
  <c r="F235" i="13" s="1"/>
  <c r="F187" i="13" a="1"/>
  <c r="F187" i="13" s="1"/>
  <c r="F115" i="13" a="1"/>
  <c r="F115" i="13" s="1"/>
  <c r="F77" i="13" a="1"/>
  <c r="F77" i="13" s="1"/>
  <c r="F53" i="13" a="1"/>
  <c r="F53" i="13" s="1"/>
  <c r="F65" i="13" a="1"/>
  <c r="F65" i="13" s="1"/>
  <c r="F59" i="13" a="1"/>
  <c r="F59" i="13" s="1"/>
  <c r="F83" i="13" a="1"/>
  <c r="F83" i="13" s="1"/>
  <c r="F71" i="13" a="1"/>
  <c r="F71" i="13" s="1"/>
  <c r="F144" i="13" a="1"/>
  <c r="F144" i="13" s="1"/>
  <c r="F252" i="13" a="1"/>
  <c r="F252" i="13" s="1"/>
  <c r="F39" i="13" a="1"/>
  <c r="F39" i="13" s="1"/>
  <c r="F87" i="13" a="1"/>
  <c r="F87" i="13" s="1"/>
  <c r="F27" i="13" a="1"/>
  <c r="F27" i="13" s="1"/>
  <c r="F97" i="13" a="1"/>
  <c r="F97" i="13" s="1"/>
  <c r="F49" i="13" a="1"/>
  <c r="F49" i="13" s="1"/>
  <c r="F37" i="13" a="1"/>
  <c r="F37" i="13" s="1"/>
  <c r="J219" i="13"/>
  <c r="N219" i="13" s="1"/>
  <c r="F71" i="9"/>
  <c r="F74" i="9"/>
  <c r="F72" i="9"/>
  <c r="F73" i="9"/>
  <c r="F67" i="9"/>
  <c r="F69" i="9"/>
  <c r="F68" i="9"/>
  <c r="F70" i="9"/>
  <c r="F66" i="9"/>
  <c r="F65" i="9"/>
  <c r="F63" i="9"/>
  <c r="R63" i="9" s="1"/>
  <c r="U63" i="9" s="1"/>
  <c r="F64" i="9"/>
  <c r="F188" i="13" a="1"/>
  <c r="F188" i="13" s="1"/>
  <c r="F236" i="13" a="1"/>
  <c r="F236" i="13" s="1"/>
  <c r="F164" i="13" a="1"/>
  <c r="F164" i="13" s="1"/>
  <c r="F212" i="13" a="1"/>
  <c r="F212" i="13" s="1"/>
  <c r="F116" i="13" a="1"/>
  <c r="F116" i="13" s="1"/>
  <c r="F176" i="13" a="1"/>
  <c r="F176" i="13" s="1"/>
  <c r="F140" i="13" a="1"/>
  <c r="F140" i="13" s="1"/>
  <c r="F248" i="13" a="1"/>
  <c r="F248" i="13" s="1"/>
  <c r="F234" i="13" a="1"/>
  <c r="F234" i="13" s="1"/>
  <c r="F174" i="13" a="1"/>
  <c r="F174" i="13" s="1"/>
  <c r="F186" i="13" a="1"/>
  <c r="F186" i="13" s="1"/>
  <c r="F210" i="13" a="1"/>
  <c r="F210" i="13" s="1"/>
  <c r="F114" i="13" a="1"/>
  <c r="F114" i="13" s="1"/>
  <c r="F162" i="13" a="1"/>
  <c r="F162" i="13" s="1"/>
  <c r="F51" i="13" a="1"/>
  <c r="F51" i="13" s="1"/>
  <c r="F75" i="13" a="1"/>
  <c r="F75" i="13" s="1"/>
  <c r="F63" i="13" a="1"/>
  <c r="F63" i="13" s="1"/>
  <c r="F31" i="13" a="1"/>
  <c r="F31" i="13" s="1"/>
  <c r="F91" i="13" a="1"/>
  <c r="F91" i="13" s="1"/>
  <c r="F43" i="13" a="1"/>
  <c r="F43" i="13" s="1"/>
  <c r="F44" i="13" a="1"/>
  <c r="F44" i="13" s="1"/>
  <c r="F32" i="13" a="1"/>
  <c r="F32" i="13" s="1"/>
  <c r="F92" i="13" a="1"/>
  <c r="F92" i="13" s="1"/>
  <c r="F42" i="9"/>
  <c r="F44" i="9"/>
  <c r="F50" i="9"/>
  <c r="F46" i="9"/>
  <c r="F41" i="9"/>
  <c r="F49" i="9"/>
  <c r="F39" i="9"/>
  <c r="R39" i="9" s="1"/>
  <c r="F47" i="9"/>
  <c r="F40" i="9"/>
  <c r="F45" i="9"/>
  <c r="F43" i="9"/>
  <c r="F48" i="9"/>
  <c r="F124" i="9"/>
  <c r="F129" i="9"/>
  <c r="F134" i="9"/>
  <c r="F130" i="9"/>
  <c r="F127" i="9"/>
  <c r="F132" i="9"/>
  <c r="F126" i="9"/>
  <c r="F123" i="9"/>
  <c r="R123" i="9" s="1"/>
  <c r="U123" i="9" s="1"/>
  <c r="F125" i="9"/>
  <c r="F131" i="9"/>
  <c r="F128" i="9"/>
  <c r="F133" i="9"/>
  <c r="F54" i="13" a="1"/>
  <c r="F54" i="13" s="1"/>
  <c r="F66" i="13" a="1"/>
  <c r="F66" i="13" s="1"/>
  <c r="F78" i="13" a="1"/>
  <c r="F78" i="13" s="1"/>
  <c r="F76" i="13" a="1"/>
  <c r="F76" i="13" s="1"/>
  <c r="F52" i="13" a="1"/>
  <c r="F52" i="13" s="1"/>
  <c r="F64" i="13" a="1"/>
  <c r="F64" i="13" s="1"/>
  <c r="F190" i="13" a="1"/>
  <c r="F190" i="13" s="1"/>
  <c r="F178" i="13" a="1"/>
  <c r="F178" i="13" s="1"/>
  <c r="F166" i="13" a="1"/>
  <c r="F166" i="13" s="1"/>
  <c r="F214" i="13" a="1"/>
  <c r="F214" i="13" s="1"/>
  <c r="F238" i="13" a="1"/>
  <c r="F238" i="13" s="1"/>
  <c r="F118" i="13" a="1"/>
  <c r="F118" i="13" s="1"/>
  <c r="F67" i="13" a="1"/>
  <c r="F67" i="13" s="1"/>
  <c r="F79" i="13" a="1"/>
  <c r="F79" i="13" s="1"/>
  <c r="F55" i="13" a="1"/>
  <c r="F55" i="13" s="1"/>
  <c r="F146" i="13" a="1"/>
  <c r="F146" i="13" s="1"/>
  <c r="F254" i="13" a="1"/>
  <c r="F254" i="13" s="1"/>
  <c r="F90" i="13" a="1"/>
  <c r="F90" i="13" s="1"/>
  <c r="F42" i="13" a="1"/>
  <c r="F42" i="13" s="1"/>
  <c r="F30" i="13" a="1"/>
  <c r="F30" i="13" s="1"/>
  <c r="F35" i="13" a="1"/>
  <c r="F35" i="13" s="1"/>
  <c r="F95" i="13" a="1"/>
  <c r="F95" i="13" s="1"/>
  <c r="F47" i="13" a="1"/>
  <c r="F47" i="13" s="1"/>
  <c r="F70" i="13" a="1"/>
  <c r="F70" i="13" s="1"/>
  <c r="F58" i="13" a="1"/>
  <c r="F58" i="13" s="1"/>
  <c r="F82" i="13" a="1"/>
  <c r="F82" i="13" s="1"/>
  <c r="F88" i="13" a="1"/>
  <c r="F88" i="13" s="1"/>
  <c r="F40" i="13" a="1"/>
  <c r="F40" i="13" s="1"/>
  <c r="F28" i="13" a="1"/>
  <c r="F28" i="13" s="1"/>
  <c r="F98" i="13" a="1"/>
  <c r="F98" i="13" s="1"/>
  <c r="F50" i="13" a="1"/>
  <c r="F50" i="13" s="1"/>
  <c r="F38" i="13" a="1"/>
  <c r="F38" i="13" s="1"/>
  <c r="F253" i="13" a="1"/>
  <c r="F253" i="13" s="1"/>
  <c r="F145" i="13" a="1"/>
  <c r="F145" i="13" s="1"/>
  <c r="F245" i="13" a="1"/>
  <c r="F245" i="13" s="1"/>
  <c r="F137" i="13" a="1"/>
  <c r="F137" i="13" s="1"/>
  <c r="F96" i="13" a="1"/>
  <c r="F96" i="13" s="1"/>
  <c r="F48" i="13" a="1"/>
  <c r="F48" i="13" s="1"/>
  <c r="F36" i="13" a="1"/>
  <c r="F36" i="13" s="1"/>
  <c r="F242" i="13" a="1"/>
  <c r="F242" i="13" s="1"/>
  <c r="F122" i="13" a="1"/>
  <c r="F122" i="13" s="1"/>
  <c r="F182" i="13" a="1"/>
  <c r="F182" i="13" s="1"/>
  <c r="F170" i="13" a="1"/>
  <c r="F170" i="13" s="1"/>
  <c r="F194" i="13" a="1"/>
  <c r="F194" i="13" s="1"/>
  <c r="F218" i="13" a="1"/>
  <c r="F218" i="13" s="1"/>
  <c r="F247" i="13" a="1"/>
  <c r="F247" i="13" s="1"/>
  <c r="F139" i="13" a="1"/>
  <c r="F139" i="13" s="1"/>
  <c r="F159" i="13" a="1"/>
  <c r="F159" i="13" s="1"/>
  <c r="F171" i="13" a="1"/>
  <c r="F171" i="13" s="1"/>
  <c r="F183" i="13" a="1"/>
  <c r="F183" i="13" s="1"/>
  <c r="F111" i="13" a="1"/>
  <c r="F111" i="13" s="1"/>
  <c r="F207" i="13" a="1"/>
  <c r="F207" i="13" s="1"/>
  <c r="F231" i="13" a="1"/>
  <c r="F231" i="13" s="1"/>
  <c r="F29" i="13" a="1"/>
  <c r="F29" i="13" s="1"/>
  <c r="F89" i="13" a="1"/>
  <c r="F89" i="13" s="1"/>
  <c r="F41" i="13" a="1"/>
  <c r="F41" i="13" s="1"/>
  <c r="F33" i="13" a="1"/>
  <c r="F33" i="13" s="1"/>
  <c r="F93" i="13" a="1"/>
  <c r="F93" i="13" s="1"/>
  <c r="F45" i="13" a="1"/>
  <c r="F45" i="13" s="1"/>
  <c r="F63" i="8"/>
  <c r="F74" i="8"/>
  <c r="F72" i="8"/>
  <c r="F71" i="8"/>
  <c r="F70" i="8"/>
  <c r="F65" i="8"/>
  <c r="F69" i="8"/>
  <c r="F67" i="8"/>
  <c r="F66" i="8"/>
  <c r="F68" i="8"/>
  <c r="F73" i="8"/>
  <c r="F64" i="8"/>
  <c r="F173" i="13" a="1"/>
  <c r="F173" i="13" s="1"/>
  <c r="F113" i="13" a="1"/>
  <c r="F113" i="13" s="1"/>
  <c r="F161" i="13" a="1"/>
  <c r="F161" i="13" s="1"/>
  <c r="F233" i="13" a="1"/>
  <c r="F233" i="13" s="1"/>
  <c r="F209" i="13" a="1"/>
  <c r="F209" i="13" s="1"/>
  <c r="F185" i="13" a="1"/>
  <c r="F185" i="13" s="1"/>
  <c r="F121" i="13" a="1"/>
  <c r="F121" i="13" s="1"/>
  <c r="F241" i="13" a="1"/>
  <c r="F241" i="13" s="1"/>
  <c r="F193" i="13" a="1"/>
  <c r="F193" i="13" s="1"/>
  <c r="F181" i="13" a="1"/>
  <c r="F181" i="13" s="1"/>
  <c r="F217" i="13" a="1"/>
  <c r="F217" i="13" s="1"/>
  <c r="F169" i="13" a="1"/>
  <c r="F169" i="13" s="1"/>
  <c r="J195" i="13"/>
  <c r="N195" i="13" s="1"/>
  <c r="J147" i="13"/>
  <c r="N147" i="13" s="1"/>
  <c r="F243" i="13" a="1"/>
  <c r="F243" i="13" s="1"/>
  <c r="F135" i="13" a="1"/>
  <c r="F135" i="13" s="1"/>
  <c r="F34" i="13" a="1"/>
  <c r="F34" i="13" s="1"/>
  <c r="F94" i="13" a="1"/>
  <c r="F94" i="13" s="1"/>
  <c r="F46" i="13" a="1"/>
  <c r="F46" i="13" s="1"/>
  <c r="F249" i="13" a="1"/>
  <c r="F249" i="13" s="1"/>
  <c r="F141" i="13" a="1"/>
  <c r="F141" i="13" s="1"/>
  <c r="N75" i="8"/>
  <c r="N39" i="8"/>
  <c r="N27" i="8"/>
  <c r="N99" i="8"/>
  <c r="N111" i="8"/>
  <c r="N51" i="8"/>
  <c r="F160" i="13" a="1"/>
  <c r="F160" i="13" s="1"/>
  <c r="F172" i="13" a="1"/>
  <c r="F172" i="13" s="1"/>
  <c r="F232" i="13" a="1"/>
  <c r="F232" i="13" s="1"/>
  <c r="F112" i="13" a="1"/>
  <c r="F112" i="13" s="1"/>
  <c r="F208" i="13" a="1"/>
  <c r="F208" i="13" s="1"/>
  <c r="F184" i="13" a="1"/>
  <c r="F184" i="13" s="1"/>
  <c r="F213" i="13" a="1"/>
  <c r="F213" i="13" s="1"/>
  <c r="F117" i="13" a="1"/>
  <c r="F117" i="13" s="1"/>
  <c r="F237" i="13" a="1"/>
  <c r="F237" i="13" s="1"/>
  <c r="F177" i="13" a="1"/>
  <c r="F177" i="13" s="1"/>
  <c r="F165" i="13" a="1"/>
  <c r="F165" i="13" s="1"/>
  <c r="F189" i="13" a="1"/>
  <c r="F189" i="13" s="1"/>
  <c r="F239" i="13" a="1"/>
  <c r="F239" i="13" s="1"/>
  <c r="F215" i="13" a="1"/>
  <c r="F215" i="13" s="1"/>
  <c r="F119" i="13" a="1"/>
  <c r="F119" i="13" s="1"/>
  <c r="F167" i="13" a="1"/>
  <c r="F167" i="13" s="1"/>
  <c r="F179" i="13" a="1"/>
  <c r="F179" i="13" s="1"/>
  <c r="F191" i="13" a="1"/>
  <c r="F191" i="13" s="1"/>
  <c r="F72" i="13" a="1"/>
  <c r="F72" i="13" s="1"/>
  <c r="F84" i="13" a="1"/>
  <c r="F84" i="13" s="1"/>
  <c r="F60" i="13" a="1"/>
  <c r="F60" i="13" s="1"/>
  <c r="F81" i="13" a="1"/>
  <c r="F81" i="13" s="1"/>
  <c r="F57" i="13" a="1"/>
  <c r="F57" i="13" s="1"/>
  <c r="F69" i="13" a="1"/>
  <c r="F69" i="13" s="1"/>
  <c r="F56" i="13" a="1"/>
  <c r="F56" i="13" s="1"/>
  <c r="F68" i="13" a="1"/>
  <c r="F68" i="13" s="1"/>
  <c r="F80" i="13" a="1"/>
  <c r="F80" i="13" s="1"/>
  <c r="N15" i="14"/>
  <c r="N3" i="14"/>
  <c r="F73" i="13" a="1"/>
  <c r="F73" i="13" s="1"/>
  <c r="F85" i="13" a="1"/>
  <c r="F85" i="13" s="1"/>
  <c r="F61" i="13" a="1"/>
  <c r="F61" i="13" s="1"/>
  <c r="F246" i="13" a="1"/>
  <c r="F246" i="13" s="1"/>
  <c r="F138" i="13" a="1"/>
  <c r="F138" i="13" s="1"/>
  <c r="F143" i="13" a="1"/>
  <c r="F143" i="13" s="1"/>
  <c r="F251" i="13" a="1"/>
  <c r="F251" i="13" s="1"/>
  <c r="F136" i="13" a="1"/>
  <c r="F136" i="13" s="1"/>
  <c r="F244" i="13" a="1"/>
  <c r="F244" i="13" s="1"/>
  <c r="F62" i="13" a="1"/>
  <c r="F62" i="13" s="1"/>
  <c r="F74" i="13" a="1"/>
  <c r="F74" i="13" s="1"/>
  <c r="F86" i="13" a="1"/>
  <c r="F86" i="13" s="1"/>
  <c r="F142" i="13" a="1"/>
  <c r="F142" i="13" s="1"/>
  <c r="F250" i="13" a="1"/>
  <c r="F250" i="13" s="1"/>
  <c r="F117" i="8" l="1"/>
  <c r="F119" i="8"/>
  <c r="F116" i="8"/>
  <c r="F118" i="8"/>
  <c r="F121" i="8"/>
  <c r="F113" i="8"/>
  <c r="F112" i="8"/>
  <c r="F122" i="8"/>
  <c r="F115" i="8"/>
  <c r="F114" i="8"/>
  <c r="F111" i="8"/>
  <c r="F120" i="8"/>
  <c r="J171" i="13"/>
  <c r="N171" i="13" s="1"/>
  <c r="J75" i="13"/>
  <c r="J27" i="13"/>
  <c r="F110" i="8"/>
  <c r="F105" i="8"/>
  <c r="F100" i="8"/>
  <c r="F108" i="8"/>
  <c r="F107" i="8"/>
  <c r="F104" i="8"/>
  <c r="F103" i="8"/>
  <c r="F99" i="8"/>
  <c r="F102" i="8"/>
  <c r="F101" i="8"/>
  <c r="F106" i="8"/>
  <c r="F109" i="8"/>
  <c r="J159" i="13"/>
  <c r="N159" i="13" s="1"/>
  <c r="J51" i="13"/>
  <c r="N51" i="13" s="1"/>
  <c r="J87" i="13"/>
  <c r="N87" i="13" s="1"/>
  <c r="F6" i="14"/>
  <c r="F4" i="14"/>
  <c r="F9" i="14"/>
  <c r="F12" i="14"/>
  <c r="F8" i="14"/>
  <c r="F5" i="14"/>
  <c r="F10" i="14"/>
  <c r="F7" i="14"/>
  <c r="F11" i="14"/>
  <c r="F14" i="14"/>
  <c r="F13" i="14"/>
  <c r="F3" i="14"/>
  <c r="F33" i="8"/>
  <c r="F27" i="8"/>
  <c r="F36" i="8"/>
  <c r="F28" i="8"/>
  <c r="F35" i="8"/>
  <c r="F29" i="8"/>
  <c r="F38" i="8"/>
  <c r="F32" i="8"/>
  <c r="F31" i="8"/>
  <c r="F37" i="8"/>
  <c r="F34" i="8"/>
  <c r="F30" i="8"/>
  <c r="J135" i="13"/>
  <c r="N135" i="13" s="1"/>
  <c r="J39" i="13"/>
  <c r="N39" i="13" s="1"/>
  <c r="F18" i="14"/>
  <c r="F17" i="14"/>
  <c r="F21" i="14"/>
  <c r="F16" i="14"/>
  <c r="F20" i="14"/>
  <c r="F23" i="14"/>
  <c r="F19" i="14"/>
  <c r="F24" i="14"/>
  <c r="F15" i="14"/>
  <c r="F22" i="14"/>
  <c r="F26" i="14"/>
  <c r="F25" i="14"/>
  <c r="F44" i="8"/>
  <c r="F46" i="8"/>
  <c r="F41" i="8"/>
  <c r="F49" i="8"/>
  <c r="F39" i="8"/>
  <c r="F42" i="8"/>
  <c r="F48" i="8"/>
  <c r="F45" i="8"/>
  <c r="F47" i="8"/>
  <c r="F50" i="8"/>
  <c r="F40" i="8"/>
  <c r="F43" i="8"/>
  <c r="J243" i="13"/>
  <c r="N243" i="13" s="1"/>
  <c r="F80" i="8"/>
  <c r="F82" i="8"/>
  <c r="F85" i="8"/>
  <c r="F86" i="8"/>
  <c r="F77" i="8"/>
  <c r="F78" i="8"/>
  <c r="F76" i="8"/>
  <c r="F79" i="8"/>
  <c r="F81" i="8"/>
  <c r="F75" i="8"/>
  <c r="F83" i="8"/>
  <c r="F84" i="8"/>
  <c r="J231" i="13"/>
  <c r="N231" i="13" s="1"/>
  <c r="R63" i="8"/>
  <c r="U63" i="8" s="1"/>
  <c r="J207" i="13"/>
  <c r="N207" i="13" s="1"/>
  <c r="J111" i="13"/>
  <c r="N111" i="13" s="1"/>
  <c r="F52" i="8"/>
  <c r="F58" i="8"/>
  <c r="F61" i="8"/>
  <c r="F51" i="8"/>
  <c r="F53" i="8"/>
  <c r="F55" i="8"/>
  <c r="F54" i="8"/>
  <c r="F60" i="8"/>
  <c r="F57" i="8"/>
  <c r="F56" i="8"/>
  <c r="F59" i="8"/>
  <c r="F62" i="8"/>
  <c r="J183" i="13"/>
  <c r="N183" i="13" s="1"/>
  <c r="J63" i="13"/>
  <c r="N63" i="13" s="1"/>
  <c r="F124" i="8"/>
  <c r="F128" i="8"/>
  <c r="F123" i="8"/>
  <c r="F125" i="8"/>
  <c r="F130" i="8"/>
  <c r="F132" i="8"/>
  <c r="F131" i="8"/>
  <c r="F133" i="8"/>
  <c r="F129" i="8"/>
  <c r="F126" i="8"/>
  <c r="F134" i="8"/>
  <c r="F127" i="8"/>
  <c r="R99" i="8" l="1"/>
  <c r="U99" i="8" s="1"/>
  <c r="R111" i="8"/>
  <c r="R51" i="8"/>
  <c r="R123" i="8"/>
  <c r="U123" i="8" s="1"/>
  <c r="R3" i="14"/>
  <c r="R27" i="8"/>
  <c r="R75" i="8"/>
  <c r="U75" i="8" s="1"/>
  <c r="R39" i="8"/>
  <c r="R15"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tc={155BE5BD-3489-4217-A95A-A2AF4E15D3C9}</author>
    <author>Marya Thawer</author>
    <author>tc={35DAAFAC-7CBE-44E3-956F-6ECC764A8CDC}</author>
    <author>tc={28E88453-F098-4E5E-8C48-31B2F2A4E45C}</author>
    <author>tc={78C6F154-ABD6-4CD3-9279-4A2E3088CFB2}</author>
  </authors>
  <commentList>
    <comment ref="G87" authorId="0" shapeId="0" xr:uid="{155BE5BD-3489-4217-A95A-A2AF4E15D3C9}">
      <text>
        <t xml:space="preserve">[Threaded comment]
Your version of Excel allows you to read this threaded comment; however, any edits to it will get removed if the file is opened in a newer version of Excel. Learn more: https://go.microsoft.com/fwlink/?linkid=870924
Comment:
    Come from split meter
</t>
      </text>
    </comment>
    <comment ref="F243" authorId="1" shapeId="0" xr:uid="{8FB1881F-EFC9-4C7B-AB7F-8D166543BD6B}">
      <text>
        <r>
          <rPr>
            <b/>
            <sz val="9"/>
            <color indexed="81"/>
            <rFont val="Tahoma"/>
            <family val="2"/>
          </rPr>
          <t>Marya Thawer:</t>
        </r>
        <r>
          <rPr>
            <sz val="9"/>
            <color indexed="81"/>
            <rFont val="Tahoma"/>
            <family val="2"/>
          </rPr>
          <t xml:space="preserve">
15% lecture, 27% faculty office</t>
        </r>
      </text>
    </comment>
    <comment ref="F399" authorId="1" shapeId="0" xr:uid="{337DB252-276E-4A74-8BDD-610006328CC4}">
      <text>
        <r>
          <rPr>
            <b/>
            <sz val="9"/>
            <color indexed="81"/>
            <rFont val="Tahoma"/>
            <family val="2"/>
          </rPr>
          <t>Marya Thawer:</t>
        </r>
        <r>
          <rPr>
            <sz val="9"/>
            <color indexed="81"/>
            <rFont val="Tahoma"/>
            <family val="2"/>
          </rPr>
          <t xml:space="preserve">
Could be residential</t>
        </r>
      </text>
    </comment>
    <comment ref="F663" authorId="2" shapeId="0" xr:uid="{35DAAFAC-7CBE-44E3-956F-6ECC764A8CDC}">
      <text>
        <t>[Threaded comment]
Your version of Excel allows you to read this threaded comment; however, any edits to it will get removed if the file is opened in a newer version of Excel. Learn more: https://go.microsoft.com/fwlink/?linkid=870924
Comment:
    Office</t>
      </text>
    </comment>
    <comment ref="J663" authorId="3" shapeId="0" xr:uid="{28E88453-F098-4E5E-8C48-31B2F2A4E45C}">
      <text>
        <t xml:space="preserve">[Threaded comment]
Your version of Excel allows you to read this threaded comment; however, any edits to it will get removed if the file is opened in a newer version of Excel. Learn more: https://go.microsoft.com/fwlink/?linkid=870924
Comment:
    Taken from 2018
</t>
      </text>
    </comment>
    <comment ref="C771" authorId="4" shapeId="0" xr:uid="{78C6F154-ABD6-4CD3-9279-4A2E3088CFB2}">
      <text>
        <t>[Threaded comment]
Your version of Excel allows you to read this threaded comment; however, any edits to it will get removed if the file is opened in a newer version of Excel. Learn more: https://go.microsoft.com/fwlink/?linkid=870924
Comment:
    Does this exist?
Reply:
    Will thinks this is referring to lot 4</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tc={C08CF4A1-32F0-4B37-89F3-DB600B210EBD}</author>
    <author>tc={95A12799-70E1-4569-98C1-BE1C0AAC0EC1}</author>
    <author>tc={780FC651-A206-4F03-9AAE-F418D72048BD}</author>
    <author>tc={635E6381-842A-4EAE-8AF3-99345D154856}</author>
  </authors>
  <commentList>
    <comment ref="D27" authorId="0" shapeId="0" xr:uid="{C08CF4A1-32F0-4B37-89F3-DB600B210EBD}">
      <text>
        <t xml:space="preserve">[Threaded comment]
Your version of Excel allows you to read this threaded comment; however, any edits to it will get removed if the file is opened in a newer version of Excel. Learn more: https://go.microsoft.com/fwlink/?linkid=870924
Comment:
    Plus corp trades area
</t>
      </text>
    </comment>
    <comment ref="E51" authorId="1" shapeId="0" xr:uid="{95A12799-70E1-4569-98C1-BE1C0AAC0EC1}">
      <text>
        <t>[Threaded comment]
Your version of Excel allows you to read this threaded comment; however, any edits to it will get removed if the file is opened in a newer version of Excel. Learn more: https://go.microsoft.com/fwlink/?linkid=870924
Comment:
    Changed to theatre only to match EUI as there was Eui for auditorium</t>
      </text>
    </comment>
    <comment ref="E63" authorId="2" shapeId="0" xr:uid="{780FC651-A206-4F03-9AAE-F418D72048BD}">
      <text>
        <t>[Threaded comment]
Your version of Excel allows you to read this threaded comment; however, any edits to it will get removed if the file is opened in a newer version of Excel. Learn more: https://go.microsoft.com/fwlink/?linkid=870924
Comment:
    Changed to theatre only to match EUI as there was Eui for auditorium</t>
      </text>
    </comment>
    <comment ref="E75" authorId="3" shapeId="0" xr:uid="{635E6381-842A-4EAE-8AF3-99345D154856}">
      <text>
        <t>[Threaded comment]
Your version of Excel allows you to read this threaded comment; however, any edits to it will get removed if the file is opened in a newer version of Excel. Learn more: https://go.microsoft.com/fwlink/?linkid=870924
Comment:
    Changed to theatre only to match EUI as there was Eui for auditorium</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tc={BF3D7E91-1BB8-4268-9819-5CBC58A1FDDF}</author>
  </authors>
  <commentList>
    <comment ref="A63" authorId="0" shapeId="0" xr:uid="{BF3D7E91-1BB8-4268-9819-5CBC58A1FDDF}">
      <text>
        <t>[Threaded comment]
Your version of Excel allows you to read this threaded comment; however, any edits to it will get removed if the file is opened in a newer version of Excel. Learn more: https://go.microsoft.com/fwlink/?linkid=870924
Comment:
    Does this exist?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tc={B3523EBB-504C-4074-A132-B261445EB624}</author>
  </authors>
  <commentList>
    <comment ref="E3" authorId="0" shapeId="0" xr:uid="{B3523EBB-504C-4074-A132-B261445EB624}">
      <text>
        <t xml:space="preserve">[Threaded comment]
Your version of Excel allows you to read this threaded comment; however, any edits to it will get removed if the file is opened in a newer version of Excel. Learn more: https://go.microsoft.com/fwlink/?linkid=870924
Comment:
    Ask what this represents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tc={34A04E38-E9FB-49AC-A419-77828E5B38AD}</author>
    <author>tc={3749B2DB-566F-4BF5-B46E-DF8B95A17640}</author>
  </authors>
  <commentList>
    <comment ref="G10" authorId="0" shapeId="0" xr:uid="{34A04E38-E9FB-49AC-A419-77828E5B38AD}">
      <text>
        <t xml:space="preserve">[Threaded comment]
Your version of Excel allows you to read this threaded comment; however, any edits to it will get removed if the file is opened in a newer version of Excel. Learn more: https://go.microsoft.com/fwlink/?linkid=870924
Comment:
    This does not include garage
</t>
      </text>
    </comment>
    <comment ref="P10" authorId="1" shapeId="0" xr:uid="{3749B2DB-566F-4BF5-B46E-DF8B95A17640}">
      <text>
        <t xml:space="preserve">[Threaded comment]
Your version of Excel allows you to read this threaded comment; however, any edits to it will get removed if the file is opened in a newer version of Excel. Learn more: https://go.microsoft.com/fwlink/?linkid=870924
Comment:
    This divided by area with garage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Marya Thawer</author>
  </authors>
  <commentList>
    <comment ref="D375" authorId="0" shapeId="0" xr:uid="{3BFDD6C3-D565-4113-BC5B-07A587F510D7}">
      <text>
        <r>
          <rPr>
            <b/>
            <sz val="9"/>
            <color indexed="81"/>
            <rFont val="Tahoma"/>
            <family val="2"/>
          </rPr>
          <t>Marya Thawer:</t>
        </r>
        <r>
          <rPr>
            <sz val="9"/>
            <color indexed="81"/>
            <rFont val="Tahoma"/>
            <family val="2"/>
          </rPr>
          <t xml:space="preserve">
Could be residential</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<sst xmlns="http://schemas.openxmlformats.org/spreadsheetml/2006/main" count="5966" uniqueCount="722">
  <si>
    <t>Timestamp</t>
  </si>
  <si>
    <t>Building Name</t>
  </si>
  <si>
    <t>Area</t>
  </si>
  <si>
    <t>Building Use Type</t>
  </si>
  <si>
    <t>Electricity 1 (kWh)</t>
  </si>
  <si>
    <t>Electricity 2 (kWh)</t>
  </si>
  <si>
    <t>Gas (therm)</t>
  </si>
  <si>
    <t>Steam (therm)</t>
  </si>
  <si>
    <t>Chilled Water (tons)</t>
  </si>
  <si>
    <t>Electricity 2 (kWh)_cost</t>
  </si>
  <si>
    <t>Gas (therm)_cost</t>
  </si>
  <si>
    <t>AS: Well Water (M) - Archived Usage - Archived</t>
  </si>
  <si>
    <t>ATM PG&amp;E SMD: ATM Electric (0161691543 / 0161691654) Usage</t>
  </si>
  <si>
    <t>SJSU Main Campus Solar Duke Energy PPA (DER: 3802433) Cost</t>
  </si>
  <si>
    <t>SJSU Main Campus Solar Duke Energy PPA (DER: 3802433) Usage</t>
  </si>
  <si>
    <t>SJSU South Campus Solar Duke Energy PPA (DER: 3802432) Cost</t>
  </si>
  <si>
    <t>SJSU South Campus Solar Duke Energy PPA (DER: 3802432) Usage</t>
  </si>
  <si>
    <t>Stadium: East Side Electric (Closed) (PG&amp;E: 4147571902-1 / 4145909668) Cost</t>
  </si>
  <si>
    <t>Stadium: East Side Electric (Closed) (PG&amp;E: 4147571902-1 / 4145909668) Usage</t>
  </si>
  <si>
    <t>Stadium: South Scoreboard Electric (PG&amp;E: 4147571902-1 / 7870442434) Cost</t>
  </si>
  <si>
    <t>Stadium: South Scoreboard Electric (PG&amp;E: 4147571902-1 / 7870442434) Usage</t>
  </si>
  <si>
    <t>SC: CEFCU Stadium PG&amp;E SMD: Stadium Concession Stand Electric (4147571902 / 4146304770) Usage</t>
  </si>
  <si>
    <t>SC: CEFCU Stadium PG&amp;E SMD: Stadium East Side Electric (4147571902 / 4145909668) Usage</t>
  </si>
  <si>
    <t>SC: CEFCU Stadium PG&amp;E SMD: Stadium South Scoreboard Electric (4147571902 / 7870442434) Usage</t>
  </si>
  <si>
    <t>SC: CEFCU Stadium PG&amp;E SMD: West Main Gate Electric (4147571902 / 4140791751) Usage</t>
  </si>
  <si>
    <t>SC: CEFCU Stadium PG&amp;E SMD: West Ticket Booth + Stadium Light Electric (4147571902 / 4144777738) Usage</t>
  </si>
  <si>
    <t>West Ticket Booth + Stadium Light Electric (PG&amp;E: 4147571902-1 / 4146948395) Cost</t>
  </si>
  <si>
    <t>West Ticket Booth + Stadium Light Electric (PG&amp;E: 4147571902-1 / 4146948395) Usage</t>
  </si>
  <si>
    <t>CDC: Elec (PG&amp;E: 8588879680-3 / 8588879609) Cost</t>
  </si>
  <si>
    <t>SC: Concessions PG&amp;E SMD: Parking Electric (2912101405 / 2912101607) Usage</t>
  </si>
  <si>
    <t>Suburban Propane: Corp Yard (1644-002486) Cost</t>
  </si>
  <si>
    <t>Suburban Propane: Corp Yard (1644-002486) Usage</t>
  </si>
  <si>
    <t>MLK: CHW Meter (M) Usage (Archived)</t>
  </si>
  <si>
    <t>MLK: Steam Meter (M) Usage (Archived 2015-2021)</t>
  </si>
  <si>
    <t>Duncan Electric Meter (N4) Usage</t>
  </si>
  <si>
    <t>Duncan Hall: Electricity 2 (M) Usage</t>
  </si>
  <si>
    <t>Eng Electric Meter (N4) Usage</t>
  </si>
  <si>
    <t>Field House: Electric (PG&amp;E: 4147571902-1 / 4142867809) Cost</t>
  </si>
  <si>
    <t>Field House: Electric (PG&amp;E: 4147571902-1 / 4142867809) Usage</t>
  </si>
  <si>
    <t>SC: Field House PG&amp;E SMD: Athletic Module Electric (4147571902 / 4149254333) Usage</t>
  </si>
  <si>
    <t>SC: Field House PG&amp;E SMD: Field House Electric (4147571902 / 4146143451) Usage</t>
  </si>
  <si>
    <t>Golf Complex PG&amp;E SMD: Golf Electric (4147571902 / 4148940516) Usage</t>
  </si>
  <si>
    <t>HT: Aux Fire Pump Elec (PG&amp;E: 6290092604-9 / 6290092893) Cost</t>
  </si>
  <si>
    <t>HT: Aux Fire Pump Elec (PG&amp;E: 6290092604-9 / 6290092893) Usage</t>
  </si>
  <si>
    <t>HT: Elec Total (C) Cost (C)</t>
  </si>
  <si>
    <t>HT: Elec Total (C) Usage (C)</t>
  </si>
  <si>
    <t>HT: Main Elec (PG&amp;E: 6290092604-9 / 6290092168) Cost</t>
  </si>
  <si>
    <t>HT: Main Elec (PG&amp;E: 6290092604-9 / 6290092168) Usage</t>
  </si>
  <si>
    <t>OFF: Hammer Theater PG&amp;E SMD: HT Gas (6290092604 / 6290092347) Usage</t>
  </si>
  <si>
    <t>OFF: Hammer Theater PG&amp;E SMD: HT Main Electric (6290092604 / 6290092168) Usage</t>
  </si>
  <si>
    <t>HGH CHW Meter (N4) Usage</t>
  </si>
  <si>
    <t>HGH Electric Meter (N4) Usage</t>
  </si>
  <si>
    <t>HGH Steam Meter (N4) Usage</t>
  </si>
  <si>
    <t>MacQuarrie Hall: Steam (M) Usage.1</t>
  </si>
  <si>
    <t>MQH: CHW-78-1-2 (M) Usage - Archived</t>
  </si>
  <si>
    <t>MQH: CHW-78-2-2 (M) Usage</t>
  </si>
  <si>
    <t>MQH: CHW Meter (N4) Usage</t>
  </si>
  <si>
    <t>MQH: Elec Old AS House ISB Temp 1 (M) Usage</t>
  </si>
  <si>
    <t>MQH: Elec Spartan Shops (M) Usage</t>
  </si>
  <si>
    <t>MQH: Elec SWB PC-1 (M) Usage - Archived</t>
  </si>
  <si>
    <t>MQH: Elec Total (C) Usage</t>
  </si>
  <si>
    <t>MQH: Electric Meter (N4) Usage</t>
  </si>
  <si>
    <t>MQH: Steam Meter (M) Usage - Archived</t>
  </si>
  <si>
    <t>MQH: Steam Meter (N4) Usage</t>
  </si>
  <si>
    <t>MLML: Pump House Elec (PG&amp;E: 1003320516-1 / 1003320595) Cost</t>
  </si>
  <si>
    <t>MLML: Pump House Elec (PG&amp;E: 1003320516-1 / 1003320595) Usage</t>
  </si>
  <si>
    <t>MLML: Sea Lion Elec A (PG&amp;E: 4269991711-0 / 4269991931) Cost</t>
  </si>
  <si>
    <t>MLML: Sea Lion Elec A (PG&amp;E: 4269991711-0 / 4269991931) Usage</t>
  </si>
  <si>
    <t>MLML: Sea Lion Elec B (PG&amp;E: 8651222183-8 / 8651222327) Cost</t>
  </si>
  <si>
    <t>MLML: Sea Lion Elec B (PG&amp;E: 8651222183-8 / 8651222327) Usage</t>
  </si>
  <si>
    <t>MLML: Sea Lion Gas (PG&amp;E: 7265654370-8 / 7265654005) Cost</t>
  </si>
  <si>
    <t>MLML: Sea Lion Gas (PG&amp;E: 7265654370-8 / 7265654005) Usage</t>
  </si>
  <si>
    <t>MLML: Small Boats Electric (PG&amp;E: 5130218023-0 / 5130218783) Cost</t>
  </si>
  <si>
    <t>MLML: Small Boats Electric (PG&amp;E: 5130218023-0 / 5130218783) Usage</t>
  </si>
  <si>
    <t>MLML: Small Boats Gas (PG&amp;E: 7963846344-2 / 7963846005) Cost</t>
  </si>
  <si>
    <t>MLML: Small Boats Gas (PG&amp;E: 7963846344-2 / 7963846005) Usage</t>
  </si>
  <si>
    <t>OFF: Marine Lab PG&amp;E SMD: MLML Main Electric (9928867424 / 9928500055) Usage</t>
  </si>
  <si>
    <t>OFF: Marine Lab PG&amp;E SMD: MLML Main Gas (4348987890 / 4348987005) Usage</t>
  </si>
  <si>
    <t>OFF: Marine Lab PG&amp;E SMD: MLML Pump House Elec (1003320516 / 1003320595) Usage</t>
  </si>
  <si>
    <t>OFF: Marine Lab PG&amp;E SMD: MLML Sea Lion Elec A (4269991711 / 4269991931) Usage</t>
  </si>
  <si>
    <t>Music: South Steam (Bamboo Grove) (M) Usage - Archived</t>
  </si>
  <si>
    <t>Music: Steam 1 (M) Usage</t>
  </si>
  <si>
    <t>Music: Steam 2 (M) Usage</t>
  </si>
  <si>
    <t>Music 1 CHW Meter (N4) Usage</t>
  </si>
  <si>
    <t>Music 1 Electric Meter (N4) Usage</t>
  </si>
  <si>
    <t>Music 1 Steam Meter (N4) Usage</t>
  </si>
  <si>
    <t>Music 2 CHW Meter (N4) Usage</t>
  </si>
  <si>
    <t>Music 2 Electric Meter (N4) Usage</t>
  </si>
  <si>
    <t>Music 2 Steam Meter (N4) Usage</t>
  </si>
  <si>
    <t>SC: Physical Ed PG&amp;E SMD: Marching Band Field Electric (4147571902 / 7953776421) Usage</t>
  </si>
  <si>
    <t>SC: Physical Ed PG&amp;E SMD: Softball/Tennis/Batting Cages Electric (4147571902 / 4143162076) Usage</t>
  </si>
  <si>
    <t>EVC: Chilled Water Usage (M)</t>
  </si>
  <si>
    <t>EVC: Chilled Water Usage (M) - Archived (2013-2015)</t>
  </si>
  <si>
    <t>EVC: Chilled Water Usage (M) - Archived (2015-2021)</t>
  </si>
  <si>
    <t>EVC: Steam (M) Usage - Estimate</t>
  </si>
  <si>
    <t>SC: Simpkins Athletic PG&amp;E SMD: Import Simpkins Athletic Electric (4147571902 / 4147571157) Usage</t>
  </si>
  <si>
    <t>SRAC CHW (M) Usage</t>
  </si>
  <si>
    <t>SPXEast: Steam (M) Usage - Archived</t>
  </si>
  <si>
    <t>SPX East Electric Meter (N4) Usage</t>
  </si>
  <si>
    <t>SPX East Steam Meter (N4) Usage</t>
  </si>
  <si>
    <t>SCC: Ramp Lighting (M) Usage</t>
  </si>
  <si>
    <t>Student Services PG&amp;E SMD: SSC Gas (9817802206 / 9817802005) Usage</t>
  </si>
  <si>
    <t>SWC: CHW (M) Usage</t>
  </si>
  <si>
    <t>SH: CHW Mech Rm 128 Usage - Archived</t>
  </si>
  <si>
    <t>SH: CHW Rm 122 Usage - Archived</t>
  </si>
  <si>
    <t>SH: Elec Rm 122 Usage - Archived</t>
  </si>
  <si>
    <t>SH: Steam Rm 122 Usage (M)</t>
  </si>
  <si>
    <t>SH: Steam Rm 122 Usage (M) - Archived (Feb 20-Nov 21)</t>
  </si>
  <si>
    <t>Sweeney Hall: Chilled Water 2 (M) Usage</t>
  </si>
  <si>
    <t>Sweeney Hall CHW Meter (N4) Usage</t>
  </si>
  <si>
    <t>Sweeney Hall Electric Meter (N4) Usage</t>
  </si>
  <si>
    <t>Sweeney Hall Steam Meter (N4) Usage</t>
  </si>
  <si>
    <t>WSH: Elec (PG&amp;E: 9340746607-2 / 9341926972) Cost</t>
  </si>
  <si>
    <t>WSH: Elec (PG&amp;E: 9340746607-2 / 9341926972) Usage</t>
  </si>
  <si>
    <t>WSH: NatGas (PG&amp;E: 4564269832-3 / 4564269015) Usage</t>
  </si>
  <si>
    <t>WSH: Elec (M) Usage - Archived</t>
  </si>
  <si>
    <t>YUH: CHW (M) Usage - Archived</t>
  </si>
  <si>
    <t>YUH: Elec (M) Usage - Archived</t>
  </si>
  <si>
    <t>YUH: Steam (M) Usage - Archived</t>
  </si>
  <si>
    <t>Uchida Hall CHW Meter (N4) Usage</t>
  </si>
  <si>
    <t>Uchida Hall Electric Meter (N4) Usage</t>
  </si>
  <si>
    <t>Uchida Hall Steam Meter (N4) Usage</t>
  </si>
  <si>
    <t>Administration</t>
  </si>
  <si>
    <t>Office</t>
  </si>
  <si>
    <t>Art Foundry</t>
  </si>
  <si>
    <t>Storage</t>
  </si>
  <si>
    <t>Art</t>
  </si>
  <si>
    <t>Academic</t>
  </si>
  <si>
    <t>Associated Students House</t>
  </si>
  <si>
    <t>Automated Bank Teller Facility</t>
  </si>
  <si>
    <t>Boccardo Business Classroom Building</t>
  </si>
  <si>
    <t>Business Tower</t>
  </si>
  <si>
    <t>Campus Village 1</t>
  </si>
  <si>
    <t>Campus Village Phase 2</t>
  </si>
  <si>
    <t>Residential</t>
  </si>
  <si>
    <t>CEFCU Stadium</t>
  </si>
  <si>
    <t>Outdoor Athletics</t>
  </si>
  <si>
    <t>Central Classroom Building</t>
  </si>
  <si>
    <t>Child Development Center</t>
  </si>
  <si>
    <t>Clark Hall</t>
  </si>
  <si>
    <t>Concession Buildings</t>
  </si>
  <si>
    <t>Corporation Yard Offices</t>
  </si>
  <si>
    <t>Corporation Yard Trades Building</t>
  </si>
  <si>
    <t>Warehouse</t>
  </si>
  <si>
    <t>Dining Commons</t>
  </si>
  <si>
    <t>Food Service</t>
  </si>
  <si>
    <t>Dr. Martin Luther King, Jr. Library</t>
  </si>
  <si>
    <t>Library</t>
  </si>
  <si>
    <t>Duncan Hall</t>
  </si>
  <si>
    <t xml:space="preserve">Lab </t>
  </si>
  <si>
    <t>Dwight Bentel Hall</t>
  </si>
  <si>
    <t>Engineering</t>
  </si>
  <si>
    <t>Field House</t>
  </si>
  <si>
    <t>Athletics</t>
  </si>
  <si>
    <t>Golf Complex</t>
  </si>
  <si>
    <t>Hammer Theater</t>
  </si>
  <si>
    <t>Theater</t>
  </si>
  <si>
    <t>Health Building</t>
  </si>
  <si>
    <t>Hugh Gillis Hall</t>
  </si>
  <si>
    <t>Industrial Studies</t>
  </si>
  <si>
    <t>Interdisciplinary Science Building</t>
  </si>
  <si>
    <t>International House</t>
  </si>
  <si>
    <t>Joe West Hall</t>
  </si>
  <si>
    <t>Koret Center</t>
  </si>
  <si>
    <t>MacQuarrie Hall</t>
  </si>
  <si>
    <t>Modular F,A,B</t>
  </si>
  <si>
    <t>Moss Landing Marine Lab Main Laboratory</t>
  </si>
  <si>
    <t>Music</t>
  </si>
  <si>
    <t>Outdoor Physical Education-2</t>
  </si>
  <si>
    <t>Outdoor Physical Education</t>
  </si>
  <si>
    <t>Provident Credit Union Event Center</t>
  </si>
  <si>
    <t>Reid Hillview Airport</t>
  </si>
  <si>
    <t>Science</t>
  </si>
  <si>
    <t>SC_Track &amp; Field</t>
  </si>
  <si>
    <t>Simpkins Center Storage Building</t>
  </si>
  <si>
    <t>Simpkins Stadium Center</t>
  </si>
  <si>
    <t>Spartan Recreation and Aquatic Center</t>
  </si>
  <si>
    <t>SPX Central</t>
  </si>
  <si>
    <t>SPX East</t>
  </si>
  <si>
    <t>Storage Building</t>
  </si>
  <si>
    <t>Student Services Center</t>
  </si>
  <si>
    <t>Student Wellness Center</t>
  </si>
  <si>
    <t>Sweeney Hall</t>
  </si>
  <si>
    <t>Washington Square Hall</t>
  </si>
  <si>
    <t>Yoshihiro Uchida Hall</t>
  </si>
  <si>
    <t>Steam</t>
  </si>
  <si>
    <t>Gas</t>
  </si>
  <si>
    <t>Chilled Water</t>
  </si>
  <si>
    <t>Electricity</t>
  </si>
  <si>
    <t/>
  </si>
  <si>
    <t>Campus Village A-Food Tenant</t>
  </si>
  <si>
    <t>List of meter names</t>
  </si>
  <si>
    <t>SC: Koret PG&amp;E SMD: Koret Ctr Electric (4147571902 / 9578775038) Usage</t>
  </si>
  <si>
    <t>Koret Ctr: Gas (PG&amp;E: 4147571902-1 / 9620442005) Usage</t>
  </si>
  <si>
    <t>MacQuarrie Hall- Spartan Shops</t>
  </si>
  <si>
    <t>MacQuarrie Hall: Electricity (M) Usage</t>
  </si>
  <si>
    <t>Spartan Shops is not included in the MacQuarrie Hall: Electricity (M) Usage meter?</t>
  </si>
  <si>
    <t>MacQuarrie Hall: Steam (M) Usage</t>
  </si>
  <si>
    <t>MacQuarrie Hall: Chilled Water (M) Usage</t>
  </si>
  <si>
    <t>Mod F: Electric (PG&amp;E: 4672084975-4 / 4672084566) Usage</t>
  </si>
  <si>
    <t>Mod F: Electric (PG&amp;E: 4672084975-4 / 4672084566) &amp;  Modular F, A, B PG&amp;E SMD: Mod F Electric (4672084975 / 4672084566) are the same meter? Only first month is different</t>
  </si>
  <si>
    <t>MLML: Main Electric (PG&amp;E: 9928867424-7 / 9928500055) Usage</t>
  </si>
  <si>
    <t>Main and sea lion gas is added</t>
  </si>
  <si>
    <t>MLML: Main Gas (PG&amp;E: 4348987890-0 / 4348987005) Usage</t>
  </si>
  <si>
    <t>Pump house and boats electric/gas is not counted- Process loads?</t>
  </si>
  <si>
    <t>Music: Electricity (M) Usage</t>
  </si>
  <si>
    <t>Music: Chilled Water (M) Usage</t>
  </si>
  <si>
    <t>Music: Chilled Water (M) Usage -- this usage is very low. Did some thing go offline , should we take naother year for chilled water</t>
  </si>
  <si>
    <t>EVC: Electric Meter (M) Usage</t>
  </si>
  <si>
    <t>EVC: Steam (M) Usage</t>
  </si>
  <si>
    <t>Reid-Hillview Airport: Electric (County of SC: 7856821607) Usage</t>
  </si>
  <si>
    <t>Reid-Hillview Airport: Gas (County of SC: 2866353030) Cost</t>
  </si>
  <si>
    <t>what is this meter--EVC: Chilled Water Usage © ©</t>
  </si>
  <si>
    <t>Simpkins Athletic: Electric (PG&amp;E: 4147571902-1 / 4149482340) Usage</t>
  </si>
  <si>
    <t>Simpkins Athletic: Gas (PG&amp;E: 4147571902-1 / 3037101005) Usage</t>
  </si>
  <si>
    <t>there are import and export electric meters, what are they. This electric meter is negative</t>
  </si>
  <si>
    <t>Science: Electricity (M) Usage</t>
  </si>
  <si>
    <t>Storage Electric (PG&amp;E: 4147571902-1 / 4145273835) Usage</t>
  </si>
  <si>
    <t>Simpkins Ctr: Gas (PG&amp;E: 4147571902-1 / 9537109005) Usage</t>
  </si>
  <si>
    <t>SC: Simpkins Stadium PG&amp;E SMD: Simpkins Ctr Electric (4147571902 / 1887205009) Usage</t>
  </si>
  <si>
    <t>Simpkins Ctr: Electric (PG&amp;E: 4147571902-1 / 4149271279) Usage</t>
  </si>
  <si>
    <t>there are two electric meters, one has negative, why are they different meters with the similar account number</t>
  </si>
  <si>
    <t>SRAC Electric (M) Usage</t>
  </si>
  <si>
    <t>SRAC Steam (M) Usage</t>
  </si>
  <si>
    <t>Are SPX central and west different ? All meters are labeled as west(archived) and submeters are central. Which should we take</t>
  </si>
  <si>
    <t>SPX/YUH Gas (PG&amp;E: 4880418295-3 / 4880418005) Usage</t>
  </si>
  <si>
    <t>SPXWest: Electric (M) Usage - Archived</t>
  </si>
  <si>
    <t>SPXWest: Steam (M) Usage - Archived</t>
  </si>
  <si>
    <t>SPXWest: Chilled Water (M) Usage - Archived</t>
  </si>
  <si>
    <t>SPX East: Steam (east) (M) Usage</t>
  </si>
  <si>
    <t>Electric demand is 0</t>
  </si>
  <si>
    <t>Housing: Block House Electric (Closed) (PG&amp;E: 4147571902-1 / 8368689835) Usage</t>
  </si>
  <si>
    <t>should we be adding ramp lighing electric</t>
  </si>
  <si>
    <t>SSC: Main Electric (M) Usage</t>
  </si>
  <si>
    <t>SSC: Gas (PG&amp;E: 9817802206-1 / 9817802005) Usage</t>
  </si>
  <si>
    <t>SWC: Electric (M) Usage</t>
  </si>
  <si>
    <t>SWC: Steam (M) Usage</t>
  </si>
  <si>
    <t>Sweeney Hall: Chilled Water 1 (M) Usage</t>
  </si>
  <si>
    <t>chilled water 1 and 2 added . CHW rm 122/128 not considered - do we need to?</t>
  </si>
  <si>
    <t>Sweeney Hall: Electricity (M) Usage</t>
  </si>
  <si>
    <t>elec rm 122 meter not considered(not there in 2023)</t>
  </si>
  <si>
    <t>steam N4 meter is 0,no other steam meter availble</t>
  </si>
  <si>
    <t>Washington Square Hall : Electricity (M) Usage</t>
  </si>
  <si>
    <t>Washington Square Hall : Steam (M) Usage</t>
  </si>
  <si>
    <t>Washington Square Hall : Chilled Water (M) Usage</t>
  </si>
  <si>
    <t>Uchida Hall: Electricity (M) Usage</t>
  </si>
  <si>
    <t>Uchida Hall: Steam (M) Usage</t>
  </si>
  <si>
    <t>2018 CHW data considered cause 2023 data quality is poor</t>
  </si>
  <si>
    <t>Admin: Electricity (M) Usage - Archived</t>
  </si>
  <si>
    <t>Art Foundry: Electric (PG&amp;E: 5463751591-4 / 5469494524) Usage</t>
  </si>
  <si>
    <t>Art Foundry: Gas (PG&amp;E: 5317852558-9 / 5317852005) Usage</t>
  </si>
  <si>
    <t>Art : Chilled Water (M) Usage</t>
  </si>
  <si>
    <t>Art : Electricity (M) Usage</t>
  </si>
  <si>
    <t>Art PG&amp;E SMD: Art Gas (4713751639 / 4713751005) Usage</t>
  </si>
  <si>
    <t>Art : Steam (M) Usage</t>
  </si>
  <si>
    <t xml:space="preserve">AS House New Electric (M) Usage </t>
  </si>
  <si>
    <t>ATM: Electric (PG&amp;E: 0161691543-3 / 0161691654) Usage</t>
  </si>
  <si>
    <t>Two solar electric meters -- are they for solar generation from this building?</t>
  </si>
  <si>
    <t>Boccardo Business: Electricity (M) Usage</t>
  </si>
  <si>
    <t>Boccardo Business: Steam (M) Usage</t>
  </si>
  <si>
    <t>Boccardo Business: Chilled Water (M) Usage</t>
  </si>
  <si>
    <t>CV1: Steam Estimate (M) Usage</t>
  </si>
  <si>
    <t>CV1: CHW Estimate (M) Usage</t>
  </si>
  <si>
    <t>Campus Village A CV1: Market Electric Meter (M) Usage</t>
  </si>
  <si>
    <t>CV-A: Electric Meter (M) Usage - Archived</t>
  </si>
  <si>
    <t>electric meter-combination of 2018 and 2019</t>
  </si>
  <si>
    <t>CV2: Electric (M) Usage</t>
  </si>
  <si>
    <t>CV2: Steam (M) Usage</t>
  </si>
  <si>
    <t>CV2: CHW (M) Usage</t>
  </si>
  <si>
    <r>
      <rPr>
        <b/>
        <sz val="10"/>
        <color rgb="FFC00000"/>
        <rFont val="Arial"/>
        <family val="2"/>
      </rPr>
      <t>2018</t>
    </r>
    <r>
      <rPr>
        <b/>
        <sz val="10"/>
        <rFont val="Arial"/>
        <family val="2"/>
      </rPr>
      <t xml:space="preserve"> :SC: CEFCU Stadium PG&amp;E SMD: No. Main Gate Electric (4147571902 / 6595532772) Usage</t>
    </r>
  </si>
  <si>
    <r>
      <rPr>
        <b/>
        <sz val="10"/>
        <color rgb="FFC00000"/>
        <rFont val="Arial"/>
        <family val="2"/>
      </rPr>
      <t>2018:</t>
    </r>
    <r>
      <rPr>
        <b/>
        <sz val="10"/>
        <rFont val="Arial"/>
        <family val="2"/>
      </rPr>
      <t xml:space="preserve"> SC: CEFCU Stadium PG&amp;E SMD: Stadium East Side Electric (4147571902 / 4145909668) Usage</t>
    </r>
  </si>
  <si>
    <t>Is   it correct to combine all electric meters( two are from 2018)</t>
  </si>
  <si>
    <t>Central Classroom Bldg: Electricity (M) Usage</t>
  </si>
  <si>
    <t>Central Classroom Bldg PG&amp;E SMD: CCB Gas (4838752674 / 4838752005) Usage</t>
  </si>
  <si>
    <t>Central Classroom Bldg: Steam (M) Usage</t>
  </si>
  <si>
    <t>Central Classroom Bldg: Chilled Water (M) Usage</t>
  </si>
  <si>
    <t>CDC: Elec (PG&amp;E: 8588879680-3 / 8588879609) Usage</t>
  </si>
  <si>
    <t>CDC: Gas (PG&amp;E: 8588879680-3 / 8588879977) Usage</t>
  </si>
  <si>
    <t>CL: Electric #1 (M) Usage - Archived</t>
  </si>
  <si>
    <t>CL: Electric #2 (M) Usage - Archived</t>
  </si>
  <si>
    <t>CL: Steam (M) Usage - Archived</t>
  </si>
  <si>
    <t>CL: Chilled Water (M) Usage - Archived</t>
  </si>
  <si>
    <t>there are no meters for this building , except parking , do we want that ?</t>
  </si>
  <si>
    <t>CorpYard A: Gas (PG&amp;E: 4755418303-9 / 4755418005) Usage</t>
  </si>
  <si>
    <t>DC: Electric (PG&amp;E: 0345535747-9 / 0345602583) Usage</t>
  </si>
  <si>
    <t>DC: Gas (PG&amp;E: 0078358215-8 / 0078358005) Usage</t>
  </si>
  <si>
    <t>MLK: Main Total Electric Usage (C)</t>
  </si>
  <si>
    <t>MLK: Steam Meter (M) Usage</t>
  </si>
  <si>
    <t>MLK: CHW Meter (M) Usage</t>
  </si>
  <si>
    <t>Dr. Martin Luther King, Jr. Library-Tenants</t>
  </si>
  <si>
    <t>MLK: Bookstore Electric (M) Usage</t>
  </si>
  <si>
    <t>MLK: Market Cafe Electric (M) Usage</t>
  </si>
  <si>
    <t>Duncan Hall: Electricity 1 (M) Usage</t>
  </si>
  <si>
    <t>Duncan Hall: Steam (M) Usage</t>
  </si>
  <si>
    <t>Duncan Hall PG&amp;E SMD: DH Gas (0203358207 / 0203358005) Usage</t>
  </si>
  <si>
    <t>Duncan Hall: Chilled Water (M) Usage</t>
  </si>
  <si>
    <t>there is a meter called DH: Verizon Electric (M) Usage. Is it a tenant?Is it included in elec meter 1 and 2</t>
  </si>
  <si>
    <t>Dwight Bentel Hall: Electricity (M) Usage</t>
  </si>
  <si>
    <t>Dwight Bentel Hall: Steam (M) Usage</t>
  </si>
  <si>
    <r>
      <rPr>
        <b/>
        <sz val="10"/>
        <color rgb="FFFF0000"/>
        <rFont val="Arial"/>
        <family val="2"/>
      </rPr>
      <t>2018 -</t>
    </r>
    <r>
      <rPr>
        <b/>
        <sz val="10"/>
        <rFont val="Arial"/>
        <family val="2"/>
      </rPr>
      <t xml:space="preserve"> DBH: Chilled Water (M) Usage - Archived </t>
    </r>
  </si>
  <si>
    <t>chilled water data extracted from 2018</t>
  </si>
  <si>
    <t>Engineering: Chilled Water (M) Usage</t>
  </si>
  <si>
    <t>Engineering: Steam (M) Usage</t>
  </si>
  <si>
    <t>SC: Field House PG&amp;E SMD: Field House Gas (7088794250 / 7088794005) Usage</t>
  </si>
  <si>
    <t>all three elctric meters have been summed</t>
  </si>
  <si>
    <t>Golf: Electric (PG&amp;E: 4147571902-1 / 4148940516) Usage</t>
  </si>
  <si>
    <t>Which building is this</t>
  </si>
  <si>
    <t>HT: Gas (PG&amp;E: 6290092604-9 / 6290092347) Usage</t>
  </si>
  <si>
    <t>This elec meter is not considered ---  Does the main include it? HT: Aux Fire Pump Elec (PG&amp;E: 6290092604-9 / 6290092893) Usage</t>
  </si>
  <si>
    <t>Health: Electricity (M) Usage</t>
  </si>
  <si>
    <t>Health: Steam (M) Usage</t>
  </si>
  <si>
    <t>Health: Chilled Water (M) Usage</t>
  </si>
  <si>
    <t>Hugh Gillis Hall : Electricity (main) (M) Usage</t>
  </si>
  <si>
    <t>Hugh Gillis Hall : Electricity (mezzanine) (M) Usage</t>
  </si>
  <si>
    <t>Hugh Gillis Hall : Steam (M) Usage</t>
  </si>
  <si>
    <t>Hugh Gillis Hall : Chilled Water (M) Usage</t>
  </si>
  <si>
    <t>Does the main include mezzanine or aare they separate?</t>
  </si>
  <si>
    <t>Industrial Studies PG&amp;E SMD: IS Gas (0328358199 / 0328358005) Usage</t>
  </si>
  <si>
    <t>Industrial Studies: Steam (M) Usage</t>
  </si>
  <si>
    <t>Industrial Studies: Electricity (M) Usage</t>
  </si>
  <si>
    <t>ISB: Chilled Water (M) Usage</t>
  </si>
  <si>
    <t>ISB: Steam (M) Usage</t>
  </si>
  <si>
    <t>ISB Temp Electric 2 (M) Usage</t>
  </si>
  <si>
    <t>miising months</t>
  </si>
  <si>
    <t>Foundation: Int'l House Electric (PG&amp;E: 6630417140-9 / 6630417801) Usage</t>
  </si>
  <si>
    <t>Foundation: Int'l House Gas (PG&amp;E: 6672083804-5 / 6672083005) Usage</t>
  </si>
  <si>
    <t>Joe West Hall PG&amp;E SMD: JW Electric (8262196692 / 8264358394) Usage</t>
  </si>
  <si>
    <t>Joe West Hall PG&amp;E SMD: JW Gas (4564269832 / 4560082337) Usage</t>
  </si>
  <si>
    <t>not a bldg, which bldg is this</t>
  </si>
  <si>
    <t>Questions</t>
  </si>
  <si>
    <t>EUI annual</t>
  </si>
  <si>
    <t>Electric EUI(kBtu/sq.ft)</t>
  </si>
  <si>
    <t>Gas EUI(kBtu/sq.ft)</t>
  </si>
  <si>
    <t>Steam EUI(kBtu/sq.ft)</t>
  </si>
  <si>
    <t>Chilled Water EUI(kBtu/sq.ft)</t>
  </si>
  <si>
    <t>Total EUI(kBtu/sq.ft)</t>
  </si>
  <si>
    <t>campus garage area not counted, is that included in this usage?</t>
  </si>
  <si>
    <t>Propane EUI(kBtu/sq.ft)</t>
  </si>
  <si>
    <t>Only main campus Mod A/B and F considered</t>
  </si>
  <si>
    <t>Simpkins Athletics Building</t>
  </si>
  <si>
    <t>Washburn Hall (Student Residence)</t>
  </si>
  <si>
    <t>Source</t>
  </si>
  <si>
    <r>
      <t>BPD</t>
    </r>
    <r>
      <rPr>
        <b/>
        <vertAlign val="superscript"/>
        <sz val="11"/>
        <color theme="3"/>
        <rFont val="Segoe UI"/>
        <family val="2"/>
      </rPr>
      <t>1</t>
    </r>
  </si>
  <si>
    <t>SJSU</t>
  </si>
  <si>
    <t>Heating Type</t>
  </si>
  <si>
    <t>Electric</t>
  </si>
  <si>
    <t>All</t>
  </si>
  <si>
    <t>Site EUI</t>
  </si>
  <si>
    <t>Mean</t>
  </si>
  <si>
    <t>Median</t>
  </si>
  <si>
    <t>Auditorium</t>
  </si>
  <si>
    <t>Infrastructure</t>
  </si>
  <si>
    <t>Parking</t>
  </si>
  <si>
    <t>Row Labels</t>
  </si>
  <si>
    <t>(blank)</t>
  </si>
  <si>
    <t>Grand Total</t>
  </si>
  <si>
    <t>Average of Electric EUI(kBtu/sq.ft)</t>
  </si>
  <si>
    <t>Average of Gas EUI(kBtu/sq.ft)</t>
  </si>
  <si>
    <t>Average of Steam EUI(kBtu/sq.ft)</t>
  </si>
  <si>
    <t>Average of Chilled Water EUI(kBtu/sq.ft)</t>
  </si>
  <si>
    <t>SkySpark Data</t>
  </si>
  <si>
    <t>SF</t>
  </si>
  <si>
    <t>Type</t>
  </si>
  <si>
    <t>Q1</t>
  </si>
  <si>
    <t>Q3</t>
  </si>
  <si>
    <t>IQR</t>
  </si>
  <si>
    <t>EUI</t>
  </si>
  <si>
    <t>Business Tower-Jazzland Tenant</t>
  </si>
  <si>
    <t>Jazzland: Coffee Conces. (BT) (M) Usage - Archived</t>
  </si>
  <si>
    <t>Lower</t>
  </si>
  <si>
    <t>Upper</t>
  </si>
  <si>
    <t>Is Outlier?</t>
  </si>
  <si>
    <t>Count</t>
  </si>
  <si>
    <t>Facility Name</t>
  </si>
  <si>
    <t>4th Street Building</t>
  </si>
  <si>
    <t>Gateways</t>
  </si>
  <si>
    <t>Moss Landing Marine Lab Aquaculture Facility</t>
  </si>
  <si>
    <t>Moss Landing Marine Lab Marine Operations</t>
  </si>
  <si>
    <t>Moss Landing Marine Lab Pumphouse</t>
  </si>
  <si>
    <t>Moss Landing Marine Lab Shop</t>
  </si>
  <si>
    <t>San Antonio Parking Lot</t>
  </si>
  <si>
    <t>Site Improvements</t>
  </si>
  <si>
    <t>Soccer Field (Natural Turf)</t>
  </si>
  <si>
    <t>South Campus Parking Structure</t>
  </si>
  <si>
    <t>Spartan Athletic Center</t>
  </si>
  <si>
    <t>Tennis Complex</t>
  </si>
  <si>
    <t>Utility Lines</t>
  </si>
  <si>
    <t>Data Availability_Electric</t>
  </si>
  <si>
    <t>Data Availability_Gas</t>
  </si>
  <si>
    <t>Data Availability_CHW</t>
  </si>
  <si>
    <t>Data Availability_Steam</t>
  </si>
  <si>
    <t>N</t>
  </si>
  <si>
    <t>Y</t>
  </si>
  <si>
    <t>-</t>
  </si>
  <si>
    <t>N(maybe)</t>
  </si>
  <si>
    <t>Baseball Batting Structure</t>
  </si>
  <si>
    <t>Modular Building A</t>
  </si>
  <si>
    <t>Modular Building B</t>
  </si>
  <si>
    <t>Modular Building C</t>
  </si>
  <si>
    <t>Bally Hut</t>
  </si>
  <si>
    <t>Campus Village A</t>
  </si>
  <si>
    <t>Campus Village B</t>
  </si>
  <si>
    <t>Campus Village C</t>
  </si>
  <si>
    <t>Campus Village Garage</t>
  </si>
  <si>
    <t>Central Plant</t>
  </si>
  <si>
    <t>Computer Center</t>
  </si>
  <si>
    <t>Dudley Moorhead Hall</t>
  </si>
  <si>
    <t>Faculty Office Building</t>
  </si>
  <si>
    <t>Instructional Resource Center</t>
  </si>
  <si>
    <t>Modular A</t>
  </si>
  <si>
    <t>Modular B</t>
  </si>
  <si>
    <t>Modular F</t>
  </si>
  <si>
    <t>Morris Dailey Auditorium</t>
  </si>
  <si>
    <t>North Parking Facility</t>
  </si>
  <si>
    <t>President's House</t>
  </si>
  <si>
    <t>Softball &amp; Tennis Facility</t>
  </si>
  <si>
    <t>South Parking Facility</t>
  </si>
  <si>
    <t>Spartan Memorial</t>
  </si>
  <si>
    <t>Student Union</t>
  </si>
  <si>
    <t>Tower Hall</t>
  </si>
  <si>
    <t>Training/Locker Facility</t>
  </si>
  <si>
    <t>UPD Building</t>
  </si>
  <si>
    <t>West Parking Facility</t>
  </si>
  <si>
    <t xml:space="preserve">Will's Manual Data- Steam </t>
  </si>
  <si>
    <t>Student Union Electric Meter Cogen #1 (M) Usage</t>
  </si>
  <si>
    <t>Student Union Electric Meter Cogen #2 (M) Usage</t>
  </si>
  <si>
    <t>Student Union PG&amp;E: Gas (6400506178-9 / 6400506685) Usage</t>
  </si>
  <si>
    <t>No heating/cooling in this building</t>
  </si>
  <si>
    <r>
      <rPr>
        <b/>
        <sz val="10"/>
        <color rgb="FFFF0000"/>
        <rFont val="Arial"/>
        <family val="2"/>
      </rPr>
      <t xml:space="preserve">2022 - </t>
    </r>
    <r>
      <rPr>
        <b/>
        <sz val="10"/>
        <rFont val="Arial"/>
        <family val="2"/>
      </rPr>
      <t>MQH: Elec Spartan Shops (M) Usage</t>
    </r>
  </si>
  <si>
    <r>
      <t>MacQuarrie Hall: Electricity (M) Usage</t>
    </r>
    <r>
      <rPr>
        <b/>
        <sz val="10"/>
        <color rgb="FFFF0000"/>
        <rFont val="Arial"/>
        <family val="2"/>
      </rPr>
      <t xml:space="preserve"> (minus 2022 Spartan)</t>
    </r>
  </si>
  <si>
    <t>SPX Central &amp; east</t>
  </si>
  <si>
    <t>SPX East-Pool</t>
  </si>
  <si>
    <t>only steam here, serves only the pool in the building</t>
  </si>
  <si>
    <t>EUI(Gas)</t>
  </si>
  <si>
    <t>EUI(electric)</t>
  </si>
  <si>
    <t>Y(Will)</t>
  </si>
  <si>
    <t>EUI(Steam)</t>
  </si>
  <si>
    <t>Electric EUI</t>
  </si>
  <si>
    <t>Gas EUI</t>
  </si>
  <si>
    <t>Steam EUI</t>
  </si>
  <si>
    <t>EUI(CHW)</t>
  </si>
  <si>
    <t>CHW EUI</t>
  </si>
  <si>
    <t>Total EUI</t>
  </si>
  <si>
    <t>Helper column for median/mean</t>
  </si>
  <si>
    <t>Unique Program types</t>
  </si>
  <si>
    <t>CHW</t>
  </si>
  <si>
    <t xml:space="preserve">Negative </t>
  </si>
  <si>
    <t>Negative</t>
  </si>
  <si>
    <t>Summed areas - Main campusMod  A/B and F</t>
  </si>
  <si>
    <t>Summed areas -CV A,B,C,Garage</t>
  </si>
  <si>
    <t>Cellular service electric use subtracted from electric meter</t>
  </si>
  <si>
    <t>Dudley Moorehead Hall + IRC</t>
  </si>
  <si>
    <t>Summed areas - DMH and IRC</t>
  </si>
  <si>
    <t>Boccardo Business Classroom Building +Business Tower</t>
  </si>
  <si>
    <t xml:space="preserve">Summed area : SPX central and east </t>
  </si>
  <si>
    <t>Summed areas -Corp Yard -Office and Trades</t>
  </si>
  <si>
    <t>000 RR Main Campus - Distribution Electric</t>
  </si>
  <si>
    <t>000 RR South Campus Electric (One Month in Arrears)</t>
  </si>
  <si>
    <t>2019-01-01T00:00:00-08:00 Los_Angeles</t>
  </si>
  <si>
    <t>115613.93296703302kWh</t>
  </si>
  <si>
    <t>2944087.529999999kWh</t>
  </si>
  <si>
    <t>2019-02-01T00:00:00-08:00 Los_Angeles</t>
  </si>
  <si>
    <t>109321.1384615385kWh</t>
  </si>
  <si>
    <t>3189244.7500000014kWh</t>
  </si>
  <si>
    <t>2019-03-01T00:00:00-08:00 Los_Angeles</t>
  </si>
  <si>
    <t>121034.11758241763kWh</t>
  </si>
  <si>
    <t>3443157.3900000006kWh</t>
  </si>
  <si>
    <t>2019-04-01T00:00:00-07:00 Los_Angeles</t>
  </si>
  <si>
    <t>107745.31527472532kWh</t>
  </si>
  <si>
    <t>3348383.6599999988kWh</t>
  </si>
  <si>
    <t>2019-05-01T00:00:00-07:00 Los_Angeles</t>
  </si>
  <si>
    <t>107810.5378571429kWh</t>
  </si>
  <si>
    <t>3289823.240000003kWh</t>
  </si>
  <si>
    <t>2019-06-01T00:00:00-07:00 Los_Angeles</t>
  </si>
  <si>
    <t>109563.92719047616kWh</t>
  </si>
  <si>
    <t>2986179.8599999994kWh</t>
  </si>
  <si>
    <t>2019-07-01T00:00:00-07:00 Los_Angeles</t>
  </si>
  <si>
    <t>141095.45133333333kWh</t>
  </si>
  <si>
    <t>3082334.460000001kWh</t>
  </si>
  <si>
    <t>2019-08-01T00:00:00-07:00 Los_Angeles</t>
  </si>
  <si>
    <t>157528.70703825133kWh</t>
  </si>
  <si>
    <t>3421021kWh</t>
  </si>
  <si>
    <t>2019-09-01T00:00:00-07:00 Los_Angeles</t>
  </si>
  <si>
    <t>143325.275409836kWh</t>
  </si>
  <si>
    <t>3475771.96kWh</t>
  </si>
  <si>
    <t>2019-10-01T00:00:00-07:00 Los_Angeles</t>
  </si>
  <si>
    <t>141899.74905915893kWh</t>
  </si>
  <si>
    <t>3539266.0300000007kWh</t>
  </si>
  <si>
    <t>2019-11-01T00:00:00-07:00 Los_Angeles</t>
  </si>
  <si>
    <t>135283.177826087kWh</t>
  </si>
  <si>
    <t>3290432.8300000024kWh</t>
  </si>
  <si>
    <t>2019-12-01T00:00:00-08:00 Los_Angeles</t>
  </si>
  <si>
    <t>3210457.2999999993kWh</t>
  </si>
  <si>
    <t>2023-01-01T00:00:00-08:00 Los_Angeles</t>
  </si>
  <si>
    <t>2023-02-01T00:00:00-08:00 Los_Angeles</t>
  </si>
  <si>
    <t>2023-03-01T00:00:00-08:00 Los_Angeles</t>
  </si>
  <si>
    <t>2023-04-01T00:00:00-07:00 Los_Angeles</t>
  </si>
  <si>
    <t>2023-05-01T00:00:00-07:00 Los_Angeles</t>
  </si>
  <si>
    <t>2023-06-01T00:00:00-07:00 Los_Angeles</t>
  </si>
  <si>
    <t>2023-07-01T00:00:00-07:00 Los_Angeles</t>
  </si>
  <si>
    <t>2023-08-01T00:00:00-07:00 Los_Angeles</t>
  </si>
  <si>
    <t>2023-09-01T00:00:00-07:00 Los_Angeles</t>
  </si>
  <si>
    <t>2023-10-01T00:00:00-07:00 Los_Angeles</t>
  </si>
  <si>
    <t>2023-11-01T00:00:00-07:00 Los_Angeles</t>
  </si>
  <si>
    <t>2023-12-01T00:00:00-08:00 Los_Angeles</t>
  </si>
  <si>
    <t>000 RR South Campus Natural Gas (One Month in Arrears)</t>
  </si>
  <si>
    <t>2018-11-01T00:00:00-07:00 Los_Angeles</t>
  </si>
  <si>
    <t>3663.2900000000013therm</t>
  </si>
  <si>
    <t>2018-12-01T00:00:00-08:00 Los_Angeles</t>
  </si>
  <si>
    <t>4550.280000000003therm</t>
  </si>
  <si>
    <t>4528.039999999999therm</t>
  </si>
  <si>
    <t>3904.581therm</t>
  </si>
  <si>
    <t>4245.687666666666therm</t>
  </si>
  <si>
    <t>2191.3744761904745therm</t>
  </si>
  <si>
    <t>1543.9594285714277therm</t>
  </si>
  <si>
    <t>1210.0329458128076therm</t>
  </si>
  <si>
    <t>938.6428698553946therm</t>
  </si>
  <si>
    <t>1079.7291129032255therm</t>
  </si>
  <si>
    <t>1766.2472126436794therm</t>
  </si>
  <si>
    <t>1960.5326436781625therm</t>
  </si>
  <si>
    <t>Campus Center</t>
  </si>
  <si>
    <t>Off Campus 4th Street</t>
  </si>
  <si>
    <t>Main campus</t>
  </si>
  <si>
    <t>South campus</t>
  </si>
  <si>
    <t xml:space="preserve">Main campus </t>
  </si>
  <si>
    <t>Off Campus 3rd Street</t>
  </si>
  <si>
    <t>Off Campus 11th St</t>
  </si>
  <si>
    <t>Moss Landing</t>
  </si>
  <si>
    <t>South Campus</t>
  </si>
  <si>
    <t>Main Campus</t>
  </si>
  <si>
    <t>Month</t>
  </si>
  <si>
    <t>Total</t>
  </si>
  <si>
    <t>Total campus</t>
  </si>
  <si>
    <t>Total buildings</t>
  </si>
  <si>
    <t>Buildings' Electric Total</t>
  </si>
  <si>
    <t>Balance Energy( Total Campus - Total Building)</t>
  </si>
  <si>
    <t>Buildings' Steam Total</t>
  </si>
  <si>
    <t>Electric Balance</t>
  </si>
  <si>
    <t>Steam Balance</t>
  </si>
  <si>
    <t>Chilled Water Balance</t>
  </si>
  <si>
    <t>Buildings' Chilled Water Total</t>
  </si>
  <si>
    <t>000 RR Main Campus - Distribution Chilled Water(mmbtu)</t>
  </si>
  <si>
    <t>000 RR Main Campus - Distribution Steam(mmbtu)</t>
  </si>
  <si>
    <t>000 RR Main Campus - Distribution Steam(therms)</t>
  </si>
  <si>
    <t>000 RR Main Campus - Distribution Chilled Water(tons)</t>
  </si>
  <si>
    <t>Buildings' Gas Total</t>
  </si>
  <si>
    <t>Missing Buildings</t>
  </si>
  <si>
    <t>ton</t>
  </si>
  <si>
    <t>x</t>
  </si>
  <si>
    <t>SkySpark + Will's  Data</t>
  </si>
  <si>
    <r>
      <rPr>
        <b/>
        <sz val="10"/>
        <color rgb="FFFF0000"/>
        <rFont val="Arial"/>
        <family val="2"/>
      </rPr>
      <t>2018-</t>
    </r>
    <r>
      <rPr>
        <b/>
        <sz val="10"/>
        <rFont val="Arial"/>
        <family val="2"/>
      </rPr>
      <t>Student Union CHW Meter (M) Usage</t>
    </r>
  </si>
  <si>
    <t>Not being considered</t>
  </si>
  <si>
    <t>solar to be added</t>
  </si>
  <si>
    <t>Solar to be added</t>
  </si>
  <si>
    <t>Total elec minus verizon electric meter</t>
  </si>
  <si>
    <t>Duncan Hall-Verizon</t>
  </si>
  <si>
    <t>DH: Verizon Electric (M) Usage</t>
  </si>
  <si>
    <t>Provident Credit Union Event Center-Cellular service</t>
  </si>
  <si>
    <t>Will's manual read for Clearwire,AT&amp;T,Sprint,T-mobile</t>
  </si>
  <si>
    <r>
      <t xml:space="preserve">EVC: Electric Meter (M) Usage </t>
    </r>
    <r>
      <rPr>
        <b/>
        <sz val="10"/>
        <color rgb="FFFF0000"/>
        <rFont val="Arial"/>
        <family val="2"/>
      </rPr>
      <t>minus Will's manual read for Clearwire,AT&amp;T,Sprint,T-mobile</t>
    </r>
  </si>
  <si>
    <r>
      <rPr>
        <sz val="11"/>
        <color rgb="FFFF0000"/>
        <rFont val="Calibri"/>
        <family val="2"/>
        <scheme val="minor"/>
      </rPr>
      <t>2018 :</t>
    </r>
    <r>
      <rPr>
        <sz val="11"/>
        <color theme="1"/>
        <rFont val="Calibri"/>
        <family val="2"/>
        <scheme val="minor"/>
      </rPr>
      <t xml:space="preserve"> YUH: CHW (M) Usage - Archived</t>
    </r>
  </si>
  <si>
    <t xml:space="preserve">campus gaage included in elec usage, to be subtractwed and area bacl to just three </t>
  </si>
  <si>
    <t>needs to be calculated, Will said there is a model?</t>
  </si>
  <si>
    <r>
      <t xml:space="preserve">MLK: Main Total Electric Usage © </t>
    </r>
    <r>
      <rPr>
        <b/>
        <sz val="10"/>
        <color rgb="FFFF0000"/>
        <rFont val="Arial"/>
        <family val="2"/>
      </rPr>
      <t>multipllied by 1000 minus tenants</t>
    </r>
  </si>
  <si>
    <t>Will to confirm if BT Jazzland is included in BBC or not</t>
  </si>
  <si>
    <t>propane is not used for bldg energy so not being used  further</t>
  </si>
  <si>
    <t>Incomplete</t>
  </si>
  <si>
    <t>S,C</t>
  </si>
  <si>
    <t>G</t>
  </si>
  <si>
    <t>Will's Manual Data- Electric 1</t>
  </si>
  <si>
    <t>Will's Manual Data- Electric 2</t>
  </si>
  <si>
    <r>
      <rPr>
        <b/>
        <sz val="10"/>
        <color rgb="FFFF0000"/>
        <rFont val="Arial"/>
        <family val="2"/>
      </rPr>
      <t>2018 -</t>
    </r>
    <r>
      <rPr>
        <b/>
        <sz val="10"/>
        <rFont val="Arial"/>
        <family val="2"/>
      </rPr>
      <t xml:space="preserve"> CL: Chilled Water (M) Usage - Archived</t>
    </r>
  </si>
  <si>
    <t>change chw to Wills data, units are an issue</t>
  </si>
  <si>
    <t>E,G</t>
  </si>
  <si>
    <t>E</t>
  </si>
  <si>
    <r>
      <t>Duncan Hall: Electricity 1 (M) Usage--</t>
    </r>
    <r>
      <rPr>
        <b/>
        <sz val="10"/>
        <color rgb="FFFF0000"/>
        <rFont val="Arial"/>
        <family val="2"/>
      </rPr>
      <t xml:space="preserve"> plus elec 2 minus verizon</t>
    </r>
  </si>
  <si>
    <r>
      <t>Eng Electric Meter (N4) Usage -</t>
    </r>
    <r>
      <rPr>
        <b/>
        <sz val="10"/>
        <color rgb="FFFF0000"/>
        <rFont val="Arial"/>
        <family val="2"/>
      </rPr>
      <t>divided by 10</t>
    </r>
  </si>
  <si>
    <t>not to be considered</t>
  </si>
  <si>
    <t>Benchmark Energy</t>
  </si>
  <si>
    <t>Split energy</t>
  </si>
  <si>
    <t>Benchmark % of total</t>
  </si>
  <si>
    <t>Gross Square Feet</t>
  </si>
  <si>
    <t>this building has many studing dining services</t>
  </si>
  <si>
    <t>BPD</t>
  </si>
  <si>
    <t>missing SJSU data</t>
  </si>
  <si>
    <t>Notes</t>
  </si>
  <si>
    <t>Steam (kBtu)</t>
  </si>
  <si>
    <t>Gas (kBtu)</t>
  </si>
  <si>
    <t>Electricity 1 (kBtu)</t>
  </si>
  <si>
    <t>Chilled Water (kBtu)</t>
  </si>
  <si>
    <t>Electricity 1</t>
  </si>
  <si>
    <t xml:space="preserve">Gas </t>
  </si>
  <si>
    <t xml:space="preserve">Steam </t>
  </si>
  <si>
    <t>NORTH PARKING FACILITY</t>
  </si>
  <si>
    <t>SOUTH PARKING FACILITY</t>
  </si>
  <si>
    <t>WEST PARKING FACILITY</t>
  </si>
  <si>
    <t>Off campus</t>
  </si>
  <si>
    <t>kbtu</t>
  </si>
  <si>
    <t>therm</t>
  </si>
  <si>
    <t>Data Center</t>
  </si>
  <si>
    <t>M</t>
  </si>
  <si>
    <t>Year</t>
  </si>
  <si>
    <t>Jan</t>
  </si>
  <si>
    <t>Feb</t>
  </si>
  <si>
    <t>Mar</t>
  </si>
  <si>
    <t>Apr</t>
  </si>
  <si>
    <t>May</t>
  </si>
  <si>
    <t>Jun</t>
  </si>
  <si>
    <t>Jul</t>
  </si>
  <si>
    <t>Aug</t>
  </si>
  <si>
    <t>Sep</t>
  </si>
  <si>
    <t>Oct</t>
  </si>
  <si>
    <t>Nov</t>
  </si>
  <si>
    <t>Dec</t>
  </si>
  <si>
    <t>San Jose</t>
  </si>
  <si>
    <t>SF AP</t>
  </si>
  <si>
    <t>SF Downtown</t>
  </si>
  <si>
    <t>total campus</t>
  </si>
  <si>
    <t>total metered bldgs</t>
  </si>
  <si>
    <t>Uchida 2018 CHW</t>
  </si>
  <si>
    <t>2018 CDD</t>
  </si>
  <si>
    <t>2023 CDD</t>
  </si>
  <si>
    <t>2018 slope</t>
  </si>
  <si>
    <t>Total Usage</t>
  </si>
  <si>
    <t xml:space="preserve">Normalized Uchida 2018 CHW </t>
  </si>
  <si>
    <t>EUI(kBtu/sq.ft)</t>
  </si>
  <si>
    <t>Clark Hall 2018 CHW</t>
  </si>
  <si>
    <t>Dwight Bentel Hall 2018 CHW</t>
  </si>
  <si>
    <t>Normalized Dwight Bentel Hall 2018 CHW</t>
  </si>
  <si>
    <t>Normalized Clark Hall 2018 CHW</t>
  </si>
  <si>
    <t>Student Union  2018 CHW</t>
  </si>
  <si>
    <t xml:space="preserve">Normalized Student Union 2018 CHW </t>
  </si>
  <si>
    <t>weather normalised</t>
  </si>
  <si>
    <t>doubtful data</t>
  </si>
  <si>
    <t>red text</t>
  </si>
  <si>
    <t>summed areas -combined bldgs or averaged months</t>
  </si>
  <si>
    <r>
      <rPr>
        <b/>
        <sz val="10"/>
        <color rgb="FFFF0000"/>
        <rFont val="Arial"/>
        <family val="2"/>
      </rPr>
      <t xml:space="preserve">2018 - </t>
    </r>
    <r>
      <rPr>
        <b/>
        <sz val="10"/>
        <rFont val="Arial"/>
        <family val="2"/>
      </rPr>
      <t>Music: Chilled Water (M) Usage - Archived</t>
    </r>
  </si>
  <si>
    <t>Music 2018 CHW</t>
  </si>
  <si>
    <t xml:space="preserve">Normalized Music 2018 CHW </t>
  </si>
  <si>
    <t>same as Jan- no data</t>
  </si>
  <si>
    <t>Dudley Moorehead Hall + IRC 2018 CHW</t>
  </si>
  <si>
    <t xml:space="preserve">Normalized Dudley Moorehead Hall + IRC 2018 CHW </t>
  </si>
  <si>
    <t>SPX</t>
  </si>
  <si>
    <t>SRAC</t>
  </si>
  <si>
    <t>SRAC Usage</t>
  </si>
  <si>
    <t>SRAC Solar Total</t>
  </si>
  <si>
    <t>SRAC Solar Export</t>
  </si>
  <si>
    <t>Steam(therms)</t>
  </si>
  <si>
    <t>Gas(therms)</t>
  </si>
  <si>
    <t>Electric(kWh)</t>
  </si>
  <si>
    <t>Chilled Water(tons)</t>
  </si>
  <si>
    <t>Total kWh</t>
  </si>
  <si>
    <t>DC kW</t>
  </si>
  <si>
    <t>AC kW</t>
  </si>
  <si>
    <t>kWh/kW DC</t>
  </si>
  <si>
    <t>kWh/kW AC</t>
  </si>
  <si>
    <t>bad data</t>
  </si>
  <si>
    <t xml:space="preserve">Steam has bad data, consdered as missing and is being calculated for </t>
  </si>
  <si>
    <t>Boccardo Business Classroom</t>
  </si>
  <si>
    <t>MLK Library</t>
  </si>
  <si>
    <t>kWh</t>
  </si>
  <si>
    <t>Program</t>
  </si>
  <si>
    <t>Steam Outlier</t>
  </si>
  <si>
    <t>CHW Outlier</t>
  </si>
  <si>
    <t xml:space="preserve"> Usage(Therms)</t>
  </si>
  <si>
    <t>Average  EUI(kBtu/sq.ft)</t>
  </si>
  <si>
    <t>EUI Monthly</t>
  </si>
  <si>
    <t>Steam Energy Check</t>
  </si>
  <si>
    <t>Steam Leaks</t>
  </si>
  <si>
    <t>SJSU Steam</t>
  </si>
  <si>
    <t>BPD All</t>
  </si>
  <si>
    <t>% of ALL</t>
  </si>
  <si>
    <t>Electricity  Outlier</t>
  </si>
  <si>
    <t>Outliers</t>
  </si>
  <si>
    <t>Steam-full campus average ( not needed)</t>
  </si>
  <si>
    <t>Gas for cooking only</t>
  </si>
  <si>
    <t>Will's Manual Data- Electricity,steam</t>
  </si>
  <si>
    <r>
      <rPr>
        <sz val="11"/>
        <color rgb="FFFF0000"/>
        <rFont val="Calibri"/>
        <family val="2"/>
        <scheme val="minor"/>
      </rPr>
      <t>2018-</t>
    </r>
    <r>
      <rPr>
        <sz val="11"/>
        <color theme="1"/>
        <rFont val="Calibri"/>
        <family val="2"/>
        <scheme val="minor"/>
      </rPr>
      <t>DMH: Chilled Water (M) Usage - Archived</t>
    </r>
  </si>
  <si>
    <t>Field House: Gas (PG&amp;E: 7088794250-9 / 7088794005) Usage</t>
  </si>
  <si>
    <t>Koret Ctr: Electric (PG&amp;E: 4147571902-1 / 4141854321) Usage</t>
  </si>
  <si>
    <t>District Electricity
(Yes or No)</t>
  </si>
  <si>
    <t>N(Bad Data)</t>
  </si>
  <si>
    <t>Sr.No.</t>
  </si>
  <si>
    <t>Main Campus: Median Monthly  EUI(kBtu/sq.ft)</t>
  </si>
  <si>
    <t>Off Campus: Median Monthly  EUI(kBtu/sq.ft)</t>
  </si>
  <si>
    <t>Calculated energy</t>
  </si>
  <si>
    <t>Summed areas -BBC,BT, there is a food tenant in the electric meter  but electric  usage is very little so it has not been separated</t>
  </si>
  <si>
    <t>CHW Total[kBtu/sf]</t>
  </si>
  <si>
    <t>HHW total</t>
  </si>
  <si>
    <t>CHW(tons)</t>
  </si>
  <si>
    <t>Food Sale</t>
  </si>
  <si>
    <t>guess</t>
  </si>
  <si>
    <t>CAMPUS VILLAGE GARAGE</t>
  </si>
  <si>
    <t>Will's calculated electric feeder data minus Market electric minus garage use</t>
  </si>
  <si>
    <t>steam leak</t>
  </si>
  <si>
    <t>unmetered steam</t>
  </si>
  <si>
    <t>Total balance</t>
  </si>
  <si>
    <t>South Campus Solar Meter</t>
  </si>
  <si>
    <t>SJSU South Campus Solar Duke Energy PPA(kWh)</t>
  </si>
  <si>
    <t>Total Elec without Solar</t>
  </si>
  <si>
    <t>Total(solar+elec)</t>
  </si>
  <si>
    <t>SkySpark data</t>
  </si>
  <si>
    <t>% of total</t>
  </si>
  <si>
    <t>Total(SkySpark+split solar)</t>
  </si>
  <si>
    <t>Total Elec without Solar(absolute)</t>
  </si>
  <si>
    <t>SkySpark data(absolute)</t>
  </si>
  <si>
    <t>SkySpark Data+Solar</t>
  </si>
  <si>
    <t>Total solar</t>
  </si>
  <si>
    <t>The MQH: Elec Spartan Shops (M) is a submeter in MacQuarrie Hall for the food service tenant. It has been subtracted and area is not subtracted as they also use steam/CHW</t>
  </si>
  <si>
    <t>Summed areas - Main Lab, aquaculture facility and marine operations</t>
  </si>
  <si>
    <t>unmetered CHW</t>
  </si>
  <si>
    <t>unmetered balance</t>
  </si>
  <si>
    <t>unmetered balance %</t>
  </si>
  <si>
    <r>
      <rPr>
        <b/>
        <sz val="10"/>
        <color rgb="FFFF0000"/>
        <rFont val="Arial"/>
        <family val="2"/>
      </rPr>
      <t>2018-</t>
    </r>
    <r>
      <rPr>
        <b/>
        <sz val="10"/>
        <rFont val="Arial"/>
        <family val="2"/>
      </rPr>
      <t>Student Union Steam Meter (M) Usage</t>
    </r>
  </si>
  <si>
    <t>2018 CHW?</t>
  </si>
  <si>
    <t>Corporation Yard Offices+Yard Trades</t>
  </si>
  <si>
    <t>Garage</t>
  </si>
  <si>
    <t>Steam usage data was incomplete and has been calculated based on metered data</t>
  </si>
  <si>
    <t>Steam usage data was missing and has been calculated based on metered data</t>
  </si>
  <si>
    <t>Chilled Water usage data was missing and has been calculated based on metered data</t>
  </si>
  <si>
    <t>Electricity usage data was missing and has been calculated based on metered data</t>
  </si>
  <si>
    <t>Gas usage data was missing and has been calculated based on metered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</si>
</sst>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yyyy\-mm\-dd\ hh:mm:ss"/>
    <numFmt numFmtId="165" formatCode="0.0&quot;kWh&quot;"/>
    <numFmt numFmtId="166" formatCode="0.0&quot;tonrefh&quot;"/>
    <numFmt numFmtId="167" formatCode="0.0&quot;therm&quot;"/>
    <numFmt numFmtId="168" formatCode="_(* #,##0_);_(* \(#,##0\);_(* &quot;-&quot;??_);_(@_)"/>
    <numFmt numFmtId="169" formatCode="0.0000"/>
    <numFmt numFmtId="170" formatCode="0.0"/>
  </numFmts>
  <fonts count="46" x14ac:knownFonts="1">
    <font>
      <sz val="11"/>
      <color theme="1"/>
      <name val="Calibri"/>
      <family val="2"/>
      <scheme val="minor"/>
    </font>
    <font>
      <b/>
      <sz val="11"/>
      <name val="Calibri"/>
      <family val="2"/>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0"/>
      <name val="Arial"/>
      <family val="2"/>
    </font>
    <font>
      <b/>
      <sz val="10"/>
      <name val="Arial"/>
      <family val="2"/>
    </font>
    <font>
      <b/>
      <sz val="10"/>
      <color rgb="FFC00000"/>
      <name val="Arial"/>
      <family val="2"/>
    </font>
    <font>
      <b/>
      <sz val="10"/>
      <color rgb="FFFF0000"/>
      <name val="Arial"/>
      <family val="2"/>
    </font>
    <font>
      <b/>
      <sz val="11"/>
      <name val="Calibri"/>
      <family val="2"/>
    </font>
    <font>
      <b/>
      <sz val="9"/>
      <color indexed="81"/>
      <name val="Tahoma"/>
      <family val="2"/>
    </font>
    <font>
      <sz val="9"/>
      <color indexed="81"/>
      <name val="Tahoma"/>
      <family val="2"/>
    </font>
    <font>
      <b/>
      <vertAlign val="superscript"/>
      <sz val="11"/>
      <color theme="3"/>
      <name val="Segoe UI"/>
      <family val="2"/>
    </font>
    <font>
      <b/>
      <sz val="20"/>
      <color theme="1"/>
      <name val="Calibri"/>
      <family val="2"/>
      <scheme val="minor"/>
    </font>
    <font>
      <sz val="10"/>
      <color rgb="FFFF0000"/>
      <name val="Calibri"/>
      <family val="2"/>
      <scheme val="minor"/>
    </font>
    <font>
      <b/>
      <sz val="11"/>
      <color rgb="FF00B0F0"/>
      <name val="Segoe UI"/>
      <family val="2"/>
    </font>
    <font>
      <sz val="11"/>
      <color rgb="FFFF0000"/>
      <name val="Arial"/>
      <family val="2"/>
    </font>
    <font>
      <b/>
      <sz val="18"/>
      <color theme="1"/>
      <name val="Calibri"/>
      <family val="2"/>
      <scheme val="minor"/>
    </font>
    <font>
      <b/>
      <sz val="18"/>
      <name val="Calibri"/>
      <family val="2"/>
    </font>
    <font>
      <sz val="18"/>
      <color theme="1"/>
      <name val="Calibri"/>
      <family val="2"/>
      <scheme val="minor"/>
    </font>
    <font>
      <b/>
      <sz val="12"/>
      <name val="Calibri"/>
      <family val="2"/>
    </font>
    <font>
      <b/>
      <sz val="16"/>
      <color theme="1"/>
      <name val="Calibri"/>
      <family val="2"/>
      <scheme val="minor"/>
    </font>
    <font>
      <b/>
      <sz val="11"/>
      <color theme="1"/>
      <name val="Segoe UI"/>
      <family val="2"/>
    </font>
    <font>
      <sz val="11"/>
      <color theme="1"/>
      <name val="Aptos Narrow"/>
      <family val="2"/>
    </font>
    <font>
      <sz val="9"/>
      <color rgb="FF000000"/>
      <name val="Arial"/>
      <family val="2"/>
    </font>
    <font>
      <sz val="9"/>
      <color rgb="FFFF0000"/>
      <name val="Arial"/>
      <family val="2"/>
    </font>
    <font>
      <b/>
      <sz val="10"/>
      <name val="Arial"/>
      <family val="2"/>
    </font>
    <font>
      <b/>
      <sz val="14"/>
      <color theme="1"/>
      <name val="Calibri"/>
      <family val="2"/>
      <scheme val="minor"/>
    </font>
    <font>
      <sz val="8"/>
      <name val="Calibri"/>
      <family val="2"/>
      <scheme val="minor"/>
    </font>
    <font>
      <sz val="10"/>
      <color rgb="FF000000"/>
      <name val="Calibri"/>
      <family val="2"/>
      <scheme val="minor"/>
    </font>
    <font>
      <strike/>
      <sz val="11"/>
      <color theme="1"/>
      <name val="Calibri"/>
      <family val="2"/>
      <scheme val="minor"/>
    </font>
  </fonts>
  <fills count="5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BAE18F"/>
        <bgColor indexed="64"/>
      </patternFill>
    </fill>
    <fill>
      <patternFill patternType="solid">
        <fgColor rgb="FFF7FBF3"/>
        <bgColor indexed="64"/>
      </patternFill>
    </fill>
    <fill>
      <patternFill patternType="solid">
        <fgColor rgb="FFFFC000"/>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E7F4D8"/>
        <bgColor indexed="64"/>
      </patternFill>
    </fill>
    <fill>
      <patternFill patternType="solid">
        <fgColor theme="0" tint="-0.34998626667073579"/>
        <bgColor indexed="64"/>
      </patternFill>
    </fill>
    <fill>
      <patternFill patternType="solid">
        <fgColor rgb="FF7030A0"/>
        <bgColor indexed="64"/>
      </patternFill>
    </fill>
    <fill>
      <patternFill patternType="solid">
        <fgColor rgb="FF92D050"/>
        <bgColor indexed="64"/>
      </patternFill>
    </fill>
    <fill>
      <patternFill patternType="solid">
        <fgColor rgb="FFC00000"/>
        <bgColor indexed="64"/>
      </patternFill>
    </fill>
    <fill>
      <patternFill patternType="solid">
        <fgColor rgb="FFFFFFFF"/>
        <bgColor indexed="64"/>
      </patternFill>
    </fill>
    <fill>
      <patternFill patternType="solid">
        <fgColor rgb="FFE4F1FB"/>
        <bgColor indexed="64"/>
      </patternFill>
    </fill>
    <fill>
      <patternFill patternType="solid">
        <fgColor theme="8" tint="0.59999389629810485"/>
        <bgColor indexed="64"/>
      </patternFill>
    </fill>
    <fill>
      <patternFill patternType="solid">
        <fgColor theme="7" tint="0.59999389629810485"/>
        <bgColor indexed="64"/>
      </patternFill>
    </fill>
  </fills>
  <borders count="58">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thin">
        <color indexed="64"/>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indexed="64"/>
      </left>
      <right style="medium">
        <color indexed="64"/>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bottom/>
      <diagonal/>
    </border>
    <border>
      <left/>
      <right style="dashed">
        <color auto="1"/>
      </right>
      <top/>
      <bottom/>
      <diagonal/>
    </border>
    <border>
      <left style="medium">
        <color auto="1"/>
      </left>
      <right/>
      <top/>
      <bottom style="medium">
        <color theme="4" tint="0.39997558519241921"/>
      </bottom>
      <diagonal/>
    </border>
    <border>
      <left/>
      <right style="dashed">
        <color auto="1"/>
      </right>
      <top/>
      <bottom style="medium">
        <color theme="4" tint="0.39997558519241921"/>
      </bottom>
      <diagonal/>
    </border>
    <border>
      <left/>
      <right style="thin">
        <color indexed="64"/>
      </right>
      <top style="medium">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top/>
      <bottom/>
      <diagonal/>
    </border>
    <border>
      <left style="thin">
        <color auto="1"/>
      </left>
      <right style="thin">
        <color indexed="64"/>
      </right>
      <top/>
      <bottom/>
      <diagonal/>
    </border>
    <border>
      <left style="medium">
        <color indexed="64"/>
      </left>
      <right style="thin">
        <color indexed="64"/>
      </right>
      <top style="medium">
        <color indexed="64"/>
      </top>
      <bottom/>
      <diagonal/>
    </border>
    <border>
      <left style="thin">
        <color auto="1"/>
      </left>
      <right style="thin">
        <color indexed="64"/>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auto="1"/>
      </bottom>
      <diagonal/>
    </border>
    <border>
      <left/>
      <right style="medium">
        <color indexed="64"/>
      </right>
      <top style="thin">
        <color indexed="64"/>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style="thin">
        <color rgb="FF3BAAE3"/>
      </left>
      <right style="thin">
        <color rgb="FF3BAAE3"/>
      </right>
      <top style="thin">
        <color rgb="FF3BAAE3"/>
      </top>
      <bottom style="thin">
        <color rgb="FF3BAAE3"/>
      </bottom>
      <diagonal/>
    </border>
    <border>
      <left style="thin">
        <color rgb="FF3BAAE3"/>
      </left>
      <right/>
      <top style="thin">
        <color rgb="FF3BAAE3"/>
      </top>
      <bottom style="thin">
        <color rgb="FF3BAAE3"/>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bottom style="thin">
        <color auto="1"/>
      </bottom>
      <diagonal/>
    </border>
    <border>
      <left style="thin">
        <color indexed="64"/>
      </left>
      <right style="medium">
        <color indexed="64"/>
      </right>
      <top/>
      <bottom style="thin">
        <color auto="1"/>
      </bottom>
      <diagonal/>
    </border>
    <border>
      <left style="medium">
        <color auto="1"/>
      </left>
      <right/>
      <top/>
      <bottom style="thin">
        <color indexed="64"/>
      </bottom>
      <diagonal/>
    </border>
  </borders>
  <cellStyleXfs count="43">
    <xf numFmtId="0" fontId="0" fillId="0" borderId="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5" applyNumberFormat="0" applyAlignment="0" applyProtection="0"/>
    <xf numFmtId="0" fontId="11" fillId="6" borderId="6" applyNumberFormat="0" applyAlignment="0" applyProtection="0"/>
    <xf numFmtId="0" fontId="12" fillId="6" borderId="5" applyNumberFormat="0" applyAlignment="0" applyProtection="0"/>
    <xf numFmtId="0" fontId="13" fillId="0" borderId="7" applyNumberFormat="0" applyFill="0" applyAlignment="0" applyProtection="0"/>
    <xf numFmtId="0" fontId="14" fillId="7" borderId="8" applyNumberFormat="0" applyAlignment="0" applyProtection="0"/>
    <xf numFmtId="0" fontId="15" fillId="0" borderId="0" applyNumberFormat="0" applyFill="0" applyBorder="0" applyAlignment="0" applyProtection="0"/>
    <xf numFmtId="0" fontId="2" fillId="8" borderId="9" applyNumberFormat="0" applyFon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43" fontId="2" fillId="0" borderId="0" applyFont="0" applyFill="0" applyBorder="0" applyAlignment="0" applyProtection="0"/>
  </cellStyleXfs>
  <cellXfs count="308">
    <xf numFmtId="0" fontId="0" fillId="0" borderId="0" xfId="0"/>
    <xf numFmtId="0" fontId="0" fillId="35" borderId="0" xfId="0" applyFill="1"/>
    <xf numFmtId="164" fontId="0" fillId="35" borderId="0" xfId="0" applyNumberFormat="1" applyFill="1" applyAlignment="1">
      <alignment horizontal="right"/>
    </xf>
    <xf numFmtId="0" fontId="0" fillId="35" borderId="0" xfId="0" applyFill="1" applyAlignment="1">
      <alignment horizontal="right"/>
    </xf>
    <xf numFmtId="2" fontId="0" fillId="35" borderId="0" xfId="0" applyNumberFormat="1" applyFill="1"/>
    <xf numFmtId="167" fontId="0" fillId="35" borderId="0" xfId="0" applyNumberFormat="1" applyFill="1"/>
    <xf numFmtId="0" fontId="0" fillId="33" borderId="0" xfId="0" applyFill="1" applyAlignment="1">
      <alignment horizontal="right"/>
    </xf>
    <xf numFmtId="166" fontId="19" fillId="35" borderId="0" xfId="0" applyNumberFormat="1" applyFont="1" applyFill="1"/>
    <xf numFmtId="0" fontId="20" fillId="35" borderId="0" xfId="0" applyFont="1" applyFill="1"/>
    <xf numFmtId="0" fontId="0" fillId="33" borderId="0" xfId="0" applyFill="1"/>
    <xf numFmtId="0" fontId="20" fillId="0" borderId="0" xfId="0" applyFont="1"/>
    <xf numFmtId="165" fontId="0" fillId="35" borderId="0" xfId="0" applyNumberFormat="1" applyFill="1"/>
    <xf numFmtId="0" fontId="20" fillId="0" borderId="0" xfId="0" applyFont="1" applyAlignment="1">
      <alignment horizontal="right"/>
    </xf>
    <xf numFmtId="164" fontId="0" fillId="33" borderId="0" xfId="0" applyNumberFormat="1" applyFill="1" applyAlignment="1">
      <alignment horizontal="right"/>
    </xf>
    <xf numFmtId="165" fontId="0" fillId="33" borderId="0" xfId="0" applyNumberFormat="1" applyFill="1"/>
    <xf numFmtId="0" fontId="0" fillId="0" borderId="12" xfId="0" applyBorder="1"/>
    <xf numFmtId="0" fontId="0" fillId="33" borderId="12" xfId="0" applyFill="1" applyBorder="1"/>
    <xf numFmtId="0" fontId="0" fillId="33" borderId="11" xfId="0" applyFill="1" applyBorder="1"/>
    <xf numFmtId="0" fontId="21" fillId="37" borderId="0" xfId="0" applyFont="1" applyFill="1"/>
    <xf numFmtId="0" fontId="20" fillId="0" borderId="12" xfId="0" applyFont="1" applyBorder="1"/>
    <xf numFmtId="0" fontId="0" fillId="35" borderId="13" xfId="0" applyFill="1" applyBorder="1"/>
    <xf numFmtId="0" fontId="0" fillId="35" borderId="12" xfId="0" applyFill="1" applyBorder="1"/>
    <xf numFmtId="0" fontId="0" fillId="35" borderId="12" xfId="0" applyFill="1" applyBorder="1" applyAlignment="1">
      <alignment horizontal="right"/>
    </xf>
    <xf numFmtId="0" fontId="0" fillId="35" borderId="11" xfId="0" applyFill="1" applyBorder="1"/>
    <xf numFmtId="0" fontId="21" fillId="33" borderId="0" xfId="0" applyFont="1" applyFill="1"/>
    <xf numFmtId="0" fontId="21" fillId="0" borderId="0" xfId="0" applyFont="1"/>
    <xf numFmtId="0" fontId="0" fillId="33" borderId="13" xfId="0" applyFill="1" applyBorder="1"/>
    <xf numFmtId="167" fontId="0" fillId="35" borderId="12" xfId="0" applyNumberFormat="1" applyFill="1" applyBorder="1"/>
    <xf numFmtId="0" fontId="21" fillId="35" borderId="12" xfId="0" applyFont="1" applyFill="1" applyBorder="1"/>
    <xf numFmtId="0" fontId="20" fillId="0" borderId="12" xfId="0" applyFont="1" applyBorder="1" applyAlignment="1">
      <alignment horizontal="right"/>
    </xf>
    <xf numFmtId="0" fontId="21" fillId="0" borderId="12" xfId="0" applyFont="1" applyBorder="1"/>
    <xf numFmtId="165" fontId="0" fillId="33" borderId="12" xfId="0" applyNumberFormat="1" applyFill="1" applyBorder="1"/>
    <xf numFmtId="2" fontId="0" fillId="35" borderId="12" xfId="0" applyNumberFormat="1" applyFill="1" applyBorder="1"/>
    <xf numFmtId="0" fontId="0" fillId="35" borderId="14" xfId="0" applyFill="1" applyBorder="1"/>
    <xf numFmtId="0" fontId="0" fillId="35" borderId="15" xfId="0" applyFill="1" applyBorder="1"/>
    <xf numFmtId="0" fontId="0" fillId="33" borderId="15" xfId="0" applyFill="1" applyBorder="1"/>
    <xf numFmtId="164" fontId="0" fillId="33" borderId="12" xfId="0" applyNumberFormat="1" applyFill="1" applyBorder="1" applyAlignment="1">
      <alignment horizontal="right"/>
    </xf>
    <xf numFmtId="166" fontId="19" fillId="35" borderId="12" xfId="0" applyNumberFormat="1" applyFont="1" applyFill="1" applyBorder="1"/>
    <xf numFmtId="164" fontId="0" fillId="35" borderId="12" xfId="0" applyNumberFormat="1" applyFill="1" applyBorder="1" applyAlignment="1">
      <alignment horizontal="right"/>
    </xf>
    <xf numFmtId="165" fontId="0" fillId="35" borderId="12" xfId="0" applyNumberFormat="1" applyFill="1" applyBorder="1"/>
    <xf numFmtId="0" fontId="21" fillId="36" borderId="12" xfId="0" applyFont="1" applyFill="1" applyBorder="1"/>
    <xf numFmtId="0" fontId="0" fillId="33" borderId="14" xfId="0" applyFill="1" applyBorder="1"/>
    <xf numFmtId="0" fontId="0" fillId="33" borderId="12" xfId="0" applyFill="1" applyBorder="1" applyAlignment="1">
      <alignment horizontal="right"/>
    </xf>
    <xf numFmtId="0" fontId="1" fillId="34" borderId="19" xfId="0" applyFont="1" applyFill="1" applyBorder="1" applyAlignment="1">
      <alignment horizontal="center" vertical="top"/>
    </xf>
    <xf numFmtId="0" fontId="1" fillId="34" borderId="19" xfId="0" applyFont="1" applyFill="1" applyBorder="1" applyAlignment="1">
      <alignment horizontal="center" vertical="center"/>
    </xf>
    <xf numFmtId="0" fontId="0" fillId="35" borderId="22" xfId="0" applyFill="1" applyBorder="1"/>
    <xf numFmtId="0" fontId="0" fillId="0" borderId="22" xfId="0" applyBorder="1"/>
    <xf numFmtId="0" fontId="16" fillId="0" borderId="0" xfId="16"/>
    <xf numFmtId="0" fontId="6" fillId="0" borderId="26" xfId="4" applyBorder="1"/>
    <xf numFmtId="0" fontId="6" fillId="0" borderId="27" xfId="4" applyBorder="1"/>
    <xf numFmtId="0" fontId="6" fillId="0" borderId="4" xfId="4"/>
    <xf numFmtId="0" fontId="6" fillId="0" borderId="0" xfId="5"/>
    <xf numFmtId="0" fontId="0" fillId="0" borderId="24" xfId="0" applyBorder="1" applyAlignment="1">
      <alignment horizontal="center" vertical="center"/>
    </xf>
    <xf numFmtId="0" fontId="0" fillId="0" borderId="25" xfId="0" applyBorder="1" applyAlignment="1">
      <alignment horizontal="center" vertical="center"/>
    </xf>
    <xf numFmtId="0" fontId="0" fillId="0" borderId="0" xfId="0"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35" borderId="28" xfId="0" applyFill="1" applyBorder="1"/>
    <xf numFmtId="0" fontId="21" fillId="35" borderId="13" xfId="0" applyFont="1" applyFill="1" applyBorder="1"/>
    <xf numFmtId="0" fontId="20" fillId="35" borderId="11" xfId="0" applyFont="1" applyFill="1" applyBorder="1"/>
    <xf numFmtId="0" fontId="20" fillId="0" borderId="13" xfId="0" applyFont="1" applyBorder="1"/>
    <xf numFmtId="0" fontId="0" fillId="0" borderId="13" xfId="0" applyBorder="1"/>
    <xf numFmtId="0" fontId="20" fillId="0" borderId="13" xfId="0" applyFont="1" applyBorder="1" applyAlignment="1">
      <alignment horizontal="right"/>
    </xf>
    <xf numFmtId="0" fontId="0" fillId="35" borderId="17" xfId="0" applyFill="1" applyBorder="1" applyAlignment="1">
      <alignment horizontal="right"/>
    </xf>
    <xf numFmtId="164" fontId="0" fillId="35" borderId="17" xfId="0" applyNumberFormat="1" applyFill="1" applyBorder="1" applyAlignment="1">
      <alignment horizontal="right"/>
    </xf>
    <xf numFmtId="0" fontId="0" fillId="35" borderId="17" xfId="0" applyFill="1" applyBorder="1"/>
    <xf numFmtId="0" fontId="0" fillId="35" borderId="18" xfId="0" applyFill="1" applyBorder="1"/>
    <xf numFmtId="0" fontId="0" fillId="35" borderId="20" xfId="0" applyFill="1" applyBorder="1"/>
    <xf numFmtId="0" fontId="0" fillId="0" borderId="17" xfId="0" applyBorder="1"/>
    <xf numFmtId="0" fontId="17" fillId="0" borderId="1" xfId="0" applyFont="1" applyBorder="1"/>
    <xf numFmtId="0" fontId="17" fillId="33" borderId="1" xfId="0" applyFont="1" applyFill="1" applyBorder="1"/>
    <xf numFmtId="0" fontId="0" fillId="36" borderId="0" xfId="0" applyFill="1"/>
    <xf numFmtId="0" fontId="6" fillId="0" borderId="4" xfId="4" applyAlignment="1">
      <alignment wrapText="1"/>
    </xf>
    <xf numFmtId="0" fontId="29" fillId="0" borderId="0" xfId="0" applyFont="1"/>
    <xf numFmtId="0" fontId="30" fillId="0" borderId="4" xfId="4" applyFont="1" applyAlignment="1">
      <alignment wrapText="1"/>
    </xf>
    <xf numFmtId="0" fontId="0" fillId="38" borderId="0" xfId="0" applyFill="1"/>
    <xf numFmtId="0" fontId="31" fillId="0" borderId="0" xfId="0" applyFont="1"/>
    <xf numFmtId="0" fontId="20" fillId="0" borderId="11" xfId="0" applyFont="1" applyBorder="1"/>
    <xf numFmtId="0" fontId="17" fillId="33" borderId="19" xfId="0" applyFont="1" applyFill="1" applyBorder="1"/>
    <xf numFmtId="0" fontId="32" fillId="39" borderId="1" xfId="0" applyFont="1" applyFill="1" applyBorder="1" applyAlignment="1">
      <alignment horizontal="center"/>
    </xf>
    <xf numFmtId="0" fontId="17" fillId="33" borderId="19" xfId="0" applyFont="1" applyFill="1" applyBorder="1" applyAlignment="1">
      <alignment wrapText="1"/>
    </xf>
    <xf numFmtId="0" fontId="17" fillId="0" borderId="0" xfId="0" applyFont="1"/>
    <xf numFmtId="0" fontId="17" fillId="0" borderId="0" xfId="0" applyFont="1" applyAlignment="1">
      <alignment wrapText="1"/>
    </xf>
    <xf numFmtId="0" fontId="32" fillId="39" borderId="0" xfId="0" applyFont="1" applyFill="1" applyAlignment="1">
      <alignment horizontal="center"/>
    </xf>
    <xf numFmtId="1" fontId="0" fillId="0" borderId="25" xfId="0" applyNumberFormat="1" applyBorder="1" applyAlignment="1">
      <alignment horizontal="center" vertical="center"/>
    </xf>
    <xf numFmtId="1" fontId="0" fillId="0" borderId="0" xfId="0" applyNumberFormat="1" applyAlignment="1">
      <alignment horizontal="center" vertical="center"/>
    </xf>
    <xf numFmtId="0" fontId="1" fillId="40" borderId="19" xfId="0" applyFont="1" applyFill="1" applyBorder="1" applyAlignment="1">
      <alignment horizontal="center" vertical="top"/>
    </xf>
    <xf numFmtId="0" fontId="1" fillId="40" borderId="19" xfId="0" applyFont="1" applyFill="1" applyBorder="1" applyAlignment="1">
      <alignment horizontal="center" vertical="center"/>
    </xf>
    <xf numFmtId="0" fontId="1" fillId="40" borderId="19" xfId="0" applyFont="1" applyFill="1" applyBorder="1" applyAlignment="1">
      <alignment horizontal="left" vertical="top" wrapText="1"/>
    </xf>
    <xf numFmtId="0" fontId="24" fillId="40" borderId="18" xfId="0" applyFont="1" applyFill="1" applyBorder="1" applyAlignment="1">
      <alignment horizontal="center" vertical="top"/>
    </xf>
    <xf numFmtId="0" fontId="24" fillId="40" borderId="19" xfId="0" applyFont="1" applyFill="1" applyBorder="1" applyAlignment="1">
      <alignment horizontal="center" vertical="top"/>
    </xf>
    <xf numFmtId="0" fontId="24" fillId="40" borderId="16" xfId="0" applyFont="1" applyFill="1" applyBorder="1" applyAlignment="1">
      <alignment horizontal="center" vertical="top"/>
    </xf>
    <xf numFmtId="0" fontId="24" fillId="40" borderId="20" xfId="0" applyFont="1" applyFill="1" applyBorder="1" applyAlignment="1">
      <alignment horizontal="center" vertical="top"/>
    </xf>
    <xf numFmtId="0" fontId="1" fillId="40" borderId="18" xfId="0" applyFont="1" applyFill="1" applyBorder="1" applyAlignment="1">
      <alignment horizontal="center" vertical="top"/>
    </xf>
    <xf numFmtId="0" fontId="0" fillId="40" borderId="0" xfId="0" applyFill="1"/>
    <xf numFmtId="0" fontId="0" fillId="40" borderId="22" xfId="0" applyFill="1" applyBorder="1"/>
    <xf numFmtId="0" fontId="0" fillId="40" borderId="28" xfId="0" applyFill="1" applyBorder="1"/>
    <xf numFmtId="0" fontId="15" fillId="35" borderId="0" xfId="0" applyFont="1" applyFill="1" applyAlignment="1">
      <alignment horizontal="right"/>
    </xf>
    <xf numFmtId="0" fontId="15" fillId="35" borderId="17" xfId="0" applyFont="1" applyFill="1" applyBorder="1" applyAlignment="1">
      <alignment horizontal="right"/>
    </xf>
    <xf numFmtId="2" fontId="0" fillId="35" borderId="17" xfId="0" applyNumberFormat="1" applyFill="1" applyBorder="1"/>
    <xf numFmtId="0" fontId="34" fillId="0" borderId="0" xfId="0" applyFont="1"/>
    <xf numFmtId="0" fontId="0" fillId="0" borderId="30" xfId="0" applyBorder="1"/>
    <xf numFmtId="0" fontId="0" fillId="0" borderId="11" xfId="0" applyBorder="1"/>
    <xf numFmtId="0" fontId="0" fillId="0" borderId="33" xfId="0" applyBorder="1"/>
    <xf numFmtId="0" fontId="17" fillId="35" borderId="31" xfId="0" applyFont="1" applyFill="1" applyBorder="1"/>
    <xf numFmtId="0" fontId="17" fillId="35" borderId="1" xfId="0" applyFont="1" applyFill="1" applyBorder="1"/>
    <xf numFmtId="0" fontId="17" fillId="0" borderId="30" xfId="0" applyFont="1" applyBorder="1"/>
    <xf numFmtId="43" fontId="17" fillId="0" borderId="12" xfId="42" applyFont="1" applyBorder="1"/>
    <xf numFmtId="0" fontId="17" fillId="35" borderId="37" xfId="0" applyFont="1" applyFill="1" applyBorder="1"/>
    <xf numFmtId="0" fontId="17" fillId="35" borderId="38" xfId="0" applyFont="1" applyFill="1" applyBorder="1"/>
    <xf numFmtId="0" fontId="0" fillId="35" borderId="39" xfId="0" applyFill="1" applyBorder="1"/>
    <xf numFmtId="0" fontId="0" fillId="35" borderId="40" xfId="0" applyFill="1" applyBorder="1"/>
    <xf numFmtId="0" fontId="17" fillId="35" borderId="41" xfId="0" applyFont="1" applyFill="1" applyBorder="1"/>
    <xf numFmtId="0" fontId="33" fillId="34" borderId="33" xfId="0" applyFont="1" applyFill="1" applyBorder="1" applyAlignment="1">
      <alignment horizontal="center" vertical="center"/>
    </xf>
    <xf numFmtId="0" fontId="33" fillId="34" borderId="11" xfId="0" applyFont="1" applyFill="1" applyBorder="1" applyAlignment="1">
      <alignment horizontal="center" vertical="center"/>
    </xf>
    <xf numFmtId="43" fontId="17" fillId="35" borderId="41" xfId="42" applyFont="1" applyFill="1" applyBorder="1"/>
    <xf numFmtId="43" fontId="17" fillId="35" borderId="42" xfId="42" applyFont="1" applyFill="1" applyBorder="1"/>
    <xf numFmtId="43" fontId="17" fillId="35" borderId="43" xfId="42" applyFont="1" applyFill="1" applyBorder="1"/>
    <xf numFmtId="0" fontId="6" fillId="33" borderId="0" xfId="5" applyFill="1"/>
    <xf numFmtId="0" fontId="0" fillId="33" borderId="24" xfId="0" applyFill="1" applyBorder="1" applyAlignment="1">
      <alignment horizontal="center" vertical="center"/>
    </xf>
    <xf numFmtId="0" fontId="0" fillId="33" borderId="25" xfId="0" applyFill="1" applyBorder="1" applyAlignment="1">
      <alignment horizontal="center" vertical="center"/>
    </xf>
    <xf numFmtId="0" fontId="0" fillId="33" borderId="0" xfId="0" applyFill="1" applyAlignment="1">
      <alignment horizontal="center" vertical="center"/>
    </xf>
    <xf numFmtId="1" fontId="0" fillId="33" borderId="0" xfId="0" applyNumberFormat="1" applyFill="1" applyAlignment="1">
      <alignment horizontal="center" vertical="center"/>
    </xf>
    <xf numFmtId="1" fontId="0" fillId="33" borderId="25" xfId="0" applyNumberFormat="1" applyFill="1" applyBorder="1" applyAlignment="1">
      <alignment horizontal="center" vertical="center"/>
    </xf>
    <xf numFmtId="1" fontId="0" fillId="0" borderId="0" xfId="0" applyNumberFormat="1"/>
    <xf numFmtId="0" fontId="15" fillId="0" borderId="0" xfId="0" applyFont="1"/>
    <xf numFmtId="167" fontId="0" fillId="35" borderId="17" xfId="0" applyNumberFormat="1" applyFill="1" applyBorder="1"/>
    <xf numFmtId="0" fontId="15" fillId="0" borderId="12" xfId="0" applyFont="1" applyBorder="1"/>
    <xf numFmtId="0" fontId="0" fillId="0" borderId="1" xfId="0" applyBorder="1"/>
    <xf numFmtId="0" fontId="37" fillId="39" borderId="1" xfId="4" applyFont="1" applyFill="1" applyBorder="1" applyAlignment="1">
      <alignment wrapText="1"/>
    </xf>
    <xf numFmtId="0" fontId="0" fillId="44" borderId="0" xfId="0" applyFill="1"/>
    <xf numFmtId="0" fontId="0" fillId="43" borderId="40" xfId="0" applyFill="1" applyBorder="1"/>
    <xf numFmtId="0" fontId="0" fillId="43" borderId="44" xfId="0" applyFill="1" applyBorder="1"/>
    <xf numFmtId="0" fontId="0" fillId="35" borderId="44" xfId="0" applyFill="1" applyBorder="1"/>
    <xf numFmtId="0" fontId="15" fillId="43" borderId="40" xfId="0" applyFont="1" applyFill="1" applyBorder="1"/>
    <xf numFmtId="0" fontId="0" fillId="0" borderId="40" xfId="0" applyBorder="1"/>
    <xf numFmtId="0" fontId="0" fillId="43" borderId="45" xfId="0" applyFill="1" applyBorder="1"/>
    <xf numFmtId="0" fontId="0" fillId="35" borderId="45" xfId="0" applyFill="1" applyBorder="1"/>
    <xf numFmtId="0" fontId="21" fillId="43" borderId="45" xfId="0" applyFont="1" applyFill="1" applyBorder="1"/>
    <xf numFmtId="0" fontId="20" fillId="35" borderId="40" xfId="0" applyFont="1" applyFill="1" applyBorder="1"/>
    <xf numFmtId="0" fontId="31" fillId="43" borderId="40" xfId="0" applyFont="1" applyFill="1" applyBorder="1"/>
    <xf numFmtId="0" fontId="20" fillId="43" borderId="45" xfId="0" applyFont="1" applyFill="1" applyBorder="1"/>
    <xf numFmtId="0" fontId="20" fillId="0" borderId="45" xfId="0" applyFont="1" applyBorder="1" applyAlignment="1">
      <alignment horizontal="right"/>
    </xf>
    <xf numFmtId="0" fontId="0" fillId="33" borderId="45" xfId="0" applyFill="1" applyBorder="1"/>
    <xf numFmtId="0" fontId="0" fillId="33" borderId="40" xfId="0" applyFill="1" applyBorder="1"/>
    <xf numFmtId="0" fontId="28" fillId="35" borderId="22" xfId="0" applyFont="1" applyFill="1" applyBorder="1"/>
    <xf numFmtId="0" fontId="38" fillId="0" borderId="46" xfId="0" applyFont="1" applyBorder="1" applyAlignment="1">
      <alignment wrapText="1"/>
    </xf>
    <xf numFmtId="0" fontId="38" fillId="0" borderId="47" xfId="0" applyFont="1" applyBorder="1" applyAlignment="1">
      <alignment wrapText="1"/>
    </xf>
    <xf numFmtId="1" fontId="0" fillId="45" borderId="25" xfId="0" applyNumberFormat="1" applyFill="1" applyBorder="1" applyAlignment="1">
      <alignment horizontal="center" vertical="center"/>
    </xf>
    <xf numFmtId="0" fontId="0" fillId="45" borderId="0" xfId="0" applyFill="1"/>
    <xf numFmtId="0" fontId="1" fillId="34" borderId="33" xfId="0" applyFont="1" applyFill="1" applyBorder="1" applyAlignment="1">
      <alignment horizontal="center" vertical="top"/>
    </xf>
    <xf numFmtId="0" fontId="0" fillId="35" borderId="48" xfId="0" applyFill="1" applyBorder="1"/>
    <xf numFmtId="0" fontId="1" fillId="34" borderId="33" xfId="0" applyFont="1" applyFill="1" applyBorder="1" applyAlignment="1">
      <alignment horizontal="center" vertical="center"/>
    </xf>
    <xf numFmtId="0" fontId="1" fillId="34" borderId="33" xfId="0" applyFont="1" applyFill="1" applyBorder="1" applyAlignment="1">
      <alignment horizontal="left" vertical="top" wrapText="1"/>
    </xf>
    <xf numFmtId="0" fontId="24" fillId="34" borderId="11" xfId="0" applyFont="1" applyFill="1" applyBorder="1" applyAlignment="1">
      <alignment horizontal="center" vertical="top"/>
    </xf>
    <xf numFmtId="0" fontId="24" fillId="34" borderId="33" xfId="0" applyFont="1" applyFill="1" applyBorder="1" applyAlignment="1">
      <alignment horizontal="center" vertical="top"/>
    </xf>
    <xf numFmtId="0" fontId="24" fillId="34" borderId="49" xfId="0" applyFont="1" applyFill="1" applyBorder="1" applyAlignment="1">
      <alignment horizontal="center" vertical="top"/>
    </xf>
    <xf numFmtId="0" fontId="24" fillId="34" borderId="14" xfId="0" applyFont="1" applyFill="1" applyBorder="1" applyAlignment="1">
      <alignment horizontal="center" vertical="top"/>
    </xf>
    <xf numFmtId="0" fontId="1" fillId="34" borderId="11" xfId="0" applyFont="1" applyFill="1" applyBorder="1" applyAlignment="1">
      <alignment horizontal="center" vertical="top"/>
    </xf>
    <xf numFmtId="0" fontId="1" fillId="34" borderId="0" xfId="0" applyFont="1" applyFill="1" applyAlignment="1">
      <alignment horizontal="center" vertical="top"/>
    </xf>
    <xf numFmtId="0" fontId="1" fillId="34" borderId="14" xfId="0" applyFont="1" applyFill="1" applyBorder="1" applyAlignment="1">
      <alignment horizontal="center" vertical="top"/>
    </xf>
    <xf numFmtId="0" fontId="24" fillId="34" borderId="40" xfId="0" applyFont="1" applyFill="1" applyBorder="1" applyAlignment="1">
      <alignment horizontal="center" vertical="top"/>
    </xf>
    <xf numFmtId="0" fontId="1" fillId="0" borderId="11" xfId="0" applyFont="1" applyBorder="1" applyAlignment="1">
      <alignment horizontal="center" vertical="top"/>
    </xf>
    <xf numFmtId="0" fontId="1" fillId="0" borderId="33" xfId="0" applyFont="1" applyBorder="1" applyAlignment="1">
      <alignment horizontal="center" vertical="top"/>
    </xf>
    <xf numFmtId="43" fontId="0" fillId="35" borderId="0" xfId="42" applyFont="1" applyFill="1"/>
    <xf numFmtId="43" fontId="0" fillId="35" borderId="17" xfId="42" applyFont="1" applyFill="1" applyBorder="1"/>
    <xf numFmtId="43" fontId="0" fillId="35" borderId="0" xfId="42" applyFont="1" applyFill="1" applyAlignment="1">
      <alignment horizontal="right"/>
    </xf>
    <xf numFmtId="43" fontId="0" fillId="35" borderId="17" xfId="42" applyFont="1" applyFill="1" applyBorder="1" applyAlignment="1">
      <alignment horizontal="right"/>
    </xf>
    <xf numFmtId="43" fontId="0" fillId="0" borderId="0" xfId="42" applyFont="1"/>
    <xf numFmtId="168" fontId="0" fillId="35" borderId="0" xfId="42" applyNumberFormat="1" applyFont="1" applyFill="1"/>
    <xf numFmtId="168" fontId="0" fillId="35" borderId="17" xfId="42" applyNumberFormat="1" applyFont="1" applyFill="1" applyBorder="1"/>
    <xf numFmtId="168" fontId="0" fillId="35" borderId="0" xfId="42" applyNumberFormat="1" applyFont="1" applyFill="1" applyAlignment="1">
      <alignment horizontal="right"/>
    </xf>
    <xf numFmtId="168" fontId="0" fillId="35" borderId="17" xfId="42" applyNumberFormat="1" applyFont="1" applyFill="1" applyBorder="1" applyAlignment="1">
      <alignment horizontal="right"/>
    </xf>
    <xf numFmtId="0" fontId="39" fillId="46" borderId="50" xfId="0" applyFont="1" applyFill="1" applyBorder="1"/>
    <xf numFmtId="0" fontId="39" fillId="47" borderId="50" xfId="0" applyFont="1" applyFill="1" applyBorder="1" applyAlignment="1">
      <alignment wrapText="1"/>
    </xf>
    <xf numFmtId="0" fontId="39" fillId="46" borderId="51" xfId="0" applyFont="1" applyFill="1" applyBorder="1"/>
    <xf numFmtId="0" fontId="15" fillId="35" borderId="0" xfId="0" applyFont="1" applyFill="1"/>
    <xf numFmtId="0" fontId="39" fillId="33" borderId="50" xfId="0" applyFont="1" applyFill="1" applyBorder="1"/>
    <xf numFmtId="0" fontId="40" fillId="33" borderId="50" xfId="0" applyFont="1" applyFill="1" applyBorder="1"/>
    <xf numFmtId="0" fontId="0" fillId="0" borderId="0" xfId="0" applyAlignment="1">
      <alignment wrapText="1"/>
    </xf>
    <xf numFmtId="0" fontId="17" fillId="34" borderId="0" xfId="0" applyFont="1" applyFill="1" applyAlignment="1">
      <alignment wrapText="1"/>
    </xf>
    <xf numFmtId="1" fontId="17" fillId="0" borderId="0" xfId="0" applyNumberFormat="1" applyFont="1"/>
    <xf numFmtId="1" fontId="0" fillId="0" borderId="17" xfId="0" applyNumberFormat="1" applyBorder="1"/>
    <xf numFmtId="1" fontId="15" fillId="0" borderId="17" xfId="0" applyNumberFormat="1" applyFont="1" applyBorder="1"/>
    <xf numFmtId="1" fontId="0" fillId="48" borderId="0" xfId="0" applyNumberFormat="1" applyFill="1"/>
    <xf numFmtId="0" fontId="0" fillId="48" borderId="0" xfId="0" applyFill="1" applyAlignment="1">
      <alignment horizontal="right"/>
    </xf>
    <xf numFmtId="0" fontId="0" fillId="35" borderId="0" xfId="0" applyFill="1" applyAlignment="1">
      <alignment horizontal="right" wrapText="1"/>
    </xf>
    <xf numFmtId="0" fontId="28" fillId="35" borderId="22" xfId="0" applyFont="1" applyFill="1" applyBorder="1" applyAlignment="1">
      <alignment horizontal="center"/>
    </xf>
    <xf numFmtId="168" fontId="0" fillId="35" borderId="11" xfId="42" applyNumberFormat="1" applyFont="1" applyFill="1" applyBorder="1"/>
    <xf numFmtId="168" fontId="0" fillId="35" borderId="33" xfId="42" applyNumberFormat="1" applyFont="1" applyFill="1" applyBorder="1"/>
    <xf numFmtId="168" fontId="0" fillId="35" borderId="40" xfId="42" applyNumberFormat="1" applyFont="1" applyFill="1" applyBorder="1"/>
    <xf numFmtId="0" fontId="0" fillId="48" borderId="0" xfId="0" applyFill="1"/>
    <xf numFmtId="1" fontId="0" fillId="35" borderId="0" xfId="0" applyNumberFormat="1" applyFill="1"/>
    <xf numFmtId="3" fontId="0" fillId="0" borderId="0" xfId="0" applyNumberFormat="1"/>
    <xf numFmtId="43" fontId="0" fillId="35" borderId="0" xfId="0" applyNumberFormat="1" applyFill="1"/>
    <xf numFmtId="0" fontId="1" fillId="34" borderId="19" xfId="0" applyFont="1" applyFill="1" applyBorder="1" applyAlignment="1">
      <alignment horizontal="center" vertical="top" wrapText="1"/>
    </xf>
    <xf numFmtId="0" fontId="1" fillId="34" borderId="40" xfId="0" applyFont="1" applyFill="1" applyBorder="1" applyAlignment="1">
      <alignment horizontal="center" vertical="top"/>
    </xf>
    <xf numFmtId="0" fontId="15" fillId="0" borderId="40" xfId="0" applyFont="1" applyBorder="1"/>
    <xf numFmtId="0" fontId="21" fillId="35" borderId="45" xfId="0" applyFont="1" applyFill="1" applyBorder="1"/>
    <xf numFmtId="0" fontId="31" fillId="0" borderId="40" xfId="0" applyFont="1" applyBorder="1"/>
    <xf numFmtId="0" fontId="20" fillId="0" borderId="45" xfId="0" applyFont="1" applyBorder="1"/>
    <xf numFmtId="0" fontId="15" fillId="0" borderId="45" xfId="0" applyFont="1" applyBorder="1"/>
    <xf numFmtId="0" fontId="15" fillId="35" borderId="40" xfId="0" applyFont="1" applyFill="1" applyBorder="1"/>
    <xf numFmtId="2" fontId="0" fillId="0" borderId="0" xfId="0" applyNumberFormat="1"/>
    <xf numFmtId="0" fontId="28" fillId="35" borderId="23" xfId="0" applyFont="1" applyFill="1" applyBorder="1"/>
    <xf numFmtId="3" fontId="0" fillId="35" borderId="0" xfId="42" applyNumberFormat="1" applyFont="1" applyFill="1"/>
    <xf numFmtId="3" fontId="0" fillId="35" borderId="17" xfId="42" applyNumberFormat="1" applyFont="1" applyFill="1" applyBorder="1"/>
    <xf numFmtId="3" fontId="0" fillId="0" borderId="11" xfId="0" applyNumberFormat="1" applyBorder="1"/>
    <xf numFmtId="43" fontId="0" fillId="0" borderId="11" xfId="0" applyNumberFormat="1" applyBorder="1"/>
    <xf numFmtId="9" fontId="0" fillId="0" borderId="0" xfId="0" applyNumberFormat="1"/>
    <xf numFmtId="0" fontId="0" fillId="35" borderId="24" xfId="0" applyFill="1" applyBorder="1"/>
    <xf numFmtId="168" fontId="0" fillId="0" borderId="11" xfId="0" applyNumberFormat="1" applyBorder="1"/>
    <xf numFmtId="0" fontId="28" fillId="38" borderId="0" xfId="0" applyFont="1" applyFill="1"/>
    <xf numFmtId="0" fontId="1" fillId="34" borderId="1" xfId="0" applyFont="1" applyFill="1" applyBorder="1" applyAlignment="1">
      <alignment horizontal="center" vertical="top"/>
    </xf>
    <xf numFmtId="0" fontId="1" fillId="34" borderId="1" xfId="0" applyFont="1" applyFill="1" applyBorder="1" applyAlignment="1">
      <alignment horizontal="center" vertical="top" wrapText="1"/>
    </xf>
    <xf numFmtId="0" fontId="0" fillId="0" borderId="54" xfId="0" applyBorder="1"/>
    <xf numFmtId="0" fontId="1" fillId="0" borderId="0" xfId="0" applyFont="1" applyAlignment="1">
      <alignment horizontal="center" vertical="top" wrapText="1"/>
    </xf>
    <xf numFmtId="169" fontId="0" fillId="0" borderId="0" xfId="0" applyNumberFormat="1"/>
    <xf numFmtId="0" fontId="1" fillId="0" borderId="0" xfId="0" applyFont="1" applyAlignment="1">
      <alignment horizontal="center" vertical="top"/>
    </xf>
    <xf numFmtId="0" fontId="1" fillId="34" borderId="55" xfId="0" applyFont="1" applyFill="1" applyBorder="1" applyAlignment="1">
      <alignment horizontal="center" vertical="top" wrapText="1"/>
    </xf>
    <xf numFmtId="0" fontId="1" fillId="34" borderId="56" xfId="0" applyFont="1" applyFill="1" applyBorder="1" applyAlignment="1">
      <alignment horizontal="center" vertical="top" wrapText="1"/>
    </xf>
    <xf numFmtId="43" fontId="0" fillId="0" borderId="24" xfId="42" applyFont="1" applyBorder="1"/>
    <xf numFmtId="168" fontId="0" fillId="0" borderId="0" xfId="42" applyNumberFormat="1" applyFont="1" applyBorder="1"/>
    <xf numFmtId="43" fontId="0" fillId="0" borderId="52" xfId="42" applyFont="1" applyBorder="1"/>
    <xf numFmtId="168" fontId="0" fillId="0" borderId="53" xfId="42" applyNumberFormat="1" applyFont="1" applyBorder="1"/>
    <xf numFmtId="0" fontId="28" fillId="45" borderId="22" xfId="0" applyFont="1" applyFill="1" applyBorder="1"/>
    <xf numFmtId="3" fontId="0" fillId="45" borderId="0" xfId="0" applyNumberFormat="1" applyFill="1"/>
    <xf numFmtId="0" fontId="1" fillId="45" borderId="19" xfId="0" applyFont="1" applyFill="1" applyBorder="1" applyAlignment="1">
      <alignment horizontal="center" vertical="top"/>
    </xf>
    <xf numFmtId="0" fontId="1" fillId="45" borderId="19" xfId="0" applyFont="1" applyFill="1" applyBorder="1" applyAlignment="1">
      <alignment horizontal="center" vertical="center"/>
    </xf>
    <xf numFmtId="0" fontId="1" fillId="45" borderId="33" xfId="0" applyFont="1" applyFill="1" applyBorder="1" applyAlignment="1">
      <alignment horizontal="center" vertical="top"/>
    </xf>
    <xf numFmtId="2" fontId="0" fillId="35" borderId="0" xfId="0" applyNumberFormat="1" applyFill="1" applyAlignment="1">
      <alignment horizontal="right"/>
    </xf>
    <xf numFmtId="4" fontId="0" fillId="35" borderId="0" xfId="42" applyNumberFormat="1" applyFont="1" applyFill="1"/>
    <xf numFmtId="0" fontId="1" fillId="34" borderId="14" xfId="0" applyFont="1" applyFill="1" applyBorder="1" applyAlignment="1">
      <alignment horizontal="center" vertical="top" wrapText="1"/>
    </xf>
    <xf numFmtId="0" fontId="37" fillId="39" borderId="31" xfId="4" applyFont="1" applyFill="1" applyBorder="1" applyAlignment="1">
      <alignment wrapText="1"/>
    </xf>
    <xf numFmtId="0" fontId="41" fillId="0" borderId="0" xfId="0" applyFont="1"/>
    <xf numFmtId="0" fontId="44" fillId="0" borderId="0" xfId="0" applyFont="1"/>
    <xf numFmtId="0" fontId="0" fillId="0" borderId="31" xfId="0" applyBorder="1"/>
    <xf numFmtId="0" fontId="17" fillId="42" borderId="1" xfId="0" applyFont="1" applyFill="1" applyBorder="1"/>
    <xf numFmtId="167" fontId="0" fillId="0" borderId="0" xfId="0" applyNumberFormat="1"/>
    <xf numFmtId="4" fontId="0" fillId="35" borderId="17" xfId="42" applyNumberFormat="1" applyFont="1" applyFill="1" applyBorder="1"/>
    <xf numFmtId="0" fontId="6" fillId="33" borderId="17" xfId="5" applyFill="1" applyBorder="1"/>
    <xf numFmtId="1" fontId="0" fillId="36" borderId="25" xfId="0" applyNumberFormat="1" applyFill="1" applyBorder="1" applyAlignment="1">
      <alignment horizontal="center" vertical="center"/>
    </xf>
    <xf numFmtId="0" fontId="6" fillId="36" borderId="0" xfId="5" applyFill="1"/>
    <xf numFmtId="1" fontId="0" fillId="36" borderId="0" xfId="0" applyNumberFormat="1" applyFill="1" applyAlignment="1">
      <alignment horizontal="center" vertical="center"/>
    </xf>
    <xf numFmtId="0" fontId="28" fillId="34" borderId="22" xfId="0" applyFont="1" applyFill="1" applyBorder="1"/>
    <xf numFmtId="170" fontId="0" fillId="0" borderId="25" xfId="0" applyNumberFormat="1" applyBorder="1" applyAlignment="1">
      <alignment horizontal="center" vertical="center"/>
    </xf>
    <xf numFmtId="4" fontId="0" fillId="0" borderId="11" xfId="0" applyNumberFormat="1" applyBorder="1"/>
    <xf numFmtId="4" fontId="42" fillId="0" borderId="11" xfId="0" applyNumberFormat="1" applyFont="1" applyBorder="1"/>
    <xf numFmtId="168" fontId="0" fillId="0" borderId="0" xfId="42" applyNumberFormat="1" applyFont="1"/>
    <xf numFmtId="0" fontId="0" fillId="49" borderId="24" xfId="0" applyFill="1" applyBorder="1" applyAlignment="1">
      <alignment horizontal="center" vertical="center"/>
    </xf>
    <xf numFmtId="1" fontId="0" fillId="49" borderId="0" xfId="0" applyNumberFormat="1" applyFill="1" applyAlignment="1">
      <alignment horizontal="center" vertical="center"/>
    </xf>
    <xf numFmtId="1" fontId="0" fillId="49" borderId="25" xfId="0" applyNumberFormat="1" applyFill="1" applyBorder="1" applyAlignment="1">
      <alignment horizontal="center" vertical="center"/>
    </xf>
    <xf numFmtId="43" fontId="0" fillId="0" borderId="0" xfId="0" applyNumberFormat="1"/>
    <xf numFmtId="0" fontId="28" fillId="34" borderId="49" xfId="0" applyFont="1" applyFill="1" applyBorder="1"/>
    <xf numFmtId="0" fontId="28" fillId="34" borderId="0" xfId="0" applyFont="1" applyFill="1"/>
    <xf numFmtId="0" fontId="45" fillId="0" borderId="0" xfId="0" applyFont="1" applyAlignment="1">
      <alignment wrapText="1"/>
    </xf>
    <xf numFmtId="0" fontId="45" fillId="0" borderId="0" xfId="0" applyFont="1"/>
    <xf numFmtId="0" fontId="0" fillId="33" borderId="0" xfId="0" applyFill="1" applyAlignment="1">
      <alignment wrapText="1"/>
    </xf>
    <xf numFmtId="3" fontId="0" fillId="35" borderId="0" xfId="0" applyNumberFormat="1" applyFill="1"/>
    <xf numFmtId="3" fontId="0" fillId="35" borderId="12" xfId="0" applyNumberFormat="1" applyFill="1" applyBorder="1"/>
    <xf numFmtId="0" fontId="0" fillId="35" borderId="30" xfId="0" applyFill="1" applyBorder="1"/>
    <xf numFmtId="0" fontId="0" fillId="35" borderId="57" xfId="0" applyFill="1" applyBorder="1"/>
    <xf numFmtId="1" fontId="15" fillId="48" borderId="0" xfId="0" applyNumberFormat="1" applyFont="1" applyFill="1"/>
    <xf numFmtId="0" fontId="28" fillId="35" borderId="21" xfId="0" applyFont="1" applyFill="1" applyBorder="1" applyAlignment="1">
      <alignment horizontal="center"/>
    </xf>
    <xf numFmtId="0" fontId="28" fillId="35" borderId="22" xfId="0" applyFont="1" applyFill="1" applyBorder="1" applyAlignment="1">
      <alignment horizontal="center"/>
    </xf>
    <xf numFmtId="0" fontId="28" fillId="35" borderId="23" xfId="0" applyFont="1" applyFill="1" applyBorder="1" applyAlignment="1">
      <alignment horizontal="center"/>
    </xf>
    <xf numFmtId="0" fontId="28" fillId="35" borderId="1" xfId="0" applyFont="1" applyFill="1" applyBorder="1" applyAlignment="1">
      <alignment horizontal="center"/>
    </xf>
    <xf numFmtId="0" fontId="28" fillId="35" borderId="29" xfId="0" applyFont="1" applyFill="1" applyBorder="1" applyAlignment="1">
      <alignment horizontal="center"/>
    </xf>
    <xf numFmtId="0" fontId="28" fillId="35" borderId="30" xfId="0" applyFont="1" applyFill="1" applyBorder="1" applyAlignment="1">
      <alignment horizontal="center"/>
    </xf>
    <xf numFmtId="0" fontId="28" fillId="35" borderId="31" xfId="0" applyFont="1" applyFill="1" applyBorder="1" applyAlignment="1">
      <alignment horizontal="center"/>
    </xf>
    <xf numFmtId="0" fontId="17" fillId="0" borderId="0" xfId="0" applyFont="1" applyAlignment="1">
      <alignment horizontal="center"/>
    </xf>
    <xf numFmtId="0" fontId="28" fillId="34" borderId="1" xfId="0" applyFont="1" applyFill="1" applyBorder="1" applyAlignment="1">
      <alignment horizontal="center"/>
    </xf>
    <xf numFmtId="0" fontId="28" fillId="34" borderId="29" xfId="0" applyFont="1" applyFill="1" applyBorder="1" applyAlignment="1">
      <alignment horizontal="center"/>
    </xf>
    <xf numFmtId="0" fontId="28" fillId="34" borderId="30" xfId="0" applyFont="1" applyFill="1" applyBorder="1" applyAlignment="1">
      <alignment horizontal="center"/>
    </xf>
    <xf numFmtId="0" fontId="28" fillId="34" borderId="31" xfId="0" applyFont="1" applyFill="1" applyBorder="1" applyAlignment="1">
      <alignment horizontal="center"/>
    </xf>
    <xf numFmtId="0" fontId="28" fillId="35" borderId="16" xfId="0" applyFont="1" applyFill="1" applyBorder="1" applyAlignment="1">
      <alignment horizontal="center"/>
    </xf>
    <xf numFmtId="0" fontId="28" fillId="35" borderId="17" xfId="0" applyFont="1" applyFill="1" applyBorder="1" applyAlignment="1">
      <alignment horizontal="center"/>
    </xf>
    <xf numFmtId="0" fontId="28" fillId="35" borderId="18" xfId="0" applyFont="1" applyFill="1" applyBorder="1" applyAlignment="1">
      <alignment horizontal="center"/>
    </xf>
    <xf numFmtId="0" fontId="42" fillId="35" borderId="24" xfId="0" applyFont="1" applyFill="1" applyBorder="1" applyAlignment="1">
      <alignment horizontal="center"/>
    </xf>
    <xf numFmtId="0" fontId="42" fillId="35" borderId="0" xfId="0" applyFont="1" applyFill="1" applyAlignment="1">
      <alignment horizontal="center"/>
    </xf>
    <xf numFmtId="0" fontId="42" fillId="35" borderId="21" xfId="0" applyFont="1" applyFill="1" applyBorder="1" applyAlignment="1">
      <alignment horizontal="center"/>
    </xf>
    <xf numFmtId="0" fontId="42" fillId="35" borderId="22" xfId="0" applyFont="1" applyFill="1" applyBorder="1" applyAlignment="1">
      <alignment horizontal="center"/>
    </xf>
    <xf numFmtId="0" fontId="42" fillId="35" borderId="23" xfId="0" applyFont="1" applyFill="1" applyBorder="1" applyAlignment="1">
      <alignment horizontal="center"/>
    </xf>
    <xf numFmtId="0" fontId="37" fillId="42" borderId="29" xfId="4" applyFont="1" applyFill="1" applyBorder="1" applyAlignment="1">
      <alignment horizontal="center" wrapText="1"/>
    </xf>
    <xf numFmtId="0" fontId="37" fillId="42" borderId="30" xfId="4" applyFont="1" applyFill="1" applyBorder="1" applyAlignment="1">
      <alignment horizontal="center" wrapText="1"/>
    </xf>
    <xf numFmtId="0" fontId="37" fillId="42" borderId="31" xfId="4" applyFont="1" applyFill="1" applyBorder="1" applyAlignment="1">
      <alignment horizontal="center" wrapText="1"/>
    </xf>
    <xf numFmtId="0" fontId="36" fillId="0" borderId="1" xfId="0" applyFont="1" applyBorder="1" applyAlignment="1">
      <alignment horizontal="center"/>
    </xf>
    <xf numFmtId="0" fontId="35" fillId="41" borderId="34" xfId="0" applyFont="1" applyFill="1" applyBorder="1" applyAlignment="1">
      <alignment horizontal="center" vertical="center"/>
    </xf>
    <xf numFmtId="0" fontId="35" fillId="41" borderId="35" xfId="0" applyFont="1" applyFill="1" applyBorder="1" applyAlignment="1">
      <alignment horizontal="center" vertical="center"/>
    </xf>
    <xf numFmtId="0" fontId="35" fillId="41" borderId="36" xfId="0" applyFont="1" applyFill="1" applyBorder="1" applyAlignment="1">
      <alignment horizontal="center" vertical="center"/>
    </xf>
    <xf numFmtId="0" fontId="32" fillId="39" borderId="1" xfId="0" applyFont="1" applyFill="1" applyBorder="1" applyAlignment="1">
      <alignment horizontal="center"/>
    </xf>
    <xf numFmtId="0" fontId="32" fillId="39" borderId="29" xfId="0" applyFont="1" applyFill="1" applyBorder="1" applyAlignment="1">
      <alignment horizontal="center"/>
    </xf>
    <xf numFmtId="0" fontId="32" fillId="39" borderId="30" xfId="0" applyFont="1" applyFill="1" applyBorder="1" applyAlignment="1">
      <alignment horizontal="center"/>
    </xf>
    <xf numFmtId="0" fontId="32" fillId="39" borderId="31" xfId="0" applyFont="1" applyFill="1" applyBorder="1" applyAlignment="1">
      <alignment horizontal="center"/>
    </xf>
    <xf numFmtId="0" fontId="6" fillId="0" borderId="32" xfId="5" applyBorder="1" applyAlignment="1">
      <alignment horizontal="center"/>
    </xf>
    <xf numFmtId="0" fontId="6" fillId="0" borderId="0" xfId="5" applyBorder="1" applyAlignment="1">
      <alignment horizontal="center"/>
    </xf>
    <xf numFmtId="0" fontId="6" fillId="0" borderId="0" xfId="5" applyAlignment="1">
      <alignment horizontal="center"/>
    </xf>
    <xf numFmtId="0" fontId="6" fillId="0" borderId="24" xfId="5" applyBorder="1" applyAlignment="1">
      <alignment horizontal="center"/>
    </xf>
    <xf numFmtId="0" fontId="6" fillId="0" borderId="25" xfId="5" applyBorder="1" applyAlignment="1">
      <alignment horizontal="center"/>
    </xf>
    <xf numFmtId="0" fontId="0" fillId="0" borderId="0" xfId="0" applyAlignment="1">
      <alignment horizontal="center"/>
    </xf>
    <xf numFmtId="0" fontId="28" fillId="45" borderId="1" xfId="0" applyFont="1" applyFill="1" applyBorder="1" applyAlignment="1">
      <alignment horizontal="center"/>
    </xf>
    <xf numFmtId="0" fontId="28" fillId="45" borderId="29" xfId="0" applyFont="1" applyFill="1" applyBorder="1" applyAlignment="1">
      <alignment horizontal="center"/>
    </xf>
    <xf numFmtId="0" fontId="28" fillId="45" borderId="30" xfId="0" applyFont="1" applyFill="1" applyBorder="1" applyAlignment="1">
      <alignment horizontal="center"/>
    </xf>
    <xf numFmtId="0" fontId="28" fillId="45" borderId="31" xfId="0" applyFont="1" applyFill="1" applyBorder="1" applyAlignment="1">
      <alignment horizontal="center"/>
    </xf>
    <xf numFmtId="0" fontId="28" fillId="40" borderId="21" xfId="0" applyFont="1" applyFill="1" applyBorder="1" applyAlignment="1">
      <alignment horizontal="center"/>
    </xf>
    <xf numFmtId="0" fontId="28" fillId="40" borderId="22" xfId="0" applyFont="1" applyFill="1" applyBorder="1" applyAlignment="1">
      <alignment horizontal="center"/>
    </xf>
    <xf numFmtId="0" fontId="28" fillId="40" borderId="23"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E7F4D8"/>
      <color rgb="FFF7FBF3"/>
      <color rgb="FFBAE1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17/06/relationships/rdRichValueTypes" Target="richData/rdRichValueTyp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'SkYSPark Data_w Will''s Data'!$J$663:$J$674</c:f>
              <c:numCache>
                <c:formatCode>General</c:formatCode>
                <c:ptCount val="12"/>
                <c:pt idx="0">
                  <c:v>2408.0224609375382</c:v>
                </c:pt>
                <c:pt idx="1">
                  <c:v>2197.0263671875373</c:v>
                </c:pt>
                <c:pt idx="2">
                  <c:v>2458.3300781249663</c:v>
                </c:pt>
                <c:pt idx="3">
                  <c:v>1761.8945312499754</c:v>
                </c:pt>
                <c:pt idx="4">
                  <c:v>2113.9941406249818</c:v>
                </c:pt>
                <c:pt idx="5">
                  <c:v>2215.2539062499882</c:v>
                </c:pt>
                <c:pt idx="6">
                  <c:v>2100.2539062500168</c:v>
                </c:pt>
                <c:pt idx="7">
                  <c:v>2581.7089843749782</c:v>
                </c:pt>
                <c:pt idx="8">
                  <c:v>2140.5957031249914</c:v>
                </c:pt>
                <c:pt idx="9">
                  <c:v>2779.9999999999641</c:v>
                </c:pt>
                <c:pt idx="10">
                  <c:v>2830.0000000000236</c:v>
                </c:pt>
                <c:pt idx="11">
                  <c:v>3240.0000000000168</c:v>
                </c:pt>
              </c:numCache>
            </c:numRef>
          </c:val>
          <c:smooth val="0"/>
          <c:extLst>
            <c:ext xmlns:c16="http://schemas.microsoft.com/office/drawing/2014/chart" uri="{C3380CC4-5D6E-409C-BE32-E72D297353CC}">
              <c16:uniqueId val="{00000000-38DD-487F-8BB4-0737157E99A8}"/>
            </c:ext>
          </c:extLst>
        </c:ser>
        <c:dLbls>
          <c:showLegendKey val="0"/>
          <c:showVal val="0"/>
          <c:showCatName val="0"/>
          <c:showSerName val="0"/>
          <c:showPercent val="0"/>
          <c:showBubbleSize val="0"/>
        </c:dLbls>
        <c:smooth val="0"/>
        <c:axId val="1452540416"/>
        <c:axId val="1452542336"/>
      </c:lineChart>
      <c:catAx>
        <c:axId val="14525404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542336"/>
        <c:crosses val="autoZero"/>
        <c:auto val="1"/>
        <c:lblAlgn val="ctr"/>
        <c:lblOffset val="100"/>
        <c:noMultiLvlLbl val="0"/>
      </c:catAx>
      <c:valAx>
        <c:axId val="1452542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54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'Missing Bldgs - Monthly EUI'!$H$39:$H$50</c:f>
              <c:numCache>
                <c:formatCode>#,##0.00</c:formatCode>
                <c:ptCount val="12"/>
                <c:pt idx="0">
                  <c:v>711.73017634838709</c:v>
                </c:pt>
                <c:pt idx="1">
                  <c:v>692.59919354839053</c:v>
                </c:pt>
                <c:pt idx="2">
                  <c:v>602.25484892376335</c:v>
                </c:pt>
                <c:pt idx="3">
                  <c:v>369.16797484284876</c:v>
                </c:pt>
                <c:pt idx="4">
                  <c:v>275.0576435009437</c:v>
                </c:pt>
                <c:pt idx="5">
                  <c:v>172.24065913245917</c:v>
                </c:pt>
                <c:pt idx="6">
                  <c:v>175.10101784075064</c:v>
                </c:pt>
                <c:pt idx="7">
                  <c:v>135.31023032671106</c:v>
                </c:pt>
                <c:pt idx="8">
                  <c:v>160.72548177062407</c:v>
                </c:pt>
                <c:pt idx="9">
                  <c:v>235.82155542660368</c:v>
                </c:pt>
                <c:pt idx="10">
                  <c:v>424.79417060390648</c:v>
                </c:pt>
                <c:pt idx="11">
                  <c:v>612.3968833176649</c:v>
                </c:pt>
              </c:numCache>
            </c:numRef>
          </c:val>
          <c:smooth val="0"/>
          <c:extLst>
            <c:ext xmlns:c16="http://schemas.microsoft.com/office/drawing/2014/chart" uri="{C3380CC4-5D6E-409C-BE32-E72D297353CC}">
              <c16:uniqueId val="{00000000-E5AC-47AF-8359-A92E42D3B918}"/>
            </c:ext>
          </c:extLst>
        </c:ser>
        <c:dLbls>
          <c:showLegendKey val="0"/>
          <c:showVal val="0"/>
          <c:showCatName val="0"/>
          <c:showSerName val="0"/>
          <c:showPercent val="0"/>
          <c:showBubbleSize val="0"/>
        </c:dLbls>
        <c:smooth val="0"/>
        <c:axId val="1305261295"/>
        <c:axId val="2080557936"/>
      </c:lineChart>
      <c:catAx>
        <c:axId val="13052612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557936"/>
        <c:crosses val="autoZero"/>
        <c:auto val="1"/>
        <c:lblAlgn val="ctr"/>
        <c:lblOffset val="100"/>
        <c:noMultiLvlLbl val="0"/>
      </c:catAx>
      <c:valAx>
        <c:axId val="20805579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26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'Missing Bldgs - Monthly EUI'!$H$99:$H$110</c:f>
              <c:numCache>
                <c:formatCode>#,##0.00</c:formatCode>
                <c:ptCount val="12"/>
                <c:pt idx="0">
                  <c:v>3280.4860030216332</c:v>
                </c:pt>
                <c:pt idx="1">
                  <c:v>2280.9483165102442</c:v>
                </c:pt>
                <c:pt idx="2">
                  <c:v>3101.0817363219094</c:v>
                </c:pt>
                <c:pt idx="3">
                  <c:v>2102.7320722370459</c:v>
                </c:pt>
                <c:pt idx="4">
                  <c:v>1750.4611582530272</c:v>
                </c:pt>
                <c:pt idx="5">
                  <c:v>790.1194897932254</c:v>
                </c:pt>
                <c:pt idx="6">
                  <c:v>658.17112481852291</c:v>
                </c:pt>
                <c:pt idx="7">
                  <c:v>296.81288865680989</c:v>
                </c:pt>
                <c:pt idx="8">
                  <c:v>554.12460344791975</c:v>
                </c:pt>
                <c:pt idx="9">
                  <c:v>1398.2038041386797</c:v>
                </c:pt>
                <c:pt idx="10">
                  <c:v>2719.8860312393399</c:v>
                </c:pt>
                <c:pt idx="11">
                  <c:v>2374.6883130896899</c:v>
                </c:pt>
              </c:numCache>
            </c:numRef>
          </c:val>
          <c:smooth val="0"/>
          <c:extLst>
            <c:ext xmlns:c16="http://schemas.microsoft.com/office/drawing/2014/chart" uri="{C3380CC4-5D6E-409C-BE32-E72D297353CC}">
              <c16:uniqueId val="{00000000-BEB3-4DC3-B185-6C8320CE050A}"/>
            </c:ext>
          </c:extLst>
        </c:ser>
        <c:dLbls>
          <c:showLegendKey val="0"/>
          <c:showVal val="0"/>
          <c:showCatName val="0"/>
          <c:showSerName val="0"/>
          <c:showPercent val="0"/>
          <c:showBubbleSize val="0"/>
        </c:dLbls>
        <c:smooth val="0"/>
        <c:axId val="1105966656"/>
        <c:axId val="1105947936"/>
      </c:lineChart>
      <c:catAx>
        <c:axId val="110596665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5947936"/>
        <c:crosses val="autoZero"/>
        <c:auto val="1"/>
        <c:lblAlgn val="ctr"/>
        <c:lblOffset val="100"/>
        <c:noMultiLvlLbl val="0"/>
      </c:catAx>
      <c:valAx>
        <c:axId val="11059479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5966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'Missing Bldgs - Monthly EUI'!$I$3:$I$14</c:f>
              <c:numCache>
                <c:formatCode>#,##0.00</c:formatCode>
                <c:ptCount val="12"/>
                <c:pt idx="0">
                  <c:v>1421.1469296259249</c:v>
                </c:pt>
                <c:pt idx="1">
                  <c:v>1130.0624266790498</c:v>
                </c:pt>
                <c:pt idx="2">
                  <c:v>1977.2711532354219</c:v>
                </c:pt>
                <c:pt idx="3">
                  <c:v>2609.5652854301256</c:v>
                </c:pt>
                <c:pt idx="4">
                  <c:v>3033.0043956653535</c:v>
                </c:pt>
                <c:pt idx="5">
                  <c:v>2847.9496272236047</c:v>
                </c:pt>
                <c:pt idx="6">
                  <c:v>3226.4327267435078</c:v>
                </c:pt>
                <c:pt idx="7">
                  <c:v>3337.4178020669237</c:v>
                </c:pt>
                <c:pt idx="8">
                  <c:v>2927.9833784684993</c:v>
                </c:pt>
                <c:pt idx="9">
                  <c:v>2923.8135146405521</c:v>
                </c:pt>
                <c:pt idx="10">
                  <c:v>2199.6756793187615</c:v>
                </c:pt>
                <c:pt idx="11">
                  <c:v>1697.7503461747444</c:v>
                </c:pt>
              </c:numCache>
            </c:numRef>
          </c:val>
          <c:smooth val="0"/>
          <c:extLst>
            <c:ext xmlns:c16="http://schemas.microsoft.com/office/drawing/2014/chart" uri="{C3380CC4-5D6E-409C-BE32-E72D297353CC}">
              <c16:uniqueId val="{00000000-779C-4FE0-ACFD-33FC45E4967A}"/>
            </c:ext>
          </c:extLst>
        </c:ser>
        <c:dLbls>
          <c:showLegendKey val="0"/>
          <c:showVal val="0"/>
          <c:showCatName val="0"/>
          <c:showSerName val="0"/>
          <c:showPercent val="0"/>
          <c:showBubbleSize val="0"/>
        </c:dLbls>
        <c:smooth val="0"/>
        <c:axId val="1451374688"/>
        <c:axId val="1451376128"/>
      </c:lineChart>
      <c:catAx>
        <c:axId val="14513746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376128"/>
        <c:crosses val="autoZero"/>
        <c:auto val="1"/>
        <c:lblAlgn val="ctr"/>
        <c:lblOffset val="100"/>
        <c:noMultiLvlLbl val="0"/>
      </c:catAx>
      <c:valAx>
        <c:axId val="14513761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374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'Missing Bldgs - Monthly EUI'!$U$15:$U$26</c:f>
              <c:numCache>
                <c:formatCode>#,##0.00</c:formatCode>
                <c:ptCount val="12"/>
                <c:pt idx="0">
                  <c:v>61328.663999999997</c:v>
                </c:pt>
                <c:pt idx="1">
                  <c:v>55393.631999999998</c:v>
                </c:pt>
                <c:pt idx="2">
                  <c:v>61328.663999999997</c:v>
                </c:pt>
                <c:pt idx="3">
                  <c:v>72539.28</c:v>
                </c:pt>
                <c:pt idx="4">
                  <c:v>74957.255999999994</c:v>
                </c:pt>
                <c:pt idx="5">
                  <c:v>72539.28</c:v>
                </c:pt>
                <c:pt idx="6">
                  <c:v>74957.255999999994</c:v>
                </c:pt>
                <c:pt idx="7">
                  <c:v>81771.551999999996</c:v>
                </c:pt>
                <c:pt idx="8">
                  <c:v>72539.28</c:v>
                </c:pt>
                <c:pt idx="9">
                  <c:v>61328.663999999997</c:v>
                </c:pt>
                <c:pt idx="10">
                  <c:v>59350.32</c:v>
                </c:pt>
                <c:pt idx="11">
                  <c:v>61328.663999999997</c:v>
                </c:pt>
              </c:numCache>
            </c:numRef>
          </c:val>
          <c:smooth val="0"/>
          <c:extLst>
            <c:ext xmlns:c16="http://schemas.microsoft.com/office/drawing/2014/chart" uri="{C3380CC4-5D6E-409C-BE32-E72D297353CC}">
              <c16:uniqueId val="{00000000-665C-45AE-AC1A-7228F994C930}"/>
            </c:ext>
          </c:extLst>
        </c:ser>
        <c:dLbls>
          <c:showLegendKey val="0"/>
          <c:showVal val="0"/>
          <c:showCatName val="0"/>
          <c:showSerName val="0"/>
          <c:showPercent val="0"/>
          <c:showBubbleSize val="0"/>
        </c:dLbls>
        <c:smooth val="0"/>
        <c:axId val="891256687"/>
        <c:axId val="891258607"/>
      </c:lineChart>
      <c:catAx>
        <c:axId val="89125668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258607"/>
        <c:crosses val="autoZero"/>
        <c:auto val="1"/>
        <c:lblAlgn val="ctr"/>
        <c:lblOffset val="100"/>
        <c:noMultiLvlLbl val="0"/>
      </c:catAx>
      <c:valAx>
        <c:axId val="8912586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256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'Missing Bldgs - Monthly EUI'!$F$195:$F$206</c:f>
              <c:numCache>
                <c:formatCode>#,##0.00</c:formatCode>
                <c:ptCount val="12"/>
                <c:pt idx="0">
                  <c:v>1455.1964140427708</c:v>
                </c:pt>
                <c:pt idx="1">
                  <c:v>1477.8229562171766</c:v>
                </c:pt>
                <c:pt idx="2">
                  <c:v>1661.5330563938135</c:v>
                </c:pt>
                <c:pt idx="3">
                  <c:v>1654.8083106662118</c:v>
                </c:pt>
                <c:pt idx="4">
                  <c:v>1612.4310775464983</c:v>
                </c:pt>
                <c:pt idx="5">
                  <c:v>1485.5445270810762</c:v>
                </c:pt>
                <c:pt idx="6">
                  <c:v>1597.2170499728206</c:v>
                </c:pt>
                <c:pt idx="7">
                  <c:v>1797.2905193082083</c:v>
                </c:pt>
                <c:pt idx="8">
                  <c:v>1805.4369062536368</c:v>
                </c:pt>
                <c:pt idx="9">
                  <c:v>1774.5060302168158</c:v>
                </c:pt>
                <c:pt idx="10">
                  <c:v>1560.2174012395035</c:v>
                </c:pt>
                <c:pt idx="11">
                  <c:v>1355.942634125149</c:v>
                </c:pt>
              </c:numCache>
            </c:numRef>
          </c:val>
          <c:smooth val="0"/>
          <c:extLst>
            <c:ext xmlns:c16="http://schemas.microsoft.com/office/drawing/2014/chart" uri="{C3380CC4-5D6E-409C-BE32-E72D297353CC}">
              <c16:uniqueId val="{00000000-3FEF-4560-B0B3-92C405DD41F9}"/>
            </c:ext>
          </c:extLst>
        </c:ser>
        <c:dLbls>
          <c:showLegendKey val="0"/>
          <c:showVal val="0"/>
          <c:showCatName val="0"/>
          <c:showSerName val="0"/>
          <c:showPercent val="0"/>
          <c:showBubbleSize val="0"/>
        </c:dLbls>
        <c:smooth val="0"/>
        <c:axId val="831066751"/>
        <c:axId val="831073951"/>
      </c:lineChart>
      <c:catAx>
        <c:axId val="83106675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073951"/>
        <c:crosses val="autoZero"/>
        <c:auto val="1"/>
        <c:lblAlgn val="ctr"/>
        <c:lblOffset val="100"/>
        <c:noMultiLvlLbl val="0"/>
      </c:catAx>
      <c:valAx>
        <c:axId val="8310739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06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'Split meters'!$B$46</c:f>
              <c:strCache>
                <c:ptCount val="1"/>
                <c:pt idx="0">
                  <c:v>CEFCU Stadium</c:v>
                </c:pt>
              </c:strCache>
            </c:strRef>
          </c:tx>
          <c:spPr>
            <a:ln w="28575" cap="rnd">
              <a:solidFill>
                <a:schemeClr val="accent1"/>
              </a:solidFill>
              <a:round/>
            </a:ln>
            <a:effectLst/>
          </c:spPr>
          <c:marker>
            <c:symbol val="none"/>
          </c:marker>
          <c:val>
            <c:numRef>
              <c:f>'Split meters'!$AD$35:$AD$46</c:f>
              <c:numCache>
                <c:formatCode>#,##0</c:formatCode>
                <c:ptCount val="12"/>
                <c:pt idx="0">
                  <c:v>33373.051394976494</c:v>
                </c:pt>
                <c:pt idx="1">
                  <c:v>58734.084463035171</c:v>
                </c:pt>
                <c:pt idx="2">
                  <c:v>52268.240810927979</c:v>
                </c:pt>
                <c:pt idx="3">
                  <c:v>49176.753545810891</c:v>
                </c:pt>
                <c:pt idx="4">
                  <c:v>43333.824243699033</c:v>
                </c:pt>
                <c:pt idx="5">
                  <c:v>46863.885944507805</c:v>
                </c:pt>
                <c:pt idx="6">
                  <c:v>48633.129279042027</c:v>
                </c:pt>
                <c:pt idx="7">
                  <c:v>56756.216060427156</c:v>
                </c:pt>
                <c:pt idx="8">
                  <c:v>48667.417890573764</c:v>
                </c:pt>
                <c:pt idx="9">
                  <c:v>48269.033451170006</c:v>
                </c:pt>
                <c:pt idx="10">
                  <c:v>41400.322097213895</c:v>
                </c:pt>
                <c:pt idx="11">
                  <c:v>32153.572875190595</c:v>
                </c:pt>
              </c:numCache>
            </c:numRef>
          </c:val>
          <c:smooth val="0"/>
          <c:extLst>
            <c:ext xmlns:c16="http://schemas.microsoft.com/office/drawing/2014/chart" uri="{C3380CC4-5D6E-409C-BE32-E72D297353CC}">
              <c16:uniqueId val="{00000000-CA28-4A64-A245-C4656A219CC0}"/>
            </c:ext>
          </c:extLst>
        </c:ser>
        <c:ser>
          <c:idx val="1"/>
          <c:order val="1"/>
          <c:tx>
            <c:strRef>
              <c:f>'Split meters'!$B$47</c:f>
              <c:strCache>
                <c:ptCount val="1"/>
                <c:pt idx="0">
                  <c:v>Field House</c:v>
                </c:pt>
              </c:strCache>
            </c:strRef>
          </c:tx>
          <c:spPr>
            <a:ln w="28575" cap="rnd">
              <a:solidFill>
                <a:schemeClr val="accent2"/>
              </a:solidFill>
              <a:round/>
            </a:ln>
            <a:effectLst/>
          </c:spPr>
          <c:marker>
            <c:symbol val="none"/>
          </c:marker>
          <c:val>
            <c:numRef>
              <c:f>'Split meters'!$AD$47:$AD$58</c:f>
              <c:numCache>
                <c:formatCode>#,##0</c:formatCode>
                <c:ptCount val="12"/>
                <c:pt idx="0">
                  <c:v>8729.5697494863998</c:v>
                </c:pt>
                <c:pt idx="1">
                  <c:v>8433.9137811330111</c:v>
                </c:pt>
                <c:pt idx="2">
                  <c:v>9424.7612812277548</c:v>
                </c:pt>
                <c:pt idx="3">
                  <c:v>8591.9994595346252</c:v>
                </c:pt>
                <c:pt idx="4">
                  <c:v>8698.2222893617272</c:v>
                </c:pt>
                <c:pt idx="5">
                  <c:v>9406.7972167929638</c:v>
                </c:pt>
                <c:pt idx="6">
                  <c:v>9761.9302353145849</c:v>
                </c:pt>
                <c:pt idx="7">
                  <c:v>13076.258163412065</c:v>
                </c:pt>
                <c:pt idx="8">
                  <c:v>13072.974411374584</c:v>
                </c:pt>
                <c:pt idx="9">
                  <c:v>12980.485065015328</c:v>
                </c:pt>
                <c:pt idx="10">
                  <c:v>11499.550475910328</c:v>
                </c:pt>
                <c:pt idx="11">
                  <c:v>10623.477979686491</c:v>
                </c:pt>
              </c:numCache>
            </c:numRef>
          </c:val>
          <c:smooth val="0"/>
          <c:extLst>
            <c:ext xmlns:c16="http://schemas.microsoft.com/office/drawing/2014/chart" uri="{C3380CC4-5D6E-409C-BE32-E72D297353CC}">
              <c16:uniqueId val="{00000001-CA28-4A64-A245-C4656A219CC0}"/>
            </c:ext>
          </c:extLst>
        </c:ser>
        <c:ser>
          <c:idx val="2"/>
          <c:order val="2"/>
          <c:tx>
            <c:strRef>
              <c:f>'Split meters'!$B$59</c:f>
              <c:strCache>
                <c:ptCount val="1"/>
                <c:pt idx="0">
                  <c:v>Koret Center</c:v>
                </c:pt>
              </c:strCache>
            </c:strRef>
          </c:tx>
          <c:spPr>
            <a:ln w="28575" cap="rnd">
              <a:solidFill>
                <a:schemeClr val="accent3"/>
              </a:solidFill>
              <a:round/>
            </a:ln>
            <a:effectLst/>
          </c:spPr>
          <c:marker>
            <c:symbol val="none"/>
          </c:marker>
          <c:val>
            <c:numRef>
              <c:f>'Split meters'!$AD$59:$AD$70</c:f>
              <c:numCache>
                <c:formatCode>#,##0</c:formatCode>
                <c:ptCount val="12"/>
                <c:pt idx="0">
                  <c:v>36004.670127718804</c:v>
                </c:pt>
                <c:pt idx="1">
                  <c:v>17368.139964280821</c:v>
                </c:pt>
                <c:pt idx="2">
                  <c:v>13117.375386141102</c:v>
                </c:pt>
                <c:pt idx="3">
                  <c:v>15397.671152439907</c:v>
                </c:pt>
                <c:pt idx="4">
                  <c:v>15741.827565334206</c:v>
                </c:pt>
                <c:pt idx="5">
                  <c:v>17024.188943748715</c:v>
                </c:pt>
                <c:pt idx="6">
                  <c:v>17666.89989713069</c:v>
                </c:pt>
                <c:pt idx="7">
                  <c:v>21088.366467977401</c:v>
                </c:pt>
                <c:pt idx="8">
                  <c:v>18999.694552598845</c:v>
                </c:pt>
                <c:pt idx="9">
                  <c:v>17594.781791619724</c:v>
                </c:pt>
                <c:pt idx="10">
                  <c:v>12940.691916587844</c:v>
                </c:pt>
                <c:pt idx="11">
                  <c:v>9837.9186851820159</c:v>
                </c:pt>
              </c:numCache>
            </c:numRef>
          </c:val>
          <c:smooth val="0"/>
          <c:extLst>
            <c:ext xmlns:c16="http://schemas.microsoft.com/office/drawing/2014/chart" uri="{C3380CC4-5D6E-409C-BE32-E72D297353CC}">
              <c16:uniqueId val="{00000002-CA28-4A64-A245-C4656A219CC0}"/>
            </c:ext>
          </c:extLst>
        </c:ser>
        <c:ser>
          <c:idx val="3"/>
          <c:order val="3"/>
          <c:tx>
            <c:strRef>
              <c:f>'Split meters'!$B$71</c:f>
              <c:strCache>
                <c:ptCount val="1"/>
                <c:pt idx="0">
                  <c:v>Outdoor Physical Education</c:v>
                </c:pt>
              </c:strCache>
            </c:strRef>
          </c:tx>
          <c:spPr>
            <a:ln w="28575" cap="rnd">
              <a:solidFill>
                <a:schemeClr val="accent4"/>
              </a:solidFill>
              <a:round/>
            </a:ln>
            <a:effectLst/>
          </c:spPr>
          <c:marker>
            <c:symbol val="none"/>
          </c:marker>
          <c:val>
            <c:numRef>
              <c:f>'Split meters'!$AD$71:$AD$82</c:f>
              <c:numCache>
                <c:formatCode>#,##0</c:formatCode>
                <c:ptCount val="12"/>
                <c:pt idx="0">
                  <c:v>12520.872371463076</c:v>
                </c:pt>
                <c:pt idx="1">
                  <c:v>13518.581115222312</c:v>
                </c:pt>
                <c:pt idx="2">
                  <c:v>15210.567112551322</c:v>
                </c:pt>
                <c:pt idx="3">
                  <c:v>15992.323341641928</c:v>
                </c:pt>
                <c:pt idx="4">
                  <c:v>36097.595943984881</c:v>
                </c:pt>
                <c:pt idx="5">
                  <c:v>19079.956629904951</c:v>
                </c:pt>
                <c:pt idx="6">
                  <c:v>18349.18883525865</c:v>
                </c:pt>
                <c:pt idx="7">
                  <c:v>19720.227600428756</c:v>
                </c:pt>
                <c:pt idx="8">
                  <c:v>17564.454651480271</c:v>
                </c:pt>
                <c:pt idx="9">
                  <c:v>17602.257106293077</c:v>
                </c:pt>
                <c:pt idx="10">
                  <c:v>15038.790509629358</c:v>
                </c:pt>
                <c:pt idx="11">
                  <c:v>12772.771276782354</c:v>
                </c:pt>
              </c:numCache>
            </c:numRef>
          </c:val>
          <c:smooth val="0"/>
          <c:extLst>
            <c:ext xmlns:c16="http://schemas.microsoft.com/office/drawing/2014/chart" uri="{C3380CC4-5D6E-409C-BE32-E72D297353CC}">
              <c16:uniqueId val="{00000003-CA28-4A64-A245-C4656A219CC0}"/>
            </c:ext>
          </c:extLst>
        </c:ser>
        <c:ser>
          <c:idx val="4"/>
          <c:order val="4"/>
          <c:tx>
            <c:strRef>
              <c:f>'Split meters'!$B$83</c:f>
              <c:strCache>
                <c:ptCount val="1"/>
                <c:pt idx="0">
                  <c:v>Simpkins Athletics Building</c:v>
                </c:pt>
              </c:strCache>
            </c:strRef>
          </c:tx>
          <c:spPr>
            <a:ln w="28575" cap="rnd">
              <a:solidFill>
                <a:schemeClr val="accent5"/>
              </a:solidFill>
              <a:round/>
            </a:ln>
            <a:effectLst/>
          </c:spPr>
          <c:marker>
            <c:symbol val="none"/>
          </c:marker>
          <c:val>
            <c:numRef>
              <c:f>'Split meters'!$AD$83:$AD$94</c:f>
              <c:numCache>
                <c:formatCode>#,##0</c:formatCode>
                <c:ptCount val="12"/>
                <c:pt idx="0">
                  <c:v>4620.5946320500307</c:v>
                </c:pt>
                <c:pt idx="1">
                  <c:v>4186.853349388758</c:v>
                </c:pt>
                <c:pt idx="2">
                  <c:v>4162.9010853330974</c:v>
                </c:pt>
                <c:pt idx="3">
                  <c:v>4019.8052366317661</c:v>
                </c:pt>
                <c:pt idx="4">
                  <c:v>4109.6527036335337</c:v>
                </c:pt>
                <c:pt idx="5">
                  <c:v>4444.4333943737784</c:v>
                </c:pt>
                <c:pt idx="6">
                  <c:v>4612.2232393748563</c:v>
                </c:pt>
                <c:pt idx="7">
                  <c:v>5897.2368398379876</c:v>
                </c:pt>
                <c:pt idx="8">
                  <c:v>5886.1084813581583</c:v>
                </c:pt>
                <c:pt idx="9">
                  <c:v>6019.6851374146136</c:v>
                </c:pt>
                <c:pt idx="10">
                  <c:v>5695.3131429993555</c:v>
                </c:pt>
                <c:pt idx="11">
                  <c:v>5301.2791019117094</c:v>
                </c:pt>
              </c:numCache>
            </c:numRef>
          </c:val>
          <c:smooth val="0"/>
          <c:extLst>
            <c:ext xmlns:c16="http://schemas.microsoft.com/office/drawing/2014/chart" uri="{C3380CC4-5D6E-409C-BE32-E72D297353CC}">
              <c16:uniqueId val="{00000004-CA28-4A64-A245-C4656A219CC0}"/>
            </c:ext>
          </c:extLst>
        </c:ser>
        <c:ser>
          <c:idx val="5"/>
          <c:order val="5"/>
          <c:tx>
            <c:strRef>
              <c:f>'Split meters'!$B$95</c:f>
              <c:strCache>
                <c:ptCount val="1"/>
                <c:pt idx="0">
                  <c:v>Simpkins Stadium Center</c:v>
                </c:pt>
              </c:strCache>
            </c:strRef>
          </c:tx>
          <c:spPr>
            <a:ln w="28575" cap="rnd">
              <a:solidFill>
                <a:schemeClr val="accent6"/>
              </a:solidFill>
              <a:round/>
            </a:ln>
            <a:effectLst/>
          </c:spPr>
          <c:marker>
            <c:symbol val="none"/>
          </c:marker>
          <c:val>
            <c:numRef>
              <c:f>'Split meters'!$AD$95:$AD$106</c:f>
              <c:numCache>
                <c:formatCode>#,##0</c:formatCode>
                <c:ptCount val="12"/>
                <c:pt idx="0">
                  <c:v>15144.13613290698</c:v>
                </c:pt>
                <c:pt idx="1">
                  <c:v>14578.051585004594</c:v>
                </c:pt>
                <c:pt idx="2">
                  <c:v>15173.884482091802</c:v>
                </c:pt>
                <c:pt idx="3">
                  <c:v>14587.402736063157</c:v>
                </c:pt>
                <c:pt idx="4">
                  <c:v>14636.702253986596</c:v>
                </c:pt>
                <c:pt idx="5">
                  <c:v>15829.037870671807</c:v>
                </c:pt>
                <c:pt idx="6">
                  <c:v>16426.628513879194</c:v>
                </c:pt>
                <c:pt idx="7">
                  <c:v>23761.599557571768</c:v>
                </c:pt>
                <c:pt idx="8">
                  <c:v>22989.88101261418</c:v>
                </c:pt>
                <c:pt idx="9">
                  <c:v>21685.462247626554</c:v>
                </c:pt>
                <c:pt idx="10">
                  <c:v>18505.168187552386</c:v>
                </c:pt>
                <c:pt idx="11">
                  <c:v>15665.888468343463</c:v>
                </c:pt>
              </c:numCache>
            </c:numRef>
          </c:val>
          <c:smooth val="0"/>
          <c:extLst>
            <c:ext xmlns:c16="http://schemas.microsoft.com/office/drawing/2014/chart" uri="{C3380CC4-5D6E-409C-BE32-E72D297353CC}">
              <c16:uniqueId val="{00000005-CA28-4A64-A245-C4656A219CC0}"/>
            </c:ext>
          </c:extLst>
        </c:ser>
        <c:dLbls>
          <c:showLegendKey val="0"/>
          <c:showVal val="0"/>
          <c:showCatName val="0"/>
          <c:showSerName val="0"/>
          <c:showPercent val="0"/>
          <c:showBubbleSize val="0"/>
        </c:dLbls>
        <c:smooth val="0"/>
        <c:axId val="1104675688"/>
        <c:axId val="1104675328"/>
      </c:lineChart>
      <c:catAx>
        <c:axId val="11046756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675328"/>
        <c:crosses val="autoZero"/>
        <c:auto val="1"/>
        <c:lblAlgn val="ctr"/>
        <c:lblOffset val="100"/>
        <c:noMultiLvlLbl val="0"/>
      </c:catAx>
      <c:valAx>
        <c:axId val="11046753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6756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'Median Monthly EUIs'!$H$15:$H$26</c:f>
              <c:numCache>
                <c:formatCode>General</c:formatCode>
                <c:ptCount val="12"/>
                <c:pt idx="0">
                  <c:v>2.327243727670973</c:v>
                </c:pt>
                <c:pt idx="1">
                  <c:v>2.2402518582189646</c:v>
                </c:pt>
                <c:pt idx="2">
                  <c:v>2.33181524356606</c:v>
                </c:pt>
                <c:pt idx="3">
                  <c:v>2.2416888769737193</c:v>
                </c:pt>
                <c:pt idx="4">
                  <c:v>2.2492648781967421</c:v>
                </c:pt>
                <c:pt idx="5">
                  <c:v>2.4324945824767918</c:v>
                </c:pt>
                <c:pt idx="6">
                  <c:v>2.5243280858152417</c:v>
                </c:pt>
                <c:pt idx="7">
                  <c:v>3.6515145561606484</c:v>
                </c:pt>
                <c:pt idx="8">
                  <c:v>3.5329223084736108</c:v>
                </c:pt>
                <c:pt idx="9">
                  <c:v>3.3324684587173712</c:v>
                </c:pt>
                <c:pt idx="10">
                  <c:v>2.843743361524512</c:v>
                </c:pt>
                <c:pt idx="11">
                  <c:v>2.4074229362693282</c:v>
                </c:pt>
              </c:numCache>
            </c:numRef>
          </c:val>
          <c:smooth val="0"/>
          <c:extLst>
            <c:ext xmlns:c16="http://schemas.microsoft.com/office/drawing/2014/chart" uri="{C3380CC4-5D6E-409C-BE32-E72D297353CC}">
              <c16:uniqueId val="{00000000-2D2D-4488-BCF0-D60E1C25A86C}"/>
            </c:ext>
          </c:extLst>
        </c:ser>
        <c:dLbls>
          <c:showLegendKey val="0"/>
          <c:showVal val="0"/>
          <c:showCatName val="0"/>
          <c:showSerName val="0"/>
          <c:showPercent val="0"/>
          <c:showBubbleSize val="0"/>
        </c:dLbls>
        <c:smooth val="0"/>
        <c:axId val="1756231535"/>
        <c:axId val="1756225295"/>
      </c:lineChart>
      <c:catAx>
        <c:axId val="17562315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225295"/>
        <c:crosses val="autoZero"/>
        <c:auto val="1"/>
        <c:lblAlgn val="ctr"/>
        <c:lblOffset val="100"/>
        <c:noMultiLvlLbl val="0"/>
      </c:catAx>
      <c:valAx>
        <c:axId val="175622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231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'Median Monthly EUIs'!$I$63:$I$74</c:f>
              <c:numCache>
                <c:formatCode>General</c:formatCode>
                <c:ptCount val="12"/>
                <c:pt idx="0">
                  <c:v>3.7171824072377069</c:v>
                </c:pt>
                <c:pt idx="1">
                  <c:v>11.217606459174489</c:v>
                </c:pt>
                <c:pt idx="2">
                  <c:v>8.7057967081367931</c:v>
                </c:pt>
                <c:pt idx="3">
                  <c:v>2.2665363273305337</c:v>
                </c:pt>
                <c:pt idx="4">
                  <c:v>0.99847609625326961</c:v>
                </c:pt>
                <c:pt idx="5">
                  <c:v>0.45989412716681372</c:v>
                </c:pt>
                <c:pt idx="6">
                  <c:v>0.38297057509414323</c:v>
                </c:pt>
                <c:pt idx="7">
                  <c:v>0.34190528927874964</c:v>
                </c:pt>
                <c:pt idx="8">
                  <c:v>0.560477296903511</c:v>
                </c:pt>
                <c:pt idx="9">
                  <c:v>0.41365962654800259</c:v>
                </c:pt>
                <c:pt idx="10">
                  <c:v>1.1586695193667078</c:v>
                </c:pt>
                <c:pt idx="11">
                  <c:v>1.3855710688379181</c:v>
                </c:pt>
              </c:numCache>
            </c:numRef>
          </c:val>
          <c:smooth val="0"/>
          <c:extLst>
            <c:ext xmlns:c16="http://schemas.microsoft.com/office/drawing/2014/chart" uri="{C3380CC4-5D6E-409C-BE32-E72D297353CC}">
              <c16:uniqueId val="{00000000-3380-4C99-B702-97F6D1D0DA78}"/>
            </c:ext>
          </c:extLst>
        </c:ser>
        <c:dLbls>
          <c:showLegendKey val="0"/>
          <c:showVal val="0"/>
          <c:showCatName val="0"/>
          <c:showSerName val="0"/>
          <c:showPercent val="0"/>
          <c:showBubbleSize val="0"/>
        </c:dLbls>
        <c:smooth val="0"/>
        <c:axId val="1483479760"/>
        <c:axId val="1483474960"/>
      </c:lineChart>
      <c:catAx>
        <c:axId val="148347976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474960"/>
        <c:crosses val="autoZero"/>
        <c:auto val="1"/>
        <c:lblAlgn val="ctr"/>
        <c:lblOffset val="100"/>
        <c:noMultiLvlLbl val="0"/>
      </c:catAx>
      <c:valAx>
        <c:axId val="1483474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479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'Median Monthly EUIs'!$C$15:$C$26</c:f>
              <c:numCache>
                <c:formatCode>0.00</c:formatCode>
                <c:ptCount val="12"/>
                <c:pt idx="0">
                  <c:v>2.3333315624275537</c:v>
                </c:pt>
                <c:pt idx="1">
                  <c:v>2.2164341913167638</c:v>
                </c:pt>
                <c:pt idx="2">
                  <c:v>2.334379505000677</c:v>
                </c:pt>
                <c:pt idx="3">
                  <c:v>2.3192833014975607</c:v>
                </c:pt>
                <c:pt idx="4">
                  <c:v>2.2122595123579583</c:v>
                </c:pt>
                <c:pt idx="5">
                  <c:v>2.1332655640798124</c:v>
                </c:pt>
                <c:pt idx="6">
                  <c:v>2.2052430904187372</c:v>
                </c:pt>
                <c:pt idx="7">
                  <c:v>2.3514833517459142</c:v>
                </c:pt>
                <c:pt idx="8">
                  <c:v>2.2189174060605579</c:v>
                </c:pt>
                <c:pt idx="9">
                  <c:v>2.2004898348078985</c:v>
                </c:pt>
                <c:pt idx="10">
                  <c:v>2.1321010595736074</c:v>
                </c:pt>
                <c:pt idx="11">
                  <c:v>2.3014306677610286</c:v>
                </c:pt>
              </c:numCache>
            </c:numRef>
          </c:val>
          <c:smooth val="0"/>
          <c:extLst>
            <c:ext xmlns:c16="http://schemas.microsoft.com/office/drawing/2014/chart" uri="{C3380CC4-5D6E-409C-BE32-E72D297353CC}">
              <c16:uniqueId val="{00000000-18D9-41D9-80F4-EAD94AB0A772}"/>
            </c:ext>
          </c:extLst>
        </c:ser>
        <c:dLbls>
          <c:showLegendKey val="0"/>
          <c:showVal val="0"/>
          <c:showCatName val="0"/>
          <c:showSerName val="0"/>
          <c:showPercent val="0"/>
          <c:showBubbleSize val="0"/>
        </c:dLbls>
        <c:smooth val="0"/>
        <c:axId val="1110843552"/>
        <c:axId val="1110836352"/>
      </c:lineChart>
      <c:catAx>
        <c:axId val="1110843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836352"/>
        <c:crosses val="autoZero"/>
        <c:auto val="1"/>
        <c:lblAlgn val="ctr"/>
        <c:lblOffset val="100"/>
        <c:noMultiLvlLbl val="0"/>
      </c:catAx>
      <c:valAx>
        <c:axId val="11108363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84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'Campus Totals'!$D$4:$D$15</c:f>
              <c:numCache>
                <c:formatCode>_(* #,##0_);_(* \(#,##0\);_(* "-"??_);_(@_)</c:formatCode>
                <c:ptCount val="12"/>
                <c:pt idx="0">
                  <c:v>219467.526966437</c:v>
                </c:pt>
                <c:pt idx="1">
                  <c:v>220628.95593656698</c:v>
                </c:pt>
                <c:pt idx="2">
                  <c:v>238528.94483320799</c:v>
                </c:pt>
                <c:pt idx="3">
                  <c:v>177533.04978613101</c:v>
                </c:pt>
                <c:pt idx="4">
                  <c:v>140818.87176267302</c:v>
                </c:pt>
                <c:pt idx="5">
                  <c:v>103744.20267013701</c:v>
                </c:pt>
                <c:pt idx="6">
                  <c:v>86764.325169028394</c:v>
                </c:pt>
                <c:pt idx="7">
                  <c:v>83472.206143610601</c:v>
                </c:pt>
                <c:pt idx="8">
                  <c:v>92512.50839568011</c:v>
                </c:pt>
                <c:pt idx="9">
                  <c:v>108982.43536249601</c:v>
                </c:pt>
                <c:pt idx="10">
                  <c:v>166307.676757876</c:v>
                </c:pt>
                <c:pt idx="11">
                  <c:v>202234.609579732</c:v>
                </c:pt>
              </c:numCache>
            </c:numRef>
          </c:val>
          <c:smooth val="0"/>
          <c:extLst>
            <c:ext xmlns:c16="http://schemas.microsoft.com/office/drawing/2014/chart" uri="{C3380CC4-5D6E-409C-BE32-E72D297353CC}">
              <c16:uniqueId val="{00000000-133A-426E-9CF3-A5809FD3F81B}"/>
            </c:ext>
          </c:extLst>
        </c:ser>
        <c:ser>
          <c:idx val="1"/>
          <c:order val="1"/>
          <c:spPr>
            <a:ln w="28575" cap="rnd">
              <a:solidFill>
                <a:schemeClr val="accent2"/>
              </a:solidFill>
              <a:round/>
            </a:ln>
            <a:effectLst/>
          </c:spPr>
          <c:marker>
            <c:symbol val="none"/>
          </c:marker>
          <c:val>
            <c:numRef>
              <c:f>'Campus Totals'!$D$20:$D$31</c:f>
              <c:numCache>
                <c:formatCode>_(* #,##0_);_(* \(#,##0\);_(* "-"??_);_(@_)</c:formatCode>
                <c:ptCount val="12"/>
                <c:pt idx="0">
                  <c:v>219170.73088874941</c:v>
                </c:pt>
                <c:pt idx="1">
                  <c:v>200999.62480519511</c:v>
                </c:pt>
                <c:pt idx="2">
                  <c:v>202198.28136879639</c:v>
                </c:pt>
                <c:pt idx="3">
                  <c:v>150458.9816121211</c:v>
                </c:pt>
                <c:pt idx="4">
                  <c:v>85592.10951601126</c:v>
                </c:pt>
                <c:pt idx="5">
                  <c:v>59608.479398455813</c:v>
                </c:pt>
                <c:pt idx="6">
                  <c:v>52625.661355192693</c:v>
                </c:pt>
                <c:pt idx="7">
                  <c:v>41327.189990550978</c:v>
                </c:pt>
                <c:pt idx="8">
                  <c:v>63610.080341248198</c:v>
                </c:pt>
                <c:pt idx="9">
                  <c:v>93623.813699506994</c:v>
                </c:pt>
                <c:pt idx="10">
                  <c:v>154023.67041343192</c:v>
                </c:pt>
                <c:pt idx="11">
                  <c:v>189454.4524911686</c:v>
                </c:pt>
              </c:numCache>
            </c:numRef>
          </c:val>
          <c:smooth val="0"/>
          <c:extLst>
            <c:ext xmlns:c16="http://schemas.microsoft.com/office/drawing/2014/chart" uri="{C3380CC4-5D6E-409C-BE32-E72D297353CC}">
              <c16:uniqueId val="{00000001-133A-426E-9CF3-A5809FD3F81B}"/>
            </c:ext>
          </c:extLst>
        </c:ser>
        <c:dLbls>
          <c:showLegendKey val="0"/>
          <c:showVal val="0"/>
          <c:showCatName val="0"/>
          <c:showSerName val="0"/>
          <c:showPercent val="0"/>
          <c:showBubbleSize val="0"/>
        </c:dLbls>
        <c:smooth val="0"/>
        <c:axId val="1321614064"/>
        <c:axId val="1321611184"/>
      </c:lineChart>
      <c:catAx>
        <c:axId val="132161406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611184"/>
        <c:crosses val="autoZero"/>
        <c:auto val="1"/>
        <c:lblAlgn val="ctr"/>
        <c:lblOffset val="100"/>
        <c:noMultiLvlLbl val="0"/>
      </c:catAx>
      <c:valAx>
        <c:axId val="132161118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614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'Campus Totals'!$E$20:$E$31</c:f>
              <c:numCache>
                <c:formatCode>_(* #,##0_);_(* \(#,##0\);_(* "-"??_);_(@_)</c:formatCode>
                <c:ptCount val="12"/>
                <c:pt idx="0">
                  <c:v>246425.43717442441</c:v>
                </c:pt>
                <c:pt idx="1">
                  <c:v>265880.49308184069</c:v>
                </c:pt>
                <c:pt idx="2">
                  <c:v>301360.63638900308</c:v>
                </c:pt>
                <c:pt idx="3">
                  <c:v>454644.72360878409</c:v>
                </c:pt>
                <c:pt idx="4">
                  <c:v>600797.70556384686</c:v>
                </c:pt>
                <c:pt idx="5">
                  <c:v>719549.9586171835</c:v>
                </c:pt>
                <c:pt idx="6">
                  <c:v>1033376.9025302997</c:v>
                </c:pt>
                <c:pt idx="7">
                  <c:v>1293379.7550560248</c:v>
                </c:pt>
                <c:pt idx="8">
                  <c:v>959473.97451047413</c:v>
                </c:pt>
                <c:pt idx="9">
                  <c:v>851229.70071939391</c:v>
                </c:pt>
                <c:pt idx="10">
                  <c:v>420950.52977593092</c:v>
                </c:pt>
                <c:pt idx="11">
                  <c:v>328510.96137139271</c:v>
                </c:pt>
              </c:numCache>
            </c:numRef>
          </c:val>
          <c:smooth val="0"/>
          <c:extLst>
            <c:ext xmlns:c16="http://schemas.microsoft.com/office/drawing/2014/chart" uri="{C3380CC4-5D6E-409C-BE32-E72D297353CC}">
              <c16:uniqueId val="{00000000-C670-4A32-8694-FAEA306D47B6}"/>
            </c:ext>
          </c:extLst>
        </c:ser>
        <c:dLbls>
          <c:showLegendKey val="0"/>
          <c:showVal val="0"/>
          <c:showCatName val="0"/>
          <c:showSerName val="0"/>
          <c:showPercent val="0"/>
          <c:showBubbleSize val="0"/>
        </c:dLbls>
        <c:smooth val="0"/>
        <c:axId val="1316868703"/>
        <c:axId val="675431824"/>
      </c:lineChart>
      <c:catAx>
        <c:axId val="131686870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31824"/>
        <c:crosses val="autoZero"/>
        <c:auto val="1"/>
        <c:lblAlgn val="ctr"/>
        <c:lblOffset val="100"/>
        <c:noMultiLvlLbl val="0"/>
      </c:catAx>
      <c:valAx>
        <c:axId val="67543182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868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marker>
            <c:symbol val="none"/>
          </c:marker>
          <c:val>
            <c:numRef>
              <c:f>'Campus Totals'!$D$36:$D$47</c:f>
              <c:numCache>
                <c:formatCode>_(* #,##0_);_(* \(#,##0\);_(* "-"??_);_(@_)</c:formatCode>
                <c:ptCount val="12"/>
                <c:pt idx="0">
                  <c:v>296.79607768758433</c:v>
                </c:pt>
                <c:pt idx="1">
                  <c:v>19629.331131371873</c:v>
                </c:pt>
                <c:pt idx="2">
                  <c:v>36330.663464411598</c:v>
                </c:pt>
                <c:pt idx="3">
                  <c:v>27074.06817400991</c:v>
                </c:pt>
                <c:pt idx="4">
                  <c:v>55226.762246661761</c:v>
                </c:pt>
                <c:pt idx="5">
                  <c:v>44135.723271681192</c:v>
                </c:pt>
                <c:pt idx="6">
                  <c:v>34138.663813835701</c:v>
                </c:pt>
                <c:pt idx="7">
                  <c:v>42145.016153059623</c:v>
                </c:pt>
                <c:pt idx="8">
                  <c:v>28902.428054431912</c:v>
                </c:pt>
                <c:pt idx="9">
                  <c:v>15358.621662989011</c:v>
                </c:pt>
                <c:pt idx="10">
                  <c:v>12284.006344444089</c:v>
                </c:pt>
                <c:pt idx="11">
                  <c:v>12780.157088563399</c:v>
                </c:pt>
              </c:numCache>
            </c:numRef>
          </c:val>
          <c:smooth val="0"/>
          <c:extLst>
            <c:ext xmlns:c16="http://schemas.microsoft.com/office/drawing/2014/chart" uri="{C3380CC4-5D6E-409C-BE32-E72D297353CC}">
              <c16:uniqueId val="{00000003-C488-4358-B2FA-2D840F92BBEA}"/>
            </c:ext>
          </c:extLst>
        </c:ser>
        <c:dLbls>
          <c:showLegendKey val="0"/>
          <c:showVal val="0"/>
          <c:showCatName val="0"/>
          <c:showSerName val="0"/>
          <c:showPercent val="0"/>
          <c:showBubbleSize val="0"/>
        </c:dLbls>
        <c:smooth val="0"/>
        <c:axId val="165519184"/>
        <c:axId val="165515824"/>
      </c:lineChart>
      <c:catAx>
        <c:axId val="1655191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15824"/>
        <c:crosses val="autoZero"/>
        <c:auto val="1"/>
        <c:lblAlgn val="ctr"/>
        <c:lblOffset val="100"/>
        <c:noMultiLvlLbl val="0"/>
      </c:catAx>
      <c:valAx>
        <c:axId val="16551582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19184"/>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'Campus Totals'!$D$36:$D$47</c:f>
              <c:numCache>
                <c:formatCode>_(* #,##0_);_(* \(#,##0\);_(* "-"??_);_(@_)</c:formatCode>
                <c:ptCount val="12"/>
                <c:pt idx="0">
                  <c:v>296.79607768758433</c:v>
                </c:pt>
                <c:pt idx="1">
                  <c:v>19629.331131371873</c:v>
                </c:pt>
                <c:pt idx="2">
                  <c:v>36330.663464411598</c:v>
                </c:pt>
                <c:pt idx="3">
                  <c:v>27074.06817400991</c:v>
                </c:pt>
                <c:pt idx="4">
                  <c:v>55226.762246661761</c:v>
                </c:pt>
                <c:pt idx="5">
                  <c:v>44135.723271681192</c:v>
                </c:pt>
                <c:pt idx="6">
                  <c:v>34138.663813835701</c:v>
                </c:pt>
                <c:pt idx="7">
                  <c:v>42145.016153059623</c:v>
                </c:pt>
                <c:pt idx="8">
                  <c:v>28902.428054431912</c:v>
                </c:pt>
                <c:pt idx="9">
                  <c:v>15358.621662989011</c:v>
                </c:pt>
                <c:pt idx="10">
                  <c:v>12284.006344444089</c:v>
                </c:pt>
                <c:pt idx="11">
                  <c:v>12780.157088563399</c:v>
                </c:pt>
              </c:numCache>
            </c:numRef>
          </c:val>
          <c:smooth val="0"/>
          <c:extLst>
            <c:ext xmlns:c16="http://schemas.microsoft.com/office/drawing/2014/chart" uri="{C3380CC4-5D6E-409C-BE32-E72D297353CC}">
              <c16:uniqueId val="{00000000-C8BE-48FB-90C8-ECDBE2C7F5BA}"/>
            </c:ext>
          </c:extLst>
        </c:ser>
        <c:dLbls>
          <c:showLegendKey val="0"/>
          <c:showVal val="0"/>
          <c:showCatName val="0"/>
          <c:showSerName val="0"/>
          <c:showPercent val="0"/>
          <c:showBubbleSize val="0"/>
        </c:dLbls>
        <c:smooth val="0"/>
        <c:axId val="1427963280"/>
        <c:axId val="1427966160"/>
      </c:lineChart>
      <c:catAx>
        <c:axId val="14279632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966160"/>
        <c:crosses val="autoZero"/>
        <c:auto val="1"/>
        <c:lblAlgn val="ctr"/>
        <c:lblOffset val="100"/>
        <c:noMultiLvlLbl val="0"/>
      </c:catAx>
      <c:valAx>
        <c:axId val="1427966160"/>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963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'Climate Normalization'!$B$2:$M$2</c:f>
              <c:numCache>
                <c:formatCode>General</c:formatCode>
                <c:ptCount val="12"/>
                <c:pt idx="0">
                  <c:v>329955.49520997494</c:v>
                </c:pt>
                <c:pt idx="1">
                  <c:v>318945.96191161085</c:v>
                </c:pt>
                <c:pt idx="2">
                  <c:v>364757.74717156775</c:v>
                </c:pt>
                <c:pt idx="3">
                  <c:v>612730.91127086163</c:v>
                </c:pt>
                <c:pt idx="4">
                  <c:v>723291.25393626024</c:v>
                </c:pt>
                <c:pt idx="5">
                  <c:v>788639.91707808024</c:v>
                </c:pt>
                <c:pt idx="6">
                  <c:v>1234690.712425234</c:v>
                </c:pt>
                <c:pt idx="7">
                  <c:v>1273257.660446032</c:v>
                </c:pt>
                <c:pt idx="8">
                  <c:v>1107860.6619843328</c:v>
                </c:pt>
                <c:pt idx="9">
                  <c:v>1004117.854148556</c:v>
                </c:pt>
                <c:pt idx="10">
                  <c:v>566473.9801600856</c:v>
                </c:pt>
                <c:pt idx="11">
                  <c:v>443989.71784779179</c:v>
                </c:pt>
              </c:numCache>
            </c:numRef>
          </c:xVal>
          <c:yVal>
            <c:numRef>
              <c:f>'Climate Normalization'!$B$11:$M$11</c:f>
              <c:numCache>
                <c:formatCode>General</c:formatCode>
                <c:ptCount val="12"/>
                <c:pt idx="0">
                  <c:v>0</c:v>
                </c:pt>
                <c:pt idx="1">
                  <c:v>0</c:v>
                </c:pt>
                <c:pt idx="2">
                  <c:v>0</c:v>
                </c:pt>
                <c:pt idx="3">
                  <c:v>13</c:v>
                </c:pt>
                <c:pt idx="4">
                  <c:v>23</c:v>
                </c:pt>
                <c:pt idx="5">
                  <c:v>32</c:v>
                </c:pt>
                <c:pt idx="6">
                  <c:v>172</c:v>
                </c:pt>
                <c:pt idx="7">
                  <c:v>276</c:v>
                </c:pt>
                <c:pt idx="8">
                  <c:v>142</c:v>
                </c:pt>
                <c:pt idx="9">
                  <c:v>142</c:v>
                </c:pt>
                <c:pt idx="10">
                  <c:v>10</c:v>
                </c:pt>
                <c:pt idx="11">
                  <c:v>0</c:v>
                </c:pt>
              </c:numCache>
            </c:numRef>
          </c:yVal>
          <c:smooth val="0"/>
          <c:extLst>
            <c:ext xmlns:c16="http://schemas.microsoft.com/office/drawing/2014/chart" uri="{C3380CC4-5D6E-409C-BE32-E72D297353CC}">
              <c16:uniqueId val="{00000001-5E6A-4BD3-9112-7AE5C61C03FE}"/>
            </c:ext>
          </c:extLst>
        </c:ser>
        <c:dLbls>
          <c:showLegendKey val="0"/>
          <c:showVal val="0"/>
          <c:showCatName val="0"/>
          <c:showSerName val="0"/>
          <c:showPercent val="0"/>
          <c:showBubbleSize val="0"/>
        </c:dLbls>
        <c:axId val="371943431"/>
        <c:axId val="371966983"/>
      </c:scatterChart>
      <c:valAx>
        <c:axId val="3719434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966983"/>
        <c:crosses val="autoZero"/>
        <c:crossBetween val="midCat"/>
      </c:valAx>
      <c:valAx>
        <c:axId val="371966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9434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11</xdr:col>
      <xdr:colOff>1000943</xdr:colOff>
      <xdr:row>661</xdr:row>
      <xdr:rowOff>76471</xdr:rowOff>
    </xdr:from>
    <xdr:to>
      <xdr:col>13</xdr:col>
      <xdr:colOff>1286965</xdr:colOff>
      <xdr:row>676</xdr:row>
      <xdr:rowOff>154849</xdr:rowOff>
    </xdr:to>
    <xdr:graphicFrame macro="">
      <xdr:nvGraphicFramePr>
        <xdr:cNvPr id="2" name="Chart 1">
          <a:extLst>
            <a:ext uri="{FF2B5EF4-FFF2-40B4-BE49-F238E27FC236}">
              <a16:creationId xmlns:a16="http://schemas.microsoft.com/office/drawing/2014/main" id="{D7863C9D-EEB5-8A8C-7A51-9012EE5437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24</xdr:col>
      <xdr:colOff>467677</xdr:colOff>
      <xdr:row>22</xdr:row>
      <xdr:rowOff>125730</xdr:rowOff>
    </xdr:from>
    <xdr:to>
      <xdr:col>32</xdr:col>
      <xdr:colOff>162877</xdr:colOff>
      <xdr:row>37</xdr:row>
      <xdr:rowOff>152400</xdr:rowOff>
    </xdr:to>
    <xdr:graphicFrame macro="">
      <xdr:nvGraphicFramePr>
        <xdr:cNvPr id="2" name="Chart 1">
          <a:extLst>
            <a:ext uri="{FF2B5EF4-FFF2-40B4-BE49-F238E27FC236}">
              <a16:creationId xmlns:a16="http://schemas.microsoft.com/office/drawing/2014/main" id="{5CC250DC-1423-AC78-03E6-E796DCAED4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178117</xdr:colOff>
      <xdr:row>89</xdr:row>
      <xdr:rowOff>110490</xdr:rowOff>
    </xdr:from>
    <xdr:to>
      <xdr:col>23</xdr:col>
      <xdr:colOff>475297</xdr:colOff>
      <xdr:row>104</xdr:row>
      <xdr:rowOff>135255</xdr:rowOff>
    </xdr:to>
    <xdr:graphicFrame macro="">
      <xdr:nvGraphicFramePr>
        <xdr:cNvPr id="3" name="Chart 2">
          <a:extLst>
            <a:ext uri="{FF2B5EF4-FFF2-40B4-BE49-F238E27FC236}">
              <a16:creationId xmlns:a16="http://schemas.microsoft.com/office/drawing/2014/main" id="{913BAC29-72FB-9D28-D9AF-7A0C4578B2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20002</xdr:colOff>
      <xdr:row>6</xdr:row>
      <xdr:rowOff>53340</xdr:rowOff>
    </xdr:from>
    <xdr:to>
      <xdr:col>31</xdr:col>
      <xdr:colOff>320992</xdr:colOff>
      <xdr:row>21</xdr:row>
      <xdr:rowOff>81915</xdr:rowOff>
    </xdr:to>
    <xdr:graphicFrame macro="">
      <xdr:nvGraphicFramePr>
        <xdr:cNvPr id="4" name="Chart 3">
          <a:extLst>
            <a:ext uri="{FF2B5EF4-FFF2-40B4-BE49-F238E27FC236}">
              <a16:creationId xmlns:a16="http://schemas.microsoft.com/office/drawing/2014/main" id="{ECFEFC69-8EF2-A878-F7F2-D8732898C6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566737</xdr:colOff>
      <xdr:row>25</xdr:row>
      <xdr:rowOff>152400</xdr:rowOff>
    </xdr:from>
    <xdr:to>
      <xdr:col>22</xdr:col>
      <xdr:colOff>260032</xdr:colOff>
      <xdr:row>37</xdr:row>
      <xdr:rowOff>68580</xdr:rowOff>
    </xdr:to>
    <xdr:graphicFrame macro="">
      <xdr:nvGraphicFramePr>
        <xdr:cNvPr id="5" name="Chart 4">
          <a:extLst>
            <a:ext uri="{FF2B5EF4-FFF2-40B4-BE49-F238E27FC236}">
              <a16:creationId xmlns:a16="http://schemas.microsoft.com/office/drawing/2014/main" id="{5C1533EC-BF01-B540-0F8B-3136FF1F4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453390</xdr:colOff>
      <xdr:row>195</xdr:row>
      <xdr:rowOff>15240</xdr:rowOff>
    </xdr:from>
    <xdr:to>
      <xdr:col>11</xdr:col>
      <xdr:colOff>384810</xdr:colOff>
      <xdr:row>210</xdr:row>
      <xdr:rowOff>15240</xdr:rowOff>
    </xdr:to>
    <xdr:graphicFrame macro="">
      <xdr:nvGraphicFramePr>
        <xdr:cNvPr id="6" name="Chart 5">
          <a:extLst>
            <a:ext uri="{FF2B5EF4-FFF2-40B4-BE49-F238E27FC236}">
              <a16:creationId xmlns:a16="http://schemas.microsoft.com/office/drawing/2014/main" id="{641CC4A4-1E08-81E7-16B9-EDDDA24CE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30</xdr:col>
      <xdr:colOff>128587</xdr:colOff>
      <xdr:row>33</xdr:row>
      <xdr:rowOff>514349</xdr:rowOff>
    </xdr:from>
    <xdr:to>
      <xdr:col>37</xdr:col>
      <xdr:colOff>433387</xdr:colOff>
      <xdr:row>53</xdr:row>
      <xdr:rowOff>123825</xdr:rowOff>
    </xdr:to>
    <xdr:graphicFrame macro="">
      <xdr:nvGraphicFramePr>
        <xdr:cNvPr id="11" name="Chart 1">
          <a:extLst>
            <a:ext uri="{FF2B5EF4-FFF2-40B4-BE49-F238E27FC236}">
              <a16:creationId xmlns:a16="http://schemas.microsoft.com/office/drawing/2014/main" id="{5A352D0C-0D5F-E11C-35D9-102A850B44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1085850</xdr:colOff>
      <xdr:row>17</xdr:row>
      <xdr:rowOff>67627</xdr:rowOff>
    </xdr:from>
    <xdr:to>
      <xdr:col>26</xdr:col>
      <xdr:colOff>190500</xdr:colOff>
      <xdr:row>32</xdr:row>
      <xdr:rowOff>86677</xdr:rowOff>
    </xdr:to>
    <xdr:graphicFrame macro="">
      <xdr:nvGraphicFramePr>
        <xdr:cNvPr id="6" name="Chart 5">
          <a:extLst>
            <a:ext uri="{FF2B5EF4-FFF2-40B4-BE49-F238E27FC236}">
              <a16:creationId xmlns:a16="http://schemas.microsoft.com/office/drawing/2014/main" id="{13C427EB-3A6B-10BD-3520-6457A417C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205740</xdr:colOff>
      <xdr:row>49</xdr:row>
      <xdr:rowOff>18097</xdr:rowOff>
    </xdr:from>
    <xdr:to>
      <xdr:col>18</xdr:col>
      <xdr:colOff>506730</xdr:colOff>
      <xdr:row>64</xdr:row>
      <xdr:rowOff>56197</xdr:rowOff>
    </xdr:to>
    <xdr:graphicFrame macro="">
      <xdr:nvGraphicFramePr>
        <xdr:cNvPr id="7" name="Chart 6">
          <a:extLst>
            <a:ext uri="{FF2B5EF4-FFF2-40B4-BE49-F238E27FC236}">
              <a16:creationId xmlns:a16="http://schemas.microsoft.com/office/drawing/2014/main" id="{5A3D8B55-6DD8-727C-AA2E-278E400C85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807720</xdr:colOff>
      <xdr:row>8</xdr:row>
      <xdr:rowOff>140017</xdr:rowOff>
    </xdr:from>
    <xdr:to>
      <xdr:col>16</xdr:col>
      <xdr:colOff>129540</xdr:colOff>
      <xdr:row>23</xdr:row>
      <xdr:rowOff>155257</xdr:rowOff>
    </xdr:to>
    <xdr:graphicFrame macro="">
      <xdr:nvGraphicFramePr>
        <xdr:cNvPr id="2" name="Chart 1">
          <a:extLst>
            <a:ext uri="{FF2B5EF4-FFF2-40B4-BE49-F238E27FC236}">
              <a16:creationId xmlns:a16="http://schemas.microsoft.com/office/drawing/2014/main" id="{ACE84167-36FC-7C38-00E5-3C7C8EB718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165456</xdr:colOff>
      <xdr:row>1</xdr:row>
      <xdr:rowOff>44974</xdr:rowOff>
    </xdr:from>
    <xdr:to>
      <xdr:col>18</xdr:col>
      <xdr:colOff>462952</xdr:colOff>
      <xdr:row>16</xdr:row>
      <xdr:rowOff>60214</xdr:rowOff>
    </xdr:to>
    <xdr:graphicFrame macro="">
      <xdr:nvGraphicFramePr>
        <xdr:cNvPr id="3" name="Chart 2">
          <a:extLst>
            <a:ext uri="{FF2B5EF4-FFF2-40B4-BE49-F238E27FC236}">
              <a16:creationId xmlns:a16="http://schemas.microsoft.com/office/drawing/2014/main" id="{8236CDD3-4074-3B9E-7956-BC408B119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127417</xdr:colOff>
      <xdr:row>17</xdr:row>
      <xdr:rowOff>15067</xdr:rowOff>
    </xdr:from>
    <xdr:to>
      <xdr:col>10</xdr:col>
      <xdr:colOff>358056</xdr:colOff>
      <xdr:row>32</xdr:row>
      <xdr:rowOff>15067</xdr:rowOff>
    </xdr:to>
    <xdr:graphicFrame macro="">
      <xdr:nvGraphicFramePr>
        <xdr:cNvPr id="4" name="Chart 3">
          <a:extLst>
            <a:ext uri="{FF2B5EF4-FFF2-40B4-BE49-F238E27FC236}">
              <a16:creationId xmlns:a16="http://schemas.microsoft.com/office/drawing/2014/main" id="{7B3595E7-6411-7AD6-B681-EFEA9259FB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331363</xdr:colOff>
      <xdr:row>33</xdr:row>
      <xdr:rowOff>38891</xdr:rowOff>
    </xdr:from>
    <xdr:to>
      <xdr:col>10</xdr:col>
      <xdr:colOff>560097</xdr:colOff>
      <xdr:row>48</xdr:row>
      <xdr:rowOff>36986</xdr:rowOff>
    </xdr:to>
    <xdr:graphicFrame macro="">
      <xdr:nvGraphicFramePr>
        <xdr:cNvPr id="5" name="Chart 4">
          <a:extLst>
            <a:ext uri="{FF2B5EF4-FFF2-40B4-BE49-F238E27FC236}">
              <a16:creationId xmlns:a16="http://schemas.microsoft.com/office/drawing/2014/main" id="{F646E364-19FF-3A3E-F5A1-B5796EE1BE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292372</xdr:colOff>
      <xdr:row>32</xdr:row>
      <xdr:rowOff>114146</xdr:rowOff>
    </xdr:from>
    <xdr:to>
      <xdr:col>10</xdr:col>
      <xdr:colOff>560205</xdr:colOff>
      <xdr:row>48</xdr:row>
      <xdr:rowOff>7264</xdr:rowOff>
    </xdr:to>
    <xdr:graphicFrame macro="">
      <xdr:nvGraphicFramePr>
        <xdr:cNvPr id="7" name="Chart 6">
          <a:extLst>
            <a:ext uri="{FF2B5EF4-FFF2-40B4-BE49-F238E27FC236}">
              <a16:creationId xmlns:a16="http://schemas.microsoft.com/office/drawing/2014/main" id="{95AF8D8E-DD09-CD87-355F-DBEE9C286D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17</xdr:col>
      <xdr:colOff>238125</xdr:colOff>
      <xdr:row>0</xdr:row>
      <xdr:rowOff>47625</xdr:rowOff>
    </xdr:from>
    <xdr:to>
      <xdr:col>24</xdr:col>
      <xdr:colOff>542925</xdr:colOff>
      <xdr:row>15</xdr:row>
      <xdr:rowOff>123825</xdr:rowOff>
    </xdr:to>
    <xdr:graphicFrame macro="">
      <xdr:nvGraphicFramePr>
        <xdr:cNvPr id="5" name="Chart 1">
          <a:extLst>
            <a:ext uri="{FF2B5EF4-FFF2-40B4-BE49-F238E27FC236}">
              <a16:creationId xmlns:a16="http://schemas.microsoft.com/office/drawing/2014/main" id="{E720596B-B25F-23A2-7960-22AA630ED0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523874</xdr:colOff>
      <xdr:row>1</xdr:row>
      <xdr:rowOff>152400</xdr:rowOff>
    </xdr:from>
    <xdr:to>
      <xdr:col>13</xdr:col>
      <xdr:colOff>607694</xdr:colOff>
      <xdr:row>23</xdr:row>
      <xdr:rowOff>85725</xdr:rowOff>
    </xdr:to>
    <mc:AlternateContent xmlns:mc="http://schemas.openxmlformats.org/markup-compatibility/2006" xmlns:a14="http://schemas.microsoft.com/office/drawing/2010/main">
      <mc:Choice Requires="a14">
        <xdr:graphicFrame macro="">
          <xdr:nvGraphicFramePr>
            <xdr:cNvPr id="4" name="Building Name">
              <a:extLst>
                <a:ext uri="{FF2B5EF4-FFF2-40B4-BE49-F238E27FC236}">
                  <a16:creationId xmlns:a16="http://schemas.microsoft.com/office/drawing/2014/main" id="{CE315735-C2C6-90EB-B1D2-851FC266A073}"/>
                </a:ext>
              </a:extLst>
            </xdr:cNvPr>
            <xdr:cNvGraphicFramePr/>
          </xdr:nvGraphicFramePr>
          <xdr:xfrm>
            <a:off x="0" y="0"/>
            <a:ext cx="0" cy="0"/>
          </xdr:xfrm>
          <a:graphic>
            <a:graphicData uri="http://schemas.microsoft.com/office/drawing/2010/slicer">
              <sle:slicer xmlns:sle="http://schemas.microsoft.com/office/drawing/2010/slicer" name="Building Name"/>
            </a:graphicData>
          </a:graphic>
        </xdr:graphicFrame>
      </mc:Choice>
      <mc:Fallback xmlns="">
        <xdr:sp macro="" textlink="">
          <xdr:nvSpPr>
            <xdr:cNvPr id="0" name=""/>
            <xdr:cNvSpPr>
              <a:spLocks noTextEdit="1"/>
            </xdr:cNvSpPr>
          </xdr:nvSpPr>
          <xdr:spPr>
            <a:xfrm>
              <a:off x="12832079" y="306705"/>
              <a:ext cx="3135630" cy="39090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Marya Thawer" id="{56224CC7-FA9F-4521-99E6-5D7AE1FB33A6}" userId="S::marya.thawer@introba.com::6292f8af-8ae9-43a4-af6c-bb3e95477a6c" providerId="AD"/>
  <person displayName="Jonathon Bell" id="{01DCB5C0-AC63-4570-B4CB-07A7BE179ED3}" userId="S::jonathon.bell@introba.com::1b8b97dd-c6c2-4ac0-a18b-cf1aec573d6a" providerId="AD"/>
  <person displayName="Nikita Khatwani" id="{98693C5D-A06D-4A0B-894B-9C978323B49C}" userId="S::nikita.khatwani@introba.com::51c9be9d-6807-4642-82d4-8aeac24b356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ita Khatwani" refreshedDate="45523.697758796297" createdVersion="8" refreshedVersion="8" minRefreshableVersion="3" recordCount="684" xr:uid="{49BA9A5E-E21C-45DA-BD27-577684568F70}">
  <cacheSource type="worksheet">
    <worksheetSource ref="B2:P674" sheet="Archived-SkYSPark Data"/>
  </cacheSource>
  <cacheFields count="15">
    <cacheField name="Building Name" numFmtId="0">
      <sharedItems count="57">
        <s v="Administration"/>
        <s v="Art Foundry"/>
        <s v="Art"/>
        <s v="Associated Students House"/>
        <s v="Automated Bank Teller Facility"/>
        <s v="Boccardo Business Classroom Building"/>
        <s v="Business Tower"/>
        <s v="Campus Village 1"/>
        <s v="Campus Village A-Food Tenant"/>
        <s v="Campus Village Phase 2"/>
        <s v="CEFCU Stadium"/>
        <s v="Central Classroom Building"/>
        <s v="Child Development Center"/>
        <s v="Clark Hall"/>
        <s v="Concession Buildings"/>
        <s v="Corporation Yard Offices"/>
        <s v="Corporation Yard Trades Building"/>
        <s v="Dining Commons"/>
        <s v="Dr. Martin Luther King, Jr. Library"/>
        <s v="Dr. Martin Luther King, Jr. Library-Tenants"/>
        <s v="Duncan Hall"/>
        <s v="Dwight Bentel Hall"/>
        <s v="Engineering"/>
        <s v="Field House"/>
        <s v="Golf Complex"/>
        <s v="Hammer Theater"/>
        <s v="Health Building"/>
        <s v="Hugh Gillis Hall"/>
        <s v="Industrial Studies"/>
        <s v="Interdisciplinary Science Building"/>
        <s v="International House"/>
        <s v="Joe West Hall"/>
        <s v="Koret Center"/>
        <s v="MacQuarrie Hall"/>
        <s v="MacQuarrie Hall- Spartan Shops"/>
        <s v="Modular F,A,B"/>
        <s v="Moss Landing Marine Lab Main Laboratory"/>
        <s v="Music"/>
        <s v="Outdoor Physical Education-2"/>
        <s v="Outdoor Physical Education"/>
        <s v="Provident Credit Union Event Center"/>
        <s v="Reid Hillview Airport"/>
        <s v="Science"/>
        <s v="SC_Track &amp; Field"/>
        <s v="Simpkins Athletics Building"/>
        <s v="Simpkins Center Storage Building"/>
        <s v="Simpkins Stadium Center"/>
        <s v="Spartan Recreation and Aquatic Center"/>
        <s v="SPX Central"/>
        <s v="SPX East"/>
        <s v="Storage Building"/>
        <s v="Student Services Center"/>
        <s v="Student Wellness Center"/>
        <s v="Sweeney Hall"/>
        <s v="Washburn Hall (Student Residence)"/>
        <s v="Washington Square Hall"/>
        <s v="Yoshihiro Uchida Hall"/>
      </sharedItems>
    </cacheField>
    <cacheField name="Area" numFmtId="0">
      <sharedItems containsString="0" containsBlank="1" containsNumber="1" containsInteger="1" minValue="768" maxValue="960662"/>
    </cacheField>
    <cacheField name="Building Use Type" numFmtId="0">
      <sharedItems containsBlank="1" count="12">
        <s v="Office"/>
        <s v="Storage"/>
        <s v="Academic"/>
        <m/>
        <s v="Residential"/>
        <s v="Outdoor Athletics"/>
        <s v="Warehouse"/>
        <s v="Food Service"/>
        <s v="Library"/>
        <s v="Lab "/>
        <s v="Athletics"/>
        <s v="Theater"/>
      </sharedItems>
    </cacheField>
    <cacheField name="Electricity 1 (kWh)" numFmtId="0">
      <sharedItems containsBlank="1" containsMixedTypes="1" containsNumber="1" minValue="0" maxValue="323797.34433593752"/>
    </cacheField>
    <cacheField name="Electricity 2 (kWh)" numFmtId="0">
      <sharedItems containsString="0" containsBlank="1" containsNumber="1" minValue="-8725.0907258064508" maxValue="426520"/>
    </cacheField>
    <cacheField name="Gas (therm)" numFmtId="0">
      <sharedItems containsString="0" containsBlank="1" containsNumber="1" minValue="0" maxValue="6382.6745300292969"/>
    </cacheField>
    <cacheField name="Steam (therm)" numFmtId="0">
      <sharedItems containsString="0" containsBlank="1" containsNumber="1" minValue="0" maxValue="566628.16310975852"/>
    </cacheField>
    <cacheField name="Chilled Water (tons)" numFmtId="0">
      <sharedItems containsBlank="1" containsMixedTypes="1" containsNumber="1" minValue="0" maxValue="195080.35368412259"/>
    </cacheField>
    <cacheField name="Suburban Propane: Corp Yard (1644-002486) Usage" numFmtId="0">
      <sharedItems containsString="0" containsBlank="1" containsNumber="1" minValue="0" maxValue="383.80000000000302"/>
    </cacheField>
    <cacheField name="Electric EUI(kBtu/sq.ft)" numFmtId="0">
      <sharedItems containsBlank="1" containsMixedTypes="1" containsNumber="1" minValue="0" maxValue="141.10980920008882"/>
    </cacheField>
    <cacheField name="Gas EUI(kBtu/sq.ft)" numFmtId="0">
      <sharedItems containsString="0" containsBlank="1" containsNumber="1" minValue="0" maxValue="155.39993033786095"/>
    </cacheField>
    <cacheField name="Steam EUI(kBtu/sq.ft)" numFmtId="0">
      <sharedItems containsString="0" containsBlank="1" containsNumber="1" minValue="0" maxValue="957.23769598356114" count="27">
        <m/>
        <n v="47.263051321356542"/>
        <n v="86.173606207999541"/>
        <n v="23.889047344435436"/>
        <n v="44.061055915649305"/>
        <n v="29.644690648537434"/>
        <n v="37.486952633355784"/>
        <n v="13.667951673932754"/>
        <n v="69.754309160375755"/>
        <n v="40.780957555949456"/>
        <n v="35.777473327283431"/>
        <n v="0"/>
        <n v="36.537840450725355"/>
        <n v="957.23769598356114"/>
        <n v="2.6920602110684775"/>
        <n v="42.162151223013502"/>
        <n v="17.908307566313894"/>
        <n v="80.780547118529967"/>
        <n v="66.565200991461992"/>
        <n v="170.47389345400825"/>
        <n v="7.8499253775173905"/>
        <n v="47.419188635445643"/>
        <n v="27.686710933456911"/>
        <n v="2.879651524340874E-5"/>
        <n v="39.492779416251466"/>
        <n v="33.948594022707084"/>
        <n v="11.341828404359839"/>
      </sharedItems>
    </cacheField>
    <cacheField name="Chilled Water EUI(kBtu/sq.ft)" numFmtId="0">
      <sharedItems containsString="0" containsBlank="1" containsNumber="1" minValue="0" maxValue="58.138702311286849"/>
    </cacheField>
    <cacheField name="Propane EUI(kBtu/sq.ft)" numFmtId="0">
      <sharedItems containsString="0" containsBlank="1" containsNumber="1" minValue="5.3822301418683134" maxValue="5.3822301418683134"/>
    </cacheField>
    <cacheField name="Total EUI(kBtu/sq.ft)" numFmtId="0">
      <sharedItems containsBlank="1" containsMixedTypes="1" containsNumber="1" minValue="0" maxValue="1000.5190863154336"/>
    </cacheField>
  </cacheFields>
  <extLst>
    <ext xmlns:x14="http://schemas.microsoft.com/office/spreadsheetml/2009/9/main" uri="{725AE2AE-9491-48be-B2B4-4EB974FC3084}">
      <x14:pivotCacheDefinition pivotCacheId="15592699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4">
  <r>
    <x v="0"/>
    <n v="39323"/>
    <x v="0"/>
    <m/>
    <n v="395100"/>
    <m/>
    <m/>
    <m/>
    <m/>
    <n v="0"/>
    <m/>
    <x v="0"/>
    <m/>
    <m/>
    <n v="0"/>
  </r>
  <r>
    <x v="0"/>
    <n v="39323"/>
    <x v="0"/>
    <m/>
    <m/>
    <m/>
    <m/>
    <m/>
    <m/>
    <m/>
    <m/>
    <x v="0"/>
    <m/>
    <m/>
    <m/>
  </r>
  <r>
    <x v="0"/>
    <n v="39323"/>
    <x v="0"/>
    <m/>
    <n v="406330"/>
    <m/>
    <m/>
    <m/>
    <m/>
    <m/>
    <m/>
    <x v="0"/>
    <m/>
    <m/>
    <m/>
  </r>
  <r>
    <x v="0"/>
    <n v="39323"/>
    <x v="0"/>
    <m/>
    <n v="416980"/>
    <m/>
    <m/>
    <m/>
    <m/>
    <m/>
    <m/>
    <x v="0"/>
    <m/>
    <m/>
    <m/>
  </r>
  <r>
    <x v="0"/>
    <n v="39323"/>
    <x v="0"/>
    <m/>
    <n v="426520"/>
    <m/>
    <m/>
    <m/>
    <m/>
    <m/>
    <m/>
    <x v="0"/>
    <m/>
    <m/>
    <m/>
  </r>
  <r>
    <x v="0"/>
    <n v="39323"/>
    <x v="0"/>
    <m/>
    <n v="326470"/>
    <m/>
    <m/>
    <m/>
    <m/>
    <m/>
    <m/>
    <x v="0"/>
    <m/>
    <m/>
    <m/>
  </r>
  <r>
    <x v="0"/>
    <n v="39323"/>
    <x v="0"/>
    <m/>
    <n v="333330"/>
    <m/>
    <m/>
    <m/>
    <m/>
    <m/>
    <m/>
    <x v="0"/>
    <m/>
    <m/>
    <m/>
  </r>
  <r>
    <x v="0"/>
    <n v="39323"/>
    <x v="0"/>
    <m/>
    <n v="345640"/>
    <m/>
    <m/>
    <m/>
    <m/>
    <m/>
    <m/>
    <x v="0"/>
    <m/>
    <m/>
    <m/>
  </r>
  <r>
    <x v="0"/>
    <n v="39323"/>
    <x v="0"/>
    <m/>
    <n v="354470"/>
    <m/>
    <m/>
    <m/>
    <m/>
    <m/>
    <m/>
    <x v="0"/>
    <m/>
    <m/>
    <m/>
  </r>
  <r>
    <x v="0"/>
    <n v="39323"/>
    <x v="0"/>
    <m/>
    <n v="364250"/>
    <m/>
    <m/>
    <m/>
    <m/>
    <m/>
    <m/>
    <x v="0"/>
    <m/>
    <m/>
    <m/>
  </r>
  <r>
    <x v="0"/>
    <n v="39323"/>
    <x v="0"/>
    <m/>
    <n v="374910"/>
    <m/>
    <m/>
    <m/>
    <m/>
    <m/>
    <m/>
    <x v="0"/>
    <m/>
    <m/>
    <m/>
  </r>
  <r>
    <x v="0"/>
    <n v="39323"/>
    <x v="0"/>
    <m/>
    <n v="383780"/>
    <m/>
    <m/>
    <m/>
    <m/>
    <m/>
    <m/>
    <x v="0"/>
    <m/>
    <m/>
    <m/>
  </r>
  <r>
    <x v="1"/>
    <n v="7934"/>
    <x v="1"/>
    <n v="3966.5323010753482"/>
    <m/>
    <n v="498.32903225807092"/>
    <m/>
    <m/>
    <m/>
    <n v="23.774822880766386"/>
    <n v="47.339603452622192"/>
    <x v="0"/>
    <m/>
    <m/>
    <n v="71.114426333388579"/>
  </r>
  <r>
    <x v="1"/>
    <n v="7934"/>
    <x v="1"/>
    <n v="3921.313032258091"/>
    <m/>
    <n v="686.27096774193353"/>
    <m/>
    <m/>
    <m/>
    <m/>
    <m/>
    <x v="0"/>
    <m/>
    <m/>
    <m/>
  </r>
  <r>
    <x v="1"/>
    <n v="7934"/>
    <x v="1"/>
    <n v="5039.4881151079207"/>
    <m/>
    <n v="1198.4633093525131"/>
    <m/>
    <m/>
    <m/>
    <m/>
    <m/>
    <x v="0"/>
    <m/>
    <m/>
    <m/>
  </r>
  <r>
    <x v="1"/>
    <n v="7934"/>
    <x v="1"/>
    <n v="5100.3228848921026"/>
    <m/>
    <n v="354.01169064748558"/>
    <m/>
    <m/>
    <m/>
    <m/>
    <m/>
    <x v="0"/>
    <m/>
    <m/>
    <m/>
  </r>
  <r>
    <x v="1"/>
    <n v="7934"/>
    <x v="1"/>
    <n v="5033.0050000000228"/>
    <m/>
    <n v="100.3830645161281"/>
    <m/>
    <m/>
    <m/>
    <m/>
    <m/>
    <x v="0"/>
    <m/>
    <m/>
    <m/>
  </r>
  <r>
    <x v="1"/>
    <n v="7934"/>
    <x v="1"/>
    <n v="4577.4180645161132"/>
    <m/>
    <n v="26.129032258065369"/>
    <m/>
    <m/>
    <m/>
    <m/>
    <m/>
    <x v="0"/>
    <m/>
    <m/>
    <m/>
  </r>
  <r>
    <x v="1"/>
    <n v="7934"/>
    <x v="1"/>
    <n v="5602.0296774192921"/>
    <m/>
    <n v="12.90322580645158"/>
    <m/>
    <m/>
    <m/>
    <m/>
    <m/>
    <x v="0"/>
    <m/>
    <m/>
    <m/>
  </r>
  <r>
    <x v="1"/>
    <n v="7934"/>
    <x v="1"/>
    <n v="6189.0655913979608"/>
    <m/>
    <n v="5.1096774193548384"/>
    <m/>
    <m/>
    <m/>
    <m/>
    <m/>
    <x v="0"/>
    <m/>
    <m/>
    <m/>
  </r>
  <r>
    <x v="1"/>
    <n v="7934"/>
    <x v="1"/>
    <n v="5033.3399999999338"/>
    <m/>
    <n v="63.800000000000402"/>
    <m/>
    <m/>
    <m/>
    <m/>
    <m/>
    <x v="0"/>
    <m/>
    <m/>
    <m/>
  </r>
  <r>
    <x v="1"/>
    <n v="7934"/>
    <x v="1"/>
    <n v="4253.5916599552475"/>
    <m/>
    <n v="102.34646324549411"/>
    <m/>
    <m/>
    <m/>
    <m/>
    <m/>
    <x v="0"/>
    <m/>
    <m/>
    <m/>
  </r>
  <r>
    <x v="1"/>
    <n v="7934"/>
    <x v="1"/>
    <n v="3787.0040389695009"/>
    <m/>
    <n v="411.80837546419127"/>
    <m/>
    <m/>
    <m/>
    <m/>
    <m/>
    <x v="0"/>
    <m/>
    <m/>
    <m/>
  </r>
  <r>
    <x v="1"/>
    <n v="7934"/>
    <x v="1"/>
    <n v="2781.017634408624"/>
    <m/>
    <n v="296.36929922135653"/>
    <m/>
    <m/>
    <m/>
    <m/>
    <m/>
    <x v="0"/>
    <m/>
    <m/>
    <m/>
  </r>
  <r>
    <x v="2"/>
    <n v="85419"/>
    <x v="2"/>
    <n v="98751.931034484427"/>
    <m/>
    <n v="0"/>
    <n v="7115.6209590516464"/>
    <n v="12217.28192046085"/>
    <m/>
    <n v="34.344451700360857"/>
    <n v="6.1174343307727882E-3"/>
    <x v="1"/>
    <n v="20.744690783036887"/>
    <m/>
    <n v="102.35831123908507"/>
  </r>
  <r>
    <x v="2"/>
    <n v="85419"/>
    <x v="2"/>
    <n v="96351.999999999389"/>
    <m/>
    <n v="0"/>
    <n v="6500.3515624999736"/>
    <n v="11536.322382812599"/>
    <m/>
    <m/>
    <m/>
    <x v="0"/>
    <m/>
    <m/>
    <m/>
  </r>
  <r>
    <x v="2"/>
    <n v="85419"/>
    <x v="2"/>
    <n v="101252.3015170677"/>
    <m/>
    <n v="0"/>
    <n v="7061.4280282079062"/>
    <n v="13805.684766723891"/>
    <m/>
    <m/>
    <m/>
    <x v="0"/>
    <m/>
    <m/>
    <m/>
  </r>
  <r>
    <x v="2"/>
    <n v="85419"/>
    <x v="2"/>
    <n v="94623.698482934138"/>
    <m/>
    <n v="1.0424536466598511"/>
    <n v="5075.2125967921274"/>
    <n v="15674.662664916659"/>
    <m/>
    <m/>
    <m/>
    <x v="0"/>
    <m/>
    <m/>
    <m/>
  </r>
  <r>
    <x v="2"/>
    <n v="85419"/>
    <x v="2"/>
    <n v="94567.000000001324"/>
    <m/>
    <n v="0"/>
    <n v="3585.117187500025"/>
    <n v="16223.39075195338"/>
    <m/>
    <m/>
    <m/>
    <x v="0"/>
    <m/>
    <m/>
    <m/>
  </r>
  <r>
    <x v="2"/>
    <n v="85419"/>
    <x v="2"/>
    <n v="66203.571428572628"/>
    <m/>
    <n v="0"/>
    <n v="1761.060267857112"/>
    <n v="13605.412792968709"/>
    <m/>
    <m/>
    <m/>
    <x v="0"/>
    <m/>
    <m/>
    <m/>
  </r>
  <r>
    <x v="2"/>
    <n v="85419"/>
    <x v="2"/>
    <n v="58777.428571427503"/>
    <m/>
    <n v="0"/>
    <n v="1209.017857142841"/>
    <n v="15184.77669921861"/>
    <m/>
    <m/>
    <m/>
    <x v="0"/>
    <m/>
    <m/>
    <m/>
  </r>
  <r>
    <x v="2"/>
    <n v="85419"/>
    <x v="2"/>
    <n v="45631.557142857811"/>
    <m/>
    <n v="1.0485380887985229"/>
    <n v="658.19642857141662"/>
    <n v="13469.98759263405"/>
    <m/>
    <m/>
    <m/>
    <x v="0"/>
    <m/>
    <m/>
    <m/>
  </r>
  <r>
    <x v="2"/>
    <n v="85419"/>
    <x v="2"/>
    <n v="49508.514285714868"/>
    <m/>
    <n v="0"/>
    <n v="1186.5189732142919"/>
    <n v="14247.961727259861"/>
    <m/>
    <m/>
    <m/>
    <x v="0"/>
    <m/>
    <m/>
    <m/>
  </r>
  <r>
    <x v="2"/>
    <n v="85419"/>
    <x v="2"/>
    <n v="55579.428571429147"/>
    <m/>
    <n v="1.0394115447998049"/>
    <n v="1652.0814732143051"/>
    <n v="15026.597340262089"/>
    <m/>
    <m/>
    <m/>
    <x v="0"/>
    <m/>
    <m/>
    <m/>
  </r>
  <r>
    <x v="2"/>
    <n v="85419"/>
    <x v="2"/>
    <n v="52589.358133669703"/>
    <m/>
    <n v="1.045495867729187"/>
    <n v="2161.210001576273"/>
    <n v="5086.1830211001034"/>
    <m/>
    <m/>
    <m/>
    <x v="0"/>
    <m/>
    <m/>
    <m/>
  </r>
  <r>
    <x v="2"/>
    <n v="85419"/>
    <x v="2"/>
    <n v="45972.331521502718"/>
    <m/>
    <n v="1.0495520830154419"/>
    <n v="2405.8104725616349"/>
    <n v="1587.633506041522"/>
    <m/>
    <m/>
    <m/>
    <x v="0"/>
    <m/>
    <m/>
    <m/>
  </r>
  <r>
    <x v="3"/>
    <n v="8591"/>
    <x v="0"/>
    <n v="3811.8787878787439"/>
    <m/>
    <m/>
    <m/>
    <m/>
    <m/>
    <n v="15.377739325509763"/>
    <m/>
    <x v="0"/>
    <m/>
    <m/>
    <n v="15.377739325509763"/>
  </r>
  <r>
    <x v="3"/>
    <n v="8591"/>
    <x v="0"/>
    <n v="3358.0000000000241"/>
    <m/>
    <m/>
    <m/>
    <m/>
    <m/>
    <m/>
    <m/>
    <x v="0"/>
    <m/>
    <m/>
    <m/>
  </r>
  <r>
    <x v="3"/>
    <n v="8591"/>
    <x v="0"/>
    <n v="3000.0000000000191"/>
    <m/>
    <m/>
    <m/>
    <m/>
    <m/>
    <m/>
    <m/>
    <x v="0"/>
    <m/>
    <m/>
    <m/>
  </r>
  <r>
    <x v="3"/>
    <n v="8591"/>
    <x v="0"/>
    <n v="2666.1290322580749"/>
    <m/>
    <m/>
    <m/>
    <m/>
    <m/>
    <m/>
    <m/>
    <x v="0"/>
    <m/>
    <m/>
    <m/>
  </r>
  <r>
    <x v="3"/>
    <n v="8591"/>
    <x v="0"/>
    <n v="2764.870967741952"/>
    <m/>
    <m/>
    <m/>
    <m/>
    <m/>
    <m/>
    <m/>
    <x v="0"/>
    <m/>
    <m/>
    <m/>
  </r>
  <r>
    <x v="3"/>
    <n v="8591"/>
    <x v="0"/>
    <n v="3293.999999999965"/>
    <m/>
    <m/>
    <m/>
    <m/>
    <m/>
    <m/>
    <m/>
    <x v="0"/>
    <m/>
    <m/>
    <m/>
  </r>
  <r>
    <x v="3"/>
    <n v="8591"/>
    <x v="0"/>
    <n v="3048.65625"/>
    <m/>
    <m/>
    <m/>
    <m/>
    <m/>
    <m/>
    <m/>
    <x v="0"/>
    <m/>
    <m/>
    <m/>
  </r>
  <r>
    <x v="3"/>
    <n v="8591"/>
    <x v="0"/>
    <n v="3280.3437499999582"/>
    <m/>
    <m/>
    <m/>
    <m/>
    <m/>
    <m/>
    <m/>
    <x v="0"/>
    <m/>
    <m/>
    <m/>
  </r>
  <r>
    <x v="3"/>
    <n v="8591"/>
    <x v="0"/>
    <n v="3360.99999999997"/>
    <m/>
    <m/>
    <m/>
    <m/>
    <m/>
    <m/>
    <m/>
    <x v="0"/>
    <m/>
    <m/>
    <m/>
  </r>
  <r>
    <x v="3"/>
    <n v="8591"/>
    <x v="0"/>
    <n v="2995.9999999999841"/>
    <m/>
    <m/>
    <m/>
    <m/>
    <m/>
    <m/>
    <m/>
    <x v="0"/>
    <m/>
    <m/>
    <m/>
  </r>
  <r>
    <x v="3"/>
    <n v="8591"/>
    <x v="0"/>
    <n v="3346.9999999999682"/>
    <m/>
    <m/>
    <m/>
    <m/>
    <m/>
    <m/>
    <m/>
    <x v="0"/>
    <m/>
    <m/>
    <m/>
  </r>
  <r>
    <x v="3"/>
    <n v="8591"/>
    <x v="0"/>
    <n v="3791.3939393940091"/>
    <m/>
    <m/>
    <m/>
    <m/>
    <m/>
    <m/>
    <m/>
    <x v="0"/>
    <m/>
    <m/>
    <m/>
  </r>
  <r>
    <x v="4"/>
    <n v="1396"/>
    <x v="0"/>
    <n v="2317.8417062365502"/>
    <m/>
    <m/>
    <m/>
    <m/>
    <m/>
    <n v="70.997282644450976"/>
    <m/>
    <x v="0"/>
    <m/>
    <m/>
    <n v="70.997282644450976"/>
  </r>
  <r>
    <x v="4"/>
    <n v="1396"/>
    <x v="0"/>
    <n v="2018.435747096767"/>
    <m/>
    <m/>
    <m/>
    <m/>
    <m/>
    <m/>
    <m/>
    <x v="0"/>
    <m/>
    <m/>
    <m/>
  </r>
  <r>
    <x v="4"/>
    <n v="1396"/>
    <x v="0"/>
    <n v="2246.3135871942591"/>
    <m/>
    <m/>
    <m/>
    <m/>
    <m/>
    <m/>
    <m/>
    <x v="0"/>
    <m/>
    <m/>
    <m/>
  </r>
  <r>
    <x v="4"/>
    <n v="1396"/>
    <x v="0"/>
    <n v="2223.0582090557359"/>
    <m/>
    <m/>
    <m/>
    <m/>
    <m/>
    <m/>
    <m/>
    <x v="0"/>
    <m/>
    <m/>
    <m/>
  </r>
  <r>
    <x v="4"/>
    <n v="1396"/>
    <x v="0"/>
    <n v="2442.2333770833252"/>
    <m/>
    <m/>
    <m/>
    <m/>
    <m/>
    <m/>
    <m/>
    <x v="0"/>
    <m/>
    <m/>
    <m/>
  </r>
  <r>
    <x v="4"/>
    <n v="1396"/>
    <x v="0"/>
    <n v="2448.5575833333519"/>
    <m/>
    <m/>
    <m/>
    <m/>
    <m/>
    <m/>
    <m/>
    <x v="0"/>
    <m/>
    <m/>
    <m/>
  </r>
  <r>
    <x v="4"/>
    <n v="1396"/>
    <x v="0"/>
    <n v="2561.06413958334"/>
    <m/>
    <m/>
    <m/>
    <m/>
    <m/>
    <m/>
    <m/>
    <x v="0"/>
    <m/>
    <m/>
    <m/>
  </r>
  <r>
    <x v="4"/>
    <n v="1396"/>
    <x v="0"/>
    <n v="2773.5054937500231"/>
    <m/>
    <m/>
    <m/>
    <m/>
    <m/>
    <m/>
    <m/>
    <x v="0"/>
    <m/>
    <m/>
    <m/>
  </r>
  <r>
    <x v="4"/>
    <n v="1396"/>
    <x v="0"/>
    <n v="2577.4934666666759"/>
    <m/>
    <m/>
    <m/>
    <m/>
    <m/>
    <m/>
    <m/>
    <x v="0"/>
    <m/>
    <m/>
    <m/>
  </r>
  <r>
    <x v="4"/>
    <n v="1396"/>
    <x v="0"/>
    <n v="2598.47885554814"/>
    <m/>
    <m/>
    <m/>
    <m/>
    <m/>
    <m/>
    <m/>
    <x v="0"/>
    <m/>
    <m/>
    <m/>
  </r>
  <r>
    <x v="4"/>
    <n v="1396"/>
    <x v="0"/>
    <n v="2441.658934236842"/>
    <m/>
    <m/>
    <m/>
    <m/>
    <m/>
    <m/>
    <m/>
    <x v="0"/>
    <m/>
    <m/>
    <m/>
  </r>
  <r>
    <x v="4"/>
    <n v="1396"/>
    <x v="0"/>
    <n v="2399.4850935483901"/>
    <m/>
    <m/>
    <m/>
    <m/>
    <m/>
    <m/>
    <m/>
    <x v="0"/>
    <m/>
    <m/>
    <m/>
  </r>
  <r>
    <x v="5"/>
    <n v="83173"/>
    <x v="2"/>
    <n v="95210.568965517174"/>
    <m/>
    <m/>
    <n v="9803.2085129310635"/>
    <n v="1689.660544854539"/>
    <m/>
    <n v="45.458882325456131"/>
    <m/>
    <x v="2"/>
    <n v="34.887138942934016"/>
    <m/>
    <n v="166.5196274763897"/>
  </r>
  <r>
    <x v="5"/>
    <n v="83173"/>
    <x v="2"/>
    <n v="85962.500000000713"/>
    <m/>
    <m/>
    <n v="8322.10937500008"/>
    <n v="6833.0599999998976"/>
    <m/>
    <m/>
    <m/>
    <x v="0"/>
    <m/>
    <m/>
    <m/>
  </r>
  <r>
    <x v="5"/>
    <n v="83173"/>
    <x v="2"/>
    <n v="91537.412136535146"/>
    <m/>
    <m/>
    <n v="9215.7302860304535"/>
    <n v="1019.999100426662"/>
    <m/>
    <m/>
    <m/>
    <x v="0"/>
    <m/>
    <m/>
    <m/>
  </r>
  <r>
    <x v="5"/>
    <n v="83173"/>
    <x v="2"/>
    <n v="86044.587863464985"/>
    <m/>
    <m/>
    <n v="4037.863463969592"/>
    <n v="4961.0442003545104"/>
    <m/>
    <m/>
    <m/>
    <x v="0"/>
    <m/>
    <m/>
    <m/>
  </r>
  <r>
    <x v="5"/>
    <n v="83173"/>
    <x v="2"/>
    <n v="94837.999999999069"/>
    <m/>
    <m/>
    <n v="6455.70312499998"/>
    <n v="5698.0142578125933"/>
    <m/>
    <m/>
    <m/>
    <x v="0"/>
    <m/>
    <m/>
    <m/>
  </r>
  <r>
    <x v="5"/>
    <n v="83173"/>
    <x v="2"/>
    <n v="96736.46341463484"/>
    <m/>
    <m/>
    <n v="6693.064024390259"/>
    <n v="22904.952667683301"/>
    <m/>
    <m/>
    <m/>
    <x v="0"/>
    <m/>
    <m/>
    <m/>
  </r>
  <r>
    <x v="5"/>
    <n v="83173"/>
    <x v="2"/>
    <n v="94350.53658536615"/>
    <m/>
    <m/>
    <n v="6492.639100609761"/>
    <n v="51267.2105354425"/>
    <m/>
    <m/>
    <m/>
    <x v="0"/>
    <m/>
    <m/>
    <m/>
  </r>
  <r>
    <x v="5"/>
    <n v="83173"/>
    <x v="2"/>
    <n v="91171.000000000495"/>
    <m/>
    <m/>
    <n v="2586.424107142861"/>
    <n v="58428.856948659923"/>
    <m/>
    <m/>
    <m/>
    <x v="0"/>
    <m/>
    <m/>
    <m/>
  </r>
  <r>
    <x v="5"/>
    <n v="83173"/>
    <x v="2"/>
    <n v="96784.96296296161"/>
    <m/>
    <m/>
    <n v="1156.990244708998"/>
    <n v="41662.842348214392"/>
    <m/>
    <m/>
    <m/>
    <x v="0"/>
    <m/>
    <m/>
    <m/>
  </r>
  <r>
    <x v="5"/>
    <n v="83173"/>
    <x v="2"/>
    <n v="96859.037037035945"/>
    <m/>
    <m/>
    <n v="3717.913773148111"/>
    <n v="37645.466777344052"/>
    <m/>
    <m/>
    <m/>
    <x v="0"/>
    <m/>
    <m/>
    <m/>
  </r>
  <r>
    <x v="5"/>
    <n v="83173"/>
    <x v="2"/>
    <n v="89570.839218157795"/>
    <m/>
    <m/>
    <n v="5359.9798037515047"/>
    <n v="6787.2498037269952"/>
    <m/>
    <m/>
    <m/>
    <x v="0"/>
    <m/>
    <m/>
    <m/>
  </r>
  <r>
    <x v="5"/>
    <n v="83173"/>
    <x v="2"/>
    <n v="89067.626299082156"/>
    <m/>
    <m/>
    <n v="7831.5476746967952"/>
    <n v="2907.310090534861"/>
    <m/>
    <m/>
    <m/>
    <x v="0"/>
    <m/>
    <m/>
    <m/>
  </r>
  <r>
    <x v="6"/>
    <n v="54428"/>
    <x v="0"/>
    <m/>
    <m/>
    <m/>
    <m/>
    <m/>
    <m/>
    <m/>
    <m/>
    <x v="0"/>
    <m/>
    <m/>
    <m/>
  </r>
  <r>
    <x v="6"/>
    <n v="54428"/>
    <x v="0"/>
    <m/>
    <m/>
    <m/>
    <m/>
    <m/>
    <m/>
    <m/>
    <m/>
    <x v="0"/>
    <m/>
    <m/>
    <m/>
  </r>
  <r>
    <x v="6"/>
    <n v="54428"/>
    <x v="0"/>
    <m/>
    <m/>
    <m/>
    <m/>
    <m/>
    <m/>
    <m/>
    <m/>
    <x v="0"/>
    <m/>
    <m/>
    <m/>
  </r>
  <r>
    <x v="6"/>
    <n v="54428"/>
    <x v="0"/>
    <m/>
    <m/>
    <m/>
    <m/>
    <m/>
    <m/>
    <m/>
    <m/>
    <x v="0"/>
    <m/>
    <m/>
    <m/>
  </r>
  <r>
    <x v="6"/>
    <n v="54428"/>
    <x v="0"/>
    <m/>
    <m/>
    <m/>
    <m/>
    <m/>
    <m/>
    <m/>
    <m/>
    <x v="0"/>
    <m/>
    <m/>
    <m/>
  </r>
  <r>
    <x v="6"/>
    <n v="54428"/>
    <x v="0"/>
    <m/>
    <m/>
    <m/>
    <m/>
    <m/>
    <m/>
    <m/>
    <m/>
    <x v="0"/>
    <m/>
    <m/>
    <m/>
  </r>
  <r>
    <x v="6"/>
    <n v="54428"/>
    <x v="0"/>
    <m/>
    <m/>
    <m/>
    <m/>
    <m/>
    <m/>
    <m/>
    <m/>
    <x v="0"/>
    <m/>
    <m/>
    <m/>
  </r>
  <r>
    <x v="6"/>
    <n v="54428"/>
    <x v="0"/>
    <m/>
    <m/>
    <m/>
    <m/>
    <m/>
    <m/>
    <m/>
    <m/>
    <x v="0"/>
    <m/>
    <m/>
    <m/>
  </r>
  <r>
    <x v="6"/>
    <n v="54428"/>
    <x v="0"/>
    <m/>
    <m/>
    <m/>
    <m/>
    <m/>
    <m/>
    <m/>
    <m/>
    <x v="0"/>
    <m/>
    <m/>
    <m/>
  </r>
  <r>
    <x v="6"/>
    <n v="54428"/>
    <x v="0"/>
    <m/>
    <m/>
    <m/>
    <m/>
    <m/>
    <m/>
    <m/>
    <m/>
    <x v="0"/>
    <m/>
    <m/>
    <m/>
  </r>
  <r>
    <x v="6"/>
    <n v="54428"/>
    <x v="0"/>
    <m/>
    <m/>
    <m/>
    <m/>
    <m/>
    <m/>
    <m/>
    <m/>
    <x v="0"/>
    <m/>
    <m/>
    <m/>
  </r>
  <r>
    <x v="6"/>
    <n v="54428"/>
    <x v="0"/>
    <m/>
    <m/>
    <m/>
    <m/>
    <m/>
    <m/>
    <m/>
    <m/>
    <x v="0"/>
    <m/>
    <m/>
    <m/>
  </r>
  <r>
    <x v="7"/>
    <n v="960662"/>
    <x v="3"/>
    <n v="63615.840770236573"/>
    <m/>
    <m/>
    <n v="37562.999999999884"/>
    <n v="26803.00000000044"/>
    <m/>
    <n v="2.1729831084649507"/>
    <m/>
    <x v="3"/>
    <n v="10.394319750338862"/>
    <m/>
    <n v="36.456350203239253"/>
  </r>
  <r>
    <x v="7"/>
    <n v="960662"/>
    <x v="3"/>
    <n v="60833.878168844691"/>
    <m/>
    <m/>
    <n v="35962.999999999673"/>
    <n v="39259.000000000342"/>
    <m/>
    <m/>
    <m/>
    <x v="0"/>
    <m/>
    <m/>
    <m/>
  </r>
  <r>
    <x v="7"/>
    <n v="960662"/>
    <x v="3"/>
    <n v="78010.41235840405"/>
    <m/>
    <m/>
    <n v="28489.000000000531"/>
    <n v="57813.00000000056"/>
    <m/>
    <m/>
    <m/>
    <x v="0"/>
    <m/>
    <m/>
    <m/>
  </r>
  <r>
    <x v="7"/>
    <n v="960662"/>
    <x v="3"/>
    <n v="66419.64476186609"/>
    <m/>
    <m/>
    <n v="30032.000000000269"/>
    <n v="53645.00000000048"/>
    <m/>
    <m/>
    <m/>
    <x v="0"/>
    <m/>
    <m/>
    <m/>
  </r>
  <r>
    <x v="7"/>
    <n v="960662"/>
    <x v="3"/>
    <n v="64431.543214952144"/>
    <m/>
    <m/>
    <n v="1557.0000000000109"/>
    <n v="84490.000000000407"/>
    <m/>
    <m/>
    <m/>
    <x v="0"/>
    <m/>
    <m/>
    <m/>
  </r>
  <r>
    <x v="7"/>
    <n v="960662"/>
    <x v="3"/>
    <s v=""/>
    <m/>
    <m/>
    <n v="1154.999999999997"/>
    <n v="91714.00000000163"/>
    <m/>
    <m/>
    <m/>
    <x v="0"/>
    <m/>
    <m/>
    <m/>
  </r>
  <r>
    <x v="7"/>
    <n v="960662"/>
    <x v="3"/>
    <s v=""/>
    <m/>
    <m/>
    <n v="1189.0000000000141"/>
    <n v="121751.9999999991"/>
    <m/>
    <m/>
    <m/>
    <x v="0"/>
    <m/>
    <m/>
    <m/>
  </r>
  <r>
    <x v="7"/>
    <n v="960662"/>
    <x v="3"/>
    <s v=""/>
    <m/>
    <m/>
    <n v="1203.999999999992"/>
    <n v="112109.0000000016"/>
    <m/>
    <m/>
    <m/>
    <x v="0"/>
    <m/>
    <m/>
    <m/>
  </r>
  <r>
    <x v="7"/>
    <n v="960662"/>
    <x v="3"/>
    <n v="72434.999999999694"/>
    <m/>
    <m/>
    <n v="13996.00000000026"/>
    <n v="88371.999999998749"/>
    <m/>
    <m/>
    <m/>
    <x v="0"/>
    <m/>
    <m/>
    <m/>
  </r>
  <r>
    <x v="7"/>
    <n v="960662"/>
    <x v="3"/>
    <n v="73541.99999999904"/>
    <m/>
    <m/>
    <n v="21030.999999999771"/>
    <n v="77880.999999999709"/>
    <m/>
    <m/>
    <m/>
    <x v="0"/>
    <m/>
    <m/>
    <m/>
  </r>
  <r>
    <x v="7"/>
    <n v="960662"/>
    <x v="3"/>
    <n v="76718.999999998938"/>
    <m/>
    <m/>
    <n v="24095.00000000028"/>
    <n v="43204.999999999724"/>
    <m/>
    <m/>
    <m/>
    <x v="0"/>
    <m/>
    <m/>
    <m/>
  </r>
  <r>
    <x v="7"/>
    <n v="960662"/>
    <x v="3"/>
    <n v="55804.608903939108"/>
    <m/>
    <m/>
    <n v="33218.999999999643"/>
    <n v="35075.999999999869"/>
    <m/>
    <m/>
    <m/>
    <x v="0"/>
    <m/>
    <m/>
    <m/>
  </r>
  <r>
    <x v="8"/>
    <m/>
    <x v="3"/>
    <n v="10458.909090909199"/>
    <m/>
    <m/>
    <m/>
    <m/>
    <m/>
    <e v="#DIV/0!"/>
    <m/>
    <x v="0"/>
    <m/>
    <m/>
    <e v="#DIV/0!"/>
  </r>
  <r>
    <x v="8"/>
    <m/>
    <x v="3"/>
    <n v="13945.0000000002"/>
    <m/>
    <m/>
    <m/>
    <m/>
    <m/>
    <m/>
    <m/>
    <x v="0"/>
    <m/>
    <m/>
    <m/>
  </r>
  <r>
    <x v="8"/>
    <m/>
    <x v="3"/>
    <n v="13020.8166877372"/>
    <m/>
    <m/>
    <m/>
    <m/>
    <m/>
    <m/>
    <m/>
    <x v="0"/>
    <m/>
    <m/>
    <m/>
  </r>
  <r>
    <x v="8"/>
    <m/>
    <x v="3"/>
    <n v="14584.183312263071"/>
    <m/>
    <m/>
    <m/>
    <m/>
    <m/>
    <m/>
    <m/>
    <x v="0"/>
    <m/>
    <m/>
    <m/>
  </r>
  <r>
    <x v="8"/>
    <m/>
    <x v="3"/>
    <n v="13604.00000000012"/>
    <m/>
    <m/>
    <m/>
    <m/>
    <m/>
    <m/>
    <m/>
    <x v="0"/>
    <m/>
    <m/>
    <m/>
  </r>
  <r>
    <x v="8"/>
    <m/>
    <x v="3"/>
    <n v="8669.142857142926"/>
    <m/>
    <m/>
    <m/>
    <m/>
    <m/>
    <m/>
    <m/>
    <x v="0"/>
    <m/>
    <m/>
    <m/>
  </r>
  <r>
    <x v="8"/>
    <m/>
    <x v="3"/>
    <n v="9065.8571428570121"/>
    <m/>
    <m/>
    <m/>
    <m/>
    <m/>
    <m/>
    <m/>
    <x v="0"/>
    <m/>
    <m/>
    <m/>
  </r>
  <r>
    <x v="8"/>
    <m/>
    <x v="3"/>
    <n v="13082.000000000109"/>
    <m/>
    <m/>
    <m/>
    <m/>
    <m/>
    <m/>
    <m/>
    <x v="0"/>
    <m/>
    <m/>
    <m/>
  </r>
  <r>
    <x v="8"/>
    <m/>
    <x v="3"/>
    <n v="15324.99999999984"/>
    <m/>
    <m/>
    <m/>
    <m/>
    <m/>
    <m/>
    <m/>
    <x v="0"/>
    <m/>
    <m/>
    <m/>
  </r>
  <r>
    <x v="8"/>
    <m/>
    <x v="3"/>
    <n v="15584.00000000018"/>
    <m/>
    <m/>
    <m/>
    <m/>
    <m/>
    <m/>
    <m/>
    <x v="0"/>
    <m/>
    <m/>
    <m/>
  </r>
  <r>
    <x v="8"/>
    <m/>
    <x v="3"/>
    <n v="12983.45523329121"/>
    <m/>
    <m/>
    <m/>
    <m/>
    <m/>
    <m/>
    <m/>
    <x v="0"/>
    <m/>
    <m/>
    <m/>
  </r>
  <r>
    <x v="8"/>
    <m/>
    <x v="3"/>
    <n v="10577.096490846699"/>
    <m/>
    <m/>
    <m/>
    <m/>
    <m/>
    <m/>
    <m/>
    <x v="0"/>
    <m/>
    <m/>
    <m/>
  </r>
  <r>
    <x v="9"/>
    <n v="186318"/>
    <x v="4"/>
    <n v="83762.939393939494"/>
    <m/>
    <m/>
    <n v="11923.333333333179"/>
    <n v="3923.685875355035"/>
    <m/>
    <n v="20.783899267724205"/>
    <m/>
    <x v="4"/>
    <n v="15.925926331088087"/>
    <m/>
    <n v="80.770881514461607"/>
  </r>
  <r>
    <x v="9"/>
    <n v="186318"/>
    <x v="4"/>
    <n v="97841.999999999709"/>
    <m/>
    <m/>
    <n v="12279.99999999986"/>
    <n v="8169.0943359374141"/>
    <m/>
    <m/>
    <m/>
    <x v="0"/>
    <m/>
    <m/>
    <m/>
  </r>
  <r>
    <x v="9"/>
    <n v="186318"/>
    <x v="4"/>
    <n v="103142.6776232617"/>
    <m/>
    <m/>
    <n v="12060.83438685225"/>
    <n v="9228.111754182848"/>
    <m/>
    <m/>
    <m/>
    <x v="0"/>
    <m/>
    <m/>
    <m/>
  </r>
  <r>
    <x v="9"/>
    <n v="186318"/>
    <x v="4"/>
    <n v="106302.32237673691"/>
    <m/>
    <m/>
    <n v="8269.1656131478285"/>
    <n v="17378.103480192309"/>
    <m/>
    <m/>
    <m/>
    <x v="0"/>
    <m/>
    <m/>
    <m/>
  </r>
  <r>
    <x v="9"/>
    <n v="186318"/>
    <x v="4"/>
    <n v="96874.999999999316"/>
    <m/>
    <m/>
    <n v="5989.9999999999727"/>
    <n v="17364.958789062501"/>
    <m/>
    <m/>
    <m/>
    <x v="0"/>
    <m/>
    <m/>
    <m/>
  </r>
  <r>
    <x v="9"/>
    <n v="186318"/>
    <x v="4"/>
    <n v="70182.857142857029"/>
    <m/>
    <m/>
    <n v="3394.285714285742"/>
    <n v="17248.88730468724"/>
    <m/>
    <m/>
    <m/>
    <x v="0"/>
    <m/>
    <m/>
    <m/>
  </r>
  <r>
    <x v="9"/>
    <n v="186318"/>
    <x v="4"/>
    <n v="75508.142857143335"/>
    <m/>
    <m/>
    <n v="2435.714285714314"/>
    <n v="30211.36904296912"/>
    <m/>
    <m/>
    <m/>
    <x v="0"/>
    <m/>
    <m/>
    <m/>
  </r>
  <r>
    <x v="9"/>
    <n v="186318"/>
    <x v="4"/>
    <n v="92632.428571428041"/>
    <m/>
    <m/>
    <n v="1549.9999999999879"/>
    <n v="46773.133613282029"/>
    <m/>
    <m/>
    <m/>
    <x v="0"/>
    <m/>
    <m/>
    <m/>
  </r>
  <r>
    <x v="9"/>
    <n v="186318"/>
    <x v="4"/>
    <n v="105804.67857142939"/>
    <m/>
    <m/>
    <n v="2985.714285714309"/>
    <n v="37017.166142578018"/>
    <m/>
    <m/>
    <m/>
    <x v="0"/>
    <m/>
    <m/>
    <m/>
  </r>
  <r>
    <x v="9"/>
    <n v="186318"/>
    <x v="4"/>
    <n v="112315.8928571415"/>
    <m/>
    <m/>
    <n v="4154.2857142856919"/>
    <n v="36016.901416015797"/>
    <m/>
    <m/>
    <m/>
    <x v="0"/>
    <m/>
    <m/>
    <m/>
  </r>
  <r>
    <x v="9"/>
    <n v="186318"/>
    <x v="4"/>
    <n v="104591.8240857513"/>
    <m/>
    <m/>
    <n v="7619.1424968474612"/>
    <n v="15659.32760605471"/>
    <m/>
    <m/>
    <m/>
    <x v="0"/>
    <m/>
    <m/>
    <m/>
  </r>
  <r>
    <x v="9"/>
    <n v="186318"/>
    <x v="4"/>
    <n v="85979.020741836022"/>
    <m/>
    <m/>
    <n v="9431.2023307388827"/>
    <n v="8283.1558193221917"/>
    <m/>
    <m/>
    <m/>
    <x v="0"/>
    <m/>
    <m/>
    <m/>
  </r>
  <r>
    <x v="10"/>
    <n v="11541"/>
    <x v="5"/>
    <n v="27899.088912300766"/>
    <m/>
    <m/>
    <m/>
    <m/>
    <m/>
    <n v="141.10980920008882"/>
    <m/>
    <x v="0"/>
    <m/>
    <m/>
    <n v="141.10980920008882"/>
  </r>
  <r>
    <x v="10"/>
    <n v="11541"/>
    <x v="5"/>
    <n v="46542.034238509834"/>
    <m/>
    <m/>
    <m/>
    <m/>
    <m/>
    <m/>
    <m/>
    <x v="0"/>
    <m/>
    <m/>
    <m/>
  </r>
  <r>
    <x v="10"/>
    <n v="11541"/>
    <x v="5"/>
    <n v="49277.504723399878"/>
    <m/>
    <m/>
    <m/>
    <m/>
    <m/>
    <m/>
    <m/>
    <x v="0"/>
    <m/>
    <m/>
    <m/>
  </r>
  <r>
    <x v="10"/>
    <n v="11541"/>
    <x v="5"/>
    <n v="43874.384895041585"/>
    <m/>
    <m/>
    <m/>
    <m/>
    <m/>
    <m/>
    <m/>
    <x v="0"/>
    <m/>
    <m/>
    <m/>
  </r>
  <r>
    <x v="10"/>
    <n v="11541"/>
    <x v="5"/>
    <n v="31404.850536465645"/>
    <m/>
    <m/>
    <m/>
    <m/>
    <m/>
    <m/>
    <m/>
    <x v="0"/>
    <m/>
    <m/>
    <m/>
  </r>
  <r>
    <x v="10"/>
    <n v="11541"/>
    <x v="5"/>
    <n v="30659.128949142992"/>
    <m/>
    <m/>
    <m/>
    <m/>
    <m/>
    <m/>
    <m/>
    <x v="0"/>
    <m/>
    <m/>
    <m/>
  </r>
  <r>
    <x v="10"/>
    <n v="11541"/>
    <x v="5"/>
    <n v="36575.70892766118"/>
    <m/>
    <m/>
    <m/>
    <m/>
    <m/>
    <m/>
    <m/>
    <x v="0"/>
    <m/>
    <m/>
    <m/>
  </r>
  <r>
    <x v="10"/>
    <n v="11541"/>
    <x v="5"/>
    <n v="43618.082468301058"/>
    <m/>
    <m/>
    <m/>
    <m/>
    <m/>
    <m/>
    <m/>
    <x v="0"/>
    <m/>
    <m/>
    <m/>
  </r>
  <r>
    <x v="10"/>
    <n v="11541"/>
    <x v="5"/>
    <n v="42041.164421446621"/>
    <m/>
    <m/>
    <m/>
    <m/>
    <m/>
    <m/>
    <m/>
    <x v="0"/>
    <m/>
    <m/>
    <m/>
  </r>
  <r>
    <x v="10"/>
    <n v="11541"/>
    <x v="5"/>
    <n v="48474.59506097436"/>
    <m/>
    <m/>
    <m/>
    <m/>
    <m/>
    <m/>
    <m/>
    <x v="0"/>
    <m/>
    <m/>
    <m/>
  </r>
  <r>
    <x v="10"/>
    <n v="11541"/>
    <x v="5"/>
    <n v="45983.657850564865"/>
    <m/>
    <m/>
    <m/>
    <m/>
    <m/>
    <m/>
    <m/>
    <x v="0"/>
    <m/>
    <m/>
    <m/>
  </r>
  <r>
    <x v="10"/>
    <n v="11541"/>
    <x v="5"/>
    <n v="30950.006512740161"/>
    <m/>
    <m/>
    <m/>
    <m/>
    <m/>
    <m/>
    <m/>
    <x v="0"/>
    <m/>
    <m/>
    <m/>
  </r>
  <r>
    <x v="11"/>
    <n v="33407"/>
    <x v="2"/>
    <n v="22429.43103448267"/>
    <m/>
    <n v="12.706171631813049"/>
    <n v="797.56835937499443"/>
    <n v="1408.6126097791021"/>
    <m/>
    <n v="31.007827514984893"/>
    <n v="0.80855948270146916"/>
    <x v="5"/>
    <n v="41.719078883377627"/>
    <m/>
    <n v="103.18015652960142"/>
  </r>
  <r>
    <x v="11"/>
    <n v="33407"/>
    <x v="2"/>
    <n v="25594.499999999902"/>
    <m/>
    <n v="21.129968047142029"/>
    <n v="875.56640625001148"/>
    <n v="781.62563476563287"/>
    <m/>
    <m/>
    <m/>
    <x v="0"/>
    <m/>
    <m/>
    <m/>
  </r>
  <r>
    <x v="11"/>
    <n v="33407"/>
    <x v="2"/>
    <n v="27439.337547408151"/>
    <m/>
    <n v="24.075812339782711"/>
    <n v="1054.466248716034"/>
    <n v="843.9605866165183"/>
    <m/>
    <m/>
    <m/>
    <x v="0"/>
    <m/>
    <m/>
    <m/>
  </r>
  <r>
    <x v="11"/>
    <n v="33407"/>
    <x v="2"/>
    <n v="27463.662452591539"/>
    <m/>
    <n v="27.106162756681439"/>
    <n v="849.75250128397965"/>
    <n v="5577.9016692428859"/>
    <m/>
    <m/>
    <m/>
    <x v="0"/>
    <m/>
    <m/>
    <m/>
  </r>
  <r>
    <x v="11"/>
    <n v="33407"/>
    <x v="2"/>
    <n v="26857.49999999984"/>
    <m/>
    <n v="23.008007764816281"/>
    <n v="877.19726562501046"/>
    <n v="8922.9015332030194"/>
    <m/>
    <m/>
    <m/>
    <x v="0"/>
    <m/>
    <m/>
    <m/>
  </r>
  <r>
    <x v="11"/>
    <n v="33407"/>
    <x v="2"/>
    <n v="23764.02439024351"/>
    <m/>
    <n v="19.81864678859711"/>
    <n v="795.96751143293363"/>
    <n v="14833.271927400931"/>
    <m/>
    <m/>
    <m/>
    <x v="0"/>
    <m/>
    <m/>
    <m/>
  </r>
  <r>
    <x v="11"/>
    <n v="33407"/>
    <x v="2"/>
    <n v="24717.47560975633"/>
    <m/>
    <n v="20.960620403289791"/>
    <n v="644.93092606707251"/>
    <n v="16982.34992806779"/>
    <m/>
    <m/>
    <m/>
    <x v="0"/>
    <m/>
    <m/>
    <m/>
  </r>
  <r>
    <x v="11"/>
    <n v="33407"/>
    <x v="2"/>
    <n v="24128.185714285792"/>
    <m/>
    <n v="21.05898380279541"/>
    <n v="582.27064732141775"/>
    <n v="16814.63616741039"/>
    <m/>
    <m/>
    <m/>
    <x v="0"/>
    <m/>
    <m/>
    <m/>
  </r>
  <r>
    <x v="11"/>
    <n v="33407"/>
    <x v="2"/>
    <n v="25513.277248676979"/>
    <m/>
    <n v="27.345758646726608"/>
    <n v="743.24367559523102"/>
    <n v="14955.57132029168"/>
    <m/>
    <m/>
    <m/>
    <x v="0"/>
    <m/>
    <m/>
    <m/>
  </r>
  <r>
    <x v="11"/>
    <n v="33407"/>
    <x v="2"/>
    <n v="26114.537037036931"/>
    <m/>
    <n v="27.011189371347431"/>
    <n v="743.38216145833826"/>
    <n v="15094.454309172221"/>
    <m/>
    <m/>
    <m/>
    <x v="0"/>
    <m/>
    <m/>
    <m/>
  </r>
  <r>
    <x v="11"/>
    <n v="33407"/>
    <x v="2"/>
    <n v="25032.247162673419"/>
    <m/>
    <n v="24.106285035610199"/>
    <n v="982.44809317857926"/>
    <n v="9242.110174340427"/>
    <m/>
    <m/>
    <m/>
    <x v="0"/>
    <m/>
    <m/>
    <m/>
  </r>
  <r>
    <x v="11"/>
    <n v="33407"/>
    <x v="2"/>
    <n v="24544.44249249922"/>
    <m/>
    <n v="21.787859797477719"/>
    <n v="956.60800865329759"/>
    <n v="10685.043161125761"/>
    <m/>
    <m/>
    <m/>
    <x v="0"/>
    <m/>
    <m/>
    <m/>
  </r>
  <r>
    <x v="12"/>
    <n v="12889"/>
    <x v="2"/>
    <n v="2434.8879999999958"/>
    <m/>
    <n v="124.193939393939"/>
    <m/>
    <m/>
    <m/>
    <n v="10.064787529888052"/>
    <n v="7.1905336239264388"/>
    <x v="0"/>
    <m/>
    <m/>
    <n v="17.255321153814492"/>
  </r>
  <r>
    <x v="12"/>
    <n v="12889"/>
    <x v="2"/>
    <n v="2802.191251798537"/>
    <m/>
    <n v="156.49544364508179"/>
    <m/>
    <m/>
    <m/>
    <m/>
    <m/>
    <x v="0"/>
    <m/>
    <m/>
    <m/>
  </r>
  <r>
    <x v="12"/>
    <n v="12889"/>
    <x v="2"/>
    <n v="2705.1182482014519"/>
    <m/>
    <n v="136.62122302158309"/>
    <m/>
    <m/>
    <m/>
    <m/>
    <m/>
    <x v="0"/>
    <m/>
    <m/>
    <m/>
  </r>
  <r>
    <x v="12"/>
    <n v="12889"/>
    <x v="2"/>
    <n v="2485.0769827585918"/>
    <m/>
    <n v="82.163793103449052"/>
    <m/>
    <m/>
    <m/>
    <m/>
    <m/>
    <x v="0"/>
    <m/>
    <m/>
    <m/>
  </r>
  <r>
    <x v="12"/>
    <n v="12889"/>
    <x v="2"/>
    <n v="2952.37454949944"/>
    <m/>
    <n v="60.48943270300326"/>
    <m/>
    <m/>
    <m/>
    <m/>
    <m/>
    <x v="0"/>
    <m/>
    <m/>
    <m/>
  </r>
  <r>
    <x v="12"/>
    <n v="12889"/>
    <x v="2"/>
    <n v="3149.4409677419412"/>
    <m/>
    <n v="41.034274193548363"/>
    <m/>
    <m/>
    <m/>
    <m/>
    <m/>
    <x v="0"/>
    <m/>
    <m/>
    <m/>
  </r>
  <r>
    <x v="12"/>
    <n v="12889"/>
    <x v="2"/>
    <n v="4118.3941379310018"/>
    <m/>
    <n v="18.20043103448263"/>
    <m/>
    <m/>
    <m/>
    <m/>
    <m/>
    <x v="0"/>
    <m/>
    <m/>
    <m/>
  </r>
  <r>
    <x v="12"/>
    <n v="12889"/>
    <x v="2"/>
    <n v="5179.6238620689273"/>
    <m/>
    <n v="31.062068965517071"/>
    <m/>
    <m/>
    <m/>
    <m/>
    <m/>
    <x v="0"/>
    <m/>
    <m/>
    <m/>
  </r>
  <r>
    <x v="12"/>
    <n v="12889"/>
    <x v="2"/>
    <n v="4087.564500000015"/>
    <m/>
    <n v="56.79999999999977"/>
    <m/>
    <m/>
    <m/>
    <m/>
    <m/>
    <x v="0"/>
    <m/>
    <m/>
    <m/>
  </r>
  <r>
    <x v="12"/>
    <n v="12889"/>
    <x v="2"/>
    <n v="3258.6876721664512"/>
    <m/>
    <n v="60.4261119081782"/>
    <m/>
    <m/>
    <m/>
    <m/>
    <m/>
    <x v="0"/>
    <m/>
    <m/>
    <m/>
  </r>
  <r>
    <x v="12"/>
    <n v="12889"/>
    <x v="2"/>
    <n v="2455.3438278335698"/>
    <m/>
    <n v="69.373888091822892"/>
    <m/>
    <m/>
    <m/>
    <m/>
    <m/>
    <x v="0"/>
    <m/>
    <m/>
    <m/>
  </r>
  <r>
    <x v="12"/>
    <n v="12889"/>
    <x v="2"/>
    <n v="2391.5323636363878"/>
    <m/>
    <n v="89.927272727273646"/>
    <m/>
    <m/>
    <m/>
    <m/>
    <m/>
    <x v="0"/>
    <m/>
    <m/>
    <m/>
  </r>
  <r>
    <x v="13"/>
    <n v="192428"/>
    <x v="2"/>
    <n v="74519.000000000131"/>
    <m/>
    <m/>
    <n v="874.328000000011"/>
    <n v="7866.6352000000461"/>
    <m/>
    <n v="16.636543589807911"/>
    <m/>
    <x v="6"/>
    <n v="12.770985555051181"/>
    <m/>
    <n v="66.894481778214882"/>
  </r>
  <r>
    <x v="13"/>
    <n v="192428"/>
    <x v="2"/>
    <n v="80851.500000000509"/>
    <m/>
    <m/>
    <n v="1256.8296000000039"/>
    <n v="10766.62360000011"/>
    <m/>
    <m/>
    <m/>
    <x v="0"/>
    <m/>
    <m/>
    <m/>
  </r>
  <r>
    <x v="13"/>
    <n v="192428"/>
    <x v="2"/>
    <n v="82979.500000000058"/>
    <m/>
    <m/>
    <n v="1835.984800000009"/>
    <n v="11466.620800000181"/>
    <m/>
    <m/>
    <m/>
    <x v="0"/>
    <m/>
    <m/>
    <m/>
  </r>
  <r>
    <x v="13"/>
    <n v="192428"/>
    <x v="2"/>
    <n v="86780.000000000626"/>
    <m/>
    <m/>
    <n v="1600.5704000000101"/>
    <n v="13249.94700000008"/>
    <m/>
    <m/>
    <m/>
    <x v="0"/>
    <m/>
    <m/>
    <m/>
  </r>
  <r>
    <x v="13"/>
    <n v="192428"/>
    <x v="2"/>
    <n v="74308.999999999229"/>
    <m/>
    <m/>
    <n v="751.5559999999947"/>
    <n v="12074.95170000008"/>
    <m/>
    <m/>
    <m/>
    <x v="0"/>
    <m/>
    <m/>
    <m/>
  </r>
  <r>
    <x v="13"/>
    <n v="192428"/>
    <x v="2"/>
    <n v="71804.500000000146"/>
    <m/>
    <m/>
    <n v="369.82399999999649"/>
    <n v="24849.900599999761"/>
    <m/>
    <m/>
    <m/>
    <x v="0"/>
    <m/>
    <m/>
    <m/>
  </r>
  <r>
    <x v="13"/>
    <n v="192428"/>
    <x v="2"/>
    <n v="69897.999999999534"/>
    <m/>
    <m/>
    <n v="72.467199999999096"/>
    <n v="33241.53370000024"/>
    <m/>
    <m/>
    <m/>
    <x v="0"/>
    <m/>
    <m/>
    <m/>
  </r>
  <r>
    <x v="13"/>
    <n v="192428"/>
    <x v="2"/>
    <n v="78989.999999999651"/>
    <m/>
    <m/>
    <n v="756.95360000000949"/>
    <n v="29858.213900000079"/>
    <m/>
    <m/>
    <m/>
    <x v="0"/>
    <m/>
    <m/>
    <m/>
  </r>
  <r>
    <x v="13"/>
    <n v="192428"/>
    <x v="2"/>
    <n v="85187.999999998865"/>
    <m/>
    <m/>
    <n v="1164.654399999981"/>
    <n v="22574.90970000024"/>
    <m/>
    <m/>
    <m/>
    <x v="0"/>
    <m/>
    <m/>
    <m/>
  </r>
  <r>
    <x v="13"/>
    <n v="192428"/>
    <x v="2"/>
    <n v="88696.999999999942"/>
    <m/>
    <m/>
    <n v="2771.0383999999649"/>
    <n v="20333.25199999976"/>
    <m/>
    <m/>
    <m/>
    <x v="0"/>
    <m/>
    <m/>
    <m/>
  </r>
  <r>
    <x v="13"/>
    <n v="192428"/>
    <x v="2"/>
    <n v="86551.999999999563"/>
    <m/>
    <m/>
    <n v="60423.75039999927"/>
    <n v="12424.95030000013"/>
    <m/>
    <m/>
    <m/>
    <x v="0"/>
    <m/>
    <m/>
    <m/>
  </r>
  <r>
    <x v="13"/>
    <n v="192428"/>
    <x v="2"/>
    <n v="57689.650615346633"/>
    <m/>
    <m/>
    <n v="257.43641331460952"/>
    <n v="6083.728865615014"/>
    <m/>
    <m/>
    <m/>
    <x v="0"/>
    <m/>
    <m/>
    <m/>
  </r>
  <r>
    <x v="14"/>
    <n v="4320"/>
    <x v="1"/>
    <m/>
    <m/>
    <m/>
    <m/>
    <m/>
    <m/>
    <m/>
    <m/>
    <x v="0"/>
    <m/>
    <m/>
    <m/>
  </r>
  <r>
    <x v="14"/>
    <n v="4320"/>
    <x v="1"/>
    <m/>
    <m/>
    <m/>
    <m/>
    <m/>
    <m/>
    <m/>
    <m/>
    <x v="0"/>
    <m/>
    <m/>
    <m/>
  </r>
  <r>
    <x v="14"/>
    <n v="4320"/>
    <x v="1"/>
    <m/>
    <m/>
    <m/>
    <m/>
    <m/>
    <m/>
    <m/>
    <m/>
    <x v="0"/>
    <m/>
    <m/>
    <m/>
  </r>
  <r>
    <x v="14"/>
    <n v="4320"/>
    <x v="1"/>
    <m/>
    <m/>
    <m/>
    <m/>
    <m/>
    <m/>
    <m/>
    <m/>
    <x v="0"/>
    <m/>
    <m/>
    <m/>
  </r>
  <r>
    <x v="14"/>
    <n v="4320"/>
    <x v="1"/>
    <m/>
    <m/>
    <m/>
    <m/>
    <m/>
    <m/>
    <m/>
    <m/>
    <x v="0"/>
    <m/>
    <m/>
    <m/>
  </r>
  <r>
    <x v="14"/>
    <n v="4320"/>
    <x v="1"/>
    <m/>
    <m/>
    <m/>
    <m/>
    <m/>
    <m/>
    <m/>
    <m/>
    <x v="0"/>
    <m/>
    <m/>
    <m/>
  </r>
  <r>
    <x v="14"/>
    <n v="4320"/>
    <x v="1"/>
    <m/>
    <m/>
    <m/>
    <m/>
    <m/>
    <m/>
    <m/>
    <m/>
    <x v="0"/>
    <m/>
    <m/>
    <m/>
  </r>
  <r>
    <x v="14"/>
    <n v="4320"/>
    <x v="1"/>
    <m/>
    <m/>
    <m/>
    <m/>
    <m/>
    <m/>
    <m/>
    <m/>
    <x v="0"/>
    <m/>
    <m/>
    <m/>
  </r>
  <r>
    <x v="14"/>
    <n v="4320"/>
    <x v="1"/>
    <m/>
    <m/>
    <m/>
    <m/>
    <m/>
    <m/>
    <m/>
    <m/>
    <x v="0"/>
    <m/>
    <m/>
    <m/>
  </r>
  <r>
    <x v="14"/>
    <n v="4320"/>
    <x v="1"/>
    <m/>
    <m/>
    <m/>
    <m/>
    <m/>
    <m/>
    <m/>
    <m/>
    <x v="0"/>
    <m/>
    <m/>
    <m/>
  </r>
  <r>
    <x v="14"/>
    <n v="4320"/>
    <x v="1"/>
    <m/>
    <m/>
    <m/>
    <m/>
    <m/>
    <m/>
    <m/>
    <m/>
    <x v="0"/>
    <m/>
    <m/>
    <m/>
  </r>
  <r>
    <x v="14"/>
    <n v="4320"/>
    <x v="1"/>
    <m/>
    <m/>
    <m/>
    <m/>
    <m/>
    <m/>
    <m/>
    <m/>
    <x v="0"/>
    <m/>
    <m/>
    <m/>
  </r>
  <r>
    <x v="15"/>
    <n v="12837"/>
    <x v="0"/>
    <m/>
    <m/>
    <n v="583.26344086020731"/>
    <m/>
    <m/>
    <m/>
    <m/>
    <n v="21.716652385032795"/>
    <x v="0"/>
    <m/>
    <m/>
    <n v="21.716652385032795"/>
  </r>
  <r>
    <x v="15"/>
    <n v="12837"/>
    <x v="0"/>
    <m/>
    <m/>
    <n v="698.04115684093131"/>
    <m/>
    <m/>
    <m/>
    <m/>
    <m/>
    <x v="0"/>
    <m/>
    <m/>
    <m/>
  </r>
  <r>
    <x v="15"/>
    <n v="12837"/>
    <x v="0"/>
    <m/>
    <m/>
    <n v="570.24732626733055"/>
    <m/>
    <m/>
    <m/>
    <m/>
    <m/>
    <x v="0"/>
    <m/>
    <m/>
    <m/>
  </r>
  <r>
    <x v="15"/>
    <n v="12837"/>
    <x v="0"/>
    <m/>
    <m/>
    <n v="145.8959926981918"/>
    <m/>
    <m/>
    <m/>
    <m/>
    <m/>
    <x v="0"/>
    <m/>
    <m/>
    <m/>
  </r>
  <r>
    <x v="15"/>
    <n v="12837"/>
    <x v="0"/>
    <m/>
    <m/>
    <n v="19.31874999999923"/>
    <m/>
    <m/>
    <m/>
    <m/>
    <m/>
    <x v="0"/>
    <m/>
    <m/>
    <m/>
  </r>
  <r>
    <x v="15"/>
    <n v="12837"/>
    <x v="0"/>
    <m/>
    <m/>
    <n v="0.39999999999999908"/>
    <m/>
    <m/>
    <m/>
    <m/>
    <m/>
    <x v="0"/>
    <m/>
    <m/>
    <m/>
  </r>
  <r>
    <x v="15"/>
    <n v="12837"/>
    <x v="0"/>
    <m/>
    <m/>
    <n v="0"/>
    <m/>
    <m/>
    <m/>
    <m/>
    <m/>
    <x v="0"/>
    <m/>
    <m/>
    <m/>
  </r>
  <r>
    <x v="15"/>
    <n v="12837"/>
    <x v="0"/>
    <m/>
    <m/>
    <n v="0"/>
    <m/>
    <m/>
    <m/>
    <m/>
    <m/>
    <x v="0"/>
    <m/>
    <m/>
    <m/>
  </r>
  <r>
    <x v="15"/>
    <n v="12837"/>
    <x v="0"/>
    <m/>
    <m/>
    <n v="0.79999999999999749"/>
    <m/>
    <m/>
    <m/>
    <m/>
    <m/>
    <x v="0"/>
    <m/>
    <m/>
    <m/>
  </r>
  <r>
    <x v="15"/>
    <n v="12837"/>
    <x v="0"/>
    <m/>
    <m/>
    <n v="42.079194630872799"/>
    <m/>
    <m/>
    <m/>
    <m/>
    <m/>
    <x v="0"/>
    <m/>
    <m/>
    <m/>
  </r>
  <r>
    <x v="15"/>
    <n v="12837"/>
    <x v="0"/>
    <m/>
    <m/>
    <n v="174.24983762719029"/>
    <m/>
    <m/>
    <m/>
    <m/>
    <m/>
    <x v="0"/>
    <m/>
    <m/>
    <m/>
  </r>
  <r>
    <x v="15"/>
    <n v="12837"/>
    <x v="0"/>
    <m/>
    <m/>
    <n v="553.47096774193665"/>
    <m/>
    <m/>
    <m/>
    <m/>
    <m/>
    <x v="0"/>
    <m/>
    <m/>
    <m/>
  </r>
  <r>
    <x v="16"/>
    <n v="29182"/>
    <x v="6"/>
    <m/>
    <m/>
    <m/>
    <m/>
    <m/>
    <n v="163.19999999999959"/>
    <m/>
    <m/>
    <x v="0"/>
    <m/>
    <n v="5.3822301418683134"/>
    <n v="5.3822301418683134"/>
  </r>
  <r>
    <x v="16"/>
    <n v="29182"/>
    <x v="6"/>
    <m/>
    <m/>
    <m/>
    <m/>
    <m/>
    <n v="175.60000000000241"/>
    <m/>
    <m/>
    <x v="0"/>
    <m/>
    <m/>
    <m/>
  </r>
  <r>
    <x v="16"/>
    <n v="29182"/>
    <x v="6"/>
    <m/>
    <m/>
    <m/>
    <m/>
    <m/>
    <n v="143.1000000000013"/>
    <m/>
    <m/>
    <x v="0"/>
    <m/>
    <m/>
    <m/>
  </r>
  <r>
    <x v="16"/>
    <n v="29182"/>
    <x v="6"/>
    <m/>
    <m/>
    <m/>
    <m/>
    <m/>
    <n v="198.020000000001"/>
    <m/>
    <m/>
    <x v="0"/>
    <m/>
    <m/>
    <m/>
  </r>
  <r>
    <x v="16"/>
    <n v="29182"/>
    <x v="6"/>
    <m/>
    <m/>
    <m/>
    <m/>
    <m/>
    <n v="0"/>
    <m/>
    <m/>
    <x v="0"/>
    <m/>
    <m/>
    <m/>
  </r>
  <r>
    <x v="16"/>
    <n v="29182"/>
    <x v="6"/>
    <m/>
    <m/>
    <m/>
    <m/>
    <m/>
    <n v="205.6000000000025"/>
    <m/>
    <m/>
    <x v="0"/>
    <m/>
    <m/>
    <m/>
  </r>
  <r>
    <x v="16"/>
    <n v="29182"/>
    <x v="6"/>
    <m/>
    <m/>
    <m/>
    <m/>
    <m/>
    <n v="114.6000000000009"/>
    <m/>
    <m/>
    <x v="0"/>
    <m/>
    <m/>
    <m/>
  </r>
  <r>
    <x v="16"/>
    <n v="29182"/>
    <x v="6"/>
    <m/>
    <m/>
    <m/>
    <m/>
    <m/>
    <m/>
    <m/>
    <m/>
    <x v="0"/>
    <m/>
    <m/>
    <m/>
  </r>
  <r>
    <x v="16"/>
    <n v="29182"/>
    <x v="6"/>
    <m/>
    <m/>
    <m/>
    <m/>
    <m/>
    <n v="383.80000000000302"/>
    <m/>
    <m/>
    <x v="0"/>
    <m/>
    <m/>
    <m/>
  </r>
  <r>
    <x v="16"/>
    <n v="29182"/>
    <x v="6"/>
    <m/>
    <m/>
    <m/>
    <m/>
    <m/>
    <n v="160.1000000000019"/>
    <m/>
    <m/>
    <x v="0"/>
    <m/>
    <m/>
    <m/>
  </r>
  <r>
    <x v="16"/>
    <n v="29182"/>
    <x v="6"/>
    <m/>
    <m/>
    <m/>
    <m/>
    <m/>
    <m/>
    <m/>
    <m/>
    <x v="0"/>
    <m/>
    <m/>
    <m/>
  </r>
  <r>
    <x v="16"/>
    <n v="29182"/>
    <x v="6"/>
    <m/>
    <m/>
    <m/>
    <m/>
    <m/>
    <n v="163.19999999999959"/>
    <m/>
    <m/>
    <x v="0"/>
    <m/>
    <m/>
    <m/>
  </r>
  <r>
    <x v="17"/>
    <n v="23925"/>
    <x v="7"/>
    <n v="52353.377204301098"/>
    <m/>
    <n v="3716.8010752687869"/>
    <m/>
    <m/>
    <m/>
    <n v="129.82672977722038"/>
    <n v="155.39993033786095"/>
    <x v="0"/>
    <m/>
    <m/>
    <n v="285.22666011508136"/>
  </r>
  <r>
    <x v="17"/>
    <n v="23925"/>
    <x v="7"/>
    <n v="74900.164129031546"/>
    <m/>
    <n v="4573.1322580645028"/>
    <m/>
    <m/>
    <m/>
    <m/>
    <m/>
    <x v="0"/>
    <m/>
    <m/>
    <m/>
  </r>
  <r>
    <x v="17"/>
    <n v="23925"/>
    <x v="7"/>
    <n v="74200.094618705451"/>
    <m/>
    <n v="4173.6985611511054"/>
    <m/>
    <m/>
    <m/>
    <m/>
    <m/>
    <x v="0"/>
    <m/>
    <m/>
    <m/>
  </r>
  <r>
    <x v="17"/>
    <n v="23925"/>
    <x v="7"/>
    <n v="85507.76738129447"/>
    <m/>
    <n v="3671.763938848921"/>
    <m/>
    <m/>
    <m/>
    <m/>
    <m/>
    <x v="0"/>
    <m/>
    <m/>
    <m/>
  </r>
  <r>
    <x v="17"/>
    <n v="23925"/>
    <x v="7"/>
    <n v="73908.450000000928"/>
    <m/>
    <n v="2648.837500000001"/>
    <m/>
    <m/>
    <m/>
    <m/>
    <m/>
    <x v="0"/>
    <m/>
    <m/>
    <m/>
  </r>
  <r>
    <x v="17"/>
    <n v="23925"/>
    <x v="7"/>
    <n v="53123.786666666143"/>
    <m/>
    <n v="1568.858064516126"/>
    <m/>
    <m/>
    <m/>
    <m/>
    <m/>
    <x v="0"/>
    <m/>
    <m/>
    <m/>
  </r>
  <r>
    <x v="17"/>
    <n v="23925"/>
    <x v="7"/>
    <n v="58396.533333332853"/>
    <m/>
    <n v="1393.5806451612791"/>
    <m/>
    <m/>
    <m/>
    <m/>
    <m/>
    <x v="0"/>
    <m/>
    <m/>
    <m/>
  </r>
  <r>
    <x v="17"/>
    <n v="23925"/>
    <x v="7"/>
    <n v="92134.28000000093"/>
    <m/>
    <n v="2327.161290322581"/>
    <m/>
    <m/>
    <m/>
    <m/>
    <m/>
    <x v="0"/>
    <m/>
    <m/>
    <m/>
  </r>
  <r>
    <x v="17"/>
    <n v="23925"/>
    <x v="7"/>
    <n v="106109.7466666657"/>
    <m/>
    <n v="3204"/>
    <m/>
    <m/>
    <m/>
    <m/>
    <m/>
    <x v="0"/>
    <m/>
    <m/>
    <m/>
  </r>
  <r>
    <x v="17"/>
    <n v="23925"/>
    <x v="7"/>
    <n v="103674.32066219331"/>
    <m/>
    <n v="3512.3154362415912"/>
    <m/>
    <m/>
    <m/>
    <m/>
    <m/>
    <x v="0"/>
    <m/>
    <m/>
    <m/>
  </r>
  <r>
    <x v="17"/>
    <n v="23925"/>
    <x v="7"/>
    <n v="83654.355896947134"/>
    <m/>
    <n v="3536.2652089196372"/>
    <m/>
    <m/>
    <m/>
    <m/>
    <m/>
    <x v="0"/>
    <m/>
    <m/>
    <m/>
  </r>
  <r>
    <x v="17"/>
    <n v="23925"/>
    <x v="7"/>
    <n v="52384.283440859792"/>
    <m/>
    <n v="2853.0193548387028"/>
    <m/>
    <m/>
    <m/>
    <m/>
    <m/>
    <x v="0"/>
    <m/>
    <m/>
    <m/>
  </r>
  <r>
    <x v="18"/>
    <n v="499221"/>
    <x v="8"/>
    <n v="350.66961115056938"/>
    <m/>
    <m/>
    <n v="12726.466060606241"/>
    <n v="62484.203387878028"/>
    <m/>
    <n v="2.6555206543755448E-2"/>
    <n v="0"/>
    <x v="7"/>
    <n v="29.273956811289949"/>
    <m/>
    <n v="42.968463691766459"/>
  </r>
  <r>
    <x v="18"/>
    <n v="499221"/>
    <x v="8"/>
    <n v="333.90039062500381"/>
    <m/>
    <m/>
    <n v="12056.370000000181"/>
    <n v="59577.159599999126"/>
    <m/>
    <m/>
    <m/>
    <x v="0"/>
    <m/>
    <m/>
    <m/>
  </r>
  <r>
    <x v="18"/>
    <n v="499221"/>
    <x v="8"/>
    <n v="352.14951282988642"/>
    <m/>
    <m/>
    <n v="10945.25417193427"/>
    <n v="67979.05834690237"/>
    <m/>
    <m/>
    <m/>
    <x v="0"/>
    <m/>
    <m/>
    <m/>
  </r>
  <r>
    <x v="18"/>
    <n v="499221"/>
    <x v="8"/>
    <n v="331.84999888886989"/>
    <m/>
    <m/>
    <n v="5662.65582806573"/>
    <n v="87620.593553097046"/>
    <m/>
    <m/>
    <m/>
    <x v="0"/>
    <m/>
    <m/>
    <m/>
  </r>
  <r>
    <x v="18"/>
    <n v="499221"/>
    <x v="8"/>
    <n v="338.40039062499721"/>
    <m/>
    <m/>
    <n v="4223.54000000002"/>
    <n v="99531.754700000994"/>
    <m/>
    <m/>
    <m/>
    <x v="0"/>
    <m/>
    <m/>
    <m/>
  </r>
  <r>
    <x v="18"/>
    <n v="499221"/>
    <x v="8"/>
    <n v="316.24368807164518"/>
    <m/>
    <m/>
    <n v="2150.524390243927"/>
    <n v="114970.39587804809"/>
    <m/>
    <m/>
    <m/>
    <x v="0"/>
    <m/>
    <m/>
    <m/>
  </r>
  <r>
    <x v="18"/>
    <n v="499221"/>
    <x v="8"/>
    <n v="333.05611661585118"/>
    <m/>
    <m/>
    <n v="1287.02560975607"/>
    <n v="146697.89492195137"/>
    <m/>
    <m/>
    <m/>
    <x v="0"/>
    <m/>
    <m/>
    <m/>
  </r>
  <r>
    <x v="18"/>
    <n v="499221"/>
    <x v="8"/>
    <n v="317.52857142857329"/>
    <m/>
    <m/>
    <n v="894.36771428570648"/>
    <n v="157307.5184799986"/>
    <m/>
    <m/>
    <m/>
    <x v="0"/>
    <m/>
    <m/>
    <m/>
  </r>
  <r>
    <x v="18"/>
    <n v="499221"/>
    <x v="8"/>
    <n v="305.78624338624388"/>
    <m/>
    <m/>
    <n v="1484.6874708994931"/>
    <n v="136612.11353481386"/>
    <m/>
    <m/>
    <m/>
    <x v="0"/>
    <m/>
    <m/>
    <m/>
  </r>
  <r>
    <x v="18"/>
    <n v="499221"/>
    <x v="8"/>
    <n v="310.4849898726863"/>
    <m/>
    <m/>
    <n v="2290.6848148148501"/>
    <n v="124831.8003851844"/>
    <m/>
    <m/>
    <m/>
    <x v="0"/>
    <m/>
    <m/>
    <m/>
  </r>
  <r>
    <x v="18"/>
    <n v="499221"/>
    <x v="8"/>
    <n v="289.49140181667661"/>
    <m/>
    <m/>
    <n v="5581.4673896595596"/>
    <n v="83332.922512989113"/>
    <m/>
    <m/>
    <m/>
    <x v="0"/>
    <m/>
    <m/>
    <m/>
  </r>
  <r>
    <x v="18"/>
    <n v="499221"/>
    <x v="8"/>
    <n v="305.81914505832299"/>
    <m/>
    <m/>
    <n v="8930.2415758577863"/>
    <n v="76902.417473218724"/>
    <m/>
    <m/>
    <m/>
    <x v="0"/>
    <m/>
    <m/>
    <m/>
  </r>
  <r>
    <x v="19"/>
    <m/>
    <x v="8"/>
    <n v="2781.0454545454791"/>
    <m/>
    <m/>
    <m/>
    <m/>
    <m/>
    <m/>
    <m/>
    <x v="0"/>
    <m/>
    <m/>
    <m/>
  </r>
  <r>
    <x v="19"/>
    <m/>
    <x v="8"/>
    <n v="1933.7500000000268"/>
    <m/>
    <m/>
    <m/>
    <m/>
    <m/>
    <m/>
    <m/>
    <x v="0"/>
    <m/>
    <m/>
    <m/>
  </r>
  <r>
    <x v="19"/>
    <m/>
    <x v="8"/>
    <n v="1837.8917509481803"/>
    <m/>
    <m/>
    <m/>
    <m/>
    <m/>
    <m/>
    <m/>
    <x v="0"/>
    <m/>
    <m/>
    <m/>
  </r>
  <r>
    <x v="19"/>
    <m/>
    <x v="8"/>
    <n v="1796.8582490518015"/>
    <m/>
    <m/>
    <m/>
    <m/>
    <m/>
    <m/>
    <m/>
    <x v="0"/>
    <m/>
    <m/>
    <m/>
  </r>
  <r>
    <x v="19"/>
    <m/>
    <x v="8"/>
    <n v="1852.2500000000196"/>
    <m/>
    <m/>
    <m/>
    <m/>
    <m/>
    <m/>
    <m/>
    <x v="0"/>
    <m/>
    <m/>
    <m/>
  </r>
  <r>
    <x v="19"/>
    <m/>
    <x v="8"/>
    <n v="1293.2865853658548"/>
    <m/>
    <m/>
    <m/>
    <m/>
    <m/>
    <m/>
    <m/>
    <x v="0"/>
    <m/>
    <m/>
    <m/>
  </r>
  <r>
    <x v="19"/>
    <m/>
    <x v="8"/>
    <n v="1344.5884146341302"/>
    <m/>
    <m/>
    <m/>
    <m/>
    <m/>
    <m/>
    <m/>
    <x v="0"/>
    <m/>
    <m/>
    <m/>
  </r>
  <r>
    <x v="19"/>
    <m/>
    <x v="8"/>
    <n v="1198.4821428571399"/>
    <m/>
    <m/>
    <m/>
    <m/>
    <m/>
    <m/>
    <m/>
    <x v="0"/>
    <m/>
    <m/>
    <m/>
  </r>
  <r>
    <x v="19"/>
    <m/>
    <x v="8"/>
    <n v="1659.1521164021401"/>
    <m/>
    <m/>
    <m/>
    <m/>
    <m/>
    <m/>
    <m/>
    <x v="0"/>
    <m/>
    <m/>
    <m/>
  </r>
  <r>
    <x v="19"/>
    <m/>
    <x v="8"/>
    <n v="1868.2407407407213"/>
    <m/>
    <m/>
    <m/>
    <m/>
    <m/>
    <m/>
    <m/>
    <x v="0"/>
    <m/>
    <m/>
    <m/>
  </r>
  <r>
    <x v="19"/>
    <m/>
    <x v="8"/>
    <n v="2136.0647856241899"/>
    <m/>
    <m/>
    <m/>
    <m/>
    <m/>
    <m/>
    <m/>
    <x v="0"/>
    <m/>
    <m/>
    <m/>
  </r>
  <r>
    <x v="19"/>
    <m/>
    <x v="8"/>
    <n v="2065.5343523067886"/>
    <m/>
    <m/>
    <m/>
    <m/>
    <m/>
    <m/>
    <m/>
    <x v="0"/>
    <m/>
    <m/>
    <m/>
  </r>
  <r>
    <x v="20"/>
    <n v="345715"/>
    <x v="9"/>
    <n v="262459.82304014161"/>
    <m/>
    <n v="10.00163471698761"/>
    <n v="30776.551724137898"/>
    <n v="33783.131379309947"/>
    <m/>
    <n v="30.927041111276875"/>
    <n v="7.5595472770094957E-2"/>
    <x v="8"/>
    <n v="23.730692977996267"/>
    <m/>
    <n v="124.48763872241899"/>
  </r>
  <r>
    <x v="20"/>
    <n v="345715"/>
    <x v="9"/>
    <n v="260747.68664550729"/>
    <m/>
    <n v="31.060229539871219"/>
    <n v="30749.9999999998"/>
    <n v="30563.230546874838"/>
    <m/>
    <m/>
    <m/>
    <x v="0"/>
    <m/>
    <m/>
    <m/>
  </r>
  <r>
    <x v="20"/>
    <n v="345715"/>
    <x v="9"/>
    <n v="280758.79212884081"/>
    <m/>
    <n v="16.497585535049438"/>
    <n v="32716.42225031586"/>
    <n v="36002.666089700397"/>
    <m/>
    <m/>
    <m/>
    <x v="0"/>
    <m/>
    <m/>
    <m/>
  </r>
  <r>
    <x v="20"/>
    <n v="345715"/>
    <x v="9"/>
    <n v="274008.37217779824"/>
    <m/>
    <n v="14.22719776630402"/>
    <n v="25953.89024968438"/>
    <n v="53678.642347800269"/>
    <m/>
    <m/>
    <m/>
    <x v="0"/>
    <m/>
    <m/>
    <m/>
  </r>
  <r>
    <x v="20"/>
    <n v="345715"/>
    <x v="9"/>
    <n v="258912.10681152259"/>
    <m/>
    <n v="9.896208643913269"/>
    <n v="14236.250000000009"/>
    <n v="41924.104218749613"/>
    <m/>
    <m/>
    <m/>
    <x v="0"/>
    <m/>
    <m/>
    <m/>
  </r>
  <r>
    <x v="20"/>
    <n v="345715"/>
    <x v="9"/>
    <n v="239491.54729352929"/>
    <m/>
    <n v="12.05052161216736"/>
    <n v="11494.553571428671"/>
    <n v="58037.298950892313"/>
    <m/>
    <m/>
    <m/>
    <x v="0"/>
    <m/>
    <m/>
    <m/>
  </r>
  <r>
    <x v="20"/>
    <n v="345715"/>
    <x v="9"/>
    <n v="239370.70856584958"/>
    <m/>
    <n v="3.30228579044342"/>
    <n v="10124.508928571429"/>
    <n v="80692.177689732634"/>
    <m/>
    <m/>
    <m/>
    <x v="0"/>
    <m/>
    <m/>
    <m/>
  </r>
  <r>
    <x v="20"/>
    <n v="345715"/>
    <x v="9"/>
    <n v="233172.79460448964"/>
    <m/>
    <n v="24.38430833816528"/>
    <n v="8876.5178571428423"/>
    <n v="94908.331491072386"/>
    <m/>
    <m/>
    <m/>
    <x v="0"/>
    <m/>
    <m/>
    <m/>
  </r>
  <r>
    <x v="20"/>
    <n v="345715"/>
    <x v="9"/>
    <n v="246823.49599066569"/>
    <m/>
    <n v="19.751950860023499"/>
    <n v="10843.898809523969"/>
    <n v="72012.749886244696"/>
    <m/>
    <m/>
    <m/>
    <x v="0"/>
    <m/>
    <m/>
    <m/>
  </r>
  <r>
    <x v="20"/>
    <n v="345715"/>
    <x v="9"/>
    <n v="270900.12902153889"/>
    <m/>
    <n v="25.142525434494019"/>
    <n v="15682.708333333459"/>
    <n v="84458.185966436737"/>
    <m/>
    <m/>
    <m/>
    <x v="0"/>
    <m/>
    <m/>
    <m/>
  </r>
  <r>
    <x v="20"/>
    <n v="345715"/>
    <x v="9"/>
    <n v="277303.3618167172"/>
    <m/>
    <n v="8.7418460845947266"/>
    <n v="25116.519151954461"/>
    <n v="56136.46162909823"/>
    <m/>
    <m/>
    <m/>
    <x v="0"/>
    <m/>
    <m/>
    <m/>
  </r>
  <r>
    <x v="20"/>
    <n v="345715"/>
    <x v="9"/>
    <n v="289680.14373959112"/>
    <m/>
    <n v="86.288594365119934"/>
    <n v="24579.289037700259"/>
    <n v="41474.396711419438"/>
    <m/>
    <m/>
    <m/>
    <x v="0"/>
    <m/>
    <m/>
    <m/>
  </r>
  <r>
    <x v="21"/>
    <n v="36691"/>
    <x v="2"/>
    <n v="15064.655172413961"/>
    <m/>
    <m/>
    <n v="3065.9758890085918"/>
    <n v="51.645593261719142"/>
    <m/>
    <n v="19.063243570959273"/>
    <n v="0"/>
    <x v="9"/>
    <n v="3.1597282297174374"/>
    <m/>
    <n v="63.003929356626166"/>
  </r>
  <r>
    <x v="21"/>
    <n v="36691"/>
    <x v="2"/>
    <n v="16889.00000000016"/>
    <m/>
    <m/>
    <n v="2823.8085937499782"/>
    <n v="201.58966064452974"/>
    <m/>
    <m/>
    <m/>
    <x v="0"/>
    <m/>
    <m/>
    <m/>
  </r>
  <r>
    <x v="21"/>
    <n v="36691"/>
    <x v="2"/>
    <n v="16249.719974715499"/>
    <m/>
    <m/>
    <n v="2383.9213120259301"/>
    <n v="154.93677978515547"/>
    <m/>
    <m/>
    <m/>
    <x v="0"/>
    <m/>
    <m/>
    <m/>
  </r>
  <r>
    <x v="21"/>
    <n v="36691"/>
    <x v="2"/>
    <n v="17378.780025284399"/>
    <m/>
    <m/>
    <n v="1413.0904067240961"/>
    <n v="376.50745849609143"/>
    <m/>
    <m/>
    <m/>
    <x v="0"/>
    <m/>
    <m/>
    <m/>
  </r>
  <r>
    <x v="21"/>
    <n v="36691"/>
    <x v="2"/>
    <n v="16966.999999999789"/>
    <m/>
    <m/>
    <n v="851.01562499999307"/>
    <n v="432.33228759765177"/>
    <m/>
    <m/>
    <m/>
    <x v="0"/>
    <m/>
    <m/>
    <m/>
  </r>
  <r>
    <x v="21"/>
    <n v="36691"/>
    <x v="2"/>
    <n v="16645.28571428547"/>
    <m/>
    <m/>
    <n v="421.95870535714602"/>
    <n v="1363.6205932617199"/>
    <m/>
    <m/>
    <m/>
    <x v="0"/>
    <m/>
    <m/>
    <m/>
  </r>
  <r>
    <x v="21"/>
    <n v="36691"/>
    <x v="2"/>
    <n v="18801.529100529209"/>
    <m/>
    <m/>
    <n v="161.78912450396851"/>
    <n v="2082.5000000000055"/>
    <m/>
    <m/>
    <m/>
    <x v="0"/>
    <m/>
    <m/>
    <m/>
  </r>
  <r>
    <x v="21"/>
    <n v="36691"/>
    <x v="2"/>
    <n v="20676.729302832071"/>
    <m/>
    <m/>
    <n v="3.5177951388888888"/>
    <n v="1999.20000000001"/>
    <m/>
    <m/>
    <m/>
    <x v="0"/>
    <m/>
    <m/>
    <m/>
  </r>
  <r>
    <x v="21"/>
    <n v="36691"/>
    <x v="2"/>
    <n v="17616.279956427039"/>
    <m/>
    <m/>
    <n v="0"/>
    <n v="1749.2999999999877"/>
    <m/>
    <m/>
    <m/>
    <x v="0"/>
    <m/>
    <m/>
    <m/>
  </r>
  <r>
    <x v="21"/>
    <n v="36691"/>
    <x v="2"/>
    <n v="18687.9259259258"/>
    <m/>
    <m/>
    <n v="174.10156250000171"/>
    <n v="999.60000000000502"/>
    <m/>
    <m/>
    <m/>
    <x v="0"/>
    <m/>
    <m/>
    <m/>
  </r>
  <r>
    <x v="21"/>
    <n v="36691"/>
    <x v="2"/>
    <n v="18976.256305169882"/>
    <m/>
    <m/>
    <n v="2543.8221646437669"/>
    <n v="249.8999999999983"/>
    <m/>
    <m/>
    <m/>
    <x v="0"/>
    <m/>
    <m/>
    <m/>
  </r>
  <r>
    <x v="21"/>
    <n v="36691"/>
    <x v="2"/>
    <n v="11043.752315519499"/>
    <m/>
    <m/>
    <n v="1119.9399582010551"/>
    <n v="0"/>
    <m/>
    <m/>
    <m/>
    <x v="0"/>
    <m/>
    <m/>
    <m/>
  </r>
  <r>
    <x v="22"/>
    <n v="341415"/>
    <x v="2"/>
    <n v="286377.33798828127"/>
    <m/>
    <m/>
    <n v="14567.230603448121"/>
    <n v="19374.69642510793"/>
    <m/>
    <n v="36.385667204187783"/>
    <n v="0"/>
    <x v="10"/>
    <n v="36.979088812590071"/>
    <m/>
    <n v="109.14222934406129"/>
  </r>
  <r>
    <x v="22"/>
    <n v="341415"/>
    <x v="2"/>
    <n v="278527.37412109377"/>
    <m/>
    <m/>
    <n v="14797.499999999911"/>
    <n v="19665.880000000081"/>
    <m/>
    <m/>
    <m/>
    <x v="0"/>
    <m/>
    <m/>
    <m/>
  </r>
  <r>
    <x v="22"/>
    <n v="341415"/>
    <x v="2"/>
    <n v="312884.63037109375"/>
    <m/>
    <m/>
    <n v="16078.91099083446"/>
    <n v="22997.677559260799"/>
    <m/>
    <m/>
    <m/>
    <x v="0"/>
    <m/>
    <m/>
    <m/>
  </r>
  <r>
    <x v="22"/>
    <n v="341415"/>
    <x v="2"/>
    <n v="314388.72756347654"/>
    <m/>
    <m/>
    <n v="12523.58900916572"/>
    <n v="71887.849784489328"/>
    <m/>
    <m/>
    <m/>
    <x v="0"/>
    <m/>
    <m/>
    <m/>
  </r>
  <r>
    <x v="22"/>
    <n v="341415"/>
    <x v="2"/>
    <n v="320838.94467468263"/>
    <m/>
    <m/>
    <n v="12476.562499999971"/>
    <n v="101593.5923437489"/>
    <m/>
    <m/>
    <m/>
    <x v="0"/>
    <m/>
    <m/>
    <m/>
  </r>
  <r>
    <x v="22"/>
    <n v="341415"/>
    <x v="2"/>
    <n v="275332.61118469236"/>
    <m/>
    <m/>
    <n v="3432.5076219511948"/>
    <n v="109602.6088605181"/>
    <m/>
    <m/>
    <m/>
    <x v="0"/>
    <m/>
    <m/>
    <m/>
  </r>
  <r>
    <x v="22"/>
    <n v="341415"/>
    <x v="2"/>
    <n v="302103.00898437499"/>
    <m/>
    <m/>
    <n v="4968.2736280487752"/>
    <n v="148445.0115301061"/>
    <m/>
    <m/>
    <m/>
    <x v="0"/>
    <m/>
    <m/>
    <m/>
  </r>
  <r>
    <x v="22"/>
    <n v="341415"/>
    <x v="2"/>
    <n v="285617.07622070314"/>
    <m/>
    <m/>
    <n v="3959.5580357142239"/>
    <n v="170042.2679776813"/>
    <m/>
    <m/>
    <m/>
    <x v="0"/>
    <m/>
    <m/>
    <m/>
  </r>
  <r>
    <x v="22"/>
    <n v="341415"/>
    <x v="2"/>
    <n v="323797.34433593752"/>
    <m/>
    <m/>
    <n v="4429.7185846560442"/>
    <n v="130659.2451473221"/>
    <m/>
    <m/>
    <m/>
    <x v="0"/>
    <m/>
    <m/>
    <m/>
  </r>
  <r>
    <x v="22"/>
    <n v="341415"/>
    <x v="2"/>
    <n v="322579.45195312501"/>
    <m/>
    <m/>
    <n v="5037.1296296296596"/>
    <n v="117834.4791406242"/>
    <m/>
    <m/>
    <m/>
    <x v="0"/>
    <m/>
    <m/>
    <m/>
  </r>
  <r>
    <x v="22"/>
    <n v="341415"/>
    <x v="2"/>
    <n v="306935.40078124998"/>
    <m/>
    <m/>
    <n v="12502.002482660761"/>
    <n v="75735.686823771015"/>
    <m/>
    <m/>
    <m/>
    <x v="0"/>
    <m/>
    <m/>
    <m/>
  </r>
  <r>
    <x v="22"/>
    <n v="341415"/>
    <x v="2"/>
    <n v="311477.57849121094"/>
    <m/>
    <m/>
    <n v="17376.677474235908"/>
    <n v="64262.304986573647"/>
    <m/>
    <m/>
    <m/>
    <x v="0"/>
    <m/>
    <m/>
    <m/>
  </r>
  <r>
    <x v="23"/>
    <n v="15667"/>
    <x v="10"/>
    <n v="12199.611184735608"/>
    <m/>
    <n v="456.58187007904053"/>
    <m/>
    <m/>
    <m/>
    <n v="35.106719253932518"/>
    <n v="32.927271310581716"/>
    <x v="11"/>
    <n v="0"/>
    <m/>
    <n v="68.033990564514227"/>
  </r>
  <r>
    <x v="23"/>
    <n v="15667"/>
    <x v="10"/>
    <n v="14116.748811411928"/>
    <m/>
    <n v="1447.014949798584"/>
    <m/>
    <m/>
    <m/>
    <m/>
    <m/>
    <x v="0"/>
    <m/>
    <m/>
    <m/>
  </r>
  <r>
    <x v="23"/>
    <n v="15667"/>
    <x v="10"/>
    <n v="16645.894595769478"/>
    <m/>
    <n v="2037.4592485427861"/>
    <m/>
    <m/>
    <m/>
    <m/>
    <m/>
    <x v="0"/>
    <m/>
    <m/>
    <m/>
  </r>
  <r>
    <x v="23"/>
    <n v="15667"/>
    <x v="10"/>
    <n v="11947.102412295912"/>
    <m/>
    <n v="283.70254850387568"/>
    <m/>
    <m/>
    <m/>
    <m/>
    <m/>
    <x v="0"/>
    <m/>
    <m/>
    <m/>
  </r>
  <r>
    <x v="23"/>
    <n v="15667"/>
    <x v="10"/>
    <n v="7183.0399910598408"/>
    <m/>
    <n v="172.25862812995911"/>
    <m/>
    <m/>
    <m/>
    <m/>
    <m/>
    <x v="0"/>
    <m/>
    <m/>
    <m/>
  </r>
  <r>
    <x v="23"/>
    <n v="15667"/>
    <x v="10"/>
    <n v="4638.6070796561216"/>
    <m/>
    <n v="68.871699571609497"/>
    <m/>
    <m/>
    <m/>
    <m/>
    <m/>
    <x v="0"/>
    <m/>
    <m/>
    <m/>
  </r>
  <r>
    <x v="23"/>
    <n v="15667"/>
    <x v="10"/>
    <n v="7177.7378657255213"/>
    <m/>
    <n v="60.186226397752762"/>
    <m/>
    <m/>
    <m/>
    <m/>
    <m/>
    <x v="0"/>
    <m/>
    <m/>
    <m/>
  </r>
  <r>
    <x v="23"/>
    <n v="15667"/>
    <x v="10"/>
    <n v="15955.853421388463"/>
    <m/>
    <n v="41.247929096221917"/>
    <m/>
    <m/>
    <m/>
    <m/>
    <m/>
    <x v="0"/>
    <m/>
    <m/>
    <m/>
  </r>
  <r>
    <x v="23"/>
    <n v="15667"/>
    <x v="10"/>
    <n v="17787.449980375168"/>
    <m/>
    <n v="13.85492956638336"/>
    <m/>
    <m/>
    <m/>
    <m/>
    <m/>
    <x v="0"/>
    <m/>
    <m/>
    <m/>
  </r>
  <r>
    <x v="23"/>
    <n v="15667"/>
    <x v="10"/>
    <n v="17888.823099090856"/>
    <m/>
    <n v="34.876039624214172"/>
    <m/>
    <m/>
    <m/>
    <m/>
    <m/>
    <x v="0"/>
    <m/>
    <m/>
    <m/>
  </r>
  <r>
    <x v="23"/>
    <n v="15667"/>
    <x v="10"/>
    <n v="17324.687546025358"/>
    <m/>
    <n v="283.25867390632629"/>
    <m/>
    <m/>
    <m/>
    <m/>
    <m/>
    <x v="0"/>
    <m/>
    <m/>
    <m/>
  </r>
  <r>
    <x v="23"/>
    <n v="15667"/>
    <x v="10"/>
    <n v="18335.197397975939"/>
    <m/>
    <n v="259.40285301208502"/>
    <m/>
    <m/>
    <m/>
    <m/>
    <m/>
    <x v="0"/>
    <m/>
    <m/>
    <m/>
  </r>
  <r>
    <x v="24"/>
    <m/>
    <x v="3"/>
    <n v="8213.7862526882764"/>
    <m/>
    <m/>
    <m/>
    <m/>
    <m/>
    <m/>
    <m/>
    <x v="0"/>
    <m/>
    <m/>
    <n v="0"/>
  </r>
  <r>
    <x v="24"/>
    <m/>
    <x v="3"/>
    <n v="7195.4463139783984"/>
    <m/>
    <m/>
    <m/>
    <m/>
    <m/>
    <m/>
    <m/>
    <x v="0"/>
    <m/>
    <m/>
    <m/>
  </r>
  <r>
    <x v="24"/>
    <m/>
    <x v="3"/>
    <n v="7207.3435760192724"/>
    <m/>
    <m/>
    <m/>
    <m/>
    <m/>
    <m/>
    <m/>
    <x v="0"/>
    <m/>
    <m/>
    <m/>
  </r>
  <r>
    <x v="24"/>
    <m/>
    <x v="3"/>
    <n v="5541.9066906474309"/>
    <m/>
    <m/>
    <m/>
    <m/>
    <m/>
    <m/>
    <m/>
    <x v="0"/>
    <m/>
    <m/>
    <m/>
  </r>
  <r>
    <x v="24"/>
    <m/>
    <x v="3"/>
    <n v="4869.7212000000181"/>
    <m/>
    <m/>
    <m/>
    <m/>
    <m/>
    <m/>
    <m/>
    <x v="0"/>
    <m/>
    <m/>
    <m/>
  </r>
  <r>
    <x v="24"/>
    <m/>
    <x v="3"/>
    <n v="4455.6500727272814"/>
    <m/>
    <m/>
    <m/>
    <m/>
    <m/>
    <m/>
    <m/>
    <x v="0"/>
    <m/>
    <m/>
    <m/>
  </r>
  <r>
    <x v="24"/>
    <m/>
    <x v="3"/>
    <n v="5139.3361755486112"/>
    <m/>
    <m/>
    <m/>
    <m/>
    <m/>
    <m/>
    <m/>
    <x v="0"/>
    <m/>
    <m/>
    <m/>
  </r>
  <r>
    <x v="24"/>
    <m/>
    <x v="3"/>
    <n v="5119.5483517240527"/>
    <m/>
    <m/>
    <m/>
    <m/>
    <m/>
    <m/>
    <m/>
    <x v="0"/>
    <m/>
    <m/>
    <m/>
  </r>
  <r>
    <x v="24"/>
    <m/>
    <x v="3"/>
    <n v="5700.5024499999599"/>
    <m/>
    <m/>
    <m/>
    <m/>
    <m/>
    <m/>
    <m/>
    <x v="0"/>
    <m/>
    <m/>
    <m/>
  </r>
  <r>
    <x v="24"/>
    <m/>
    <x v="3"/>
    <n v="7119.998483141937"/>
    <m/>
    <m/>
    <m/>
    <m/>
    <m/>
    <m/>
    <m/>
    <x v="0"/>
    <m/>
    <m/>
    <m/>
  </r>
  <r>
    <x v="24"/>
    <m/>
    <x v="3"/>
    <n v="8211.0746216968128"/>
    <m/>
    <m/>
    <m/>
    <m/>
    <m/>
    <m/>
    <m/>
    <x v="0"/>
    <m/>
    <m/>
    <m/>
  </r>
  <r>
    <x v="24"/>
    <m/>
    <x v="3"/>
    <n v="8718.053129032136"/>
    <m/>
    <m/>
    <m/>
    <m/>
    <m/>
    <m/>
    <m/>
    <x v="0"/>
    <m/>
    <m/>
    <m/>
  </r>
  <r>
    <x v="25"/>
    <n v="52851"/>
    <x v="11"/>
    <n v="72853.939799999469"/>
    <m/>
    <n v="1539.5393939394"/>
    <m/>
    <m/>
    <m/>
    <n v="68.143473120970597"/>
    <n v="18.548314501087454"/>
    <x v="11"/>
    <n v="0"/>
    <m/>
    <n v="86.691787622058058"/>
  </r>
  <r>
    <x v="25"/>
    <n v="52851"/>
    <x v="11"/>
    <n v="67513.498392230424"/>
    <m/>
    <n v="1948.6292565947381"/>
    <m/>
    <m/>
    <m/>
    <m/>
    <m/>
    <x v="0"/>
    <m/>
    <m/>
    <m/>
  </r>
  <r>
    <x v="25"/>
    <n v="52851"/>
    <x v="11"/>
    <n v="81000.505907769446"/>
    <m/>
    <n v="1661.9374100719649"/>
    <m/>
    <m/>
    <m/>
    <m/>
    <m/>
    <x v="0"/>
    <m/>
    <m/>
    <m/>
  </r>
  <r>
    <x v="25"/>
    <n v="52851"/>
    <x v="11"/>
    <n v="88848.629375861448"/>
    <m/>
    <n v="873.46551724138158"/>
    <m/>
    <m/>
    <m/>
    <m/>
    <m/>
    <x v="0"/>
    <m/>
    <m/>
    <m/>
  </r>
  <r>
    <x v="25"/>
    <n v="52851"/>
    <x v="11"/>
    <n v="99004.489491879998"/>
    <m/>
    <n v="589.38932146829018"/>
    <m/>
    <m/>
    <m/>
    <m/>
    <m/>
    <x v="0"/>
    <m/>
    <m/>
    <m/>
  </r>
  <r>
    <x v="25"/>
    <n v="52851"/>
    <x v="11"/>
    <n v="87662.431332258915"/>
    <m/>
    <n v="543.41935483870486"/>
    <m/>
    <m/>
    <m/>
    <m/>
    <m/>
    <x v="0"/>
    <m/>
    <m/>
    <m/>
  </r>
  <r>
    <x v="25"/>
    <n v="52851"/>
    <x v="11"/>
    <n v="96533.125258620421"/>
    <m/>
    <n v="100.77753058954519"/>
    <m/>
    <m/>
    <m/>
    <m/>
    <m/>
    <x v="0"/>
    <m/>
    <m/>
    <m/>
  </r>
  <r>
    <x v="25"/>
    <n v="52851"/>
    <x v="11"/>
    <n v="99021.607401380155"/>
    <m/>
    <n v="35.738598442714178"/>
    <m/>
    <m/>
    <m/>
    <m/>
    <m/>
    <x v="0"/>
    <m/>
    <m/>
    <m/>
  </r>
  <r>
    <x v="25"/>
    <n v="52851"/>
    <x v="11"/>
    <n v="91521.54243999999"/>
    <m/>
    <n v="89.459677419355501"/>
    <m/>
    <m/>
    <m/>
    <m/>
    <m/>
    <x v="0"/>
    <m/>
    <m/>
    <m/>
  </r>
  <r>
    <x v="25"/>
    <n v="52851"/>
    <x v="11"/>
    <n v="97234.527413774587"/>
    <m/>
    <n v="253.80236728838071"/>
    <m/>
    <m/>
    <m/>
    <m/>
    <m/>
    <x v="0"/>
    <m/>
    <m/>
    <m/>
  </r>
  <r>
    <x v="25"/>
    <n v="52851"/>
    <x v="11"/>
    <n v="88614.279386225477"/>
    <m/>
    <n v="740.7142993782893"/>
    <m/>
    <m/>
    <m/>
    <m/>
    <m/>
    <x v="0"/>
    <m/>
    <m/>
    <m/>
  </r>
  <r>
    <x v="25"/>
    <n v="52851"/>
    <x v="11"/>
    <n v="85716.247339394933"/>
    <m/>
    <n v="1426.0969696969671"/>
    <m/>
    <m/>
    <m/>
    <m/>
    <m/>
    <x v="0"/>
    <m/>
    <m/>
    <m/>
  </r>
  <r>
    <x v="26"/>
    <n v="42445"/>
    <x v="2"/>
    <n v="28607.202990301339"/>
    <m/>
    <m/>
    <n v="2920.491034482789"/>
    <n v="3871.7983620690188"/>
    <m/>
    <n v="28.430750595511014"/>
    <n v="0"/>
    <x v="12"/>
    <n v="34.795783608645742"/>
    <m/>
    <n v="99.764374654882118"/>
  </r>
  <r>
    <x v="26"/>
    <n v="42445"/>
    <x v="2"/>
    <n v="27489.990234374789"/>
    <m/>
    <m/>
    <n v="2547.239999999998"/>
    <n v="3255.1141000000321"/>
    <m/>
    <m/>
    <m/>
    <x v="0"/>
    <m/>
    <m/>
    <m/>
  </r>
  <r>
    <x v="26"/>
    <n v="42445"/>
    <x v="2"/>
    <n v="29663.657013595559"/>
    <m/>
    <m/>
    <n v="2671.672073324894"/>
    <n v="5646.1296561947966"/>
    <m/>
    <m/>
    <m/>
    <x v="0"/>
    <m/>
    <m/>
    <m/>
  </r>
  <r>
    <x v="26"/>
    <n v="42445"/>
    <x v="2"/>
    <n v="28106.362517654779"/>
    <m/>
    <m/>
    <n v="1990.152926675102"/>
    <n v="11236.98939380549"/>
    <m/>
    <m/>
    <m/>
    <x v="0"/>
    <m/>
    <m/>
    <m/>
  </r>
  <r>
    <x v="26"/>
    <n v="42445"/>
    <x v="2"/>
    <n v="30470.031738280672"/>
    <m/>
    <m/>
    <n v="1572.8850000000159"/>
    <n v="14028.76124999986"/>
    <m/>
    <m/>
    <m/>
    <x v="0"/>
    <m/>
    <m/>
    <m/>
  </r>
  <r>
    <x v="26"/>
    <n v="42445"/>
    <x v="2"/>
    <n v="29117.11774553539"/>
    <m/>
    <m/>
    <n v="976.00714285713502"/>
    <n v="16709.759849999758"/>
    <m/>
    <m/>
    <m/>
    <x v="0"/>
    <m/>
    <m/>
    <m/>
  </r>
  <r>
    <x v="26"/>
    <n v="42445"/>
    <x v="2"/>
    <n v="29932.87004743324"/>
    <m/>
    <m/>
    <n v="709.47035714284664"/>
    <n v="19793.3205750001"/>
    <m/>
    <m/>
    <m/>
    <x v="0"/>
    <m/>
    <m/>
    <m/>
  </r>
  <r>
    <x v="26"/>
    <n v="42445"/>
    <x v="2"/>
    <n v="26739.716448103001"/>
    <m/>
    <m/>
    <n v="166.538642857144"/>
    <n v="13280.898015000061"/>
    <m/>
    <m/>
    <m/>
    <x v="0"/>
    <m/>
    <m/>
    <m/>
  </r>
  <r>
    <x v="26"/>
    <n v="42445"/>
    <x v="2"/>
    <n v="30128.124999999789"/>
    <m/>
    <m/>
    <n v="73.614214285713416"/>
    <n v="11969.82949749991"/>
    <m/>
    <m/>
    <m/>
    <x v="0"/>
    <m/>
    <m/>
    <m/>
  </r>
  <r>
    <x v="26"/>
    <n v="42445"/>
    <x v="2"/>
    <n v="32052.141462053729"/>
    <m/>
    <m/>
    <n v="219.08464285714109"/>
    <n v="12346.040262500161"/>
    <m/>
    <m/>
    <m/>
    <x v="0"/>
    <m/>
    <m/>
    <m/>
  </r>
  <r>
    <x v="26"/>
    <n v="42445"/>
    <x v="2"/>
    <n v="29549.180327868511"/>
    <m/>
    <m/>
    <n v="680.44943253467693"/>
    <n v="7059.5806703657036"/>
    <m/>
    <m/>
    <m/>
    <x v="0"/>
    <m/>
    <m/>
    <m/>
  </r>
  <r>
    <x v="26"/>
    <n v="42445"/>
    <x v="2"/>
    <n v="31819.80876157089"/>
    <m/>
    <m/>
    <n v="980.88091229291877"/>
    <n v="3877.3646399791551"/>
    <m/>
    <m/>
    <m/>
    <x v="0"/>
    <m/>
    <m/>
    <m/>
  </r>
  <r>
    <x v="27"/>
    <n v="73315"/>
    <x v="2"/>
    <n v="41521.352833714918"/>
    <m/>
    <m/>
    <n v="29324.379310345339"/>
    <n v="4237.287165517153"/>
    <m/>
    <n v="27.031274631834517"/>
    <n v="0"/>
    <x v="13"/>
    <n v="16.250115700037863"/>
    <m/>
    <n v="1000.5190863154336"/>
  </r>
  <r>
    <x v="27"/>
    <n v="73315"/>
    <x v="2"/>
    <n v="41570.007324219296"/>
    <m/>
    <m/>
    <n v="28129.999999999702"/>
    <n v="5228.9075999999386"/>
    <m/>
    <m/>
    <m/>
    <x v="0"/>
    <m/>
    <m/>
    <m/>
  </r>
  <r>
    <x v="27"/>
    <n v="73315"/>
    <x v="2"/>
    <n v="47980.287419257802"/>
    <m/>
    <m/>
    <n v="20825.163993362588"/>
    <n v="7140.0639756638011"/>
    <m/>
    <m/>
    <m/>
    <x v="0"/>
    <m/>
    <m/>
    <m/>
  </r>
  <r>
    <x v="27"/>
    <n v="73315"/>
    <x v="2"/>
    <n v="45639.707697929654"/>
    <m/>
    <m/>
    <n v="30047.961006637601"/>
    <n v="7214.275324336234"/>
    <m/>
    <m/>
    <m/>
    <x v="0"/>
    <m/>
    <m/>
    <m/>
  </r>
  <r>
    <x v="27"/>
    <n v="73315"/>
    <x v="2"/>
    <n v="44350.03662109431"/>
    <m/>
    <m/>
    <n v="26824.125000000331"/>
    <n v="7305.4099999999771"/>
    <m/>
    <m/>
    <m/>
    <x v="0"/>
    <m/>
    <m/>
    <m/>
  </r>
  <r>
    <x v="27"/>
    <n v="73315"/>
    <x v="2"/>
    <n v="42468.231945503197"/>
    <m/>
    <m/>
    <n v="19.024390243902779"/>
    <n v="9466.6234207316393"/>
    <m/>
    <m/>
    <m/>
    <x v="0"/>
    <m/>
    <m/>
    <m/>
  </r>
  <r>
    <x v="27"/>
    <n v="73315"/>
    <x v="2"/>
    <n v="44341.765613090778"/>
    <m/>
    <m/>
    <n v="566628.16310975852"/>
    <n v="11782.31110426844"/>
    <m/>
    <m/>
    <m/>
    <x v="0"/>
    <m/>
    <m/>
    <m/>
  </r>
  <r>
    <x v="27"/>
    <n v="73315"/>
    <x v="2"/>
    <n v="48935.687255858698"/>
    <m/>
    <m/>
    <n v="0"/>
    <n v="13633.455744999799"/>
    <m/>
    <m/>
    <m/>
    <x v="0"/>
    <m/>
    <m/>
    <m/>
  </r>
  <r>
    <x v="27"/>
    <n v="73315"/>
    <x v="2"/>
    <n v="54626.117621527374"/>
    <m/>
    <m/>
    <n v="0"/>
    <n v="10639.797889259429"/>
    <m/>
    <m/>
    <m/>
    <x v="0"/>
    <m/>
    <m/>
    <m/>
  </r>
  <r>
    <x v="27"/>
    <n v="73315"/>
    <x v="2"/>
    <n v="59338.097466362269"/>
    <m/>
    <m/>
    <n v="0"/>
    <n v="9489.2151407408255"/>
    <m/>
    <m/>
    <m/>
    <x v="0"/>
    <m/>
    <m/>
    <m/>
  </r>
  <r>
    <x v="27"/>
    <n v="73315"/>
    <x v="2"/>
    <n v="53488.6057061174"/>
    <m/>
    <m/>
    <n v="0"/>
    <n v="6660.0878674968944"/>
    <m/>
    <m/>
    <m/>
    <x v="0"/>
    <m/>
    <m/>
    <m/>
  </r>
  <r>
    <x v="27"/>
    <n v="73315"/>
    <x v="2"/>
    <n v="56571.843302167108"/>
    <m/>
    <m/>
    <n v="0"/>
    <n v="6484.0008126755301"/>
    <m/>
    <m/>
    <m/>
    <x v="0"/>
    <m/>
    <m/>
    <m/>
  </r>
  <r>
    <x v="28"/>
    <n v="113302"/>
    <x v="9"/>
    <n v="28101.72245420282"/>
    <m/>
    <n v="764.46232032775879"/>
    <n v="230.14780172413461"/>
    <m/>
    <m/>
    <n v="11.982288961920334"/>
    <n v="12.481936200004153"/>
    <x v="14"/>
    <n v="0"/>
    <m/>
    <n v="27.156285372992965"/>
  </r>
  <r>
    <x v="28"/>
    <n v="113302"/>
    <x v="9"/>
    <n v="33390.014648437689"/>
    <m/>
    <n v="1681.5710754394529"/>
    <n v="937.90999999999656"/>
    <m/>
    <m/>
    <m/>
    <m/>
    <x v="0"/>
    <m/>
    <m/>
    <m/>
  </r>
  <r>
    <x v="28"/>
    <n v="113302"/>
    <x v="9"/>
    <n v="33956.286713688503"/>
    <m/>
    <n v="1994.6699886322019"/>
    <n v="1180.2856755688849"/>
    <m/>
    <m/>
    <m/>
    <m/>
    <x v="0"/>
    <m/>
    <m/>
    <m/>
  </r>
  <r>
    <x v="28"/>
    <n v="113302"/>
    <x v="9"/>
    <n v="36440.603860799783"/>
    <m/>
    <n v="1807.988876342773"/>
    <n v="269.48012184489272"/>
    <m/>
    <m/>
    <m/>
    <m/>
    <x v="0"/>
    <m/>
    <m/>
    <m/>
  </r>
  <r>
    <x v="28"/>
    <n v="113302"/>
    <x v="9"/>
    <n v="34013.082570043392"/>
    <m/>
    <n v="1229.109680175781"/>
    <n v="55.47170258620578"/>
    <m/>
    <m/>
    <m/>
    <m/>
    <x v="0"/>
    <m/>
    <m/>
    <m/>
  </r>
  <r>
    <x v="28"/>
    <n v="113302"/>
    <x v="9"/>
    <n v="23341.436618711919"/>
    <m/>
    <n v="244.41685247421259"/>
    <n v="57.364481707316187"/>
    <m/>
    <m/>
    <m/>
    <m/>
    <x v="0"/>
    <m/>
    <m/>
    <m/>
  </r>
  <r>
    <x v="28"/>
    <n v="113302"/>
    <x v="9"/>
    <n v="28939.50239263515"/>
    <m/>
    <n v="230.68647813797"/>
    <n v="38.580071864111048"/>
    <m/>
    <m/>
    <m/>
    <m/>
    <x v="0"/>
    <m/>
    <m/>
    <m/>
  </r>
  <r>
    <x v="28"/>
    <n v="113302"/>
    <x v="9"/>
    <n v="34460.246794030019"/>
    <m/>
    <n v="929.17710161209106"/>
    <n v="0.8795273109243682"/>
    <m/>
    <m/>
    <m/>
    <m/>
    <x v="0"/>
    <m/>
    <m/>
    <m/>
  </r>
  <r>
    <x v="28"/>
    <n v="113302"/>
    <x v="9"/>
    <n v="36044.058606515253"/>
    <m/>
    <n v="1212.44359588623"/>
    <n v="7.2730718954247804"/>
    <m/>
    <m/>
    <m/>
    <m/>
    <x v="0"/>
    <m/>
    <m/>
    <m/>
  </r>
  <r>
    <x v="28"/>
    <n v="113302"/>
    <x v="9"/>
    <n v="39814.79220920118"/>
    <m/>
    <n v="1574.900089263916"/>
    <n v="13.52409722222237"/>
    <m/>
    <m/>
    <m/>
    <m/>
    <x v="0"/>
    <m/>
    <m/>
    <m/>
  </r>
  <r>
    <x v="28"/>
    <n v="113302"/>
    <x v="9"/>
    <n v="37459.224205450111"/>
    <m/>
    <n v="1598.289367675781"/>
    <n v="120.1162815258519"/>
    <m/>
    <m/>
    <m/>
    <m/>
    <x v="0"/>
    <m/>
    <m/>
    <m/>
  </r>
  <r>
    <x v="28"/>
    <n v="113302"/>
    <x v="9"/>
    <n v="31933.901131295221"/>
    <m/>
    <n v="874.56792736053467"/>
    <n v="139.1252270948404"/>
    <m/>
    <m/>
    <m/>
    <m/>
    <x v="0"/>
    <m/>
    <m/>
    <m/>
  </r>
  <r>
    <x v="29"/>
    <n v="163476"/>
    <x v="9"/>
    <n v="55682.318485144802"/>
    <m/>
    <m/>
    <m/>
    <m/>
    <m/>
    <n v="45.125135626267713"/>
    <n v="0"/>
    <x v="15"/>
    <n v="58.138702311286849"/>
    <m/>
    <n v="145.42598916056807"/>
  </r>
  <r>
    <x v="29"/>
    <n v="163476"/>
    <x v="9"/>
    <n v="58473.327636718219"/>
    <m/>
    <m/>
    <m/>
    <m/>
    <m/>
    <m/>
    <m/>
    <x v="0"/>
    <m/>
    <m/>
    <m/>
  </r>
  <r>
    <x v="29"/>
    <n v="163476"/>
    <x v="9"/>
    <n v="183932.668267726"/>
    <m/>
    <m/>
    <m/>
    <m/>
    <m/>
    <m/>
    <m/>
    <x v="0"/>
    <m/>
    <m/>
    <m/>
  </r>
  <r>
    <x v="29"/>
    <n v="163476"/>
    <x v="9"/>
    <n v="192719.17637220881"/>
    <m/>
    <m/>
    <n v="4292.6021341463602"/>
    <n v="22277.17550304878"/>
    <m/>
    <m/>
    <m/>
    <x v="0"/>
    <m/>
    <m/>
    <m/>
  </r>
  <r>
    <x v="29"/>
    <n v="163476"/>
    <x v="9"/>
    <n v="199647.72026659449"/>
    <m/>
    <m/>
    <n v="8595.9559015679006"/>
    <n v="67825.853684450616"/>
    <m/>
    <m/>
    <m/>
    <x v="0"/>
    <m/>
    <m/>
    <m/>
  </r>
  <r>
    <x v="29"/>
    <n v="163476"/>
    <x v="9"/>
    <n v="191985.83548409501"/>
    <m/>
    <m/>
    <n v="10371.750167410761"/>
    <n v="104291.5054507798"/>
    <m/>
    <m/>
    <m/>
    <x v="0"/>
    <m/>
    <m/>
    <m/>
  </r>
  <r>
    <x v="29"/>
    <n v="163476"/>
    <x v="9"/>
    <n v="198248.61078676631"/>
    <m/>
    <m/>
    <n v="9616.2626664403251"/>
    <n v="153533.27477910771"/>
    <m/>
    <m/>
    <m/>
    <x v="0"/>
    <m/>
    <m/>
    <m/>
  </r>
  <r>
    <x v="29"/>
    <n v="163476"/>
    <x v="9"/>
    <n v="190209.90287770721"/>
    <m/>
    <m/>
    <n v="8927.2127667984569"/>
    <n v="195080.35368412259"/>
    <m/>
    <m/>
    <m/>
    <x v="0"/>
    <m/>
    <m/>
    <m/>
  </r>
  <r>
    <x v="29"/>
    <n v="163476"/>
    <x v="9"/>
    <n v="204257.98594670941"/>
    <m/>
    <m/>
    <n v="9264.0637710438295"/>
    <n v="131362.26319292889"/>
    <m/>
    <m/>
    <m/>
    <x v="0"/>
    <m/>
    <m/>
    <m/>
  </r>
  <r>
    <x v="29"/>
    <n v="163476"/>
    <x v="9"/>
    <n v="230914.81752749201"/>
    <m/>
    <m/>
    <n v="6662.6025925925278"/>
    <n v="86088.268505555796"/>
    <m/>
    <m/>
    <m/>
    <x v="0"/>
    <m/>
    <m/>
    <m/>
  </r>
  <r>
    <x v="29"/>
    <n v="163476"/>
    <x v="9"/>
    <n v="234665.81889630159"/>
    <m/>
    <m/>
    <n v="5034.8302837326773"/>
    <n v="22466.116514754089"/>
    <m/>
    <m/>
    <m/>
    <x v="0"/>
    <m/>
    <m/>
    <m/>
  </r>
  <r>
    <x v="29"/>
    <n v="163476"/>
    <x v="9"/>
    <n v="221300.7012859887"/>
    <m/>
    <m/>
    <n v="6159.7180496007113"/>
    <n v="9098.7302719125364"/>
    <m/>
    <m/>
    <m/>
    <x v="0"/>
    <m/>
    <m/>
    <m/>
  </r>
  <r>
    <x v="30"/>
    <n v="25320"/>
    <x v="0"/>
    <n v="8470.6003440859131"/>
    <m/>
    <n v="948.54838709676017"/>
    <m/>
    <m/>
    <m/>
    <n v="15.090256370784639"/>
    <n v="33.444707740916165"/>
    <x v="11"/>
    <n v="0"/>
    <m/>
    <n v="48.534964111700802"/>
  </r>
  <r>
    <x v="30"/>
    <n v="25320"/>
    <x v="0"/>
    <n v="8602.3079225807869"/>
    <m/>
    <n v="1038.884946236569"/>
    <m/>
    <m/>
    <m/>
    <m/>
    <m/>
    <x v="0"/>
    <m/>
    <m/>
    <m/>
  </r>
  <r>
    <x v="30"/>
    <n v="25320"/>
    <x v="0"/>
    <n v="9671.6720460430515"/>
    <m/>
    <n v="964.3580335731308"/>
    <m/>
    <m/>
    <m/>
    <m/>
    <m/>
    <x v="0"/>
    <m/>
    <m/>
    <m/>
  </r>
  <r>
    <x v="30"/>
    <n v="25320"/>
    <x v="0"/>
    <n v="9632.5277539568287"/>
    <m/>
    <n v="753.80238309352001"/>
    <m/>
    <m/>
    <m/>
    <m/>
    <m/>
    <x v="0"/>
    <m/>
    <m/>
    <m/>
  </r>
  <r>
    <x v="30"/>
    <n v="25320"/>
    <x v="0"/>
    <n v="9385.8527333333222"/>
    <m/>
    <n v="620.00625000000559"/>
    <m/>
    <m/>
    <m/>
    <m/>
    <m/>
    <x v="0"/>
    <m/>
    <m/>
    <m/>
  </r>
  <r>
    <x v="30"/>
    <n v="25320"/>
    <x v="0"/>
    <n v="8647.2546666666403"/>
    <m/>
    <n v="471.62580645161341"/>
    <m/>
    <m/>
    <m/>
    <m/>
    <m/>
    <x v="0"/>
    <m/>
    <m/>
    <m/>
  </r>
  <r>
    <x v="30"/>
    <n v="25320"/>
    <x v="0"/>
    <n v="9297.2929032259217"/>
    <m/>
    <n v="400.51612903225191"/>
    <m/>
    <m/>
    <m/>
    <m/>
    <m/>
    <x v="0"/>
    <m/>
    <m/>
    <m/>
  </r>
  <r>
    <x v="30"/>
    <n v="25320"/>
    <x v="0"/>
    <n v="10461.907096774219"/>
    <m/>
    <n v="408.6580645161273"/>
    <m/>
    <m/>
    <m/>
    <m/>
    <m/>
    <x v="0"/>
    <m/>
    <m/>
    <m/>
  </r>
  <r>
    <x v="30"/>
    <n v="25320"/>
    <x v="0"/>
    <n v="10509.32666666671"/>
    <m/>
    <n v="566.99999999999488"/>
    <m/>
    <m/>
    <m/>
    <m/>
    <m/>
    <x v="0"/>
    <m/>
    <m/>
    <m/>
  </r>
  <r>
    <x v="30"/>
    <n v="25320"/>
    <x v="0"/>
    <n v="10329.280119910531"/>
    <m/>
    <n v="662.80805369127324"/>
    <m/>
    <m/>
    <m/>
    <m/>
    <m/>
    <x v="0"/>
    <m/>
    <m/>
    <m/>
  </r>
  <r>
    <x v="30"/>
    <n v="25320"/>
    <x v="0"/>
    <n v="9081.9204392292613"/>
    <m/>
    <n v="791.95323663129693"/>
    <m/>
    <m/>
    <m/>
    <m/>
    <m/>
    <x v="0"/>
    <m/>
    <m/>
    <m/>
  </r>
  <r>
    <x v="30"/>
    <n v="25320"/>
    <x v="0"/>
    <n v="7892.8507741936073"/>
    <m/>
    <n v="840.03870967742944"/>
    <m/>
    <m/>
    <m/>
    <m/>
    <m/>
    <x v="0"/>
    <m/>
    <m/>
    <m/>
  </r>
  <r>
    <x v="31"/>
    <n v="130000"/>
    <x v="4"/>
    <n v="49745.400012016296"/>
    <m/>
    <n v="4265.6994552612296"/>
    <m/>
    <m/>
    <m/>
    <m/>
    <m/>
    <x v="0"/>
    <m/>
    <m/>
    <m/>
  </r>
  <r>
    <x v="31"/>
    <n v="130000"/>
    <x v="4"/>
    <n v="67316.0999584198"/>
    <m/>
    <n v="6382.6745300292969"/>
    <m/>
    <m/>
    <m/>
    <m/>
    <m/>
    <x v="0"/>
    <m/>
    <m/>
    <m/>
  </r>
  <r>
    <x v="31"/>
    <n v="130000"/>
    <x v="4"/>
    <n v="68645.099959373474"/>
    <m/>
    <n v="5266.6689529418954"/>
    <m/>
    <m/>
    <m/>
    <m/>
    <m/>
    <x v="0"/>
    <m/>
    <m/>
    <m/>
  </r>
  <r>
    <x v="31"/>
    <n v="130000"/>
    <x v="4"/>
    <n v="63880.499975204468"/>
    <m/>
    <n v="3307.636596679688"/>
    <m/>
    <m/>
    <m/>
    <m/>
    <m/>
    <x v="0"/>
    <m/>
    <m/>
    <m/>
  </r>
  <r>
    <x v="31"/>
    <n v="130000"/>
    <x v="4"/>
    <n v="59289.599984169014"/>
    <m/>
    <n v="2967.1136226654048"/>
    <m/>
    <m/>
    <m/>
    <m/>
    <m/>
    <x v="0"/>
    <m/>
    <m/>
    <m/>
  </r>
  <r>
    <x v="31"/>
    <n v="130000"/>
    <x v="4"/>
    <n v="39449.249979972839"/>
    <m/>
    <n v="1402.440955638885"/>
    <m/>
    <m/>
    <m/>
    <m/>
    <m/>
    <x v="0"/>
    <m/>
    <m/>
    <m/>
  </r>
  <r>
    <x v="31"/>
    <n v="130000"/>
    <x v="4"/>
    <n v="42106.499981880188"/>
    <m/>
    <n v="1506.715084075928"/>
    <m/>
    <m/>
    <m/>
    <m/>
    <m/>
    <x v="0"/>
    <m/>
    <m/>
    <m/>
  </r>
  <r>
    <x v="31"/>
    <n v="130000"/>
    <x v="4"/>
    <n v="59153.700042724609"/>
    <m/>
    <n v="1522.900796890259"/>
    <m/>
    <m/>
    <m/>
    <m/>
    <m/>
    <x v="0"/>
    <m/>
    <m/>
    <m/>
  </r>
  <r>
    <x v="31"/>
    <n v="130000"/>
    <x v="4"/>
    <n v="74686.799945831299"/>
    <m/>
    <n v="2198.041633605957"/>
    <m/>
    <m/>
    <m/>
    <m/>
    <m/>
    <x v="0"/>
    <m/>
    <m/>
    <m/>
  </r>
  <r>
    <x v="31"/>
    <n v="130000"/>
    <x v="4"/>
    <n v="70525.350023269653"/>
    <m/>
    <n v="3221.429695129395"/>
    <m/>
    <m/>
    <m/>
    <m/>
    <m/>
    <x v="0"/>
    <m/>
    <m/>
    <m/>
  </r>
  <r>
    <x v="31"/>
    <n v="130000"/>
    <x v="4"/>
    <n v="63027.750016212463"/>
    <m/>
    <n v="4157.9168548583984"/>
    <m/>
    <m/>
    <m/>
    <m/>
    <m/>
    <x v="0"/>
    <m/>
    <m/>
    <m/>
  </r>
  <r>
    <x v="31"/>
    <n v="130000"/>
    <x v="4"/>
    <n v="54628.949951171882"/>
    <m/>
    <n v="4941.0768280029297"/>
    <m/>
    <m/>
    <m/>
    <m/>
    <m/>
    <x v="0"/>
    <m/>
    <m/>
    <m/>
  </r>
  <r>
    <x v="32"/>
    <n v="15358"/>
    <x v="10"/>
    <n v="6278.1876181811094"/>
    <m/>
    <n v="1599.9161290322754"/>
    <m/>
    <m/>
    <m/>
    <n v="27.031270733079463"/>
    <n v="43.335825817373973"/>
    <x v="11"/>
    <n v="0"/>
    <m/>
    <n v="70.367096550453439"/>
  </r>
  <r>
    <x v="32"/>
    <n v="15358"/>
    <x v="10"/>
    <n v="9043.4400380253792"/>
    <m/>
    <n v="1722.8000000000181"/>
    <m/>
    <m/>
    <m/>
    <m/>
    <m/>
    <x v="0"/>
    <m/>
    <m/>
    <m/>
  </r>
  <r>
    <x v="32"/>
    <n v="15358"/>
    <x v="10"/>
    <n v="10192.07999563217"/>
    <m/>
    <n v="1344.4172661870477"/>
    <m/>
    <m/>
    <m/>
    <m/>
    <m/>
    <x v="0"/>
    <m/>
    <m/>
    <m/>
  </r>
  <r>
    <x v="32"/>
    <n v="15358"/>
    <x v="10"/>
    <n v="10455.17999315262"/>
    <m/>
    <n v="690.88273381295016"/>
    <m/>
    <m/>
    <m/>
    <m/>
    <m/>
    <x v="0"/>
    <m/>
    <m/>
    <m/>
  </r>
  <r>
    <x v="32"/>
    <n v="15358"/>
    <x v="10"/>
    <n v="9990.6000347137451"/>
    <m/>
    <n v="296.26666666666665"/>
    <m/>
    <m/>
    <m/>
    <m/>
    <m/>
    <x v="0"/>
    <m/>
    <m/>
    <m/>
  </r>
  <r>
    <x v="32"/>
    <n v="15358"/>
    <x v="10"/>
    <n v="11448.9600174427"/>
    <m/>
    <n v="104.26363636363881"/>
    <m/>
    <m/>
    <m/>
    <m/>
    <m/>
    <x v="0"/>
    <m/>
    <m/>
    <m/>
  </r>
  <r>
    <x v="32"/>
    <n v="15358"/>
    <x v="10"/>
    <n v="14388.36001491547"/>
    <m/>
    <n v="71.142110762801252"/>
    <m/>
    <m/>
    <m/>
    <m/>
    <m/>
    <x v="0"/>
    <m/>
    <m/>
    <m/>
  </r>
  <r>
    <x v="32"/>
    <n v="15358"/>
    <x v="10"/>
    <n v="15583.68000531197"/>
    <m/>
    <n v="67.427586206896976"/>
    <m/>
    <m/>
    <m/>
    <m/>
    <m/>
    <x v="0"/>
    <m/>
    <m/>
    <m/>
  </r>
  <r>
    <x v="32"/>
    <n v="15358"/>
    <x v="10"/>
    <n v="12240.240015268329"/>
    <m/>
    <n v="151.96249999999992"/>
    <m/>
    <m/>
    <m/>
    <m/>
    <m/>
    <x v="0"/>
    <m/>
    <m/>
    <m/>
  </r>
  <r>
    <x v="32"/>
    <n v="15358"/>
    <x v="10"/>
    <n v="11220.90002083778"/>
    <m/>
    <n v="295.84782998565299"/>
    <m/>
    <m/>
    <m/>
    <m/>
    <m/>
    <x v="0"/>
    <m/>
    <m/>
    <m/>
  </r>
  <r>
    <x v="32"/>
    <n v="15358"/>
    <x v="10"/>
    <n v="6088.9200835824013"/>
    <m/>
    <n v="165.13805711112022"/>
    <m/>
    <m/>
    <m/>
    <m/>
    <m/>
    <x v="0"/>
    <m/>
    <m/>
    <m/>
  </r>
  <r>
    <x v="32"/>
    <n v="15358"/>
    <x v="10"/>
    <n v="4741.8601109534502"/>
    <m/>
    <n v="145.45161290322559"/>
    <m/>
    <m/>
    <m/>
    <m/>
    <m/>
    <x v="0"/>
    <m/>
    <m/>
    <m/>
  </r>
  <r>
    <x v="33"/>
    <n v="107302"/>
    <x v="2"/>
    <n v="99102.586206895678"/>
    <m/>
    <m/>
    <n v="2243.770541487082"/>
    <n v="24.298035762392718"/>
    <m/>
    <n v="36.465996024112194"/>
    <n v="0"/>
    <x v="16"/>
    <n v="8.4124794778511127"/>
    <m/>
    <n v="62.786783068277202"/>
  </r>
  <r>
    <x v="33"/>
    <n v="107302"/>
    <x v="2"/>
    <n v="94912.999999999447"/>
    <m/>
    <m/>
    <n v="2246.1425781250382"/>
    <n v="43.536669921874847"/>
    <m/>
    <m/>
    <m/>
    <x v="0"/>
    <m/>
    <m/>
    <m/>
  </r>
  <r>
    <x v="33"/>
    <n v="107302"/>
    <x v="2"/>
    <n v="101673.58533501789"/>
    <m/>
    <m/>
    <n v="3244.68088258534"/>
    <n v="1326.2892979243991"/>
    <m/>
    <m/>
    <m/>
    <x v="0"/>
    <m/>
    <m/>
    <m/>
  </r>
  <r>
    <x v="33"/>
    <n v="107302"/>
    <x v="2"/>
    <n v="97246.414664981043"/>
    <m/>
    <m/>
    <n v="2151.3640392896814"/>
    <n v="5109.3256630131327"/>
    <m/>
    <m/>
    <m/>
    <x v="0"/>
    <m/>
    <m/>
    <m/>
  </r>
  <r>
    <x v="33"/>
    <n v="107302"/>
    <x v="2"/>
    <n v="94933.999999999069"/>
    <m/>
    <m/>
    <n v="1720.4980468750016"/>
    <n v="5744.8873828124724"/>
    <m/>
    <m/>
    <m/>
    <x v="0"/>
    <m/>
    <m/>
    <m/>
  </r>
  <r>
    <x v="33"/>
    <n v="107302"/>
    <x v="2"/>
    <n v="85041.428571427081"/>
    <m/>
    <m/>
    <n v="790.82310267858077"/>
    <n v="8364.0627455357171"/>
    <m/>
    <m/>
    <m/>
    <x v="0"/>
    <m/>
    <m/>
    <m/>
  </r>
  <r>
    <x v="33"/>
    <n v="107302"/>
    <x v="2"/>
    <n v="91992.571428572337"/>
    <m/>
    <m/>
    <n v="465.06556919642026"/>
    <n v="11513.80421735498"/>
    <m/>
    <m/>
    <m/>
    <x v="0"/>
    <m/>
    <m/>
    <m/>
  </r>
  <r>
    <x v="33"/>
    <n v="107302"/>
    <x v="2"/>
    <n v="101298.2571428568"/>
    <m/>
    <m/>
    <n v="339.7198660714256"/>
    <n v="15554.08623800201"/>
    <m/>
    <m/>
    <m/>
    <x v="0"/>
    <m/>
    <m/>
    <m/>
  </r>
  <r>
    <x v="33"/>
    <n v="107302"/>
    <x v="2"/>
    <n v="98493.742857142119"/>
    <m/>
    <m/>
    <n v="719.77859933035029"/>
    <n v="12823.70810630592"/>
    <m/>
    <m/>
    <m/>
    <x v="0"/>
    <m/>
    <m/>
    <m/>
  </r>
  <r>
    <x v="33"/>
    <n v="107302"/>
    <x v="2"/>
    <n v="103233.9999999986"/>
    <m/>
    <m/>
    <n v="971.03864397321695"/>
    <n v="10158.343184988789"/>
    <m/>
    <m/>
    <m/>
    <x v="0"/>
    <m/>
    <m/>
    <m/>
  </r>
  <r>
    <x v="33"/>
    <n v="107302"/>
    <x v="2"/>
    <n v="93899.112232030369"/>
    <m/>
    <m/>
    <n v="1922.9075824598096"/>
    <n v="3231.8863090740019"/>
    <m/>
    <m/>
    <m/>
    <x v="0"/>
    <m/>
    <m/>
    <m/>
  </r>
  <r>
    <x v="33"/>
    <n v="107302"/>
    <x v="2"/>
    <n v="84969.163630038151"/>
    <m/>
    <m/>
    <n v="2400.1827327341839"/>
    <n v="1328.761560335987"/>
    <m/>
    <m/>
    <m/>
    <x v="0"/>
    <m/>
    <m/>
    <m/>
  </r>
  <r>
    <x v="34"/>
    <m/>
    <x v="2"/>
    <n v="23199.088068181925"/>
    <m/>
    <m/>
    <m/>
    <m/>
    <m/>
    <m/>
    <m/>
    <x v="0"/>
    <m/>
    <m/>
    <n v="0"/>
  </r>
  <r>
    <x v="34"/>
    <m/>
    <x v="2"/>
    <n v="25904.8125"/>
    <m/>
    <m/>
    <m/>
    <m/>
    <m/>
    <m/>
    <m/>
    <x v="0"/>
    <m/>
    <m/>
    <m/>
  </r>
  <r>
    <x v="34"/>
    <m/>
    <x v="2"/>
    <n v="27293.919484829643"/>
    <m/>
    <m/>
    <m/>
    <m/>
    <m/>
    <m/>
    <m/>
    <x v="0"/>
    <m/>
    <m/>
    <m/>
  </r>
  <r>
    <x v="34"/>
    <m/>
    <x v="2"/>
    <n v="29053.768015170368"/>
    <m/>
    <m/>
    <m/>
    <m/>
    <m/>
    <m/>
    <m/>
    <x v="0"/>
    <m/>
    <m/>
    <m/>
  </r>
  <r>
    <x v="34"/>
    <m/>
    <x v="2"/>
    <n v="26800.500000000215"/>
    <m/>
    <m/>
    <m/>
    <m/>
    <m/>
    <m/>
    <m/>
    <x v="0"/>
    <m/>
    <m/>
    <m/>
  </r>
  <r>
    <x v="34"/>
    <m/>
    <x v="2"/>
    <n v="19164.910714285477"/>
    <m/>
    <m/>
    <m/>
    <m/>
    <m/>
    <m/>
    <m/>
    <x v="0"/>
    <m/>
    <m/>
    <m/>
  </r>
  <r>
    <x v="34"/>
    <m/>
    <x v="2"/>
    <n v="20535.339285714253"/>
    <m/>
    <m/>
    <m/>
    <m/>
    <m/>
    <m/>
    <m/>
    <x v="0"/>
    <m/>
    <m/>
    <m/>
  </r>
  <r>
    <x v="34"/>
    <m/>
    <x v="2"/>
    <n v="172.5743386404848"/>
    <m/>
    <m/>
    <m/>
    <m/>
    <m/>
    <m/>
    <m/>
    <x v="0"/>
    <m/>
    <m/>
    <m/>
  </r>
  <r>
    <x v="34"/>
    <m/>
    <x v="2"/>
    <n v="232.47302791050902"/>
    <m/>
    <m/>
    <m/>
    <m/>
    <m/>
    <m/>
    <m/>
    <x v="0"/>
    <m/>
    <m/>
    <m/>
  </r>
  <r>
    <x v="34"/>
    <m/>
    <x v="2"/>
    <n v="252.99663979666286"/>
    <m/>
    <m/>
    <m/>
    <m/>
    <m/>
    <m/>
    <m/>
    <x v="0"/>
    <m/>
    <m/>
    <m/>
  </r>
  <r>
    <x v="34"/>
    <m/>
    <x v="2"/>
    <n v="233.85494783457156"/>
    <m/>
    <m/>
    <m/>
    <m/>
    <m/>
    <m/>
    <m/>
    <x v="0"/>
    <m/>
    <m/>
    <m/>
  </r>
  <r>
    <x v="34"/>
    <m/>
    <x v="2"/>
    <n v="194.32003364441994"/>
    <m/>
    <m/>
    <m/>
    <m/>
    <m/>
    <m/>
    <m/>
    <x v="0"/>
    <m/>
    <m/>
    <m/>
  </r>
  <r>
    <x v="35"/>
    <n v="6451"/>
    <x v="3"/>
    <n v="6799.4327225806783"/>
    <m/>
    <m/>
    <m/>
    <m/>
    <m/>
    <n v="39.724114778525333"/>
    <n v="0"/>
    <x v="11"/>
    <n v="0"/>
    <m/>
    <n v="39.724114778525333"/>
  </r>
  <r>
    <x v="35"/>
    <n v="6451"/>
    <x v="3"/>
    <n v="7317.3944774193578"/>
    <m/>
    <m/>
    <m/>
    <m/>
    <m/>
    <m/>
    <m/>
    <x v="0"/>
    <m/>
    <m/>
    <m/>
  </r>
  <r>
    <x v="35"/>
    <n v="6451"/>
    <x v="3"/>
    <n v="7572.5787280576506"/>
    <m/>
    <m/>
    <m/>
    <m/>
    <m/>
    <m/>
    <m/>
    <x v="0"/>
    <m/>
    <m/>
    <m/>
  </r>
  <r>
    <x v="35"/>
    <n v="6451"/>
    <x v="3"/>
    <n v="6446.9296719424992"/>
    <m/>
    <m/>
    <m/>
    <m/>
    <m/>
    <m/>
    <m/>
    <x v="0"/>
    <m/>
    <m/>
    <m/>
  </r>
  <r>
    <x v="35"/>
    <n v="6451"/>
    <x v="3"/>
    <n v="5945.5358666666461"/>
    <m/>
    <m/>
    <m/>
    <m/>
    <m/>
    <m/>
    <m/>
    <x v="0"/>
    <m/>
    <m/>
    <m/>
  </r>
  <r>
    <x v="35"/>
    <n v="6451"/>
    <x v="3"/>
    <n v="5593.1733333333623"/>
    <m/>
    <m/>
    <m/>
    <m/>
    <m/>
    <m/>
    <m/>
    <x v="0"/>
    <m/>
    <m/>
    <m/>
  </r>
  <r>
    <x v="35"/>
    <n v="6451"/>
    <x v="3"/>
    <n v="6015.1655000000192"/>
    <m/>
    <m/>
    <m/>
    <m/>
    <m/>
    <m/>
    <m/>
    <x v="0"/>
    <m/>
    <m/>
    <m/>
  </r>
  <r>
    <x v="35"/>
    <n v="6451"/>
    <x v="3"/>
    <n v="6428.5878333332976"/>
    <m/>
    <m/>
    <m/>
    <m/>
    <m/>
    <m/>
    <m/>
    <x v="0"/>
    <m/>
    <m/>
    <m/>
  </r>
  <r>
    <x v="35"/>
    <n v="6451"/>
    <x v="3"/>
    <n v="5866.7433333333192"/>
    <m/>
    <m/>
    <m/>
    <m/>
    <m/>
    <m/>
    <m/>
    <x v="0"/>
    <m/>
    <m/>
    <m/>
  </r>
  <r>
    <x v="35"/>
    <n v="6451"/>
    <x v="3"/>
    <n v="5715.5019319909679"/>
    <m/>
    <m/>
    <m/>
    <m/>
    <m/>
    <m/>
    <m/>
    <x v="0"/>
    <m/>
    <m/>
    <m/>
  </r>
  <r>
    <x v="35"/>
    <n v="6451"/>
    <x v="3"/>
    <n v="5548.9721110196242"/>
    <m/>
    <m/>
    <m/>
    <m/>
    <m/>
    <m/>
    <m/>
    <x v="0"/>
    <m/>
    <m/>
    <m/>
  </r>
  <r>
    <x v="35"/>
    <n v="6451"/>
    <x v="3"/>
    <n v="5855.5719569893281"/>
    <m/>
    <m/>
    <m/>
    <m/>
    <m/>
    <m/>
    <m/>
    <x v="0"/>
    <m/>
    <m/>
    <m/>
  </r>
  <r>
    <x v="36"/>
    <n v="56704"/>
    <x v="9"/>
    <n v="69646.445161290234"/>
    <n v="14562.71635483878"/>
    <n v="4720.193548387073"/>
    <m/>
    <m/>
    <m/>
    <n v="50.282515332592965"/>
    <n v="68.925831027452361"/>
    <x v="11"/>
    <n v="0"/>
    <m/>
    <n v="119.20834636004533"/>
  </r>
  <r>
    <x v="36"/>
    <n v="56704"/>
    <x v="9"/>
    <n v="66994.000000001019"/>
    <n v="13477.803845161498"/>
    <n v="4739.2763440860681"/>
    <m/>
    <m/>
    <m/>
    <m/>
    <m/>
    <x v="0"/>
    <m/>
    <m/>
    <m/>
  </r>
  <r>
    <x v="36"/>
    <n v="56704"/>
    <x v="9"/>
    <n v="73143.622611036044"/>
    <n v="14108.208089208676"/>
    <n v="4919.2248610649885"/>
    <m/>
    <m/>
    <m/>
    <m/>
    <m/>
    <x v="0"/>
    <m/>
    <m/>
    <m/>
  </r>
  <r>
    <x v="36"/>
    <n v="56704"/>
    <x v="9"/>
    <n v="69803.577388964084"/>
    <n v="12865.0100857916"/>
    <n v="4257.1147222683867"/>
    <m/>
    <m/>
    <m/>
    <m/>
    <m/>
    <x v="0"/>
    <m/>
    <m/>
    <m/>
  </r>
  <r>
    <x v="36"/>
    <n v="56704"/>
    <x v="9"/>
    <n v="69574.580645162292"/>
    <n v="12786.115958333348"/>
    <n v="3241.2421370967804"/>
    <m/>
    <m/>
    <m/>
    <m/>
    <m/>
    <x v="0"/>
    <m/>
    <m/>
    <m/>
  </r>
  <r>
    <x v="36"/>
    <n v="56704"/>
    <x v="9"/>
    <n v="67851.919354838639"/>
    <n v="12016.582505376144"/>
    <n v="2128.1096774193129"/>
    <m/>
    <m/>
    <m/>
    <m/>
    <m/>
    <x v="0"/>
    <m/>
    <m/>
    <m/>
  </r>
  <r>
    <x v="36"/>
    <n v="56704"/>
    <x v="9"/>
    <n v="69741.465517240547"/>
    <n v="12515.780689516016"/>
    <n v="1871.4115684093354"/>
    <m/>
    <m/>
    <m/>
    <m/>
    <m/>
    <x v="0"/>
    <m/>
    <m/>
    <m/>
  </r>
  <r>
    <x v="36"/>
    <n v="56704"/>
    <x v="9"/>
    <n v="70459.834482757738"/>
    <n v="12295.61113844076"/>
    <n v="1693.7803670745504"/>
    <m/>
    <m/>
    <m/>
    <m/>
    <m/>
    <x v="0"/>
    <m/>
    <m/>
    <m/>
  </r>
  <r>
    <x v="36"/>
    <n v="56704"/>
    <x v="9"/>
    <n v="69127.762500000463"/>
    <n v="11529.364499999905"/>
    <n v="1199.9346153846191"/>
    <m/>
    <m/>
    <m/>
    <m/>
    <m/>
    <x v="0"/>
    <m/>
    <m/>
    <m/>
  </r>
  <r>
    <x v="36"/>
    <n v="56704"/>
    <x v="9"/>
    <n v="71846.355720946085"/>
    <n v="11818.204943400358"/>
    <n v="2005.4735193064496"/>
    <m/>
    <m/>
    <m/>
    <m/>
    <m/>
    <x v="0"/>
    <m/>
    <m/>
    <m/>
  </r>
  <r>
    <x v="36"/>
    <n v="56704"/>
    <x v="9"/>
    <n v="70198.436617761676"/>
    <n v="11917.737277029702"/>
    <n v="3940.012833050871"/>
    <m/>
    <m/>
    <m/>
    <m/>
    <m/>
    <x v="0"/>
    <m/>
    <m/>
    <m/>
  </r>
  <r>
    <x v="36"/>
    <n v="56704"/>
    <x v="9"/>
    <n v="67256.709677419567"/>
    <n v="12177.764946236655"/>
    <n v="4367.9290322581473"/>
    <m/>
    <m/>
    <m/>
    <m/>
    <m/>
    <x v="0"/>
    <m/>
    <m/>
    <m/>
  </r>
  <r>
    <x v="37"/>
    <n v="64072"/>
    <x v="2"/>
    <n v="15674.10344827597"/>
    <m/>
    <m/>
    <n v="6544.5800781250764"/>
    <n v="0"/>
    <m/>
    <n v="7.7122522969848477"/>
    <n v="0"/>
    <x v="17"/>
    <n v="1.2192826039455707E-4"/>
    <m/>
    <n v="88.492921343775208"/>
  </r>
  <r>
    <x v="37"/>
    <n v="64072"/>
    <x v="2"/>
    <n v="14051.99999999992"/>
    <m/>
    <m/>
    <n v="5881.35742187504"/>
    <n v="0"/>
    <m/>
    <m/>
    <m/>
    <x v="0"/>
    <m/>
    <m/>
    <m/>
  </r>
  <r>
    <x v="37"/>
    <n v="64072"/>
    <x v="2"/>
    <n v="13510.201011377931"/>
    <m/>
    <m/>
    <n v="6260.1004587745756"/>
    <n v="0"/>
    <m/>
    <m/>
    <m/>
    <x v="0"/>
    <m/>
    <m/>
    <m/>
  </r>
  <r>
    <x v="37"/>
    <n v="64072"/>
    <x v="2"/>
    <n v="9574.798988621902"/>
    <m/>
    <m/>
    <n v="5573.4151662254999"/>
    <n v="0"/>
    <m/>
    <m/>
    <m/>
    <x v="0"/>
    <m/>
    <m/>
    <m/>
  </r>
  <r>
    <x v="37"/>
    <n v="64072"/>
    <x v="2"/>
    <n v="9148.4999999998945"/>
    <m/>
    <m/>
    <n v="3726.2011718749695"/>
    <n v="0"/>
    <m/>
    <m/>
    <m/>
    <x v="0"/>
    <m/>
    <m/>
    <m/>
  </r>
  <r>
    <x v="37"/>
    <n v="64072"/>
    <x v="2"/>
    <n v="6513.1097560976423"/>
    <m/>
    <m/>
    <n v="2906.5072408536689"/>
    <n v="0"/>
    <m/>
    <m/>
    <m/>
    <x v="0"/>
    <m/>
    <m/>
    <m/>
  </r>
  <r>
    <x v="37"/>
    <n v="64072"/>
    <x v="2"/>
    <n v="7158.8902439023341"/>
    <m/>
    <m/>
    <n v="2558.1704935213293"/>
    <n v="0"/>
    <m/>
    <m/>
    <m/>
    <x v="0"/>
    <m/>
    <m/>
    <m/>
  </r>
  <r>
    <x v="37"/>
    <n v="64072"/>
    <x v="2"/>
    <n v="9543.3500000000713"/>
    <m/>
    <m/>
    <n v="2110.6467633928705"/>
    <n v="0.57661383928571952"/>
    <m/>
    <m/>
    <m/>
    <x v="0"/>
    <m/>
    <m/>
    <m/>
  </r>
  <r>
    <x v="37"/>
    <n v="64072"/>
    <x v="2"/>
    <n v="11769.06071428569"/>
    <m/>
    <m/>
    <n v="2042.7663225446208"/>
    <n v="7.4401785714285615E-2"/>
    <m/>
    <m/>
    <m/>
    <x v="0"/>
    <m/>
    <m/>
    <m/>
  </r>
  <r>
    <x v="37"/>
    <n v="64072"/>
    <x v="2"/>
    <n v="14087.33928571409"/>
    <m/>
    <m/>
    <n v="2289.3603515624686"/>
    <n v="0"/>
    <m/>
    <m/>
    <m/>
    <x v="0"/>
    <m/>
    <m/>
    <m/>
  </r>
  <r>
    <x v="37"/>
    <n v="64072"/>
    <x v="2"/>
    <n v="17368.78089533417"/>
    <m/>
    <m/>
    <n v="5600.2799889659564"/>
    <n v="0"/>
    <m/>
    <m/>
    <m/>
    <x v="0"/>
    <m/>
    <m/>
    <m/>
  </r>
  <r>
    <x v="37"/>
    <n v="64072"/>
    <x v="2"/>
    <n v="16423.848415010882"/>
    <m/>
    <m/>
    <n v="6264.3266920684327"/>
    <n v="0"/>
    <m/>
    <m/>
    <m/>
    <x v="0"/>
    <m/>
    <m/>
    <m/>
  </r>
  <r>
    <x v="38"/>
    <m/>
    <x v="3"/>
    <m/>
    <n v="0"/>
    <m/>
    <m/>
    <m/>
    <m/>
    <m/>
    <m/>
    <x v="0"/>
    <m/>
    <m/>
    <m/>
  </r>
  <r>
    <x v="38"/>
    <m/>
    <x v="3"/>
    <m/>
    <n v="0"/>
    <m/>
    <m/>
    <m/>
    <m/>
    <m/>
    <m/>
    <x v="0"/>
    <m/>
    <m/>
    <m/>
  </r>
  <r>
    <x v="38"/>
    <m/>
    <x v="3"/>
    <m/>
    <n v="0"/>
    <m/>
    <m/>
    <m/>
    <m/>
    <m/>
    <m/>
    <x v="0"/>
    <m/>
    <m/>
    <m/>
  </r>
  <r>
    <x v="38"/>
    <m/>
    <x v="3"/>
    <m/>
    <n v="0"/>
    <m/>
    <m/>
    <m/>
    <m/>
    <m/>
    <m/>
    <x v="0"/>
    <m/>
    <m/>
    <m/>
  </r>
  <r>
    <x v="38"/>
    <m/>
    <x v="3"/>
    <m/>
    <n v="0"/>
    <m/>
    <m/>
    <m/>
    <m/>
    <m/>
    <m/>
    <x v="0"/>
    <m/>
    <m/>
    <m/>
  </r>
  <r>
    <x v="38"/>
    <m/>
    <x v="3"/>
    <m/>
    <n v="0"/>
    <m/>
    <m/>
    <m/>
    <m/>
    <m/>
    <m/>
    <x v="0"/>
    <m/>
    <m/>
    <m/>
  </r>
  <r>
    <x v="38"/>
    <m/>
    <x v="3"/>
    <m/>
    <n v="0"/>
    <m/>
    <m/>
    <m/>
    <m/>
    <m/>
    <m/>
    <x v="0"/>
    <m/>
    <m/>
    <m/>
  </r>
  <r>
    <x v="38"/>
    <m/>
    <x v="3"/>
    <m/>
    <n v="0"/>
    <m/>
    <m/>
    <m/>
    <m/>
    <m/>
    <m/>
    <x v="0"/>
    <m/>
    <m/>
    <m/>
  </r>
  <r>
    <x v="38"/>
    <m/>
    <x v="3"/>
    <m/>
    <n v="0"/>
    <m/>
    <m/>
    <m/>
    <m/>
    <m/>
    <m/>
    <x v="0"/>
    <m/>
    <m/>
    <m/>
  </r>
  <r>
    <x v="38"/>
    <m/>
    <x v="3"/>
    <m/>
    <n v="0"/>
    <m/>
    <m/>
    <m/>
    <m/>
    <m/>
    <m/>
    <x v="0"/>
    <m/>
    <m/>
    <m/>
  </r>
  <r>
    <x v="38"/>
    <m/>
    <x v="3"/>
    <m/>
    <n v="0"/>
    <m/>
    <m/>
    <m/>
    <m/>
    <m/>
    <m/>
    <x v="0"/>
    <m/>
    <m/>
    <m/>
  </r>
  <r>
    <x v="38"/>
    <m/>
    <x v="3"/>
    <m/>
    <n v="0"/>
    <m/>
    <m/>
    <m/>
    <m/>
    <m/>
    <m/>
    <x v="0"/>
    <m/>
    <m/>
    <m/>
  </r>
  <r>
    <x v="39"/>
    <n v="123650"/>
    <x v="5"/>
    <m/>
    <n v="6418.8333333332776"/>
    <m/>
    <m/>
    <m/>
    <m/>
    <m/>
    <m/>
    <x v="0"/>
    <m/>
    <m/>
    <m/>
  </r>
  <r>
    <x v="39"/>
    <n v="123650"/>
    <x v="5"/>
    <m/>
    <n v="5902.8333333332803"/>
    <m/>
    <m/>
    <m/>
    <m/>
    <m/>
    <m/>
    <x v="0"/>
    <m/>
    <m/>
    <m/>
  </r>
  <r>
    <x v="39"/>
    <n v="123650"/>
    <x v="5"/>
    <m/>
    <n v="4736.9868105515416"/>
    <m/>
    <m/>
    <m/>
    <m/>
    <m/>
    <m/>
    <x v="0"/>
    <m/>
    <m/>
    <m/>
  </r>
  <r>
    <x v="39"/>
    <n v="123650"/>
    <x v="5"/>
    <m/>
    <n v="-350.94514388489142"/>
    <m/>
    <m/>
    <m/>
    <m/>
    <m/>
    <m/>
    <x v="0"/>
    <m/>
    <m/>
    <m/>
  </r>
  <r>
    <x v="39"/>
    <n v="123650"/>
    <x v="5"/>
    <m/>
    <n v="19747.824999999979"/>
    <m/>
    <m/>
    <m/>
    <m/>
    <m/>
    <m/>
    <x v="0"/>
    <m/>
    <m/>
    <m/>
  </r>
  <r>
    <x v="39"/>
    <n v="123650"/>
    <x v="5"/>
    <m/>
    <n v="1398.3000000000141"/>
    <m/>
    <m/>
    <m/>
    <m/>
    <m/>
    <m/>
    <x v="0"/>
    <m/>
    <m/>
    <m/>
  </r>
  <r>
    <x v="39"/>
    <n v="123650"/>
    <x v="5"/>
    <m/>
    <n v="-4273.8965517240622"/>
    <m/>
    <m/>
    <m/>
    <m/>
    <m/>
    <m/>
    <x v="0"/>
    <m/>
    <m/>
    <m/>
  </r>
  <r>
    <x v="39"/>
    <n v="123650"/>
    <x v="5"/>
    <m/>
    <n v="5085.6965517241551"/>
    <m/>
    <m/>
    <m/>
    <m/>
    <m/>
    <m/>
    <x v="0"/>
    <m/>
    <m/>
    <m/>
  </r>
  <r>
    <x v="39"/>
    <n v="123650"/>
    <x v="5"/>
    <m/>
    <n v="7363.449999999928"/>
    <m/>
    <m/>
    <m/>
    <m/>
    <m/>
    <m/>
    <x v="0"/>
    <m/>
    <m/>
    <m/>
  </r>
  <r>
    <x v="39"/>
    <n v="123650"/>
    <x v="5"/>
    <m/>
    <n v="7900.9479913917967"/>
    <m/>
    <m/>
    <m/>
    <m/>
    <m/>
    <m/>
    <x v="0"/>
    <m/>
    <m/>
    <m/>
  </r>
  <r>
    <x v="39"/>
    <n v="123650"/>
    <x v="5"/>
    <m/>
    <n v="8262.5439440923055"/>
    <m/>
    <m/>
    <m/>
    <m/>
    <m/>
    <m/>
    <x v="0"/>
    <m/>
    <m/>
    <m/>
  </r>
  <r>
    <x v="39"/>
    <n v="123650"/>
    <x v="5"/>
    <m/>
    <n v="7835.258064516046"/>
    <m/>
    <m/>
    <m/>
    <m/>
    <m/>
    <m/>
    <x v="0"/>
    <m/>
    <m/>
    <m/>
  </r>
  <r>
    <x v="40"/>
    <n v="110140"/>
    <x v="10"/>
    <n v="181396.96969697191"/>
    <m/>
    <m/>
    <n v="15316.19030303054"/>
    <n v="34.497330603448283"/>
    <m/>
    <n v="63.124779671507397"/>
    <n v="0"/>
    <x v="18"/>
    <n v="6.45778581488307E-2"/>
    <m/>
    <n v="129.75455852111821"/>
  </r>
  <r>
    <x v="40"/>
    <n v="110140"/>
    <x v="10"/>
    <n v="167200.0000000014"/>
    <m/>
    <m/>
    <n v="14262.960000000099"/>
    <n v="37.022387500000001"/>
    <m/>
    <m/>
    <m/>
    <x v="0"/>
    <m/>
    <m/>
    <m/>
  </r>
  <r>
    <x v="40"/>
    <n v="110140"/>
    <x v="10"/>
    <n v="168325.66371681131"/>
    <m/>
    <m/>
    <n v="14067.93945638424"/>
    <n v="22.59420353982301"/>
    <m/>
    <m/>
    <m/>
    <x v="0"/>
    <m/>
    <m/>
    <m/>
  </r>
  <r>
    <x v="40"/>
    <n v="110140"/>
    <x v="10"/>
    <n v="148174.33628318441"/>
    <m/>
    <m/>
    <n v="7323.0605436157084"/>
    <n v="29.397834374999999"/>
    <m/>
    <m/>
    <m/>
    <x v="0"/>
    <m/>
    <m/>
    <m/>
  </r>
  <r>
    <x v="40"/>
    <n v="110140"/>
    <x v="10"/>
    <n v="154999.99999999991"/>
    <m/>
    <m/>
    <n v="0"/>
    <n v="33.912280913978499"/>
    <m/>
    <m/>
    <m/>
    <x v="0"/>
    <m/>
    <m/>
    <m/>
  </r>
  <r>
    <x v="40"/>
    <n v="110140"/>
    <x v="10"/>
    <n v="157285.71428571301"/>
    <m/>
    <m/>
    <n v="8.5714285714284574E-3"/>
    <n v="32.01853666666667"/>
    <m/>
    <m/>
    <m/>
    <x v="0"/>
    <m/>
    <m/>
    <m/>
  </r>
  <r>
    <x v="40"/>
    <n v="110140"/>
    <x v="10"/>
    <n v="167814.28571428411"/>
    <m/>
    <m/>
    <n v="1.142857142857154E-2"/>
    <n v="66.815143589743585"/>
    <m/>
    <m/>
    <m/>
    <x v="0"/>
    <m/>
    <m/>
    <m/>
  </r>
  <r>
    <x v="40"/>
    <n v="110140"/>
    <x v="10"/>
    <n v="161820"/>
    <m/>
    <m/>
    <n v="0"/>
    <n v="91.432459999999992"/>
    <m/>
    <m/>
    <m/>
    <x v="0"/>
    <m/>
    <m/>
    <m/>
  </r>
  <r>
    <x v="40"/>
    <n v="110140"/>
    <x v="10"/>
    <n v="183751.42857142759"/>
    <m/>
    <m/>
    <n v="0"/>
    <n v="102.18232500000001"/>
    <m/>
    <m/>
    <m/>
    <x v="0"/>
    <m/>
    <m/>
    <m/>
  </r>
  <r>
    <x v="40"/>
    <n v="110140"/>
    <x v="10"/>
    <n v="194828.57142856909"/>
    <m/>
    <m/>
    <n v="40.570000000000093"/>
    <n v="102.18232500000001"/>
    <m/>
    <m/>
    <m/>
    <x v="0"/>
    <m/>
    <m/>
    <m/>
  </r>
  <r>
    <x v="40"/>
    <n v="110140"/>
    <x v="10"/>
    <n v="174567.46532156121"/>
    <m/>
    <m/>
    <n v="9457.801601513389"/>
    <n v="14.896729129886509"/>
    <m/>
    <m/>
    <m/>
    <x v="0"/>
    <m/>
    <m/>
    <m/>
  </r>
  <r>
    <x v="40"/>
    <n v="110140"/>
    <x v="10"/>
    <n v="177515.29329912679"/>
    <m/>
    <m/>
    <n v="12846.370467452251"/>
    <n v="25.765551724137929"/>
    <m/>
    <m/>
    <m/>
    <x v="0"/>
    <m/>
    <m/>
    <m/>
  </r>
  <r>
    <x v="41"/>
    <n v="8420"/>
    <x v="2"/>
    <n v="812.72000000000207"/>
    <m/>
    <n v="49.500000000000853"/>
    <m/>
    <m/>
    <m/>
    <n v="5.8975650071259125"/>
    <n v="3.8330166270784183"/>
    <x v="11"/>
    <n v="0"/>
    <m/>
    <n v="9.7305816342043308"/>
  </r>
  <r>
    <x v="41"/>
    <n v="8420"/>
    <x v="2"/>
    <n v="1055.2599999999891"/>
    <m/>
    <n v="58.740000000000613"/>
    <m/>
    <m/>
    <m/>
    <m/>
    <m/>
    <x v="0"/>
    <m/>
    <m/>
    <m/>
  </r>
  <r>
    <x v="41"/>
    <n v="8420"/>
    <x v="2"/>
    <n v="1046.0800000000049"/>
    <m/>
    <n v="76.120000000000744"/>
    <m/>
    <m/>
    <m/>
    <m/>
    <m/>
    <x v="0"/>
    <m/>
    <m/>
    <m/>
  </r>
  <r>
    <x v="41"/>
    <n v="8420"/>
    <x v="2"/>
    <n v="1683.2399999999891"/>
    <m/>
    <n v="67.75999999999982"/>
    <m/>
    <m/>
    <m/>
    <m/>
    <m/>
    <x v="0"/>
    <m/>
    <m/>
    <m/>
  </r>
  <r>
    <x v="41"/>
    <n v="8420"/>
    <x v="2"/>
    <n v="1614.1699999999919"/>
    <m/>
    <n v="25.08000000000029"/>
    <m/>
    <m/>
    <m/>
    <m/>
    <m/>
    <x v="0"/>
    <m/>
    <m/>
    <m/>
  </r>
  <r>
    <x v="41"/>
    <n v="8420"/>
    <x v="2"/>
    <n v="1850.6900000000251"/>
    <m/>
    <n v="8.8000000000000682"/>
    <m/>
    <m/>
    <m/>
    <m/>
    <m/>
    <x v="0"/>
    <m/>
    <m/>
    <m/>
  </r>
  <r>
    <x v="41"/>
    <n v="8420"/>
    <x v="2"/>
    <n v="544.50000000000216"/>
    <m/>
    <n v="4.8400000000000052"/>
    <m/>
    <m/>
    <m/>
    <m/>
    <m/>
    <x v="0"/>
    <m/>
    <m/>
    <m/>
  </r>
  <r>
    <x v="41"/>
    <n v="8420"/>
    <x v="2"/>
    <n v="859.38000000000295"/>
    <m/>
    <n v="0"/>
    <m/>
    <m/>
    <m/>
    <m/>
    <m/>
    <x v="0"/>
    <m/>
    <m/>
    <m/>
  </r>
  <r>
    <x v="41"/>
    <n v="8420"/>
    <x v="2"/>
    <n v="1724.450000000013"/>
    <m/>
    <n v="0"/>
    <m/>
    <m/>
    <m/>
    <m/>
    <m/>
    <x v="0"/>
    <m/>
    <m/>
    <m/>
  </r>
  <r>
    <x v="41"/>
    <n v="8420"/>
    <x v="2"/>
    <n v="1184.559999999997"/>
    <m/>
    <n v="0.66000000000000147"/>
    <m/>
    <m/>
    <m/>
    <m/>
    <m/>
    <x v="0"/>
    <m/>
    <m/>
    <m/>
  </r>
  <r>
    <x v="41"/>
    <n v="8420"/>
    <x v="2"/>
    <n v="1246.000000000023"/>
    <m/>
    <n v="5.7199999999999864"/>
    <m/>
    <m/>
    <m/>
    <m/>
    <m/>
    <x v="0"/>
    <m/>
    <m/>
    <m/>
  </r>
  <r>
    <x v="41"/>
    <n v="8420"/>
    <x v="2"/>
    <n v="932.73000000001286"/>
    <m/>
    <n v="25.520000000000369"/>
    <m/>
    <m/>
    <m/>
    <m/>
    <m/>
    <x v="0"/>
    <m/>
    <m/>
    <m/>
  </r>
  <r>
    <x v="42"/>
    <n v="89180"/>
    <x v="2"/>
    <n v="26948.279347913449"/>
    <m/>
    <m/>
    <m/>
    <m/>
    <m/>
    <n v="21.851171431919209"/>
    <n v="0"/>
    <x v="11"/>
    <n v="0"/>
    <m/>
    <n v="21.851171431919209"/>
  </r>
  <r>
    <x v="42"/>
    <n v="89180"/>
    <x v="2"/>
    <n v="41999.93610382123"/>
    <m/>
    <m/>
    <m/>
    <m/>
    <m/>
    <m/>
    <m/>
    <x v="0"/>
    <m/>
    <m/>
    <m/>
  </r>
  <r>
    <x v="42"/>
    <n v="89180"/>
    <x v="2"/>
    <n v="48656.64899273849"/>
    <m/>
    <m/>
    <m/>
    <m/>
    <m/>
    <m/>
    <m/>
    <x v="0"/>
    <m/>
    <m/>
    <m/>
  </r>
  <r>
    <x v="42"/>
    <n v="89180"/>
    <x v="2"/>
    <n v="48143.439889707923"/>
    <m/>
    <m/>
    <m/>
    <m/>
    <m/>
    <m/>
    <m/>
    <x v="0"/>
    <m/>
    <m/>
    <m/>
  </r>
  <r>
    <x v="42"/>
    <n v="89180"/>
    <x v="2"/>
    <n v="51199.91302490214"/>
    <m/>
    <m/>
    <m/>
    <m/>
    <m/>
    <m/>
    <m/>
    <x v="0"/>
    <m/>
    <m/>
    <m/>
  </r>
  <r>
    <x v="42"/>
    <n v="89180"/>
    <x v="2"/>
    <n v="51804.926337265162"/>
    <m/>
    <m/>
    <m/>
    <m/>
    <m/>
    <m/>
    <m/>
    <x v="0"/>
    <m/>
    <m/>
    <m/>
  </r>
  <r>
    <x v="42"/>
    <n v="89180"/>
    <x v="2"/>
    <n v="53895.089684462677"/>
    <m/>
    <m/>
    <m/>
    <m/>
    <m/>
    <m/>
    <m/>
    <x v="0"/>
    <m/>
    <m/>
    <m/>
  </r>
  <r>
    <x v="42"/>
    <n v="89180"/>
    <x v="2"/>
    <n v="55091.490064347709"/>
    <m/>
    <m/>
    <m/>
    <m/>
    <m/>
    <m/>
    <m/>
    <x v="0"/>
    <m/>
    <m/>
    <m/>
  </r>
  <r>
    <x v="42"/>
    <n v="89180"/>
    <x v="2"/>
    <n v="54775.235009572818"/>
    <m/>
    <m/>
    <m/>
    <m/>
    <m/>
    <m/>
    <m/>
    <x v="0"/>
    <m/>
    <m/>
    <m/>
  </r>
  <r>
    <x v="42"/>
    <n v="89180"/>
    <x v="2"/>
    <n v="53633.345497979841"/>
    <m/>
    <m/>
    <m/>
    <m/>
    <m/>
    <m/>
    <m/>
    <x v="0"/>
    <m/>
    <m/>
    <m/>
  </r>
  <r>
    <x v="42"/>
    <n v="89180"/>
    <x v="2"/>
    <n v="43641.846387413148"/>
    <m/>
    <m/>
    <m/>
    <m/>
    <m/>
    <m/>
    <m/>
    <x v="0"/>
    <m/>
    <m/>
    <m/>
  </r>
  <r>
    <x v="42"/>
    <n v="89180"/>
    <x v="2"/>
    <n v="41337.4781178341"/>
    <m/>
    <m/>
    <m/>
    <m/>
    <m/>
    <m/>
    <m/>
    <x v="0"/>
    <m/>
    <m/>
    <m/>
  </r>
  <r>
    <x v="43"/>
    <m/>
    <x v="3"/>
    <n v="18.262290994520299"/>
    <m/>
    <m/>
    <m/>
    <m/>
    <m/>
    <m/>
    <m/>
    <x v="0"/>
    <m/>
    <m/>
    <n v="0"/>
  </r>
  <r>
    <x v="43"/>
    <m/>
    <x v="3"/>
    <n v="201.91087635204894"/>
    <m/>
    <m/>
    <m/>
    <m/>
    <m/>
    <m/>
    <m/>
    <x v="0"/>
    <m/>
    <m/>
    <m/>
  </r>
  <r>
    <x v="43"/>
    <m/>
    <x v="3"/>
    <n v="2567.0349371880293"/>
    <m/>
    <m/>
    <m/>
    <m/>
    <m/>
    <m/>
    <m/>
    <x v="0"/>
    <m/>
    <m/>
    <m/>
  </r>
  <r>
    <x v="43"/>
    <m/>
    <x v="3"/>
    <n v="3354.2387795029208"/>
    <m/>
    <m/>
    <m/>
    <m/>
    <m/>
    <m/>
    <m/>
    <x v="0"/>
    <m/>
    <m/>
    <m/>
  </r>
  <r>
    <x v="43"/>
    <m/>
    <x v="3"/>
    <n v="3351.2219524979591"/>
    <m/>
    <m/>
    <m/>
    <m/>
    <m/>
    <m/>
    <m/>
    <x v="0"/>
    <m/>
    <m/>
    <m/>
  </r>
  <r>
    <x v="43"/>
    <m/>
    <x v="3"/>
    <n v="3565.0656476616859"/>
    <m/>
    <m/>
    <m/>
    <m/>
    <m/>
    <m/>
    <m/>
    <x v="0"/>
    <m/>
    <m/>
    <m/>
  </r>
  <r>
    <x v="43"/>
    <m/>
    <x v="3"/>
    <n v="5046.8180966377258"/>
    <m/>
    <m/>
    <m/>
    <m/>
    <m/>
    <m/>
    <m/>
    <x v="0"/>
    <m/>
    <m/>
    <m/>
  </r>
  <r>
    <x v="43"/>
    <m/>
    <x v="3"/>
    <n v="5319.7410758882761"/>
    <m/>
    <m/>
    <m/>
    <m/>
    <m/>
    <m/>
    <m/>
    <x v="0"/>
    <m/>
    <m/>
    <m/>
  </r>
  <r>
    <x v="43"/>
    <m/>
    <x v="3"/>
    <n v="4652.906029343605"/>
    <m/>
    <m/>
    <m/>
    <m/>
    <m/>
    <m/>
    <m/>
    <x v="0"/>
    <m/>
    <m/>
    <m/>
  </r>
  <r>
    <x v="43"/>
    <m/>
    <x v="3"/>
    <n v="4807.7848851382732"/>
    <m/>
    <m/>
    <m/>
    <m/>
    <m/>
    <m/>
    <m/>
    <x v="0"/>
    <m/>
    <m/>
    <m/>
  </r>
  <r>
    <x v="43"/>
    <m/>
    <x v="3"/>
    <n v="1911.5609739366919"/>
    <m/>
    <m/>
    <m/>
    <m/>
    <m/>
    <m/>
    <m/>
    <x v="0"/>
    <m/>
    <m/>
    <m/>
  </r>
  <r>
    <x v="43"/>
    <m/>
    <x v="3"/>
    <n v="0"/>
    <m/>
    <m/>
    <m/>
    <m/>
    <m/>
    <m/>
    <m/>
    <x v="0"/>
    <m/>
    <m/>
    <m/>
  </r>
  <r>
    <x v="44"/>
    <n v="22495"/>
    <x v="10"/>
    <m/>
    <n v="3086.795698924705"/>
    <n v="796.70000000000493"/>
    <m/>
    <m/>
    <m/>
    <n v="0"/>
    <n v="17.240705819931247"/>
    <x v="11"/>
    <n v="0"/>
    <m/>
    <n v="17.240705819931247"/>
  </r>
  <r>
    <x v="44"/>
    <n v="22495"/>
    <x v="10"/>
    <m/>
    <n v="2272.5709677419418"/>
    <n v="887.72580645161054"/>
    <m/>
    <m/>
    <m/>
    <m/>
    <m/>
    <x v="0"/>
    <m/>
    <m/>
    <m/>
  </r>
  <r>
    <x v="44"/>
    <n v="22495"/>
    <x v="10"/>
    <m/>
    <n v="1530.278417266192"/>
    <n v="775.34110002320199"/>
    <m/>
    <m/>
    <m/>
    <m/>
    <m/>
    <x v="0"/>
    <m/>
    <m/>
    <m/>
  </r>
  <r>
    <x v="44"/>
    <n v="22495"/>
    <x v="10"/>
    <m/>
    <n v="-428.13466726618668"/>
    <n v="397.4330935251769"/>
    <m/>
    <m/>
    <m/>
    <m/>
    <m/>
    <x v="0"/>
    <m/>
    <m/>
    <m/>
  </r>
  <r>
    <x v="44"/>
    <n v="22495"/>
    <x v="10"/>
    <m/>
    <n v="-2094.6437500000002"/>
    <n v="156.23333333333329"/>
    <m/>
    <m/>
    <m/>
    <m/>
    <m/>
    <x v="0"/>
    <m/>
    <m/>
    <m/>
  </r>
  <r>
    <x v="44"/>
    <n v="22495"/>
    <x v="10"/>
    <m/>
    <n v="-2325.018181818205"/>
    <n v="39.584848484848223"/>
    <m/>
    <m/>
    <m/>
    <m/>
    <m/>
    <x v="0"/>
    <m/>
    <m/>
    <m/>
  </r>
  <r>
    <x v="44"/>
    <n v="22495"/>
    <x v="10"/>
    <m/>
    <n v="-1613.9059561128299"/>
    <n v="8.1818181818181923"/>
    <m/>
    <m/>
    <m/>
    <m/>
    <m/>
    <x v="0"/>
    <m/>
    <m/>
    <m/>
  </r>
  <r>
    <x v="44"/>
    <n v="22495"/>
    <x v="10"/>
    <m/>
    <n v="2218.7241379310321"/>
    <n v="0"/>
    <m/>
    <m/>
    <m/>
    <m/>
    <m/>
    <x v="0"/>
    <m/>
    <m/>
    <m/>
  </r>
  <r>
    <x v="44"/>
    <n v="22495"/>
    <x v="10"/>
    <m/>
    <n v="3322.0000000000259"/>
    <n v="0"/>
    <m/>
    <m/>
    <m/>
    <m/>
    <m/>
    <x v="0"/>
    <m/>
    <m/>
    <m/>
  </r>
  <r>
    <x v="44"/>
    <n v="22495"/>
    <x v="10"/>
    <m/>
    <n v="3581.1793400287161"/>
    <n v="42.421807747489247"/>
    <m/>
    <m/>
    <m/>
    <m/>
    <m/>
    <x v="0"/>
    <m/>
    <m/>
    <m/>
  </r>
  <r>
    <x v="44"/>
    <n v="22495"/>
    <x v="10"/>
    <m/>
    <n v="3992.0464664229421"/>
    <n v="260.6427083815409"/>
    <m/>
    <m/>
    <m/>
    <m/>
    <m/>
    <x v="0"/>
    <m/>
    <m/>
    <m/>
  </r>
  <r>
    <x v="44"/>
    <n v="22495"/>
    <x v="10"/>
    <m/>
    <n v="4060.193548387073"/>
    <n v="514.03225806450973"/>
    <m/>
    <m/>
    <m/>
    <m/>
    <m/>
    <x v="0"/>
    <m/>
    <m/>
    <m/>
  </r>
  <r>
    <x v="45"/>
    <n v="768"/>
    <x v="1"/>
    <n v="88.744594623657065"/>
    <m/>
    <m/>
    <m/>
    <m/>
    <m/>
    <n v="4.5740575402441674"/>
    <n v="0"/>
    <x v="11"/>
    <n v="0"/>
    <m/>
    <n v="4.5740575402441674"/>
  </r>
  <r>
    <x v="45"/>
    <n v="768"/>
    <x v="1"/>
    <n v="86.994768709678411"/>
    <m/>
    <m/>
    <m/>
    <m/>
    <m/>
    <m/>
    <m/>
    <x v="0"/>
    <m/>
    <m/>
    <m/>
  </r>
  <r>
    <x v="45"/>
    <n v="768"/>
    <x v="1"/>
    <n v="90.268298057552983"/>
    <m/>
    <m/>
    <m/>
    <m/>
    <m/>
    <m/>
    <m/>
    <x v="0"/>
    <m/>
    <m/>
    <m/>
  </r>
  <r>
    <x v="45"/>
    <n v="768"/>
    <x v="1"/>
    <n v="91.303290692446353"/>
    <m/>
    <m/>
    <m/>
    <m/>
    <m/>
    <m/>
    <m/>
    <x v="0"/>
    <m/>
    <m/>
    <m/>
  </r>
  <r>
    <x v="45"/>
    <n v="768"/>
    <x v="1"/>
    <n v="82.403861250000503"/>
    <m/>
    <m/>
    <m/>
    <m/>
    <m/>
    <m/>
    <m/>
    <x v="0"/>
    <m/>
    <m/>
    <m/>
  </r>
  <r>
    <x v="45"/>
    <n v="768"/>
    <x v="1"/>
    <n v="71.050701818181707"/>
    <m/>
    <m/>
    <m/>
    <m/>
    <m/>
    <m/>
    <m/>
    <x v="0"/>
    <m/>
    <m/>
    <m/>
  </r>
  <r>
    <x v="45"/>
    <n v="768"/>
    <x v="1"/>
    <n v="77.226063009403589"/>
    <m/>
    <m/>
    <m/>
    <m/>
    <m/>
    <m/>
    <m/>
    <x v="0"/>
    <m/>
    <m/>
    <m/>
  </r>
  <r>
    <x v="45"/>
    <n v="768"/>
    <x v="1"/>
    <n v="97.502015172413124"/>
    <m/>
    <m/>
    <m/>
    <m/>
    <m/>
    <m/>
    <m/>
    <x v="0"/>
    <m/>
    <m/>
    <m/>
  </r>
  <r>
    <x v="45"/>
    <n v="768"/>
    <x v="1"/>
    <n v="84.041564999998414"/>
    <m/>
    <m/>
    <m/>
    <m/>
    <m/>
    <m/>
    <m/>
    <x v="0"/>
    <m/>
    <m/>
    <m/>
  </r>
  <r>
    <x v="45"/>
    <n v="768"/>
    <x v="1"/>
    <n v="93.637637410330157"/>
    <m/>
    <m/>
    <m/>
    <m/>
    <m/>
    <m/>
    <m/>
    <x v="0"/>
    <m/>
    <m/>
    <m/>
  </r>
  <r>
    <x v="45"/>
    <n v="768"/>
    <x v="1"/>
    <n v="85.69695371870138"/>
    <m/>
    <m/>
    <m/>
    <m/>
    <m/>
    <m/>
    <m/>
    <x v="0"/>
    <m/>
    <m/>
    <m/>
  </r>
  <r>
    <x v="45"/>
    <n v="768"/>
    <x v="1"/>
    <n v="80.695370967742178"/>
    <m/>
    <m/>
    <m/>
    <m/>
    <m/>
    <m/>
    <m/>
    <x v="0"/>
    <m/>
    <m/>
    <m/>
  </r>
  <r>
    <x v="46"/>
    <n v="22203"/>
    <x v="0"/>
    <n v="11411.500755935909"/>
    <n v="9681.4462365590916"/>
    <n v="1373.087500000006"/>
    <m/>
    <m/>
    <m/>
    <n v="32.48008558616111"/>
    <n v="51.848603587557918"/>
    <x v="11"/>
    <n v="0"/>
    <m/>
    <n v="84.328689173719027"/>
  </r>
  <r>
    <x v="46"/>
    <n v="22203"/>
    <x v="0"/>
    <n v="17032.159942269329"/>
    <n v="7760.2537634407199"/>
    <n v="1383.284683588296"/>
    <m/>
    <m/>
    <m/>
    <m/>
    <m/>
    <x v="0"/>
    <m/>
    <m/>
    <m/>
  </r>
  <r>
    <x v="46"/>
    <n v="22203"/>
    <x v="0"/>
    <n v="19036.559972763062"/>
    <n v="5797.6872901679289"/>
    <n v="1423.527816411688"/>
    <m/>
    <m/>
    <m/>
    <m/>
    <m/>
    <x v="0"/>
    <m/>
    <m/>
    <m/>
  </r>
  <r>
    <x v="46"/>
    <n v="22203"/>
    <x v="0"/>
    <n v="20529.359933376309"/>
    <n v="270.69604316546707"/>
    <n v="1145.499999999998"/>
    <m/>
    <m/>
    <m/>
    <m/>
    <m/>
    <x v="0"/>
    <m/>
    <m/>
    <m/>
  </r>
  <r>
    <x v="46"/>
    <n v="22203"/>
    <x v="0"/>
    <n v="16810.080001115799"/>
    <n v="-6779.346774193652"/>
    <n v="719.33333333334303"/>
    <m/>
    <m/>
    <m/>
    <m/>
    <m/>
    <x v="0"/>
    <m/>
    <m/>
    <m/>
  </r>
  <r>
    <x v="46"/>
    <n v="22203"/>
    <x v="0"/>
    <n v="19275.359949350361"/>
    <n v="-8725.0907258064508"/>
    <n v="532.87878787878742"/>
    <m/>
    <m/>
    <m/>
    <m/>
    <m/>
    <x v="0"/>
    <m/>
    <m/>
    <m/>
  </r>
  <r>
    <x v="46"/>
    <n v="22203"/>
    <x v="0"/>
    <n v="23554.55993270874"/>
    <n v="-6518.4331896551448"/>
    <n v="572.13270637408061"/>
    <m/>
    <m/>
    <m/>
    <m/>
    <m/>
    <x v="0"/>
    <m/>
    <m/>
    <m/>
  </r>
  <r>
    <x v="46"/>
    <n v="22203"/>
    <x v="0"/>
    <n v="23375.439923763279"/>
    <n v="10660.42068965519"/>
    <n v="565.32183908046477"/>
    <m/>
    <m/>
    <m/>
    <m/>
    <m/>
    <x v="0"/>
    <m/>
    <m/>
    <m/>
  </r>
  <r>
    <x v="46"/>
    <n v="22203"/>
    <x v="0"/>
    <n v="17492.720026016239"/>
    <n v="13857.69999999999"/>
    <n v="584.33333333333519"/>
    <m/>
    <m/>
    <m/>
    <m/>
    <m/>
    <x v="0"/>
    <m/>
    <m/>
    <m/>
  </r>
  <r>
    <x v="46"/>
    <n v="22203"/>
    <x v="0"/>
    <n v="16562.160031795502"/>
    <n v="13000.620516499041"/>
    <n v="901.24820659971908"/>
    <m/>
    <m/>
    <m/>
    <m/>
    <m/>
    <x v="0"/>
    <m/>
    <m/>
    <m/>
  </r>
  <r>
    <x v="46"/>
    <n v="22203"/>
    <x v="0"/>
    <n v="13332.16004347801"/>
    <n v="12438.91174156504"/>
    <n v="1164.0851267336279"/>
    <m/>
    <m/>
    <m/>
    <m/>
    <m/>
    <x v="0"/>
    <m/>
    <m/>
    <m/>
  </r>
  <r>
    <x v="46"/>
    <n v="22203"/>
    <x v="0"/>
    <n v="12946.4800119102"/>
    <n v="11245.7096774195"/>
    <n v="1147.212121212139"/>
    <m/>
    <m/>
    <m/>
    <m/>
    <m/>
    <x v="0"/>
    <m/>
    <m/>
    <m/>
  </r>
  <r>
    <x v="47"/>
    <n v="121426"/>
    <x v="10"/>
    <n v="88851.590909090766"/>
    <m/>
    <m/>
    <n v="31587.09753787837"/>
    <n v="3801.0382605350551"/>
    <m/>
    <n v="19.039436058763961"/>
    <n v="0"/>
    <x v="19"/>
    <n v="19.781748750195053"/>
    <m/>
    <n v="209.29507826296725"/>
  </r>
  <r>
    <x v="47"/>
    <n v="121426"/>
    <x v="10"/>
    <n v="74720.750000001266"/>
    <m/>
    <m/>
    <n v="29049.453124999742"/>
    <n v="3699.7727539062748"/>
    <m/>
    <m/>
    <m/>
    <x v="0"/>
    <m/>
    <m/>
    <m/>
  </r>
  <r>
    <x v="47"/>
    <n v="121426"/>
    <x v="10"/>
    <n v="64608.12389380455"/>
    <m/>
    <m/>
    <n v="28763.730937894721"/>
    <n v="3075.8589584485335"/>
    <m/>
    <m/>
    <m/>
    <x v="0"/>
    <m/>
    <m/>
    <m/>
  </r>
  <r>
    <x v="47"/>
    <n v="121426"/>
    <x v="10"/>
    <n v="35142.126106194322"/>
    <m/>
    <m/>
    <n v="17941.737812104951"/>
    <n v="7878.09104155157"/>
    <m/>
    <m/>
    <m/>
    <x v="0"/>
    <m/>
    <m/>
    <m/>
  </r>
  <r>
    <x v="47"/>
    <n v="121426"/>
    <x v="10"/>
    <n v="38198.500000000611"/>
    <m/>
    <m/>
    <n v="13205.078124999851"/>
    <n v="14006.439453124804"/>
    <m/>
    <m/>
    <m/>
    <x v="0"/>
    <m/>
    <m/>
    <m/>
  </r>
  <r>
    <x v="47"/>
    <n v="121426"/>
    <x v="10"/>
    <n v="22262.357142857079"/>
    <m/>
    <m/>
    <n v="8201.25"/>
    <n v="21896.162695312723"/>
    <m/>
    <m/>
    <m/>
    <x v="0"/>
    <m/>
    <m/>
    <m/>
  </r>
  <r>
    <x v="47"/>
    <n v="121426"/>
    <x v="10"/>
    <n v="22687.14285714272"/>
    <m/>
    <m/>
    <n v="4881.6406250000564"/>
    <n v="35118.457226562627"/>
    <m/>
    <m/>
    <m/>
    <x v="0"/>
    <m/>
    <m/>
    <m/>
  </r>
  <r>
    <x v="47"/>
    <n v="121426"/>
    <x v="10"/>
    <n v="43866.549999999923"/>
    <m/>
    <m/>
    <n v="4396.6718750000264"/>
    <n v="45108.400312499813"/>
    <m/>
    <m/>
    <m/>
    <x v="0"/>
    <m/>
    <m/>
    <m/>
  </r>
  <r>
    <x v="47"/>
    <n v="121426"/>
    <x v="10"/>
    <n v="51883.325000000419"/>
    <m/>
    <m/>
    <n v="8376.9609374999291"/>
    <n v="27645.980058593985"/>
    <m/>
    <m/>
    <m/>
    <x v="0"/>
    <m/>
    <m/>
    <m/>
  </r>
  <r>
    <x v="47"/>
    <n v="121426"/>
    <x v="10"/>
    <n v="70783.625000000029"/>
    <m/>
    <m/>
    <n v="11863.39843750006"/>
    <n v="24451.676074218649"/>
    <m/>
    <m/>
    <m/>
    <x v="0"/>
    <m/>
    <m/>
    <m/>
  </r>
  <r>
    <x v="47"/>
    <n v="121426"/>
    <x v="10"/>
    <n v="76702.398486758684"/>
    <m/>
    <m/>
    <n v="20983.114458543521"/>
    <n v="7379.6066125472244"/>
    <m/>
    <m/>
    <m/>
    <x v="0"/>
    <m/>
    <m/>
    <m/>
  </r>
  <r>
    <x v="47"/>
    <n v="121426"/>
    <x v="10"/>
    <n v="87867.532547723065"/>
    <m/>
    <m/>
    <n v="27749.495994042809"/>
    <n v="6106.7351977974558"/>
    <m/>
    <m/>
    <m/>
    <x v="0"/>
    <m/>
    <m/>
    <m/>
  </r>
  <r>
    <x v="48"/>
    <n v="86252"/>
    <x v="10"/>
    <n v="43042.749999999389"/>
    <m/>
    <n v="216.9999999999979"/>
    <n v="747.73925781249136"/>
    <n v="414.83237304687719"/>
    <m/>
    <n v="23.998419247916484"/>
    <n v="0.54853800491582705"/>
    <x v="20"/>
    <n v="6.5648397698148955"/>
    <m/>
    <n v="38.961722400164597"/>
  </r>
  <r>
    <x v="48"/>
    <n v="86252"/>
    <x v="10"/>
    <n v="53340"/>
    <m/>
    <n v="152.00000000000179"/>
    <n v="1518.3801269531371"/>
    <n v="1455.258728027344"/>
    <m/>
    <m/>
    <m/>
    <x v="0"/>
    <m/>
    <m/>
    <m/>
  </r>
  <r>
    <x v="48"/>
    <n v="86252"/>
    <x v="10"/>
    <n v="54715.874999999192"/>
    <m/>
    <n v="80.999999999999417"/>
    <n v="1607.810058593765"/>
    <n v="1825.929492187528"/>
    <m/>
    <m/>
    <m/>
    <x v="0"/>
    <m/>
    <m/>
    <m/>
  </r>
  <r>
    <x v="48"/>
    <n v="86252"/>
    <x v="10"/>
    <n v="52914.749999999833"/>
    <m/>
    <n v="1.621621621621639"/>
    <n v="797.13012695311454"/>
    <n v="2341.5617797851519"/>
    <m/>
    <m/>
    <m/>
    <x v="0"/>
    <m/>
    <m/>
    <m/>
  </r>
  <r>
    <x v="48"/>
    <n v="86252"/>
    <x v="10"/>
    <n v="49629.999999999112"/>
    <m/>
    <n v="1.9783783783783719"/>
    <n v="374.520263671875"/>
    <n v="3097.9322875976668"/>
    <m/>
    <m/>
    <m/>
    <x v="0"/>
    <m/>
    <m/>
    <m/>
  </r>
  <r>
    <x v="48"/>
    <n v="86252"/>
    <x v="10"/>
    <n v="48220.750000000109"/>
    <m/>
    <n v="1.999999999999994"/>
    <n v="73.020019531249872"/>
    <n v="5839.3279663085596"/>
    <m/>
    <m/>
    <m/>
    <x v="0"/>
    <m/>
    <m/>
    <m/>
  </r>
  <r>
    <x v="48"/>
    <n v="86252"/>
    <x v="10"/>
    <n v="47051.000000000648"/>
    <m/>
    <n v="2.012903225806451"/>
    <n v="50.000000000000512"/>
    <n v="9496.2000000001262"/>
    <m/>
    <m/>
    <m/>
    <x v="0"/>
    <m/>
    <m/>
    <m/>
  </r>
  <r>
    <x v="48"/>
    <n v="86252"/>
    <x v="10"/>
    <n v="50923.999999999469"/>
    <m/>
    <n v="2.8064516129032291"/>
    <n v="100.00000000000099"/>
    <n v="8163.4000000000706"/>
    <m/>
    <m/>
    <m/>
    <x v="0"/>
    <m/>
    <m/>
    <m/>
  </r>
  <r>
    <x v="48"/>
    <n v="86252"/>
    <x v="10"/>
    <n v="52806.000000000269"/>
    <m/>
    <n v="2.235817575083392"/>
    <n v="99.999999999998536"/>
    <n v="6330.7999999999556"/>
    <m/>
    <m/>
    <m/>
    <x v="0"/>
    <m/>
    <m/>
    <m/>
  </r>
  <r>
    <x v="48"/>
    <n v="86252"/>
    <x v="10"/>
    <n v="58148.000000000211"/>
    <m/>
    <n v="1.9677144522666909"/>
    <n v="169.99999999999949"/>
    <n v="6164.2000000000498"/>
    <m/>
    <m/>
    <m/>
    <x v="0"/>
    <m/>
    <m/>
    <m/>
  </r>
  <r>
    <x v="48"/>
    <n v="86252"/>
    <x v="10"/>
    <n v="53666.000000000633"/>
    <m/>
    <n v="4.3771131339402451"/>
    <n v="549.99999999999341"/>
    <n v="1749.299999999967"/>
    <m/>
    <m/>
    <m/>
    <x v="0"/>
    <m/>
    <m/>
    <m/>
  </r>
  <r>
    <x v="48"/>
    <n v="86252"/>
    <x v="10"/>
    <n v="42197.280911868918"/>
    <m/>
    <n v="4.1250000000000329"/>
    <n v="682.11778310067405"/>
    <n v="307.13735855290179"/>
    <m/>
    <m/>
    <m/>
    <x v="0"/>
    <m/>
    <m/>
    <m/>
  </r>
  <r>
    <x v="49"/>
    <n v="29240"/>
    <x v="10"/>
    <m/>
    <m/>
    <m/>
    <n v="2124.1827182112138"/>
    <m/>
    <m/>
    <n v="0"/>
    <n v="0"/>
    <x v="21"/>
    <n v="0"/>
    <m/>
    <n v="47.419188635445643"/>
  </r>
  <r>
    <x v="49"/>
    <n v="29240"/>
    <x v="10"/>
    <m/>
    <m/>
    <m/>
    <n v="2170.7031249999982"/>
    <m/>
    <m/>
    <m/>
    <m/>
    <x v="0"/>
    <m/>
    <m/>
    <m/>
  </r>
  <r>
    <x v="49"/>
    <n v="29240"/>
    <x v="10"/>
    <m/>
    <m/>
    <m/>
    <n v="2036.0253288953579"/>
    <m/>
    <m/>
    <m/>
    <m/>
    <x v="0"/>
    <m/>
    <m/>
    <m/>
  </r>
  <r>
    <x v="49"/>
    <n v="29240"/>
    <x v="10"/>
    <m/>
    <m/>
    <m/>
    <n v="1261.035217979613"/>
    <m/>
    <m/>
    <m/>
    <m/>
    <x v="0"/>
    <m/>
    <m/>
    <m/>
  </r>
  <r>
    <x v="49"/>
    <n v="29240"/>
    <x v="10"/>
    <m/>
    <m/>
    <m/>
    <n v="927.24609375000864"/>
    <m/>
    <m/>
    <m/>
    <m/>
    <x v="0"/>
    <m/>
    <m/>
    <m/>
  </r>
  <r>
    <x v="49"/>
    <n v="29240"/>
    <x v="10"/>
    <m/>
    <m/>
    <m/>
    <n v="811.70758928570376"/>
    <m/>
    <m/>
    <m/>
    <m/>
    <x v="0"/>
    <m/>
    <m/>
    <m/>
  </r>
  <r>
    <x v="49"/>
    <n v="29240"/>
    <x v="10"/>
    <m/>
    <m/>
    <m/>
    <n v="719.70842633929271"/>
    <m/>
    <m/>
    <m/>
    <m/>
    <x v="0"/>
    <m/>
    <m/>
    <m/>
  </r>
  <r>
    <x v="49"/>
    <n v="29240"/>
    <x v="10"/>
    <m/>
    <m/>
    <m/>
    <n v="308.26768663194741"/>
    <m/>
    <m/>
    <m/>
    <m/>
    <x v="0"/>
    <m/>
    <m/>
    <m/>
  </r>
  <r>
    <x v="49"/>
    <n v="29240"/>
    <x v="10"/>
    <m/>
    <m/>
    <m/>
    <n v="268.31687644676202"/>
    <m/>
    <m/>
    <m/>
    <m/>
    <x v="0"/>
    <m/>
    <m/>
    <m/>
  </r>
  <r>
    <x v="49"/>
    <n v="29240"/>
    <x v="10"/>
    <m/>
    <m/>
    <m/>
    <n v="543.23965567129426"/>
    <m/>
    <m/>
    <m/>
    <m/>
    <x v="0"/>
    <m/>
    <m/>
    <m/>
  </r>
  <r>
    <x v="49"/>
    <n v="29240"/>
    <x v="10"/>
    <m/>
    <m/>
    <m/>
    <n v="1162.362468474143"/>
    <m/>
    <m/>
    <m/>
    <m/>
    <x v="0"/>
    <m/>
    <m/>
    <m/>
  </r>
  <r>
    <x v="49"/>
    <n v="29240"/>
    <x v="10"/>
    <m/>
    <m/>
    <m/>
    <n v="1532.5755703189709"/>
    <m/>
    <m/>
    <m/>
    <m/>
    <x v="0"/>
    <m/>
    <m/>
    <m/>
  </r>
  <r>
    <x v="50"/>
    <n v="3135"/>
    <x v="1"/>
    <n v="3598.6235000000361"/>
    <m/>
    <m/>
    <m/>
    <m/>
    <m/>
    <n v="54.749545698883516"/>
    <n v="0"/>
    <x v="11"/>
    <n v="0"/>
    <m/>
    <n v="54.749545698883516"/>
  </r>
  <r>
    <x v="50"/>
    <n v="3135"/>
    <x v="1"/>
    <n v="3539.8026466165802"/>
    <m/>
    <m/>
    <m/>
    <m/>
    <m/>
    <m/>
    <m/>
    <x v="0"/>
    <m/>
    <m/>
    <m/>
  </r>
  <r>
    <x v="50"/>
    <n v="3135"/>
    <x v="1"/>
    <n v="3992.5254818865792"/>
    <m/>
    <m/>
    <m/>
    <m/>
    <m/>
    <m/>
    <m/>
    <x v="0"/>
    <m/>
    <m/>
    <m/>
  </r>
  <r>
    <x v="50"/>
    <n v="3135"/>
    <x v="1"/>
    <n v="3691.6478714968998"/>
    <m/>
    <m/>
    <m/>
    <m/>
    <m/>
    <m/>
    <m/>
    <x v="0"/>
    <m/>
    <m/>
    <m/>
  </r>
  <r>
    <x v="50"/>
    <n v="3135"/>
    <x v="1"/>
    <n v="3528.6717499999459"/>
    <m/>
    <m/>
    <m/>
    <m/>
    <m/>
    <m/>
    <m/>
    <x v="0"/>
    <m/>
    <m/>
    <m/>
  </r>
  <r>
    <x v="50"/>
    <n v="3135"/>
    <x v="1"/>
    <n v="3535.9462500000332"/>
    <m/>
    <m/>
    <m/>
    <m/>
    <m/>
    <m/>
    <m/>
    <x v="0"/>
    <m/>
    <m/>
    <m/>
  </r>
  <r>
    <x v="50"/>
    <n v="3135"/>
    <x v="1"/>
    <n v="4422.4286666666258"/>
    <m/>
    <m/>
    <m/>
    <m/>
    <m/>
    <m/>
    <m/>
    <x v="0"/>
    <m/>
    <m/>
    <m/>
  </r>
  <r>
    <x v="50"/>
    <n v="3135"/>
    <x v="1"/>
    <n v="5257.2763333332787"/>
    <m/>
    <m/>
    <m/>
    <m/>
    <m/>
    <m/>
    <m/>
    <x v="0"/>
    <m/>
    <m/>
    <m/>
  </r>
  <r>
    <x v="50"/>
    <n v="3135"/>
    <x v="1"/>
    <n v="5656.3381034482672"/>
    <m/>
    <m/>
    <m/>
    <m/>
    <m/>
    <m/>
    <m/>
    <x v="0"/>
    <m/>
    <m/>
    <m/>
  </r>
  <r>
    <x v="50"/>
    <n v="3135"/>
    <x v="1"/>
    <n v="5177.9970830653901"/>
    <m/>
    <m/>
    <m/>
    <m/>
    <m/>
    <m/>
    <m/>
    <x v="0"/>
    <m/>
    <m/>
    <m/>
  </r>
  <r>
    <x v="50"/>
    <n v="3135"/>
    <x v="1"/>
    <n v="4257.6198134863616"/>
    <m/>
    <m/>
    <m/>
    <m/>
    <m/>
    <m/>
    <m/>
    <x v="0"/>
    <m/>
    <m/>
    <m/>
  </r>
  <r>
    <x v="50"/>
    <n v="3135"/>
    <x v="1"/>
    <n v="3645.8779999999551"/>
    <m/>
    <m/>
    <m/>
    <m/>
    <m/>
    <m/>
    <m/>
    <x v="0"/>
    <m/>
    <m/>
    <m/>
  </r>
  <r>
    <x v="51"/>
    <n v="99853"/>
    <x v="0"/>
    <n v="92265.63636363743"/>
    <m/>
    <n v="2307.4571746384772"/>
    <m/>
    <m/>
    <m/>
    <n v="46.805604248904125"/>
    <n v="17.304508595377154"/>
    <x v="11"/>
    <n v="0"/>
    <m/>
    <n v="64.110112844281275"/>
  </r>
  <r>
    <x v="51"/>
    <n v="99853"/>
    <x v="0"/>
    <n v="90699"/>
    <m/>
    <n v="2079.6054489052422"/>
    <m/>
    <m/>
    <m/>
    <m/>
    <m/>
    <x v="0"/>
    <m/>
    <m/>
    <m/>
  </r>
  <r>
    <x v="51"/>
    <n v="99853"/>
    <x v="0"/>
    <n v="99974.829962072516"/>
    <m/>
    <n v="2749.1833441981698"/>
    <m/>
    <m/>
    <m/>
    <m/>
    <m/>
    <x v="0"/>
    <m/>
    <m/>
    <m/>
  </r>
  <r>
    <x v="51"/>
    <n v="99853"/>
    <x v="0"/>
    <n v="108658.67003792569"/>
    <m/>
    <n v="2273.4027777778128"/>
    <m/>
    <m/>
    <m/>
    <m/>
    <m/>
    <x v="0"/>
    <m/>
    <m/>
    <m/>
  </r>
  <r>
    <x v="51"/>
    <n v="99853"/>
    <x v="0"/>
    <n v="126200.0000000008"/>
    <m/>
    <n v="1283.57706093192"/>
    <m/>
    <m/>
    <m/>
    <m/>
    <m/>
    <x v="0"/>
    <m/>
    <m/>
    <m/>
  </r>
  <r>
    <x v="51"/>
    <n v="99853"/>
    <x v="0"/>
    <n v="119129.085365853"/>
    <m/>
    <n v="974.23891129032177"/>
    <m/>
    <m/>
    <m/>
    <m/>
    <m/>
    <x v="0"/>
    <m/>
    <m/>
    <m/>
  </r>
  <r>
    <x v="51"/>
    <n v="99853"/>
    <x v="0"/>
    <n v="141154.9146341451"/>
    <m/>
    <n v="1033.4062500000109"/>
    <m/>
    <m/>
    <m/>
    <m/>
    <m/>
    <x v="0"/>
    <m/>
    <m/>
    <m/>
  </r>
  <r>
    <x v="51"/>
    <n v="99853"/>
    <x v="0"/>
    <n v="146382.8857142858"/>
    <m/>
    <n v="990.62068965518233"/>
    <m/>
    <m/>
    <m/>
    <m/>
    <m/>
    <x v="0"/>
    <m/>
    <m/>
    <m/>
  </r>
  <r>
    <x v="51"/>
    <n v="99853"/>
    <x v="0"/>
    <n v="122037.8179894166"/>
    <m/>
    <n v="470.66963292546302"/>
    <m/>
    <m/>
    <m/>
    <m/>
    <m/>
    <x v="0"/>
    <m/>
    <m/>
    <m/>
  </r>
  <r>
    <x v="51"/>
    <n v="99853"/>
    <x v="0"/>
    <n v="121262.7962962957"/>
    <m/>
    <n v="338.82732447817642"/>
    <m/>
    <m/>
    <m/>
    <m/>
    <m/>
    <x v="0"/>
    <m/>
    <m/>
    <m/>
  </r>
  <r>
    <x v="51"/>
    <n v="99853"/>
    <x v="0"/>
    <n v="103366.66960908061"/>
    <m/>
    <n v="1159.817836812156"/>
    <m/>
    <m/>
    <m/>
    <m/>
    <m/>
    <x v="0"/>
    <m/>
    <m/>
    <m/>
  </r>
  <r>
    <x v="51"/>
    <n v="99853"/>
    <x v="0"/>
    <n v="98644.951080576109"/>
    <m/>
    <n v="1618.2645161290191"/>
    <m/>
    <m/>
    <m/>
    <m/>
    <m/>
    <x v="0"/>
    <m/>
    <m/>
    <m/>
  </r>
  <r>
    <x v="52"/>
    <n v="52700"/>
    <x v="0"/>
    <n v="16215.29545454547"/>
    <m/>
    <m/>
    <n v="2273.7742660984482"/>
    <n v="1904.5963734019854"/>
    <m/>
    <n v="11.086122381864241"/>
    <n v="0"/>
    <x v="22"/>
    <n v="8.9511196801685973"/>
    <m/>
    <n v="47.723952995489746"/>
  </r>
  <r>
    <x v="52"/>
    <n v="52700"/>
    <x v="0"/>
    <n v="14668.000000000149"/>
    <m/>
    <m/>
    <n v="2212.6562500000109"/>
    <n v="1514.4899902343655"/>
    <m/>
    <m/>
    <m/>
    <x v="0"/>
    <m/>
    <m/>
    <m/>
  </r>
  <r>
    <x v="52"/>
    <n v="52700"/>
    <x v="0"/>
    <n v="14941.955436157001"/>
    <m/>
    <m/>
    <n v="1924.031919149026"/>
    <n v="2649.9043759506339"/>
    <m/>
    <m/>
    <m/>
    <x v="0"/>
    <m/>
    <m/>
    <m/>
  </r>
  <r>
    <x v="52"/>
    <n v="52700"/>
    <x v="0"/>
    <n v="12311.169563843039"/>
    <m/>
    <m/>
    <n v="1179.386049601002"/>
    <n v="3497.293963893082"/>
    <m/>
    <m/>
    <m/>
    <x v="0"/>
    <m/>
    <m/>
    <m/>
  </r>
  <r>
    <x v="52"/>
    <n v="52700"/>
    <x v="0"/>
    <n v="13012.12500000016"/>
    <m/>
    <m/>
    <n v="878.73046874998363"/>
    <n v="4064.7796875000431"/>
    <m/>
    <m/>
    <m/>
    <x v="0"/>
    <m/>
    <m/>
    <m/>
  </r>
  <r>
    <x v="52"/>
    <n v="52700"/>
    <x v="0"/>
    <n v="10883.59756097573"/>
    <m/>
    <m/>
    <n v="550.25962271342132"/>
    <n v="3816.7725085747279"/>
    <m/>
    <m/>
    <m/>
    <x v="0"/>
    <m/>
    <m/>
    <m/>
  </r>
  <r>
    <x v="52"/>
    <n v="52700"/>
    <x v="0"/>
    <n v="11242.55720092911"/>
    <m/>
    <m/>
    <n v="559.39765035205858"/>
    <n v="4324.0089692898036"/>
    <m/>
    <m/>
    <m/>
    <x v="0"/>
    <m/>
    <m/>
    <m/>
  </r>
  <r>
    <x v="52"/>
    <n v="52700"/>
    <x v="0"/>
    <n v="13090.97759103657"/>
    <m/>
    <m/>
    <n v="432.27746958157582"/>
    <n v="4472.749235025989"/>
    <m/>
    <m/>
    <m/>
    <x v="0"/>
    <m/>
    <m/>
    <m/>
  </r>
  <r>
    <x v="52"/>
    <n v="52700"/>
    <x v="0"/>
    <n v="14713.48371848729"/>
    <m/>
    <m/>
    <n v="513.47192587972165"/>
    <n v="3924.0323486328602"/>
    <m/>
    <m/>
    <m/>
    <x v="0"/>
    <m/>
    <m/>
    <m/>
  </r>
  <r>
    <x v="52"/>
    <n v="52700"/>
    <x v="0"/>
    <n v="16622.75892857154"/>
    <m/>
    <m/>
    <n v="753.38239397320649"/>
    <n v="3918.4439697265511"/>
    <m/>
    <m/>
    <m/>
    <x v="0"/>
    <m/>
    <m/>
    <m/>
  </r>
  <r>
    <x v="52"/>
    <n v="52700"/>
    <x v="0"/>
    <n v="16182.04035308964"/>
    <m/>
    <m/>
    <n v="1357.0958287358069"/>
    <n v="2947.9670498206847"/>
    <m/>
    <m/>
    <m/>
    <x v="0"/>
    <m/>
    <m/>
    <m/>
  </r>
  <r>
    <x v="52"/>
    <n v="52700"/>
    <x v="0"/>
    <n v="17346.592980244019"/>
    <m/>
    <m/>
    <n v="1956.432817097535"/>
    <n v="2275.2954566896997"/>
    <m/>
    <m/>
    <m/>
    <x v="0"/>
    <m/>
    <m/>
    <m/>
  </r>
  <r>
    <x v="53"/>
    <n v="101932"/>
    <x v="2"/>
    <n v="27602.258620689521"/>
    <m/>
    <m/>
    <n v="4.8864948947642383E-3"/>
    <n v="523.90235825047728"/>
    <m/>
    <n v="8.4357882543737759"/>
    <n v="0"/>
    <x v="23"/>
    <n v="6.4619966210343422"/>
    <m/>
    <n v="14.897813671923362"/>
  </r>
  <r>
    <x v="53"/>
    <n v="101932"/>
    <x v="2"/>
    <n v="26236.0000000002"/>
    <m/>
    <m/>
    <n v="5.3778366815475957E-3"/>
    <n v="759.38938232421719"/>
    <m/>
    <m/>
    <m/>
    <x v="0"/>
    <m/>
    <m/>
    <m/>
  </r>
  <r>
    <x v="53"/>
    <n v="101932"/>
    <x v="2"/>
    <n v="23054.13463969684"/>
    <m/>
    <m/>
    <n v="4.1872432048040724E-3"/>
    <n v="254.69401998064325"/>
    <m/>
    <m/>
    <m/>
    <x v="0"/>
    <m/>
    <m/>
    <m/>
  </r>
  <r>
    <x v="53"/>
    <n v="101932"/>
    <x v="2"/>
    <n v="16784.365360303262"/>
    <m/>
    <m/>
    <n v="2.3230406060147446E-3"/>
    <n v="2504.3508872459142"/>
    <m/>
    <m/>
    <m/>
    <x v="0"/>
    <m/>
    <m/>
    <m/>
  </r>
  <r>
    <x v="53"/>
    <n v="101932"/>
    <x v="2"/>
    <n v="16474.499999999869"/>
    <m/>
    <m/>
    <n v="1.6025075604838524E-3"/>
    <n v="2958.2963769531152"/>
    <m/>
    <m/>
    <m/>
    <x v="0"/>
    <m/>
    <m/>
    <m/>
  </r>
  <r>
    <x v="53"/>
    <n v="101932"/>
    <x v="2"/>
    <n v="11786.571428571469"/>
    <m/>
    <m/>
    <n v="1.0865187872023797E-3"/>
    <n v="5871.6261746651544"/>
    <m/>
    <m/>
    <m/>
    <x v="0"/>
    <m/>
    <m/>
    <m/>
  </r>
  <r>
    <x v="53"/>
    <n v="101932"/>
    <x v="2"/>
    <n v="10331.928571428551"/>
    <m/>
    <m/>
    <n v="5.3680935579877756E-4"/>
    <n v="11047.618903459721"/>
    <m/>
    <m/>
    <m/>
    <x v="0"/>
    <m/>
    <m/>
    <m/>
  </r>
  <r>
    <x v="53"/>
    <n v="101932"/>
    <x v="2"/>
    <n v="13404.84285714301"/>
    <m/>
    <m/>
    <n v="4.274553571428546E-4"/>
    <n v="11687.476004394728"/>
    <m/>
    <m/>
    <m/>
    <x v="0"/>
    <m/>
    <m/>
    <m/>
  </r>
  <r>
    <x v="53"/>
    <n v="101932"/>
    <x v="2"/>
    <n v="21855.050000000181"/>
    <m/>
    <m/>
    <n v="7.8687375992062198E-4"/>
    <n v="10794.61330608248"/>
    <m/>
    <m/>
    <m/>
    <x v="0"/>
    <m/>
    <m/>
    <m/>
  </r>
  <r>
    <x v="53"/>
    <n v="101932"/>
    <x v="2"/>
    <n v="27285.10714285729"/>
    <m/>
    <m/>
    <n v="1.603550127208162E-3"/>
    <n v="7115.8274741909518"/>
    <m/>
    <m/>
    <m/>
    <x v="0"/>
    <m/>
    <m/>
    <m/>
  </r>
  <r>
    <x v="53"/>
    <n v="101932"/>
    <x v="2"/>
    <n v="28718.621059268389"/>
    <m/>
    <m/>
    <n v="3.1885935529634645E-3"/>
    <n v="1189.7701012583195"/>
    <m/>
    <m/>
    <m/>
    <x v="0"/>
    <m/>
    <m/>
    <m/>
  </r>
  <r>
    <x v="53"/>
    <n v="101932"/>
    <x v="2"/>
    <n v="28482.085837282819"/>
    <m/>
    <m/>
    <n v="3.3459400300606284E-3"/>
    <n v="182.78830913364658"/>
    <m/>
    <m/>
    <m/>
    <x v="0"/>
    <m/>
    <m/>
    <m/>
  </r>
  <r>
    <x v="54"/>
    <n v="39332"/>
    <x v="4"/>
    <n v="14832.881543333178"/>
    <m/>
    <m/>
    <n v="2117.7580645161338"/>
    <m/>
    <m/>
    <n v="20.768948018924362"/>
    <n v="0"/>
    <x v="24"/>
    <n v="0"/>
    <m/>
    <n v="60.261727435175828"/>
  </r>
  <r>
    <x v="54"/>
    <n v="39332"/>
    <x v="4"/>
    <n v="19052.733135610713"/>
    <m/>
    <m/>
    <n v="2476.5483870967614"/>
    <m/>
    <m/>
    <m/>
    <m/>
    <x v="0"/>
    <m/>
    <m/>
    <m/>
  </r>
  <r>
    <x v="54"/>
    <n v="39332"/>
    <x v="4"/>
    <n v="20003.276837723006"/>
    <m/>
    <m/>
    <n v="2426.3977212634018"/>
    <m/>
    <m/>
    <m/>
    <m/>
    <x v="0"/>
    <m/>
    <m/>
    <m/>
  </r>
  <r>
    <x v="54"/>
    <n v="39332"/>
    <x v="4"/>
    <n v="19028.337078161214"/>
    <m/>
    <m/>
    <n v="1837.8895771237133"/>
    <m/>
    <m/>
    <m/>
    <m/>
    <x v="0"/>
    <m/>
    <m/>
    <m/>
  </r>
  <r>
    <x v="54"/>
    <n v="39332"/>
    <x v="4"/>
    <n v="17401.796998922218"/>
    <m/>
    <m/>
    <n v="1365.7127016129114"/>
    <m/>
    <m/>
    <m/>
    <m/>
    <x v="0"/>
    <m/>
    <m/>
    <m/>
  </r>
  <r>
    <x v="54"/>
    <n v="39332"/>
    <x v="4"/>
    <n v="11922.837494959591"/>
    <m/>
    <m/>
    <n v="662.2935483870923"/>
    <m/>
    <m/>
    <m/>
    <m/>
    <x v="0"/>
    <m/>
    <m/>
    <m/>
  </r>
  <r>
    <x v="54"/>
    <n v="39332"/>
    <x v="4"/>
    <n v="14108.98921301434"/>
    <m/>
    <m/>
    <n v="244.64193548386987"/>
    <m/>
    <m/>
    <m/>
    <m/>
    <x v="0"/>
    <m/>
    <m/>
    <m/>
  </r>
  <r>
    <x v="54"/>
    <n v="39332"/>
    <x v="4"/>
    <n v="27071.46397952563"/>
    <m/>
    <m/>
    <n v="282.67741935484213"/>
    <m/>
    <m/>
    <m/>
    <m/>
    <x v="0"/>
    <m/>
    <m/>
    <m/>
  </r>
  <r>
    <x v="54"/>
    <n v="39332"/>
    <x v="4"/>
    <n v="32593.763668750318"/>
    <m/>
    <m/>
    <n v="420.54616240267467"/>
    <m/>
    <m/>
    <m/>
    <m/>
    <x v="0"/>
    <m/>
    <m/>
    <m/>
  </r>
  <r>
    <x v="54"/>
    <n v="39332"/>
    <x v="4"/>
    <n v="28446.413320803222"/>
    <m/>
    <m/>
    <n v="810.22911363109483"/>
    <m/>
    <m/>
    <m/>
    <m/>
    <x v="0"/>
    <m/>
    <m/>
    <m/>
  </r>
  <r>
    <x v="54"/>
    <n v="39332"/>
    <x v="4"/>
    <n v="19776.704385446283"/>
    <m/>
    <m/>
    <n v="1414.0634336436528"/>
    <m/>
    <m/>
    <m/>
    <m/>
    <x v="0"/>
    <m/>
    <m/>
    <m/>
  </r>
  <r>
    <x v="54"/>
    <n v="39332"/>
    <x v="4"/>
    <n v="15175.885427083487"/>
    <m/>
    <m/>
    <n v="1474.5419354838821"/>
    <m/>
    <m/>
    <m/>
    <m/>
    <x v="0"/>
    <m/>
    <m/>
    <m/>
  </r>
  <r>
    <x v="55"/>
    <n v="71857"/>
    <x v="2"/>
    <n v="46348.267588122559"/>
    <m/>
    <m/>
    <n v="3364.556551724168"/>
    <n v="2042.490148275888"/>
    <m/>
    <n v="45.61153330793541"/>
    <n v="0"/>
    <x v="25"/>
    <n v="23.928188139038639"/>
    <m/>
    <n v="103.48831546968114"/>
  </r>
  <r>
    <x v="55"/>
    <n v="71857"/>
    <x v="2"/>
    <n v="71099.996566771821"/>
    <m/>
    <m/>
    <n v="2587.8700000000008"/>
    <n v="855.36604999998997"/>
    <m/>
    <m/>
    <m/>
    <x v="0"/>
    <m/>
    <m/>
    <m/>
  </r>
  <r>
    <x v="55"/>
    <n v="71857"/>
    <x v="2"/>
    <n v="80123.738000727375"/>
    <m/>
    <m/>
    <n v="2694.7229203539532"/>
    <n v="616.19998163715979"/>
    <m/>
    <m/>
    <m/>
    <x v="0"/>
    <m/>
    <m/>
    <m/>
  </r>
  <r>
    <x v="55"/>
    <n v="71857"/>
    <x v="2"/>
    <n v="82076.236059330418"/>
    <m/>
    <m/>
    <n v="2013.20707964605"/>
    <n v="4007.1790933628581"/>
    <m/>
    <m/>
    <m/>
    <x v="0"/>
    <m/>
    <m/>
    <m/>
  </r>
  <r>
    <x v="55"/>
    <n v="71857"/>
    <x v="2"/>
    <n v="87100.028991700296"/>
    <m/>
    <m/>
    <n v="1764.639999999966"/>
    <n v="9035.2177999999949"/>
    <m/>
    <m/>
    <m/>
    <x v="0"/>
    <m/>
    <m/>
    <m/>
  </r>
  <r>
    <x v="55"/>
    <n v="71857"/>
    <x v="2"/>
    <n v="83853.616947080416"/>
    <m/>
    <m/>
    <n v="1154.42195121952"/>
    <n v="10410.102585365659"/>
    <m/>
    <m/>
    <m/>
    <x v="0"/>
    <m/>
    <m/>
    <m/>
  </r>
  <r>
    <x v="55"/>
    <n v="71857"/>
    <x v="2"/>
    <n v="87146.386867616311"/>
    <m/>
    <m/>
    <n v="722.3530487804677"/>
    <n v="11966.06836463424"/>
    <m/>
    <m/>
    <m/>
    <x v="0"/>
    <m/>
    <m/>
    <m/>
  </r>
  <r>
    <x v="55"/>
    <n v="71857"/>
    <x v="2"/>
    <n v="87597.00230189733"/>
    <m/>
    <m/>
    <n v="11.589571428571549"/>
    <n v="19501.013140000119"/>
    <m/>
    <m/>
    <m/>
    <x v="0"/>
    <m/>
    <m/>
    <m/>
  </r>
  <r>
    <x v="55"/>
    <n v="71857"/>
    <x v="2"/>
    <n v="90265.818500013876"/>
    <m/>
    <m/>
    <n v="354.23839153438593"/>
    <n v="19965.428534074061"/>
    <m/>
    <m/>
    <m/>
    <x v="0"/>
    <m/>
    <m/>
    <m/>
  </r>
  <r>
    <x v="55"/>
    <n v="71857"/>
    <x v="2"/>
    <n v="91037.096800627536"/>
    <m/>
    <m/>
    <n v="1386.0520370370341"/>
    <n v="21697.208075925671"/>
    <m/>
    <m/>
    <m/>
    <x v="0"/>
    <m/>
    <m/>
    <m/>
  </r>
  <r>
    <x v="55"/>
    <n v="71857"/>
    <x v="2"/>
    <n v="77191.462282275606"/>
    <m/>
    <m/>
    <n v="3952.952963430062"/>
    <n v="20964.217462232278"/>
    <m/>
    <m/>
    <m/>
    <x v="0"/>
    <m/>
    <m/>
    <m/>
  </r>
  <r>
    <x v="55"/>
    <n v="71857"/>
    <x v="2"/>
    <n v="76742.983592170189"/>
    <m/>
    <m/>
    <n v="4387.836691742451"/>
    <n v="22223.493356733699"/>
    <m/>
    <m/>
    <m/>
    <x v="0"/>
    <m/>
    <m/>
    <m/>
  </r>
  <r>
    <x v="56"/>
    <n v="76871"/>
    <x v="10"/>
    <n v="28571.163793102911"/>
    <m/>
    <m/>
    <n v="1867.650188577551"/>
    <s v=""/>
    <m/>
    <n v="13.808564620351403"/>
    <n v="0"/>
    <x v="26"/>
    <n v="7.6798529916368388"/>
    <m/>
    <n v="32.830246016348084"/>
  </r>
  <r>
    <x v="56"/>
    <n v="76871"/>
    <x v="10"/>
    <n v="25835.499999999811"/>
    <m/>
    <m/>
    <n v="1639.2968750000121"/>
    <n v="1209.517626953118"/>
    <m/>
    <m/>
    <m/>
    <x v="0"/>
    <m/>
    <m/>
    <m/>
  </r>
  <r>
    <x v="56"/>
    <n v="76871"/>
    <x v="10"/>
    <n v="27316.052149177951"/>
    <m/>
    <m/>
    <n v="806.51949915058515"/>
    <n v="1958.3838134765542"/>
    <m/>
    <m/>
    <m/>
    <x v="0"/>
    <m/>
    <m/>
    <m/>
  </r>
  <r>
    <x v="56"/>
    <n v="76871"/>
    <x v="10"/>
    <n v="23452.19785082194"/>
    <m/>
    <m/>
    <n v="453.67581334940252"/>
    <n v="2748.0661865234583"/>
    <m/>
    <m/>
    <m/>
    <x v="0"/>
    <m/>
    <m/>
    <m/>
  </r>
  <r>
    <x v="56"/>
    <n v="76871"/>
    <x v="10"/>
    <n v="22303.49999999992"/>
    <m/>
    <m/>
    <n v="402.90039062499329"/>
    <n v="4181.6559326172155"/>
    <m/>
    <m/>
    <m/>
    <x v="0"/>
    <m/>
    <m/>
    <m/>
  </r>
  <r>
    <x v="56"/>
    <n v="76871"/>
    <x v="10"/>
    <n v="19456.07142857134"/>
    <m/>
    <m/>
    <n v="158.38727678571419"/>
    <n v="5997.5999999999594"/>
    <m/>
    <m/>
    <m/>
    <x v="0"/>
    <m/>
    <m/>
    <m/>
  </r>
  <r>
    <x v="56"/>
    <n v="76871"/>
    <x v="10"/>
    <n v="20295.428571428569"/>
    <m/>
    <m/>
    <n v="107.3744419642843"/>
    <n v="9162.9999999999218"/>
    <m/>
    <m/>
    <m/>
    <x v="0"/>
    <m/>
    <m/>
    <m/>
  </r>
  <r>
    <x v="56"/>
    <n v="76871"/>
    <x v="10"/>
    <n v="24113.349999999969"/>
    <m/>
    <m/>
    <n v="60.131696428572553"/>
    <n v="7830.2000000000935"/>
    <m/>
    <m/>
    <m/>
    <x v="0"/>
    <m/>
    <m/>
    <m/>
  </r>
  <r>
    <x v="56"/>
    <n v="76871"/>
    <x v="10"/>
    <n v="26067.233333333708"/>
    <m/>
    <m/>
    <n v="97.566509589945824"/>
    <n v="7497.0000000000937"/>
    <m/>
    <m/>
    <m/>
    <x v="0"/>
    <m/>
    <m/>
    <m/>
  </r>
  <r>
    <x v="56"/>
    <n v="76871"/>
    <x v="10"/>
    <n v="29862.666666666399"/>
    <m/>
    <m/>
    <n v="100.9834346064806"/>
    <n v="5997.6000000000695"/>
    <m/>
    <m/>
    <m/>
    <x v="0"/>
    <m/>
    <m/>
    <m/>
  </r>
  <r>
    <x v="56"/>
    <n v="76871"/>
    <x v="10"/>
    <n v="30724.328499369611"/>
    <m/>
    <m/>
    <n v="1069.63060569042"/>
    <n v="1999.1999999999864"/>
    <m/>
    <m/>
    <m/>
    <x v="0"/>
    <m/>
    <m/>
    <m/>
  </r>
  <r>
    <x v="56"/>
    <n v="76871"/>
    <x v="10"/>
    <n v="33103.964604079098"/>
    <m/>
    <m/>
    <n v="1954.4601809474921"/>
    <n v="614.27471710580369"/>
    <m/>
    <m/>
    <m/>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F940AF-308B-46B4-991F-4692F20E17C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73" firstHeaderRow="0" firstDataRow="1" firstDataCol="1"/>
  <pivotFields count="15">
    <pivotField axis="axisRow" showAll="0">
      <items count="58">
        <item x="0"/>
        <item x="2"/>
        <item x="1"/>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9"/>
        <item x="38"/>
        <item x="40"/>
        <item x="41"/>
        <item x="43"/>
        <item x="42"/>
        <item x="44"/>
        <item x="45"/>
        <item x="46"/>
        <item x="47"/>
        <item x="48"/>
        <item x="49"/>
        <item x="50"/>
        <item x="51"/>
        <item x="52"/>
        <item x="53"/>
        <item x="54"/>
        <item x="55"/>
        <item x="56"/>
        <item t="default"/>
      </items>
    </pivotField>
    <pivotField showAll="0"/>
    <pivotField axis="axisRow" showAll="0">
      <items count="13">
        <item x="2"/>
        <item x="10"/>
        <item x="7"/>
        <item x="9"/>
        <item x="8"/>
        <item x="0"/>
        <item x="5"/>
        <item x="4"/>
        <item x="1"/>
        <item x="11"/>
        <item x="6"/>
        <item x="3"/>
        <item t="default"/>
      </items>
    </pivotField>
    <pivotField showAll="0"/>
    <pivotField showAll="0"/>
    <pivotField showAll="0"/>
    <pivotField showAll="0"/>
    <pivotField showAll="0"/>
    <pivotField showAll="0"/>
    <pivotField dataField="1" showAll="0"/>
    <pivotField dataField="1" showAll="0"/>
    <pivotField dataField="1" showAll="0">
      <items count="28">
        <item x="11"/>
        <item x="23"/>
        <item x="14"/>
        <item x="20"/>
        <item x="26"/>
        <item x="7"/>
        <item x="16"/>
        <item x="3"/>
        <item x="22"/>
        <item x="5"/>
        <item x="25"/>
        <item x="10"/>
        <item x="12"/>
        <item x="6"/>
        <item x="24"/>
        <item x="9"/>
        <item x="15"/>
        <item x="4"/>
        <item x="1"/>
        <item x="21"/>
        <item x="18"/>
        <item x="8"/>
        <item x="17"/>
        <item x="2"/>
        <item x="19"/>
        <item x="13"/>
        <item x="0"/>
        <item t="default"/>
      </items>
    </pivotField>
    <pivotField dataField="1" showAll="0"/>
    <pivotField showAll="0"/>
    <pivotField showAll="0"/>
  </pivotFields>
  <rowFields count="2">
    <field x="2"/>
    <field x="0"/>
  </rowFields>
  <rowItems count="70">
    <i>
      <x/>
    </i>
    <i r="1">
      <x v="1"/>
    </i>
    <i r="1">
      <x v="5"/>
    </i>
    <i r="1">
      <x v="11"/>
    </i>
    <i r="1">
      <x v="12"/>
    </i>
    <i r="1">
      <x v="13"/>
    </i>
    <i r="1">
      <x v="21"/>
    </i>
    <i r="1">
      <x v="22"/>
    </i>
    <i r="1">
      <x v="26"/>
    </i>
    <i r="1">
      <x v="27"/>
    </i>
    <i r="1">
      <x v="33"/>
    </i>
    <i r="1">
      <x v="34"/>
    </i>
    <i r="1">
      <x v="37"/>
    </i>
    <i r="1">
      <x v="41"/>
    </i>
    <i r="1">
      <x v="43"/>
    </i>
    <i r="1">
      <x v="53"/>
    </i>
    <i r="1">
      <x v="55"/>
    </i>
    <i>
      <x v="1"/>
    </i>
    <i r="1">
      <x v="23"/>
    </i>
    <i r="1">
      <x v="32"/>
    </i>
    <i r="1">
      <x v="40"/>
    </i>
    <i r="1">
      <x v="44"/>
    </i>
    <i r="1">
      <x v="47"/>
    </i>
    <i r="1">
      <x v="48"/>
    </i>
    <i r="1">
      <x v="49"/>
    </i>
    <i r="1">
      <x v="56"/>
    </i>
    <i>
      <x v="2"/>
    </i>
    <i r="1">
      <x v="17"/>
    </i>
    <i>
      <x v="3"/>
    </i>
    <i r="1">
      <x v="20"/>
    </i>
    <i r="1">
      <x v="28"/>
    </i>
    <i r="1">
      <x v="29"/>
    </i>
    <i r="1">
      <x v="36"/>
    </i>
    <i>
      <x v="4"/>
    </i>
    <i r="1">
      <x v="18"/>
    </i>
    <i r="1">
      <x v="19"/>
    </i>
    <i>
      <x v="5"/>
    </i>
    <i r="1">
      <x/>
    </i>
    <i r="1">
      <x v="3"/>
    </i>
    <i r="1">
      <x v="4"/>
    </i>
    <i r="1">
      <x v="6"/>
    </i>
    <i r="1">
      <x v="15"/>
    </i>
    <i r="1">
      <x v="30"/>
    </i>
    <i r="1">
      <x v="46"/>
    </i>
    <i r="1">
      <x v="51"/>
    </i>
    <i r="1">
      <x v="52"/>
    </i>
    <i>
      <x v="6"/>
    </i>
    <i r="1">
      <x v="10"/>
    </i>
    <i r="1">
      <x v="38"/>
    </i>
    <i>
      <x v="7"/>
    </i>
    <i r="1">
      <x v="9"/>
    </i>
    <i r="1">
      <x v="31"/>
    </i>
    <i r="1">
      <x v="54"/>
    </i>
    <i>
      <x v="8"/>
    </i>
    <i r="1">
      <x v="2"/>
    </i>
    <i r="1">
      <x v="14"/>
    </i>
    <i r="1">
      <x v="45"/>
    </i>
    <i r="1">
      <x v="50"/>
    </i>
    <i>
      <x v="9"/>
    </i>
    <i r="1">
      <x v="25"/>
    </i>
    <i>
      <x v="10"/>
    </i>
    <i r="1">
      <x v="16"/>
    </i>
    <i>
      <x v="11"/>
    </i>
    <i r="1">
      <x v="7"/>
    </i>
    <i r="1">
      <x v="8"/>
    </i>
    <i r="1">
      <x v="24"/>
    </i>
    <i r="1">
      <x v="35"/>
    </i>
    <i r="1">
      <x v="39"/>
    </i>
    <i r="1">
      <x v="42"/>
    </i>
    <i t="grand">
      <x/>
    </i>
  </rowItems>
  <colFields count="1">
    <field x="-2"/>
  </colFields>
  <colItems count="4">
    <i>
      <x/>
    </i>
    <i i="1">
      <x v="1"/>
    </i>
    <i i="2">
      <x v="2"/>
    </i>
    <i i="3">
      <x v="3"/>
    </i>
  </colItems>
  <dataFields count="4">
    <dataField name="Average of Electric EUI(kBtu/sq.ft)" fld="9" subtotal="average" baseField="2" baseItem="0"/>
    <dataField name="Average of Gas EUI(kBtu/sq.ft)" fld="10" subtotal="average" baseField="2" baseItem="0"/>
    <dataField name="Average of Chilled Water EUI(kBtu/sq.ft)" fld="12" subtotal="average" baseField="0" baseItem="12"/>
    <dataField name="Average of Steam EUI(kBtu/sq.ft)" fld="11"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ilding_Name" xr10:uid="{934FDD23-07A7-4B64-941C-E6A1ACDEA32F}" sourceName="Building Name">
  <pivotTables>
    <pivotTable tabId="4" name="PivotTable1"/>
  </pivotTables>
  <data>
    <tabular pivotCacheId="1559269979">
      <items count="57">
        <i x="0" s="1"/>
        <i x="2" s="1"/>
        <i x="1" s="1"/>
        <i x="3" s="1"/>
        <i x="4" s="1"/>
        <i x="5" s="1"/>
        <i x="7" s="1"/>
        <i x="8" s="1"/>
        <i x="9" s="1"/>
        <i x="10" s="1"/>
        <i x="11" s="1"/>
        <i x="12" s="1"/>
        <i x="13" s="1"/>
        <i x="15" s="1"/>
        <i x="17" s="1"/>
        <i x="18" s="1"/>
        <i x="20" s="1"/>
        <i x="21" s="1"/>
        <i x="22" s="1"/>
        <i x="23" s="1"/>
        <i x="25" s="1"/>
        <i x="26" s="1"/>
        <i x="27" s="1"/>
        <i x="28" s="1"/>
        <i x="29" s="1"/>
        <i x="30" s="1"/>
        <i x="32" s="1"/>
        <i x="33" s="1"/>
        <i x="35" s="1"/>
        <i x="36" s="1"/>
        <i x="37" s="1"/>
        <i x="40" s="1"/>
        <i x="41" s="1"/>
        <i x="42" s="1"/>
        <i x="44" s="1"/>
        <i x="45" s="1"/>
        <i x="46" s="1"/>
        <i x="47" s="1"/>
        <i x="48" s="1"/>
        <i x="49" s="1"/>
        <i x="50" s="1"/>
        <i x="51" s="1"/>
        <i x="52" s="1"/>
        <i x="53" s="1"/>
        <i x="54" s="1"/>
        <i x="55" s="1"/>
        <i x="56" s="1"/>
        <i x="6" s="1" nd="1"/>
        <i x="14" s="1" nd="1"/>
        <i x="16" s="1" nd="1"/>
        <i x="19" s="1" nd="1"/>
        <i x="24" s="1" nd="1"/>
        <i x="31" s="1" nd="1"/>
        <i x="34" s="1" nd="1"/>
        <i x="39" s="1" nd="1"/>
        <i x="38" s="1" nd="1"/>
        <i x="4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ilding Name" xr10:uid="{18F98F7B-32B8-4DB5-8910-CDCA4FDEFDAF}" cache="Slicer_Building_Name" caption="Building Name" startItem="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87" dT="2024-09-06T14:25:05.24" personId="{98693C5D-A06D-4A0B-894B-9C978323B49C}" id="{155BE5BD-3489-4217-A95A-A2AF4E15D3C9}">
    <text xml:space="preserve">Come from split meter
</text>
  </threadedComment>
  <threadedComment ref="F663" dT="2024-08-08T13:07:42.75" personId="{01DCB5C0-AC63-4570-B4CB-07A7BE179ED3}" id="{35DAAFAC-7CBE-44E3-956F-6ECC764A8CDC}">
    <text>Office</text>
  </threadedComment>
  <threadedComment ref="J663" dT="2024-09-03T21:07:03.80" personId="{98693C5D-A06D-4A0B-894B-9C978323B49C}" id="{28E88453-F098-4E5E-8C48-31B2F2A4E45C}">
    <text xml:space="preserve">Taken from 2018
</text>
  </threadedComment>
  <threadedComment ref="C771" dT="2024-08-13T17:54:07.79" personId="{56224CC7-FA9F-4521-99E6-5D7AE1FB33A6}" id="{78C6F154-ABD6-4CD3-9279-4A2E3088CFB2}">
    <text>Does this exist?</text>
  </threadedComment>
  <threadedComment ref="C771" dT="2024-08-26T22:31:12.30" personId="{56224CC7-FA9F-4521-99E6-5D7AE1FB33A6}" id="{776280A3-78AD-435B-8565-70693CBDDFC1}" parentId="{78C6F154-ABD6-4CD3-9279-4A2E3088CFB2}">
    <text>Will thinks this is referring to lot 4</text>
  </threadedComment>
</ThreadedComments>
</file>

<file path=xl/threadedComments/threadedComment2.xml><?xml version="1.0" encoding="utf-8"?>
<ThreadedComments xmlns="http://schemas.microsoft.com/office/spreadsheetml/2018/threadedcomments" xmlns:x="http://schemas.openxmlformats.org/spreadsheetml/2006/main">
  <threadedComment ref="D27" dT="2024-09-05T23:36:45.61" personId="{98693C5D-A06D-4A0B-894B-9C978323B49C}" id="{C08CF4A1-32F0-4B37-89F3-DB600B210EBD}">
    <text xml:space="preserve">Plus corp trades area
</text>
  </threadedComment>
  <threadedComment ref="E51" dT="2024-09-05T21:18:58.28" personId="{98693C5D-A06D-4A0B-894B-9C978323B49C}" id="{95A12799-70E1-4569-98C1-BE1C0AAC0EC1}">
    <text>Changed to theatre only to match EUI as there was Eui for auditorium</text>
  </threadedComment>
  <threadedComment ref="E63" dT="2024-09-05T21:19:03.66" personId="{98693C5D-A06D-4A0B-894B-9C978323B49C}" id="{780FC651-A206-4F03-9AAE-F418D72048BD}">
    <text>Changed to theatre only to match EUI as there was Eui for auditorium</text>
  </threadedComment>
  <threadedComment ref="E75" dT="2024-09-05T21:19:14.68" personId="{98693C5D-A06D-4A0B-894B-9C978323B49C}" id="{635E6381-842A-4EAE-8AF3-99345D154856}">
    <text>Changed to theatre only to match EUI as there was Eui for auditorium</text>
  </threadedComment>
</ThreadedComments>
</file>

<file path=xl/threadedComments/threadedComment3.xml><?xml version="1.0" encoding="utf-8"?>
<ThreadedComments xmlns="http://schemas.microsoft.com/office/spreadsheetml/2018/threadedcomments" xmlns:x="http://schemas.openxmlformats.org/spreadsheetml/2006/main">
  <threadedComment ref="A63" dT="2024-08-13T17:54:07.79" personId="{56224CC7-FA9F-4521-99E6-5D7AE1FB33A6}" id="{BF3D7E91-1BB8-4268-9819-5CBC58A1FDDF}">
    <text>Does this exist?</text>
  </threadedComment>
</ThreadedComments>
</file>

<file path=xl/threadedComments/threadedComment4.xml><?xml version="1.0" encoding="utf-8"?>
<ThreadedComments xmlns="http://schemas.microsoft.com/office/spreadsheetml/2018/threadedcomments" xmlns:x="http://schemas.openxmlformats.org/spreadsheetml/2006/main">
  <threadedComment ref="E3" dT="2024-09-03T20:46:09.71" personId="{98693C5D-A06D-4A0B-894B-9C978323B49C}" id="{B3523EBB-504C-4074-A132-B261445EB624}">
    <text xml:space="preserve">Ask what this represents
</text>
  </threadedComment>
</ThreadedComments>
</file>

<file path=xl/threadedComments/threadedComment5.xml><?xml version="1.0" encoding="utf-8"?>
<ThreadedComments xmlns="http://schemas.microsoft.com/office/spreadsheetml/2018/threadedcomments" xmlns:x="http://schemas.openxmlformats.org/spreadsheetml/2006/main">
  <threadedComment ref="G10" dT="2024-08-23T20:50:58.65" personId="{98693C5D-A06D-4A0B-894B-9C978323B49C}" id="{34A04E38-E9FB-49AC-A419-77828E5B38AD}">
    <text xml:space="preserve">This does not include garage
</text>
  </threadedComment>
  <threadedComment ref="P10" dT="2024-08-23T20:41:44.31" personId="{98693C5D-A06D-4A0B-894B-9C978323B49C}" id="{3749B2DB-566F-4BF5-B46E-DF8B95A17640}">
    <text xml:space="preserve">This divided by area with garage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 Id="rId4"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8FA1-E6D0-4C05-975A-5FC69B89D5EB}">
  <dimension ref="A1:EO819"/>
  <sheetViews>
    <sheetView tabSelected="1" zoomScale="70" zoomScaleNormal="70" workbookViewId="0">
      <pane xSplit="3" ySplit="2" topLeftCell="V784" activePane="bottomRight" state="frozen"/>
      <selection pane="topRight" activeCell="C1" sqref="C1"/>
      <selection pane="bottomLeft" activeCell="A3" sqref="A3"/>
      <selection pane="bottomRight" activeCell="C801" sqref="C801"/>
    </sheetView>
  </sheetViews>
  <sheetFormatPr defaultRowHeight="14.4" x14ac:dyDescent="0.3"/>
  <cols>
    <col min="1" max="1" width="23.77734375" style="3" customWidth="1"/>
    <col min="2" max="2" width="11.6640625" style="3" customWidth="1"/>
    <col min="3" max="3" width="53" style="3" customWidth="1"/>
    <col min="4" max="4" width="28" style="3" customWidth="1"/>
    <col min="5" max="5" width="15.77734375" style="3" customWidth="1"/>
    <col min="6" max="6" width="25.109375" style="3" customWidth="1"/>
    <col min="7" max="7" width="30.109375" style="1" customWidth="1"/>
    <col min="8" max="8" width="24.88671875" style="1" customWidth="1"/>
    <col min="9" max="9" width="19" style="1" customWidth="1"/>
    <col min="10" max="10" width="22" style="1" customWidth="1"/>
    <col min="11" max="11" width="22.6640625" style="1" customWidth="1"/>
    <col min="12" max="12" width="31.109375" style="23" customWidth="1"/>
    <col min="13" max="16" width="31.109375" style="1" customWidth="1"/>
    <col min="17" max="17" width="26.21875" style="1" customWidth="1"/>
    <col min="18" max="18" width="24.21875" style="1" customWidth="1"/>
    <col min="19" max="19" width="25.77734375" style="1" customWidth="1"/>
    <col min="20" max="20" width="32.44140625" style="1" customWidth="1"/>
    <col min="21" max="21" width="20.44140625" style="1" customWidth="1"/>
    <col min="22" max="22" width="32.44140625" style="33" customWidth="1"/>
    <col min="23" max="23" width="65.21875" style="1" customWidth="1"/>
    <col min="24" max="24" width="83.77734375" style="23" hidden="1" customWidth="1"/>
    <col min="25" max="25" width="83.77734375" style="1" hidden="1" customWidth="1"/>
    <col min="26" max="26" width="23.44140625" style="211" hidden="1" customWidth="1"/>
    <col min="27" max="27" width="21.109375" style="1" hidden="1" customWidth="1"/>
    <col min="28" max="29" width="21.109375" style="112" hidden="1" customWidth="1"/>
    <col min="30" max="30" width="21.21875" style="112" hidden="1" customWidth="1"/>
    <col min="31" max="31" width="21.21875" style="112" customWidth="1"/>
    <col min="32" max="32" width="8.6640625" style="112" customWidth="1"/>
    <col min="33" max="33" width="22.33203125" customWidth="1"/>
    <col min="34" max="54" width="15.77734375" customWidth="1"/>
    <col min="55" max="55" width="23" customWidth="1"/>
    <col min="56" max="146" width="15.77734375" customWidth="1"/>
  </cols>
  <sheetData>
    <row r="1" spans="1:145" s="46" customFormat="1" ht="26.4" thickBot="1" x14ac:dyDescent="0.55000000000000004">
      <c r="A1" s="264" t="s">
        <v>549</v>
      </c>
      <c r="B1" s="265"/>
      <c r="C1" s="265"/>
      <c r="D1" s="265"/>
      <c r="E1" s="265"/>
      <c r="F1" s="265"/>
      <c r="G1" s="265"/>
      <c r="H1" s="265"/>
      <c r="I1" s="265"/>
      <c r="J1" s="265"/>
      <c r="K1" s="265"/>
      <c r="L1" s="266"/>
      <c r="M1" s="264" t="s">
        <v>666</v>
      </c>
      <c r="N1" s="265"/>
      <c r="O1" s="265"/>
      <c r="P1" s="266"/>
      <c r="Q1" s="264" t="s">
        <v>330</v>
      </c>
      <c r="R1" s="265"/>
      <c r="S1" s="265"/>
      <c r="T1" s="265"/>
      <c r="U1" s="265"/>
      <c r="V1" s="266"/>
      <c r="W1" s="45"/>
      <c r="X1" s="58"/>
      <c r="Y1" s="45"/>
      <c r="Z1" s="264" t="s">
        <v>673</v>
      </c>
      <c r="AA1" s="265"/>
      <c r="AB1" s="266"/>
      <c r="AC1" s="188"/>
      <c r="AD1" s="146"/>
      <c r="AE1" s="146"/>
      <c r="AF1" s="146"/>
      <c r="AG1" s="205"/>
    </row>
    <row r="2" spans="1:145" ht="30.6" customHeight="1" x14ac:dyDescent="0.3">
      <c r="A2" s="151" t="s">
        <v>0</v>
      </c>
      <c r="B2" s="151" t="s">
        <v>530</v>
      </c>
      <c r="C2" s="151" t="s">
        <v>1</v>
      </c>
      <c r="D2" s="153" t="s">
        <v>520</v>
      </c>
      <c r="E2" s="153" t="s">
        <v>2</v>
      </c>
      <c r="F2" s="151" t="s">
        <v>3</v>
      </c>
      <c r="G2" s="151" t="s">
        <v>4</v>
      </c>
      <c r="H2" s="151" t="s">
        <v>5</v>
      </c>
      <c r="I2" s="151" t="s">
        <v>6</v>
      </c>
      <c r="J2" s="151" t="s">
        <v>7</v>
      </c>
      <c r="K2" s="151" t="s">
        <v>8</v>
      </c>
      <c r="L2" s="154" t="s">
        <v>31</v>
      </c>
      <c r="M2" s="155" t="s">
        <v>331</v>
      </c>
      <c r="N2" s="151" t="s">
        <v>332</v>
      </c>
      <c r="O2" s="156" t="s">
        <v>333</v>
      </c>
      <c r="P2" s="156" t="s">
        <v>334</v>
      </c>
      <c r="Q2" s="155" t="s">
        <v>331</v>
      </c>
      <c r="R2" s="156" t="s">
        <v>332</v>
      </c>
      <c r="S2" s="156" t="s">
        <v>333</v>
      </c>
      <c r="T2" s="156" t="s">
        <v>334</v>
      </c>
      <c r="U2" s="157" t="s">
        <v>337</v>
      </c>
      <c r="V2" s="158" t="s">
        <v>335</v>
      </c>
      <c r="W2" s="159" t="s">
        <v>191</v>
      </c>
      <c r="X2" s="156" t="s">
        <v>329</v>
      </c>
      <c r="Y2" s="160" t="s">
        <v>585</v>
      </c>
      <c r="Z2" s="161" t="s">
        <v>672</v>
      </c>
      <c r="AA2" s="161" t="s">
        <v>662</v>
      </c>
      <c r="AB2" s="161" t="s">
        <v>663</v>
      </c>
      <c r="AC2" s="233" t="s">
        <v>680</v>
      </c>
      <c r="AD2" s="197" t="s">
        <v>566</v>
      </c>
      <c r="AE2" s="197" t="s">
        <v>714</v>
      </c>
      <c r="AF2" s="162"/>
      <c r="AG2" s="163" t="s">
        <v>9</v>
      </c>
      <c r="AH2" s="164" t="s">
        <v>10</v>
      </c>
      <c r="AI2" s="164" t="s">
        <v>11</v>
      </c>
      <c r="AJ2" s="164" t="s">
        <v>12</v>
      </c>
      <c r="AK2" s="164" t="s">
        <v>13</v>
      </c>
      <c r="AL2" s="164" t="s">
        <v>14</v>
      </c>
      <c r="AM2" s="164" t="s">
        <v>15</v>
      </c>
      <c r="AN2" s="164" t="s">
        <v>16</v>
      </c>
      <c r="AO2" s="164" t="s">
        <v>17</v>
      </c>
      <c r="AP2" s="164" t="s">
        <v>18</v>
      </c>
      <c r="AQ2" s="164" t="s">
        <v>19</v>
      </c>
      <c r="AR2" s="164" t="s">
        <v>20</v>
      </c>
      <c r="AS2" s="164" t="s">
        <v>21</v>
      </c>
      <c r="AT2" s="164" t="s">
        <v>22</v>
      </c>
      <c r="AU2" s="164" t="s">
        <v>23</v>
      </c>
      <c r="AV2" s="164" t="s">
        <v>24</v>
      </c>
      <c r="AW2" s="164" t="s">
        <v>25</v>
      </c>
      <c r="AX2" s="164" t="s">
        <v>26</v>
      </c>
      <c r="AY2" s="164" t="s">
        <v>27</v>
      </c>
      <c r="AZ2" s="164" t="s">
        <v>28</v>
      </c>
      <c r="BA2" s="164" t="s">
        <v>29</v>
      </c>
      <c r="BB2" s="164" t="s">
        <v>30</v>
      </c>
      <c r="BD2" s="164" t="s">
        <v>32</v>
      </c>
      <c r="BE2" s="164" t="s">
        <v>33</v>
      </c>
      <c r="BF2" s="164" t="s">
        <v>34</v>
      </c>
      <c r="BG2" s="164" t="s">
        <v>35</v>
      </c>
      <c r="BH2" s="164" t="s">
        <v>36</v>
      </c>
      <c r="BI2" s="164" t="s">
        <v>37</v>
      </c>
      <c r="BJ2" s="164" t="s">
        <v>38</v>
      </c>
      <c r="BK2" s="164" t="s">
        <v>39</v>
      </c>
      <c r="BL2" s="164" t="s">
        <v>40</v>
      </c>
      <c r="BM2" s="164" t="s">
        <v>41</v>
      </c>
      <c r="BN2" s="164" t="s">
        <v>42</v>
      </c>
      <c r="BO2" s="164" t="s">
        <v>43</v>
      </c>
      <c r="BP2" s="164" t="s">
        <v>44</v>
      </c>
      <c r="BQ2" s="164" t="s">
        <v>45</v>
      </c>
      <c r="BR2" s="164" t="s">
        <v>46</v>
      </c>
      <c r="BS2" s="164" t="s">
        <v>47</v>
      </c>
      <c r="BT2" s="164" t="s">
        <v>48</v>
      </c>
      <c r="BU2" s="164" t="s">
        <v>49</v>
      </c>
      <c r="BV2" s="164" t="s">
        <v>50</v>
      </c>
      <c r="BW2" s="164" t="s">
        <v>51</v>
      </c>
      <c r="BX2" s="164" t="s">
        <v>52</v>
      </c>
      <c r="BY2" s="164" t="s">
        <v>53</v>
      </c>
      <c r="BZ2" s="164" t="s">
        <v>54</v>
      </c>
      <c r="CA2" s="164" t="s">
        <v>55</v>
      </c>
      <c r="CB2" s="164" t="s">
        <v>56</v>
      </c>
      <c r="CC2" s="164" t="s">
        <v>57</v>
      </c>
      <c r="CD2" s="164" t="s">
        <v>58</v>
      </c>
      <c r="CE2" s="164" t="s">
        <v>59</v>
      </c>
      <c r="CF2" s="164" t="s">
        <v>60</v>
      </c>
      <c r="CG2" s="164" t="s">
        <v>61</v>
      </c>
      <c r="CH2" s="164" t="s">
        <v>62</v>
      </c>
      <c r="CI2" s="164" t="s">
        <v>63</v>
      </c>
      <c r="CJ2" s="164" t="s">
        <v>64</v>
      </c>
      <c r="CK2" s="164" t="s">
        <v>65</v>
      </c>
      <c r="CL2" s="164" t="s">
        <v>66</v>
      </c>
      <c r="CM2" s="164" t="s">
        <v>67</v>
      </c>
      <c r="CN2" s="164" t="s">
        <v>68</v>
      </c>
      <c r="CO2" s="164" t="s">
        <v>69</v>
      </c>
      <c r="CP2" s="164" t="s">
        <v>70</v>
      </c>
      <c r="CQ2" s="164" t="s">
        <v>71</v>
      </c>
      <c r="CR2" s="164" t="s">
        <v>72</v>
      </c>
      <c r="CS2" s="164" t="s">
        <v>73</v>
      </c>
      <c r="CT2" s="164" t="s">
        <v>74</v>
      </c>
      <c r="CU2" s="164" t="s">
        <v>75</v>
      </c>
      <c r="CV2" s="164" t="s">
        <v>76</v>
      </c>
      <c r="CW2" s="164" t="s">
        <v>77</v>
      </c>
      <c r="CX2" s="164" t="s">
        <v>78</v>
      </c>
      <c r="CY2" s="164" t="s">
        <v>79</v>
      </c>
      <c r="CZ2" s="164" t="s">
        <v>80</v>
      </c>
      <c r="DA2" s="164" t="s">
        <v>81</v>
      </c>
      <c r="DB2" s="164" t="s">
        <v>82</v>
      </c>
      <c r="DC2" s="164" t="s">
        <v>83</v>
      </c>
      <c r="DD2" s="164" t="s">
        <v>84</v>
      </c>
      <c r="DE2" s="164" t="s">
        <v>85</v>
      </c>
      <c r="DF2" s="164" t="s">
        <v>86</v>
      </c>
      <c r="DG2" s="164" t="s">
        <v>87</v>
      </c>
      <c r="DH2" s="164" t="s">
        <v>88</v>
      </c>
      <c r="DI2" s="164" t="s">
        <v>89</v>
      </c>
      <c r="DJ2" s="164" t="s">
        <v>90</v>
      </c>
      <c r="DK2" s="164" t="s">
        <v>91</v>
      </c>
      <c r="DL2" s="164" t="s">
        <v>92</v>
      </c>
      <c r="DM2" s="164" t="s">
        <v>93</v>
      </c>
      <c r="DN2" s="164" t="s">
        <v>94</v>
      </c>
      <c r="DO2" s="164" t="s">
        <v>95</v>
      </c>
      <c r="DP2" s="164" t="s">
        <v>96</v>
      </c>
      <c r="DQ2" s="164" t="s">
        <v>97</v>
      </c>
      <c r="DR2" s="164" t="s">
        <v>98</v>
      </c>
      <c r="DS2" s="164" t="s">
        <v>99</v>
      </c>
      <c r="DT2" s="164" t="s">
        <v>100</v>
      </c>
      <c r="DU2" s="164" t="s">
        <v>101</v>
      </c>
      <c r="DV2" s="164" t="s">
        <v>102</v>
      </c>
      <c r="DW2" s="164" t="s">
        <v>103</v>
      </c>
      <c r="DX2" s="164" t="s">
        <v>104</v>
      </c>
      <c r="DY2" s="164" t="s">
        <v>105</v>
      </c>
      <c r="DZ2" s="164" t="s">
        <v>106</v>
      </c>
      <c r="EA2" s="164" t="s">
        <v>107</v>
      </c>
      <c r="EB2" s="164" t="s">
        <v>108</v>
      </c>
      <c r="EC2" s="164" t="s">
        <v>109</v>
      </c>
      <c r="ED2" s="164" t="s">
        <v>110</v>
      </c>
      <c r="EE2" s="164" t="s">
        <v>111</v>
      </c>
      <c r="EF2" s="164" t="s">
        <v>112</v>
      </c>
      <c r="EG2" s="164" t="s">
        <v>113</v>
      </c>
      <c r="EH2" s="164" t="s">
        <v>114</v>
      </c>
      <c r="EI2" s="164" t="s">
        <v>115</v>
      </c>
      <c r="EJ2" s="164" t="s">
        <v>116</v>
      </c>
      <c r="EK2" s="164" t="s">
        <v>117</v>
      </c>
      <c r="EL2" s="164" t="s">
        <v>118</v>
      </c>
      <c r="EM2" s="164" t="s">
        <v>119</v>
      </c>
      <c r="EN2" s="164" t="s">
        <v>120</v>
      </c>
      <c r="EO2" s="164" t="s">
        <v>121</v>
      </c>
    </row>
    <row r="3" spans="1:145" s="15" customFormat="1" x14ac:dyDescent="0.3">
      <c r="A3" s="38">
        <v>44927</v>
      </c>
      <c r="B3" s="22">
        <f t="shared" ref="B3:B8" si="0">MONTH(A3)</f>
        <v>1</v>
      </c>
      <c r="C3" s="22" t="s">
        <v>122</v>
      </c>
      <c r="D3" s="22" t="str">
        <f>VLOOKUP(C3,'Data availability'!$A$2:$B$91,2,FALSE)</f>
        <v>Main campus</v>
      </c>
      <c r="E3" s="22">
        <v>39323</v>
      </c>
      <c r="F3" s="3" t="str">
        <f>VLOOKUP(C3,'Data availability'!$A$2:$H$91,8,FALSE)</f>
        <v>Office</v>
      </c>
      <c r="G3" s="21">
        <v>58.000000000000107</v>
      </c>
      <c r="H3" s="21"/>
      <c r="I3" s="21"/>
      <c r="J3" s="21"/>
      <c r="K3" s="21"/>
      <c r="L3" s="20"/>
      <c r="M3" s="21">
        <f t="shared" ref="M3:M8" si="1">IFERROR((G3*3.412)/E3,0)</f>
        <v>5.032576354805085E-3</v>
      </c>
      <c r="N3" s="21">
        <f t="shared" ref="N3:N8" si="2">IFERROR((I3*100)/E3,0)</f>
        <v>0</v>
      </c>
      <c r="O3" s="21">
        <f t="shared" ref="O3:O8" si="3">IFERROR((J3*100)/E3,0)</f>
        <v>0</v>
      </c>
      <c r="P3" s="21">
        <f t="shared" ref="P3:P8" si="4">IFERROR((K3*12)/E3,0)</f>
        <v>0</v>
      </c>
      <c r="Q3" s="21">
        <f>(SUM(G3:G14)*3.412)/E3</f>
        <v>5.3230786618150082E-2</v>
      </c>
      <c r="R3" s="21"/>
      <c r="S3" s="21"/>
      <c r="T3" s="21"/>
      <c r="U3" s="21"/>
      <c r="V3" s="34">
        <f>SUM(Q3:T3)</f>
        <v>5.3230786618150082E-2</v>
      </c>
      <c r="W3" s="19" t="s">
        <v>248</v>
      </c>
      <c r="X3" s="20"/>
      <c r="Y3" s="21"/>
      <c r="Z3" s="211" t="b">
        <f>IFERROR(INDEX(Outliers!$X$3:$X$61,MATCH('SkYSPark Data_w Will''s Data'!C3,Outliers!$B$3:$B$61,0)),0)</f>
        <v>0</v>
      </c>
      <c r="AA3" s="1" t="b">
        <f>IFERROR(INDEX(Outliers!$AP$3:$AP$61,MATCH('SkYSPark Data_w Will''s Data'!C3,Outliers!$B$3:$B$61,0)),0)</f>
        <v>1</v>
      </c>
      <c r="AB3" s="112" t="b">
        <f>IFERROR(INDEX(Outliers!$AY$3:$AY$61,MATCH('SkYSPark Data_w Will''s Data'!C3,Outliers!$B$3:$B$61,0)),0)</f>
        <v>1</v>
      </c>
      <c r="AC3" s="112" t="s">
        <v>392</v>
      </c>
      <c r="AD3" s="138" t="s">
        <v>567</v>
      </c>
      <c r="AE3" s="138"/>
      <c r="AF3" s="137"/>
    </row>
    <row r="4" spans="1:145" x14ac:dyDescent="0.3">
      <c r="A4" s="2">
        <v>44958</v>
      </c>
      <c r="B4" s="3">
        <f t="shared" si="0"/>
        <v>2</v>
      </c>
      <c r="C4" s="3" t="s">
        <v>122</v>
      </c>
      <c r="D4" s="3" t="str">
        <f>VLOOKUP(C4,'Data availability'!$A$2:$B$91,2,FALSE)</f>
        <v>Main campus</v>
      </c>
      <c r="E4" s="3">
        <v>39323</v>
      </c>
      <c r="F4" s="3" t="str">
        <f>VLOOKUP(C4,'Data availability'!$A$2:$H$91,8,FALSE)</f>
        <v>Office</v>
      </c>
      <c r="G4" s="1">
        <v>57.000000000000341</v>
      </c>
      <c r="M4" s="21">
        <f t="shared" si="1"/>
        <v>4.9458077969636383E-3</v>
      </c>
      <c r="N4" s="21">
        <f t="shared" si="2"/>
        <v>0</v>
      </c>
      <c r="O4" s="21">
        <f t="shared" si="3"/>
        <v>0</v>
      </c>
      <c r="P4" s="21">
        <f t="shared" si="4"/>
        <v>0</v>
      </c>
      <c r="W4" s="1" t="s">
        <v>718</v>
      </c>
      <c r="Z4" s="211" t="b">
        <f>IFERROR(INDEX(Outliers!$X$3:$X$61,MATCH('SkYSPark Data_w Will''s Data'!C4,Outliers!$B$3:$B$61,0)),0)</f>
        <v>0</v>
      </c>
      <c r="AA4" s="1" t="b">
        <f>IFERROR(INDEX(Outliers!$AP$3:$AP$61,MATCH('SkYSPark Data_w Will''s Data'!C4,Outliers!$B$3:$B$61,0)),0)</f>
        <v>1</v>
      </c>
      <c r="AB4" s="112" t="b">
        <f>IFERROR(INDEX(Outliers!$AY$3:$AY$61,MATCH('SkYSPark Data_w Will''s Data'!C4,Outliers!$B$3:$B$61,0)),0)</f>
        <v>1</v>
      </c>
      <c r="AC4" s="112" t="s">
        <v>392</v>
      </c>
      <c r="AF4" s="132"/>
    </row>
    <row r="5" spans="1:145" x14ac:dyDescent="0.3">
      <c r="A5" s="2">
        <v>44986</v>
      </c>
      <c r="B5" s="3">
        <f t="shared" si="0"/>
        <v>3</v>
      </c>
      <c r="C5" s="3" t="s">
        <v>122</v>
      </c>
      <c r="D5" s="3" t="str">
        <f>VLOOKUP(C5,'Data availability'!$A$2:$B$91,2,FALSE)</f>
        <v>Main campus</v>
      </c>
      <c r="E5" s="3">
        <v>39323</v>
      </c>
      <c r="F5" s="3" t="str">
        <f>VLOOKUP(C5,'Data availability'!$A$2:$H$91,8,FALSE)</f>
        <v>Office</v>
      </c>
      <c r="G5" s="1">
        <v>57.000000000000192</v>
      </c>
      <c r="M5" s="21">
        <f t="shared" si="1"/>
        <v>4.9458077969636262E-3</v>
      </c>
      <c r="N5" s="21">
        <f t="shared" si="2"/>
        <v>0</v>
      </c>
      <c r="O5" s="21">
        <f t="shared" si="3"/>
        <v>0</v>
      </c>
      <c r="P5" s="21">
        <f t="shared" si="4"/>
        <v>0</v>
      </c>
      <c r="W5" s="1" t="s">
        <v>719</v>
      </c>
      <c r="Z5" s="211" t="b">
        <f>IFERROR(INDEX(Outliers!$X$3:$X$61,MATCH('SkYSPark Data_w Will''s Data'!C5,Outliers!$B$3:$B$61,0)),0)</f>
        <v>0</v>
      </c>
      <c r="AA5" s="1" t="b">
        <f>IFERROR(INDEX(Outliers!$AP$3:$AP$61,MATCH('SkYSPark Data_w Will''s Data'!C5,Outliers!$B$3:$B$61,0)),0)</f>
        <v>1</v>
      </c>
      <c r="AB5" s="112" t="b">
        <f>IFERROR(INDEX(Outliers!$AY$3:$AY$61,MATCH('SkYSPark Data_w Will''s Data'!C5,Outliers!$B$3:$B$61,0)),0)</f>
        <v>1</v>
      </c>
      <c r="AC5" s="112" t="s">
        <v>392</v>
      </c>
      <c r="AF5" s="132"/>
    </row>
    <row r="6" spans="1:145" x14ac:dyDescent="0.3">
      <c r="A6" s="2">
        <v>45017</v>
      </c>
      <c r="B6" s="3">
        <f t="shared" si="0"/>
        <v>4</v>
      </c>
      <c r="C6" s="3" t="s">
        <v>122</v>
      </c>
      <c r="D6" s="3" t="str">
        <f>VLOOKUP(C6,'Data availability'!$A$2:$B$91,2,FALSE)</f>
        <v>Main campus</v>
      </c>
      <c r="E6" s="3">
        <v>39323</v>
      </c>
      <c r="F6" s="3" t="str">
        <f>VLOOKUP(C6,'Data availability'!$A$2:$H$91,8,FALSE)</f>
        <v>Office</v>
      </c>
      <c r="G6" s="1">
        <v>48.999999999999638</v>
      </c>
      <c r="M6" s="21">
        <f t="shared" si="1"/>
        <v>4.2516593342318432E-3</v>
      </c>
      <c r="N6" s="21">
        <f t="shared" si="2"/>
        <v>0</v>
      </c>
      <c r="O6" s="21">
        <f t="shared" si="3"/>
        <v>0</v>
      </c>
      <c r="P6" s="21">
        <f t="shared" si="4"/>
        <v>0</v>
      </c>
      <c r="Z6" s="211" t="b">
        <f>IFERROR(INDEX(Outliers!$X$3:$X$61,MATCH('SkYSPark Data_w Will''s Data'!C6,Outliers!$B$3:$B$61,0)),0)</f>
        <v>0</v>
      </c>
      <c r="AA6" s="1" t="b">
        <f>IFERROR(INDEX(Outliers!$AP$3:$AP$61,MATCH('SkYSPark Data_w Will''s Data'!C6,Outliers!$B$3:$B$61,0)),0)</f>
        <v>1</v>
      </c>
      <c r="AB6" s="112" t="b">
        <f>IFERROR(INDEX(Outliers!$AY$3:$AY$61,MATCH('SkYSPark Data_w Will''s Data'!C6,Outliers!$B$3:$B$61,0)),0)</f>
        <v>1</v>
      </c>
      <c r="AC6" s="112" t="s">
        <v>392</v>
      </c>
      <c r="AF6" s="132"/>
    </row>
    <row r="7" spans="1:145" x14ac:dyDescent="0.3">
      <c r="A7" s="2">
        <v>45047</v>
      </c>
      <c r="B7" s="3">
        <f t="shared" si="0"/>
        <v>5</v>
      </c>
      <c r="C7" s="3" t="s">
        <v>122</v>
      </c>
      <c r="D7" s="3" t="str">
        <f>VLOOKUP(C7,'Data availability'!$A$2:$B$91,2,FALSE)</f>
        <v>Main campus</v>
      </c>
      <c r="E7" s="3">
        <v>39323</v>
      </c>
      <c r="F7" s="3" t="str">
        <f>VLOOKUP(C7,'Data availability'!$A$2:$H$91,8,FALSE)</f>
        <v>Office</v>
      </c>
      <c r="G7" s="1">
        <v>46.000000000000362</v>
      </c>
      <c r="M7" s="21">
        <f t="shared" si="1"/>
        <v>3.9913536607075048E-3</v>
      </c>
      <c r="N7" s="21">
        <f t="shared" si="2"/>
        <v>0</v>
      </c>
      <c r="O7" s="21">
        <f t="shared" si="3"/>
        <v>0</v>
      </c>
      <c r="P7" s="21">
        <f t="shared" si="4"/>
        <v>0</v>
      </c>
      <c r="Z7" s="211" t="b">
        <f>IFERROR(INDEX(Outliers!$X$3:$X$61,MATCH('SkYSPark Data_w Will''s Data'!C7,Outliers!$B$3:$B$61,0)),0)</f>
        <v>0</v>
      </c>
      <c r="AA7" s="1" t="b">
        <f>IFERROR(INDEX(Outliers!$AP$3:$AP$61,MATCH('SkYSPark Data_w Will''s Data'!C7,Outliers!$B$3:$B$61,0)),0)</f>
        <v>1</v>
      </c>
      <c r="AB7" s="112" t="b">
        <f>IFERROR(INDEX(Outliers!$AY$3:$AY$61,MATCH('SkYSPark Data_w Will''s Data'!C7,Outliers!$B$3:$B$61,0)),0)</f>
        <v>1</v>
      </c>
      <c r="AC7" s="112" t="s">
        <v>392</v>
      </c>
      <c r="AF7" s="132"/>
    </row>
    <row r="8" spans="1:145" x14ac:dyDescent="0.3">
      <c r="A8" s="2">
        <v>45078</v>
      </c>
      <c r="B8" s="3">
        <f t="shared" si="0"/>
        <v>6</v>
      </c>
      <c r="C8" s="3" t="s">
        <v>122</v>
      </c>
      <c r="D8" s="3" t="str">
        <f>VLOOKUP(C8,'Data availability'!$A$2:$B$91,2,FALSE)</f>
        <v>Main campus</v>
      </c>
      <c r="E8" s="3">
        <v>39323</v>
      </c>
      <c r="F8" s="3" t="str">
        <f>VLOOKUP(C8,'Data availability'!$A$2:$H$91,8,FALSE)</f>
        <v>Office</v>
      </c>
      <c r="G8" s="1">
        <v>46.000000000000455</v>
      </c>
      <c r="M8" s="21">
        <f t="shared" si="1"/>
        <v>3.9913536607075134E-3</v>
      </c>
      <c r="N8" s="21">
        <f t="shared" si="2"/>
        <v>0</v>
      </c>
      <c r="O8" s="21">
        <f t="shared" si="3"/>
        <v>0</v>
      </c>
      <c r="P8" s="21">
        <f t="shared" si="4"/>
        <v>0</v>
      </c>
      <c r="Z8" s="211" t="b">
        <f>IFERROR(INDEX(Outliers!$X$3:$X$61,MATCH('SkYSPark Data_w Will''s Data'!C8,Outliers!$B$3:$B$61,0)),0)</f>
        <v>0</v>
      </c>
      <c r="AA8" s="1" t="b">
        <f>IFERROR(INDEX(Outliers!$AP$3:$AP$61,MATCH('SkYSPark Data_w Will''s Data'!C8,Outliers!$B$3:$B$61,0)),0)</f>
        <v>1</v>
      </c>
      <c r="AB8" s="112" t="b">
        <f>IFERROR(INDEX(Outliers!$AY$3:$AY$61,MATCH('SkYSPark Data_w Will''s Data'!C8,Outliers!$B$3:$B$61,0)),0)</f>
        <v>1</v>
      </c>
      <c r="AC8" s="112" t="s">
        <v>392</v>
      </c>
      <c r="AF8" s="132"/>
    </row>
    <row r="9" spans="1:145" x14ac:dyDescent="0.3">
      <c r="A9" s="2">
        <v>45108</v>
      </c>
      <c r="B9" s="3">
        <f t="shared" ref="B9:B72" si="5">MONTH(A9)</f>
        <v>7</v>
      </c>
      <c r="C9" s="3" t="s">
        <v>122</v>
      </c>
      <c r="D9" s="3" t="str">
        <f>VLOOKUP(C9,'Data availability'!$A$2:$B$91,2,FALSE)</f>
        <v>Main campus</v>
      </c>
      <c r="E9" s="3">
        <v>39323</v>
      </c>
      <c r="F9" s="3" t="str">
        <f>VLOOKUP(C9,'Data availability'!$A$2:$H$91,8,FALSE)</f>
        <v>Office</v>
      </c>
      <c r="G9" s="1">
        <v>51.000000000000782</v>
      </c>
      <c r="M9" s="21">
        <f t="shared" ref="M9:M72" si="6">IFERROR((G9*3.412)/E9,0)</f>
        <v>4.4251964499148764E-3</v>
      </c>
      <c r="N9" s="21">
        <f t="shared" ref="N9:N72" si="7">IFERROR((I9*100)/E9,0)</f>
        <v>0</v>
      </c>
      <c r="O9" s="21">
        <f t="shared" ref="O9:O72" si="8">IFERROR((J9*100)/E9,0)</f>
        <v>0</v>
      </c>
      <c r="P9" s="21">
        <f t="shared" ref="P9:P72" si="9">IFERROR((K9*12)/E9,0)</f>
        <v>0</v>
      </c>
      <c r="Z9" s="211" t="b">
        <f>IFERROR(INDEX(Outliers!$X$3:$X$61,MATCH('SkYSPark Data_w Will''s Data'!C9,Outliers!$B$3:$B$61,0)),0)</f>
        <v>0</v>
      </c>
      <c r="AA9" s="1" t="b">
        <f>IFERROR(INDEX(Outliers!$AP$3:$AP$61,MATCH('SkYSPark Data_w Will''s Data'!C9,Outliers!$B$3:$B$61,0)),0)</f>
        <v>1</v>
      </c>
      <c r="AB9" s="112" t="b">
        <f>IFERROR(INDEX(Outliers!$AY$3:$AY$61,MATCH('SkYSPark Data_w Will''s Data'!C9,Outliers!$B$3:$B$61,0)),0)</f>
        <v>1</v>
      </c>
      <c r="AC9" s="112" t="s">
        <v>392</v>
      </c>
      <c r="AF9" s="132"/>
    </row>
    <row r="10" spans="1:145" x14ac:dyDescent="0.3">
      <c r="A10" s="2">
        <v>45139</v>
      </c>
      <c r="B10" s="3">
        <f t="shared" si="5"/>
        <v>8</v>
      </c>
      <c r="C10" s="3" t="s">
        <v>122</v>
      </c>
      <c r="D10" s="3" t="str">
        <f>VLOOKUP(C10,'Data availability'!$A$2:$B$91,2,FALSE)</f>
        <v>Main campus</v>
      </c>
      <c r="E10" s="3">
        <v>39323</v>
      </c>
      <c r="F10" s="3" t="str">
        <f>VLOOKUP(C10,'Data availability'!$A$2:$H$91,8,FALSE)</f>
        <v>Office</v>
      </c>
      <c r="G10" s="1">
        <v>47.999999999999957</v>
      </c>
      <c r="M10" s="21">
        <f t="shared" si="6"/>
        <v>4.1648907763904034E-3</v>
      </c>
      <c r="N10" s="21">
        <f t="shared" si="7"/>
        <v>0</v>
      </c>
      <c r="O10" s="21">
        <f t="shared" si="8"/>
        <v>0</v>
      </c>
      <c r="P10" s="21">
        <f t="shared" si="9"/>
        <v>0</v>
      </c>
      <c r="Z10" s="211" t="b">
        <f>IFERROR(INDEX(Outliers!$X$3:$X$61,MATCH('SkYSPark Data_w Will''s Data'!C10,Outliers!$B$3:$B$61,0)),0)</f>
        <v>0</v>
      </c>
      <c r="AA10" s="1" t="b">
        <f>IFERROR(INDEX(Outliers!$AP$3:$AP$61,MATCH('SkYSPark Data_w Will''s Data'!C10,Outliers!$B$3:$B$61,0)),0)</f>
        <v>1</v>
      </c>
      <c r="AB10" s="112" t="b">
        <f>IFERROR(INDEX(Outliers!$AY$3:$AY$61,MATCH('SkYSPark Data_w Will''s Data'!C10,Outliers!$B$3:$B$61,0)),0)</f>
        <v>1</v>
      </c>
      <c r="AC10" s="112" t="s">
        <v>392</v>
      </c>
      <c r="AF10" s="132"/>
    </row>
    <row r="11" spans="1:145" x14ac:dyDescent="0.3">
      <c r="A11" s="2">
        <v>45170</v>
      </c>
      <c r="B11" s="3">
        <f t="shared" si="5"/>
        <v>9</v>
      </c>
      <c r="C11" s="3" t="s">
        <v>122</v>
      </c>
      <c r="D11" s="3" t="str">
        <f>VLOOKUP(C11,'Data availability'!$A$2:$B$91,2,FALSE)</f>
        <v>Main campus</v>
      </c>
      <c r="E11" s="3">
        <v>39323</v>
      </c>
      <c r="F11" s="3" t="str">
        <f>VLOOKUP(C11,'Data availability'!$A$2:$H$91,8,FALSE)</f>
        <v>Office</v>
      </c>
      <c r="G11" s="1">
        <v>47.000000000000256</v>
      </c>
      <c r="M11" s="21">
        <f t="shared" si="6"/>
        <v>4.0781222185489628E-3</v>
      </c>
      <c r="N11" s="21">
        <f t="shared" si="7"/>
        <v>0</v>
      </c>
      <c r="O11" s="21">
        <f t="shared" si="8"/>
        <v>0</v>
      </c>
      <c r="P11" s="21">
        <f t="shared" si="9"/>
        <v>0</v>
      </c>
      <c r="Z11" s="211" t="b">
        <f>IFERROR(INDEX(Outliers!$X$3:$X$61,MATCH('SkYSPark Data_w Will''s Data'!C11,Outliers!$B$3:$B$61,0)),0)</f>
        <v>0</v>
      </c>
      <c r="AA11" s="1" t="b">
        <f>IFERROR(INDEX(Outliers!$AP$3:$AP$61,MATCH('SkYSPark Data_w Will''s Data'!C11,Outliers!$B$3:$B$61,0)),0)</f>
        <v>1</v>
      </c>
      <c r="AB11" s="112" t="b">
        <f>IFERROR(INDEX(Outliers!$AY$3:$AY$61,MATCH('SkYSPark Data_w Will''s Data'!C11,Outliers!$B$3:$B$61,0)),0)</f>
        <v>1</v>
      </c>
      <c r="AC11" s="112" t="s">
        <v>392</v>
      </c>
      <c r="AF11" s="132"/>
    </row>
    <row r="12" spans="1:145" x14ac:dyDescent="0.3">
      <c r="A12" s="2">
        <v>45200</v>
      </c>
      <c r="B12" s="3">
        <f t="shared" si="5"/>
        <v>10</v>
      </c>
      <c r="C12" s="3" t="s">
        <v>122</v>
      </c>
      <c r="D12" s="3" t="str">
        <f>VLOOKUP(C12,'Data availability'!$A$2:$B$91,2,FALSE)</f>
        <v>Main campus</v>
      </c>
      <c r="E12" s="3">
        <v>39323</v>
      </c>
      <c r="F12" s="3" t="str">
        <f>VLOOKUP(C12,'Data availability'!$A$2:$H$91,8,FALSE)</f>
        <v>Office</v>
      </c>
      <c r="G12" s="1">
        <v>53.999999999999659</v>
      </c>
      <c r="M12" s="21">
        <f t="shared" si="6"/>
        <v>4.6855021234391784E-3</v>
      </c>
      <c r="N12" s="21">
        <f t="shared" si="7"/>
        <v>0</v>
      </c>
      <c r="O12" s="21">
        <f t="shared" si="8"/>
        <v>0</v>
      </c>
      <c r="P12" s="21">
        <f t="shared" si="9"/>
        <v>0</v>
      </c>
      <c r="Z12" s="211" t="b">
        <f>IFERROR(INDEX(Outliers!$X$3:$X$61,MATCH('SkYSPark Data_w Will''s Data'!C12,Outliers!$B$3:$B$61,0)),0)</f>
        <v>0</v>
      </c>
      <c r="AA12" s="1" t="b">
        <f>IFERROR(INDEX(Outliers!$AP$3:$AP$61,MATCH('SkYSPark Data_w Will''s Data'!C12,Outliers!$B$3:$B$61,0)),0)</f>
        <v>1</v>
      </c>
      <c r="AB12" s="112" t="b">
        <f>IFERROR(INDEX(Outliers!$AY$3:$AY$61,MATCH('SkYSPark Data_w Will''s Data'!C12,Outliers!$B$3:$B$61,0)),0)</f>
        <v>1</v>
      </c>
      <c r="AC12" s="112" t="s">
        <v>392</v>
      </c>
      <c r="AF12" s="132"/>
    </row>
    <row r="13" spans="1:145" x14ac:dyDescent="0.3">
      <c r="A13" s="2">
        <v>45231</v>
      </c>
      <c r="B13" s="3">
        <f t="shared" si="5"/>
        <v>11</v>
      </c>
      <c r="C13" s="3" t="s">
        <v>122</v>
      </c>
      <c r="D13" s="3" t="str">
        <f>VLOOKUP(C13,'Data availability'!$A$2:$B$91,2,FALSE)</f>
        <v>Main campus</v>
      </c>
      <c r="E13" s="3">
        <v>39323</v>
      </c>
      <c r="F13" s="3" t="str">
        <f>VLOOKUP(C13,'Data availability'!$A$2:$H$91,8,FALSE)</f>
        <v>Office</v>
      </c>
      <c r="G13" s="1">
        <v>58.999999999999481</v>
      </c>
      <c r="M13" s="21">
        <f t="shared" si="6"/>
        <v>5.1193449126464979E-3</v>
      </c>
      <c r="N13" s="21">
        <f t="shared" si="7"/>
        <v>0</v>
      </c>
      <c r="O13" s="21">
        <f t="shared" si="8"/>
        <v>0</v>
      </c>
      <c r="P13" s="21">
        <f t="shared" si="9"/>
        <v>0</v>
      </c>
      <c r="Z13" s="211" t="b">
        <f>IFERROR(INDEX(Outliers!$X$3:$X$61,MATCH('SkYSPark Data_w Will''s Data'!C13,Outliers!$B$3:$B$61,0)),0)</f>
        <v>0</v>
      </c>
      <c r="AA13" s="1" t="b">
        <f>IFERROR(INDEX(Outliers!$AP$3:$AP$61,MATCH('SkYSPark Data_w Will''s Data'!C13,Outliers!$B$3:$B$61,0)),0)</f>
        <v>1</v>
      </c>
      <c r="AB13" s="112" t="b">
        <f>IFERROR(INDEX(Outliers!$AY$3:$AY$61,MATCH('SkYSPark Data_w Will''s Data'!C13,Outliers!$B$3:$B$61,0)),0)</f>
        <v>1</v>
      </c>
      <c r="AC13" s="112" t="s">
        <v>392</v>
      </c>
      <c r="AF13" s="132"/>
    </row>
    <row r="14" spans="1:145" s="69" customFormat="1" x14ac:dyDescent="0.3">
      <c r="A14" s="65">
        <v>45261</v>
      </c>
      <c r="B14" s="64">
        <f t="shared" si="5"/>
        <v>12</v>
      </c>
      <c r="C14" s="64" t="s">
        <v>122</v>
      </c>
      <c r="D14" s="64" t="str">
        <f>VLOOKUP(C14,'Data availability'!$A$2:$B$91,2,FALSE)</f>
        <v>Main campus</v>
      </c>
      <c r="E14" s="64">
        <v>39323</v>
      </c>
      <c r="F14" s="3" t="str">
        <f>VLOOKUP(C14,'Data availability'!$A$2:$H$91,8,FALSE)</f>
        <v>Office</v>
      </c>
      <c r="G14" s="66">
        <v>41.480135458825352</v>
      </c>
      <c r="H14" s="66"/>
      <c r="I14" s="66"/>
      <c r="J14" s="66"/>
      <c r="K14" s="66"/>
      <c r="L14" s="67"/>
      <c r="M14" s="21">
        <f t="shared" si="6"/>
        <v>3.5991715328309664E-3</v>
      </c>
      <c r="N14" s="21">
        <f t="shared" si="7"/>
        <v>0</v>
      </c>
      <c r="O14" s="21">
        <f t="shared" si="8"/>
        <v>0</v>
      </c>
      <c r="P14" s="21">
        <f t="shared" si="9"/>
        <v>0</v>
      </c>
      <c r="Q14" s="66"/>
      <c r="R14" s="66"/>
      <c r="S14" s="66"/>
      <c r="T14" s="66"/>
      <c r="U14" s="66"/>
      <c r="V14" s="68"/>
      <c r="W14" s="66"/>
      <c r="X14" s="67"/>
      <c r="Y14" s="66"/>
      <c r="Z14" s="211" t="b">
        <f>IFERROR(INDEX(Outliers!$X$3:$X$61,MATCH('SkYSPark Data_w Will''s Data'!C14,Outliers!$B$3:$B$61,0)),0)</f>
        <v>0</v>
      </c>
      <c r="AA14" s="1" t="b">
        <f>IFERROR(INDEX(Outliers!$AP$3:$AP$61,MATCH('SkYSPark Data_w Will''s Data'!C14,Outliers!$B$3:$B$61,0)),0)</f>
        <v>1</v>
      </c>
      <c r="AB14" s="112" t="b">
        <f>IFERROR(INDEX(Outliers!$AY$3:$AY$61,MATCH('SkYSPark Data_w Will''s Data'!C14,Outliers!$B$3:$B$61,0)),0)</f>
        <v>1</v>
      </c>
      <c r="AC14" s="112" t="s">
        <v>392</v>
      </c>
      <c r="AD14" s="134"/>
      <c r="AE14" s="134"/>
      <c r="AF14" s="133"/>
    </row>
    <row r="15" spans="1:145" x14ac:dyDescent="0.3">
      <c r="A15" s="2">
        <v>44927</v>
      </c>
      <c r="B15" s="3">
        <f t="shared" si="5"/>
        <v>1</v>
      </c>
      <c r="C15" s="3" t="s">
        <v>126</v>
      </c>
      <c r="D15" s="3" t="str">
        <f>VLOOKUP(C15,'Data availability'!$A$2:$B$91,2,FALSE)</f>
        <v>Main campus</v>
      </c>
      <c r="E15" s="3">
        <v>85419</v>
      </c>
      <c r="F15" s="3" t="str">
        <f>VLOOKUP(C15,'Data availability'!$A$2:$H$91,8,FALSE)</f>
        <v xml:space="preserve">Lab </v>
      </c>
      <c r="G15" s="259">
        <f>'Solar Data-Main Campus'!B37</f>
        <v>102535.93103448443</v>
      </c>
      <c r="I15" s="1">
        <v>0</v>
      </c>
      <c r="J15" s="1">
        <v>7115.6209590516464</v>
      </c>
      <c r="K15" s="1">
        <v>12217.28192046085</v>
      </c>
      <c r="M15" s="21">
        <f t="shared" si="6"/>
        <v>4.0957233951423087</v>
      </c>
      <c r="N15" s="21">
        <f t="shared" si="7"/>
        <v>0</v>
      </c>
      <c r="O15" s="21">
        <f t="shared" si="8"/>
        <v>8.330255515812226</v>
      </c>
      <c r="P15" s="21">
        <f t="shared" si="9"/>
        <v>1.7163322334086115</v>
      </c>
      <c r="Q15" s="1">
        <f>(SUM(G15:G26)*3.412)/E15</f>
        <v>37.925655647960333</v>
      </c>
      <c r="R15" s="1">
        <f>(SUM(I15:I26)*100)/E15</f>
        <v>6.1174343307727882E-3</v>
      </c>
      <c r="S15" s="1">
        <f>(SUM(J15:J26)*100)/E15</f>
        <v>47.263051321356542</v>
      </c>
      <c r="T15" s="1">
        <f>(SUM(K15:K26)*12)/E15</f>
        <v>20.744690783036887</v>
      </c>
      <c r="V15" s="33">
        <f>SUM(Q15:T15)</f>
        <v>105.93951518668455</v>
      </c>
      <c r="W15" s="10" t="s">
        <v>252</v>
      </c>
      <c r="Z15" s="211" t="b">
        <f>IFERROR(INDEX(Outliers!$X$3:$X$61,MATCH('SkYSPark Data_w Will''s Data'!C15,Outliers!$B$3:$B$61,0)),0)</f>
        <v>0</v>
      </c>
      <c r="AA15" s="1" t="b">
        <f>IFERROR(INDEX(Outliers!$AP$3:$AP$61,MATCH('SkYSPark Data_w Will''s Data'!C15,Outliers!$B$3:$B$61,0)),0)</f>
        <v>0</v>
      </c>
      <c r="AB15" s="112" t="b">
        <f>IFERROR(INDEX(Outliers!$AY$3:$AY$61,MATCH('SkYSPark Data_w Will''s Data'!C15,Outliers!$B$3:$B$61,0)),0)</f>
        <v>0</v>
      </c>
      <c r="AC15" s="112" t="s">
        <v>392</v>
      </c>
    </row>
    <row r="16" spans="1:145" x14ac:dyDescent="0.3">
      <c r="A16" s="2">
        <v>44958</v>
      </c>
      <c r="B16" s="3">
        <f t="shared" si="5"/>
        <v>2</v>
      </c>
      <c r="C16" s="3" t="s">
        <v>126</v>
      </c>
      <c r="D16" s="3" t="str">
        <f>VLOOKUP(C16,'Data availability'!$A$2:$B$91,2,FALSE)</f>
        <v>Main campus</v>
      </c>
      <c r="E16" s="3">
        <v>85419</v>
      </c>
      <c r="F16" s="3" t="str">
        <f>VLOOKUP(C16,'Data availability'!$A$2:$H$91,8,FALSE)</f>
        <v xml:space="preserve">Lab </v>
      </c>
      <c r="G16" s="259">
        <f>'Solar Data-Main Campus'!B38</f>
        <v>101146.99999999939</v>
      </c>
      <c r="I16" s="1">
        <v>0</v>
      </c>
      <c r="J16" s="1">
        <v>6500.3515624999736</v>
      </c>
      <c r="K16" s="1">
        <v>11536.322382812599</v>
      </c>
      <c r="M16" s="21">
        <f t="shared" si="6"/>
        <v>4.0402435523712281</v>
      </c>
      <c r="N16" s="21">
        <f t="shared" si="7"/>
        <v>0</v>
      </c>
      <c r="O16" s="21">
        <f t="shared" si="8"/>
        <v>7.6099598010980847</v>
      </c>
      <c r="P16" s="21">
        <f t="shared" si="9"/>
        <v>1.620668336011323</v>
      </c>
      <c r="W16" s="10" t="s">
        <v>253</v>
      </c>
      <c r="Z16" s="211" t="b">
        <f>IFERROR(INDEX(Outliers!$X$3:$X$61,MATCH('SkYSPark Data_w Will''s Data'!C16,Outliers!$B$3:$B$61,0)),0)</f>
        <v>0</v>
      </c>
      <c r="AA16" s="1" t="b">
        <f>IFERROR(INDEX(Outliers!$AP$3:$AP$61,MATCH('SkYSPark Data_w Will''s Data'!C16,Outliers!$B$3:$B$61,0)),0)</f>
        <v>0</v>
      </c>
      <c r="AB16" s="112" t="b">
        <f>IFERROR(INDEX(Outliers!$AY$3:$AY$61,MATCH('SkYSPark Data_w Will''s Data'!C16,Outliers!$B$3:$B$61,0)),0)</f>
        <v>0</v>
      </c>
      <c r="AC16" s="112" t="s">
        <v>392</v>
      </c>
    </row>
    <row r="17" spans="1:34" x14ac:dyDescent="0.3">
      <c r="A17" s="2">
        <v>44986</v>
      </c>
      <c r="B17" s="3">
        <f t="shared" si="5"/>
        <v>3</v>
      </c>
      <c r="C17" s="3" t="s">
        <v>126</v>
      </c>
      <c r="D17" s="3" t="str">
        <f>VLOOKUP(C17,'Data availability'!$A$2:$B$91,2,FALSE)</f>
        <v>Main campus</v>
      </c>
      <c r="E17" s="3">
        <v>85419</v>
      </c>
      <c r="F17" s="3" t="str">
        <f>VLOOKUP(C17,'Data availability'!$A$2:$H$91,8,FALSE)</f>
        <v xml:space="preserve">Lab </v>
      </c>
      <c r="G17" s="259">
        <f>'Solar Data-Main Campus'!B39</f>
        <v>107805.3015170677</v>
      </c>
      <c r="I17" s="1">
        <v>0</v>
      </c>
      <c r="J17" s="1">
        <v>7061.4280282079062</v>
      </c>
      <c r="K17" s="1">
        <v>13805.684766723891</v>
      </c>
      <c r="M17" s="21">
        <f t="shared" si="6"/>
        <v>4.3062045771577164</v>
      </c>
      <c r="N17" s="21">
        <f t="shared" si="7"/>
        <v>0</v>
      </c>
      <c r="O17" s="21">
        <f t="shared" si="8"/>
        <v>8.2668118664558321</v>
      </c>
      <c r="P17" s="21">
        <f t="shared" si="9"/>
        <v>1.9394773668702125</v>
      </c>
      <c r="W17" s="10" t="s">
        <v>254</v>
      </c>
      <c r="Z17" s="211" t="b">
        <f>IFERROR(INDEX(Outliers!$X$3:$X$61,MATCH('SkYSPark Data_w Will''s Data'!C17,Outliers!$B$3:$B$61,0)),0)</f>
        <v>0</v>
      </c>
      <c r="AA17" s="1" t="b">
        <f>IFERROR(INDEX(Outliers!$AP$3:$AP$61,MATCH('SkYSPark Data_w Will''s Data'!C17,Outliers!$B$3:$B$61,0)),0)</f>
        <v>0</v>
      </c>
      <c r="AB17" s="112" t="b">
        <f>IFERROR(INDEX(Outliers!$AY$3:$AY$61,MATCH('SkYSPark Data_w Will''s Data'!C17,Outliers!$B$3:$B$61,0)),0)</f>
        <v>0</v>
      </c>
      <c r="AC17" s="112" t="s">
        <v>392</v>
      </c>
    </row>
    <row r="18" spans="1:34" x14ac:dyDescent="0.3">
      <c r="A18" s="2">
        <v>45017</v>
      </c>
      <c r="B18" s="3">
        <f t="shared" si="5"/>
        <v>4</v>
      </c>
      <c r="C18" s="3" t="s">
        <v>126</v>
      </c>
      <c r="D18" s="3" t="str">
        <f>VLOOKUP(C18,'Data availability'!$A$2:$B$91,2,FALSE)</f>
        <v>Main campus</v>
      </c>
      <c r="E18" s="3">
        <v>85419</v>
      </c>
      <c r="F18" s="3" t="str">
        <f>VLOOKUP(C18,'Data availability'!$A$2:$H$91,8,FALSE)</f>
        <v xml:space="preserve">Lab </v>
      </c>
      <c r="G18" s="259">
        <f>'Solar Data-Main Campus'!B40</f>
        <v>104656.69848293414</v>
      </c>
      <c r="I18" s="1">
        <v>1.0424536466598511</v>
      </c>
      <c r="J18" s="1">
        <v>5075.2125967921274</v>
      </c>
      <c r="K18" s="1">
        <v>15674.662664916659</v>
      </c>
      <c r="M18" s="21">
        <f t="shared" si="6"/>
        <v>4.180435912663123</v>
      </c>
      <c r="N18" s="21">
        <f t="shared" si="7"/>
        <v>1.2204001997914412E-3</v>
      </c>
      <c r="O18" s="21">
        <f t="shared" si="8"/>
        <v>5.9415500026833934</v>
      </c>
      <c r="P18" s="21">
        <f t="shared" si="9"/>
        <v>2.2020387967431123</v>
      </c>
      <c r="W18" s="10" t="s">
        <v>251</v>
      </c>
      <c r="Z18" s="211" t="b">
        <f>IFERROR(INDEX(Outliers!$X$3:$X$61,MATCH('SkYSPark Data_w Will''s Data'!C18,Outliers!$B$3:$B$61,0)),0)</f>
        <v>0</v>
      </c>
      <c r="AA18" s="1" t="b">
        <f>IFERROR(INDEX(Outliers!$AP$3:$AP$61,MATCH('SkYSPark Data_w Will''s Data'!C18,Outliers!$B$3:$B$61,0)),0)</f>
        <v>0</v>
      </c>
      <c r="AB18" s="112" t="b">
        <f>IFERROR(INDEX(Outliers!$AY$3:$AY$61,MATCH('SkYSPark Data_w Will''s Data'!C18,Outliers!$B$3:$B$61,0)),0)</f>
        <v>0</v>
      </c>
      <c r="AC18" s="112" t="s">
        <v>392</v>
      </c>
    </row>
    <row r="19" spans="1:34" x14ac:dyDescent="0.3">
      <c r="A19" s="2">
        <v>45047</v>
      </c>
      <c r="B19" s="3">
        <f t="shared" si="5"/>
        <v>5</v>
      </c>
      <c r="C19" s="3" t="s">
        <v>126</v>
      </c>
      <c r="D19" s="3" t="str">
        <f>VLOOKUP(C19,'Data availability'!$A$2:$B$91,2,FALSE)</f>
        <v>Main campus</v>
      </c>
      <c r="E19" s="3">
        <v>85419</v>
      </c>
      <c r="F19" s="3" t="str">
        <f>VLOOKUP(C19,'Data availability'!$A$2:$H$91,8,FALSE)</f>
        <v xml:space="preserve">Lab </v>
      </c>
      <c r="G19" s="259">
        <f>'Solar Data-Main Campus'!B41</f>
        <v>104333.00000000132</v>
      </c>
      <c r="I19" s="1">
        <v>0</v>
      </c>
      <c r="J19" s="1">
        <v>3585.117187500025</v>
      </c>
      <c r="K19" s="1">
        <v>16223.39075195338</v>
      </c>
      <c r="M19" s="21">
        <f t="shared" si="6"/>
        <v>4.1675060115431526</v>
      </c>
      <c r="N19" s="21">
        <f t="shared" si="7"/>
        <v>0</v>
      </c>
      <c r="O19" s="21">
        <f t="shared" si="8"/>
        <v>4.1970957134829785</v>
      </c>
      <c r="P19" s="21">
        <f t="shared" si="9"/>
        <v>2.2791262953609919</v>
      </c>
      <c r="Z19" s="211" t="b">
        <f>IFERROR(INDEX(Outliers!$X$3:$X$61,MATCH('SkYSPark Data_w Will''s Data'!C19,Outliers!$B$3:$B$61,0)),0)</f>
        <v>0</v>
      </c>
      <c r="AA19" s="1" t="b">
        <f>IFERROR(INDEX(Outliers!$AP$3:$AP$61,MATCH('SkYSPark Data_w Will''s Data'!C19,Outliers!$B$3:$B$61,0)),0)</f>
        <v>0</v>
      </c>
      <c r="AB19" s="112" t="b">
        <f>IFERROR(INDEX(Outliers!$AY$3:$AY$61,MATCH('SkYSPark Data_w Will''s Data'!C19,Outliers!$B$3:$B$61,0)),0)</f>
        <v>0</v>
      </c>
      <c r="AC19" s="112" t="s">
        <v>392</v>
      </c>
    </row>
    <row r="20" spans="1:34" x14ac:dyDescent="0.3">
      <c r="A20" s="2">
        <v>45078</v>
      </c>
      <c r="B20" s="3">
        <f t="shared" si="5"/>
        <v>6</v>
      </c>
      <c r="C20" s="3" t="s">
        <v>126</v>
      </c>
      <c r="D20" s="3" t="str">
        <f>VLOOKUP(C20,'Data availability'!$A$2:$B$91,2,FALSE)</f>
        <v>Main campus</v>
      </c>
      <c r="E20" s="3">
        <v>85419</v>
      </c>
      <c r="F20" s="3" t="str">
        <f>VLOOKUP(C20,'Data availability'!$A$2:$H$91,8,FALSE)</f>
        <v xml:space="preserve">Lab </v>
      </c>
      <c r="G20" s="259">
        <f>'Solar Data-Main Campus'!B42</f>
        <v>76884.571428572628</v>
      </c>
      <c r="I20" s="1">
        <v>0</v>
      </c>
      <c r="J20" s="1">
        <v>1761.060267857112</v>
      </c>
      <c r="K20" s="1">
        <v>13605.412792968709</v>
      </c>
      <c r="M20" s="21">
        <f t="shared" si="6"/>
        <v>3.0710984407952537</v>
      </c>
      <c r="N20" s="21">
        <f t="shared" si="7"/>
        <v>0</v>
      </c>
      <c r="O20" s="21">
        <f t="shared" si="8"/>
        <v>2.0616727752105644</v>
      </c>
      <c r="P20" s="21">
        <f t="shared" si="9"/>
        <v>1.9113423654646451</v>
      </c>
      <c r="Z20" s="211" t="b">
        <f>IFERROR(INDEX(Outliers!$X$3:$X$61,MATCH('SkYSPark Data_w Will''s Data'!C20,Outliers!$B$3:$B$61,0)),0)</f>
        <v>0</v>
      </c>
      <c r="AA20" s="1" t="b">
        <f>IFERROR(INDEX(Outliers!$AP$3:$AP$61,MATCH('SkYSPark Data_w Will''s Data'!C20,Outliers!$B$3:$B$61,0)),0)</f>
        <v>0</v>
      </c>
      <c r="AB20" s="112" t="b">
        <f>IFERROR(INDEX(Outliers!$AY$3:$AY$61,MATCH('SkYSPark Data_w Will''s Data'!C20,Outliers!$B$3:$B$61,0)),0)</f>
        <v>0</v>
      </c>
      <c r="AC20" s="112" t="s">
        <v>392</v>
      </c>
    </row>
    <row r="21" spans="1:34" x14ac:dyDescent="0.3">
      <c r="A21" s="2">
        <v>45108</v>
      </c>
      <c r="B21" s="3">
        <f t="shared" si="5"/>
        <v>7</v>
      </c>
      <c r="C21" s="3" t="s">
        <v>126</v>
      </c>
      <c r="D21" s="3" t="str">
        <f>VLOOKUP(C21,'Data availability'!$A$2:$B$91,2,FALSE)</f>
        <v>Main campus</v>
      </c>
      <c r="E21" s="3">
        <v>85419</v>
      </c>
      <c r="F21" s="3" t="str">
        <f>VLOOKUP(C21,'Data availability'!$A$2:$H$91,8,FALSE)</f>
        <v xml:space="preserve">Lab </v>
      </c>
      <c r="G21" s="259">
        <f>'Solar Data-Main Campus'!B43</f>
        <v>70571.428571427503</v>
      </c>
      <c r="I21" s="1">
        <v>0</v>
      </c>
      <c r="J21" s="1">
        <v>1209.017857142841</v>
      </c>
      <c r="K21" s="1">
        <v>15184.77669921861</v>
      </c>
      <c r="M21" s="21">
        <f t="shared" si="6"/>
        <v>2.8189245283333992</v>
      </c>
      <c r="N21" s="21">
        <f t="shared" si="7"/>
        <v>0</v>
      </c>
      <c r="O21" s="21">
        <f t="shared" si="8"/>
        <v>1.415396875569652</v>
      </c>
      <c r="P21" s="21">
        <f t="shared" si="9"/>
        <v>2.1332176727733096</v>
      </c>
      <c r="Z21" s="211" t="b">
        <f>IFERROR(INDEX(Outliers!$X$3:$X$61,MATCH('SkYSPark Data_w Will''s Data'!C21,Outliers!$B$3:$B$61,0)),0)</f>
        <v>0</v>
      </c>
      <c r="AA21" s="1" t="b">
        <f>IFERROR(INDEX(Outliers!$AP$3:$AP$61,MATCH('SkYSPark Data_w Will''s Data'!C21,Outliers!$B$3:$B$61,0)),0)</f>
        <v>0</v>
      </c>
      <c r="AB21" s="112" t="b">
        <f>IFERROR(INDEX(Outliers!$AY$3:$AY$61,MATCH('SkYSPark Data_w Will''s Data'!C21,Outliers!$B$3:$B$61,0)),0)</f>
        <v>0</v>
      </c>
      <c r="AC21" s="112" t="s">
        <v>392</v>
      </c>
    </row>
    <row r="22" spans="1:34" x14ac:dyDescent="0.3">
      <c r="A22" s="2">
        <v>45139</v>
      </c>
      <c r="B22" s="3">
        <f t="shared" si="5"/>
        <v>8</v>
      </c>
      <c r="C22" s="3" t="s">
        <v>126</v>
      </c>
      <c r="D22" s="3" t="str">
        <f>VLOOKUP(C22,'Data availability'!$A$2:$B$91,2,FALSE)</f>
        <v>Main campus</v>
      </c>
      <c r="E22" s="3">
        <v>85419</v>
      </c>
      <c r="F22" s="3" t="str">
        <f>VLOOKUP(C22,'Data availability'!$A$2:$H$91,8,FALSE)</f>
        <v xml:space="preserve">Lab </v>
      </c>
      <c r="G22" s="259">
        <f>'Solar Data-Main Campus'!B44</f>
        <v>55735.557142857811</v>
      </c>
      <c r="I22" s="1">
        <v>1.0485380887985229</v>
      </c>
      <c r="J22" s="1">
        <v>658.19642857141662</v>
      </c>
      <c r="K22" s="1">
        <v>13469.98759263405</v>
      </c>
      <c r="M22" s="21">
        <f t="shared" si="6"/>
        <v>2.2263164046808188</v>
      </c>
      <c r="N22" s="21">
        <f t="shared" si="7"/>
        <v>1.2275232545435125E-3</v>
      </c>
      <c r="O22" s="21">
        <f t="shared" si="8"/>
        <v>0.77055037939031901</v>
      </c>
      <c r="P22" s="21">
        <f t="shared" si="9"/>
        <v>1.892317296053672</v>
      </c>
      <c r="Z22" s="211" t="b">
        <f>IFERROR(INDEX(Outliers!$X$3:$X$61,MATCH('SkYSPark Data_w Will''s Data'!C22,Outliers!$B$3:$B$61,0)),0)</f>
        <v>0</v>
      </c>
      <c r="AA22" s="1" t="b">
        <f>IFERROR(INDEX(Outliers!$AP$3:$AP$61,MATCH('SkYSPark Data_w Will''s Data'!C22,Outliers!$B$3:$B$61,0)),0)</f>
        <v>0</v>
      </c>
      <c r="AB22" s="112" t="b">
        <f>IFERROR(INDEX(Outliers!$AY$3:$AY$61,MATCH('SkYSPark Data_w Will''s Data'!C22,Outliers!$B$3:$B$61,0)),0)</f>
        <v>0</v>
      </c>
      <c r="AC22" s="112" t="s">
        <v>392</v>
      </c>
    </row>
    <row r="23" spans="1:34" x14ac:dyDescent="0.3">
      <c r="A23" s="2">
        <v>45170</v>
      </c>
      <c r="B23" s="3">
        <f t="shared" si="5"/>
        <v>9</v>
      </c>
      <c r="C23" s="3" t="s">
        <v>126</v>
      </c>
      <c r="D23" s="3" t="str">
        <f>VLOOKUP(C23,'Data availability'!$A$2:$B$91,2,FALSE)</f>
        <v>Main campus</v>
      </c>
      <c r="E23" s="3">
        <v>85419</v>
      </c>
      <c r="F23" s="3" t="str">
        <f>VLOOKUP(C23,'Data availability'!$A$2:$H$91,8,FALSE)</f>
        <v xml:space="preserve">Lab </v>
      </c>
      <c r="G23" s="259">
        <f>'Solar Data-Main Campus'!B45</f>
        <v>57098.514285714868</v>
      </c>
      <c r="I23" s="1">
        <v>0</v>
      </c>
      <c r="J23" s="1">
        <v>1186.5189732142919</v>
      </c>
      <c r="K23" s="1">
        <v>14247.961727259861</v>
      </c>
      <c r="M23" s="21">
        <f t="shared" si="6"/>
        <v>2.2807587391898654</v>
      </c>
      <c r="N23" s="21">
        <f t="shared" si="7"/>
        <v>0</v>
      </c>
      <c r="O23" s="21">
        <f t="shared" si="8"/>
        <v>1.3890574382915883</v>
      </c>
      <c r="P23" s="21">
        <f t="shared" si="9"/>
        <v>2.0016101889172</v>
      </c>
      <c r="Z23" s="211" t="b">
        <f>IFERROR(INDEX(Outliers!$X$3:$X$61,MATCH('SkYSPark Data_w Will''s Data'!C23,Outliers!$B$3:$B$61,0)),0)</f>
        <v>0</v>
      </c>
      <c r="AA23" s="1" t="b">
        <f>IFERROR(INDEX(Outliers!$AP$3:$AP$61,MATCH('SkYSPark Data_w Will''s Data'!C23,Outliers!$B$3:$B$61,0)),0)</f>
        <v>0</v>
      </c>
      <c r="AB23" s="112" t="b">
        <f>IFERROR(INDEX(Outliers!$AY$3:$AY$61,MATCH('SkYSPark Data_w Will''s Data'!C23,Outliers!$B$3:$B$61,0)),0)</f>
        <v>0</v>
      </c>
      <c r="AC23" s="112" t="s">
        <v>392</v>
      </c>
    </row>
    <row r="24" spans="1:34" x14ac:dyDescent="0.3">
      <c r="A24" s="2">
        <v>45200</v>
      </c>
      <c r="B24" s="3">
        <f t="shared" si="5"/>
        <v>10</v>
      </c>
      <c r="C24" s="3" t="s">
        <v>126</v>
      </c>
      <c r="D24" s="3" t="str">
        <f>VLOOKUP(C24,'Data availability'!$A$2:$B$91,2,FALSE)</f>
        <v>Main campus</v>
      </c>
      <c r="E24" s="3">
        <v>85419</v>
      </c>
      <c r="F24" s="3" t="str">
        <f>VLOOKUP(C24,'Data availability'!$A$2:$H$91,8,FALSE)</f>
        <v xml:space="preserve">Lab </v>
      </c>
      <c r="G24" s="259">
        <f>'Solar Data-Main Campus'!B46</f>
        <v>62380.428571429147</v>
      </c>
      <c r="I24" s="1">
        <v>1.0394115447998049</v>
      </c>
      <c r="J24" s="1">
        <v>1652.0814732143051</v>
      </c>
      <c r="K24" s="1">
        <v>15026.597340262089</v>
      </c>
      <c r="M24" s="21">
        <f t="shared" si="6"/>
        <v>2.4917409743232333</v>
      </c>
      <c r="N24" s="21">
        <f t="shared" si="7"/>
        <v>1.2168388119736884E-3</v>
      </c>
      <c r="O24" s="21">
        <f t="shared" si="8"/>
        <v>1.934091330048707</v>
      </c>
      <c r="P24" s="21">
        <f t="shared" si="9"/>
        <v>2.1109960088873092</v>
      </c>
      <c r="Z24" s="211" t="b">
        <f>IFERROR(INDEX(Outliers!$X$3:$X$61,MATCH('SkYSPark Data_w Will''s Data'!C24,Outliers!$B$3:$B$61,0)),0)</f>
        <v>0</v>
      </c>
      <c r="AA24" s="1" t="b">
        <f>IFERROR(INDEX(Outliers!$AP$3:$AP$61,MATCH('SkYSPark Data_w Will''s Data'!C24,Outliers!$B$3:$B$61,0)),0)</f>
        <v>0</v>
      </c>
      <c r="AB24" s="112" t="b">
        <f>IFERROR(INDEX(Outliers!$AY$3:$AY$61,MATCH('SkYSPark Data_w Will''s Data'!C24,Outliers!$B$3:$B$61,0)),0)</f>
        <v>0</v>
      </c>
      <c r="AC24" s="112" t="s">
        <v>392</v>
      </c>
    </row>
    <row r="25" spans="1:34" x14ac:dyDescent="0.3">
      <c r="A25" s="2">
        <v>45231</v>
      </c>
      <c r="B25" s="3">
        <f t="shared" si="5"/>
        <v>11</v>
      </c>
      <c r="C25" s="3" t="s">
        <v>126</v>
      </c>
      <c r="D25" s="3" t="str">
        <f>VLOOKUP(C25,'Data availability'!$A$2:$B$91,2,FALSE)</f>
        <v>Main campus</v>
      </c>
      <c r="E25" s="3">
        <v>85419</v>
      </c>
      <c r="F25" s="3" t="str">
        <f>VLOOKUP(C25,'Data availability'!$A$2:$H$91,8,FALSE)</f>
        <v xml:space="preserve">Lab </v>
      </c>
      <c r="G25" s="259">
        <f>'Solar Data-Main Campus'!B47</f>
        <v>57216.358133669703</v>
      </c>
      <c r="I25" s="1">
        <v>1.045495867729187</v>
      </c>
      <c r="J25" s="1">
        <v>2161.210001576273</v>
      </c>
      <c r="K25" s="1">
        <v>5086.1830211001034</v>
      </c>
      <c r="M25" s="21">
        <f t="shared" si="6"/>
        <v>2.2854659262234516</v>
      </c>
      <c r="N25" s="21">
        <f t="shared" si="7"/>
        <v>1.2239617271674768E-3</v>
      </c>
      <c r="O25" s="21">
        <f t="shared" si="8"/>
        <v>2.5301279593255281</v>
      </c>
      <c r="P25" s="21">
        <f t="shared" si="9"/>
        <v>0.71452716905139657</v>
      </c>
      <c r="Z25" s="211" t="b">
        <f>IFERROR(INDEX(Outliers!$X$3:$X$61,MATCH('SkYSPark Data_w Will''s Data'!C25,Outliers!$B$3:$B$61,0)),0)</f>
        <v>0</v>
      </c>
      <c r="AA25" s="1" t="b">
        <f>IFERROR(INDEX(Outliers!$AP$3:$AP$61,MATCH('SkYSPark Data_w Will''s Data'!C25,Outliers!$B$3:$B$61,0)),0)</f>
        <v>0</v>
      </c>
      <c r="AB25" s="112" t="b">
        <f>IFERROR(INDEX(Outliers!$AY$3:$AY$61,MATCH('SkYSPark Data_w Will''s Data'!C25,Outliers!$B$3:$B$61,0)),0)</f>
        <v>0</v>
      </c>
      <c r="AC25" s="112" t="s">
        <v>392</v>
      </c>
    </row>
    <row r="26" spans="1:34" s="69" customFormat="1" x14ac:dyDescent="0.3">
      <c r="A26" s="65">
        <v>45261</v>
      </c>
      <c r="B26" s="3">
        <f t="shared" si="5"/>
        <v>12</v>
      </c>
      <c r="C26" s="64" t="s">
        <v>126</v>
      </c>
      <c r="D26" s="64" t="str">
        <f>VLOOKUP(C26,'Data availability'!$A$2:$B$91,2,FALSE)</f>
        <v>Main campus</v>
      </c>
      <c r="E26" s="64">
        <v>85419</v>
      </c>
      <c r="F26" s="3" t="str">
        <f>VLOOKUP(C26,'Data availability'!$A$2:$H$91,8,FALSE)</f>
        <v xml:space="preserve">Lab </v>
      </c>
      <c r="G26" s="259">
        <f>'Solar Data-Main Campus'!B48</f>
        <v>49099.331521502718</v>
      </c>
      <c r="H26" s="66"/>
      <c r="I26" s="66">
        <v>1.0495520830154419</v>
      </c>
      <c r="J26" s="66">
        <v>2405.8104725616349</v>
      </c>
      <c r="K26" s="66">
        <v>1587.633506041522</v>
      </c>
      <c r="L26" s="23"/>
      <c r="M26" s="21">
        <f t="shared" si="6"/>
        <v>1.9612371855367925</v>
      </c>
      <c r="N26" s="21">
        <f t="shared" si="7"/>
        <v>1.2287103372966692E-3</v>
      </c>
      <c r="O26" s="21">
        <f t="shared" si="8"/>
        <v>2.8164816639876782</v>
      </c>
      <c r="P26" s="21">
        <f t="shared" si="9"/>
        <v>0.22303705349510369</v>
      </c>
      <c r="Q26" s="66"/>
      <c r="R26" s="66"/>
      <c r="S26" s="66"/>
      <c r="T26" s="66"/>
      <c r="U26" s="66"/>
      <c r="V26" s="68"/>
      <c r="W26" s="66"/>
      <c r="X26" s="67"/>
      <c r="Y26" s="66"/>
      <c r="Z26" s="211" t="b">
        <f>IFERROR(INDEX(Outliers!$X$3:$X$61,MATCH('SkYSPark Data_w Will''s Data'!C26,Outliers!$B$3:$B$61,0)),0)</f>
        <v>0</v>
      </c>
      <c r="AA26" s="1" t="b">
        <f>IFERROR(INDEX(Outliers!$AP$3:$AP$61,MATCH('SkYSPark Data_w Will''s Data'!C26,Outliers!$B$3:$B$61,0)),0)</f>
        <v>0</v>
      </c>
      <c r="AB26" s="112" t="b">
        <f>IFERROR(INDEX(Outliers!$AY$3:$AY$61,MATCH('SkYSPark Data_w Will''s Data'!C26,Outliers!$B$3:$B$61,0)),0)</f>
        <v>0</v>
      </c>
      <c r="AC26" s="112" t="s">
        <v>392</v>
      </c>
      <c r="AD26" s="134"/>
      <c r="AE26" s="134"/>
      <c r="AF26" s="134"/>
    </row>
    <row r="27" spans="1:34" x14ac:dyDescent="0.3">
      <c r="A27" s="2">
        <v>44927</v>
      </c>
      <c r="B27" s="3">
        <f t="shared" si="5"/>
        <v>1</v>
      </c>
      <c r="C27" s="3" t="s">
        <v>124</v>
      </c>
      <c r="D27" s="3" t="str">
        <f>VLOOKUP(C27,'Data availability'!$A$2:$B$91,2,FALSE)</f>
        <v>Art Foundry</v>
      </c>
      <c r="E27" s="3">
        <v>7934</v>
      </c>
      <c r="F27" s="3" t="str">
        <f>VLOOKUP(C27,'Data availability'!$A$2:$H$91,8,FALSE)</f>
        <v>Storage</v>
      </c>
      <c r="G27" s="1">
        <v>3966.5323010753482</v>
      </c>
      <c r="I27" s="1">
        <v>498.32903225807092</v>
      </c>
      <c r="M27" s="21">
        <f t="shared" si="6"/>
        <v>1.7057988670618967</v>
      </c>
      <c r="N27" s="21">
        <f t="shared" si="7"/>
        <v>6.280930580515137</v>
      </c>
      <c r="O27" s="21">
        <f t="shared" si="8"/>
        <v>0</v>
      </c>
      <c r="P27" s="21">
        <f t="shared" si="9"/>
        <v>0</v>
      </c>
      <c r="Q27" s="1">
        <f>(SUM(G27:G38)*3.412)/E27</f>
        <v>23.774822880766386</v>
      </c>
      <c r="R27" s="1">
        <f>(SUM(I27:I38)*100)/E27</f>
        <v>47.339603452622192</v>
      </c>
      <c r="V27" s="33">
        <f>SUM(Q27:T27)</f>
        <v>71.114426333388579</v>
      </c>
      <c r="W27" s="10" t="s">
        <v>249</v>
      </c>
      <c r="Z27" s="211" t="b">
        <f>IFERROR(INDEX(Outliers!$X$3:$X$61,MATCH('SkYSPark Data_w Will''s Data'!C27,Outliers!$B$3:$B$61,0)),0)</f>
        <v>0</v>
      </c>
      <c r="AA27" s="1" t="b">
        <f>IFERROR(INDEX(Outliers!$AP$3:$AP$61,MATCH('SkYSPark Data_w Will''s Data'!C27,Outliers!$B$3:$B$61,0)),0)</f>
        <v>1</v>
      </c>
      <c r="AB27" s="112" t="b">
        <f>IFERROR(INDEX(Outliers!$AY$3:$AY$61,MATCH('SkYSPark Data_w Will''s Data'!C27,Outliers!$B$3:$B$61,0)),0)</f>
        <v>1</v>
      </c>
      <c r="AG27">
        <v>1.6908920106370791</v>
      </c>
      <c r="AH27">
        <v>1.6722776910625721</v>
      </c>
    </row>
    <row r="28" spans="1:34" x14ac:dyDescent="0.3">
      <c r="A28" s="2">
        <v>44958</v>
      </c>
      <c r="B28" s="3">
        <f t="shared" si="5"/>
        <v>2</v>
      </c>
      <c r="C28" s="3" t="s">
        <v>124</v>
      </c>
      <c r="D28" s="3" t="str">
        <f>VLOOKUP(C28,'Data availability'!$A$2:$B$91,2,FALSE)</f>
        <v>Art Foundry</v>
      </c>
      <c r="E28" s="3">
        <v>7934</v>
      </c>
      <c r="F28" s="3" t="str">
        <f>VLOOKUP(C28,'Data availability'!$A$2:$H$91,8,FALSE)</f>
        <v>Storage</v>
      </c>
      <c r="G28" s="1">
        <v>3921.313032258091</v>
      </c>
      <c r="I28" s="1">
        <v>686.27096774193353</v>
      </c>
      <c r="M28" s="21">
        <f t="shared" si="6"/>
        <v>1.6863524156874976</v>
      </c>
      <c r="N28" s="21">
        <f t="shared" si="7"/>
        <v>8.649747513762712</v>
      </c>
      <c r="O28" s="21">
        <f t="shared" si="8"/>
        <v>0</v>
      </c>
      <c r="P28" s="21">
        <f t="shared" si="9"/>
        <v>0</v>
      </c>
      <c r="W28" s="10" t="s">
        <v>250</v>
      </c>
      <c r="Z28" s="211" t="b">
        <f>IFERROR(INDEX(Outliers!$X$3:$X$61,MATCH('SkYSPark Data_w Will''s Data'!C28,Outliers!$B$3:$B$61,0)),0)</f>
        <v>0</v>
      </c>
      <c r="AA28" s="1" t="b">
        <f>IFERROR(INDEX(Outliers!$AP$3:$AP$61,MATCH('SkYSPark Data_w Will''s Data'!C28,Outliers!$B$3:$B$61,0)),0)</f>
        <v>1</v>
      </c>
      <c r="AB28" s="112" t="b">
        <f>IFERROR(INDEX(Outliers!$AY$3:$AY$61,MATCH('SkYSPark Data_w Will''s Data'!C28,Outliers!$B$3:$B$61,0)),0)</f>
        <v>1</v>
      </c>
      <c r="AG28">
        <v>1.8690084485407179</v>
      </c>
      <c r="AH28">
        <v>2.4885387864823101</v>
      </c>
    </row>
    <row r="29" spans="1:34" x14ac:dyDescent="0.3">
      <c r="A29" s="2">
        <v>44986</v>
      </c>
      <c r="B29" s="3">
        <f t="shared" si="5"/>
        <v>3</v>
      </c>
      <c r="C29" s="3" t="s">
        <v>124</v>
      </c>
      <c r="D29" s="3" t="str">
        <f>VLOOKUP(C29,'Data availability'!$A$2:$B$91,2,FALSE)</f>
        <v>Art Foundry</v>
      </c>
      <c r="E29" s="3">
        <v>7934</v>
      </c>
      <c r="F29" s="3" t="str">
        <f>VLOOKUP(C29,'Data availability'!$A$2:$H$91,8,FALSE)</f>
        <v>Storage</v>
      </c>
      <c r="G29" s="1">
        <v>5039.4881151079207</v>
      </c>
      <c r="I29" s="1">
        <v>1198.4633093525131</v>
      </c>
      <c r="M29" s="21">
        <f t="shared" si="6"/>
        <v>2.1672212564593174</v>
      </c>
      <c r="N29" s="21">
        <f t="shared" si="7"/>
        <v>15.105411007720104</v>
      </c>
      <c r="O29" s="21">
        <f t="shared" si="8"/>
        <v>0</v>
      </c>
      <c r="P29" s="21">
        <f t="shared" si="9"/>
        <v>0</v>
      </c>
      <c r="Z29" s="211" t="b">
        <f>IFERROR(INDEX(Outliers!$X$3:$X$61,MATCH('SkYSPark Data_w Will''s Data'!C29,Outliers!$B$3:$B$61,0)),0)</f>
        <v>0</v>
      </c>
      <c r="AA29" s="1" t="b">
        <f>IFERROR(INDEX(Outliers!$AP$3:$AP$61,MATCH('SkYSPark Data_w Will''s Data'!C29,Outliers!$B$3:$B$61,0)),0)</f>
        <v>1</v>
      </c>
      <c r="AB29" s="112" t="b">
        <f>IFERROR(INDEX(Outliers!$AY$3:$AY$61,MATCH('SkYSPark Data_w Will''s Data'!C29,Outliers!$B$3:$B$61,0)),0)</f>
        <v>1</v>
      </c>
      <c r="AG29">
        <v>2.2160740339087912</v>
      </c>
      <c r="AH29">
        <v>3.0538176747968948</v>
      </c>
    </row>
    <row r="30" spans="1:34" x14ac:dyDescent="0.3">
      <c r="A30" s="2">
        <v>45017</v>
      </c>
      <c r="B30" s="3">
        <f t="shared" si="5"/>
        <v>4</v>
      </c>
      <c r="C30" s="3" t="s">
        <v>124</v>
      </c>
      <c r="D30" s="3" t="str">
        <f>VLOOKUP(C30,'Data availability'!$A$2:$B$91,2,FALSE)</f>
        <v>Art Foundry</v>
      </c>
      <c r="E30" s="3">
        <v>7934</v>
      </c>
      <c r="F30" s="3" t="str">
        <f>VLOOKUP(C30,'Data availability'!$A$2:$H$91,8,FALSE)</f>
        <v>Storage</v>
      </c>
      <c r="G30" s="1">
        <v>5100.3228848921026</v>
      </c>
      <c r="I30" s="1">
        <v>354.01169064748558</v>
      </c>
      <c r="M30" s="21">
        <f t="shared" si="6"/>
        <v>2.1933831211560189</v>
      </c>
      <c r="N30" s="21">
        <f t="shared" si="7"/>
        <v>4.4619572806590071</v>
      </c>
      <c r="O30" s="21">
        <f t="shared" si="8"/>
        <v>0</v>
      </c>
      <c r="P30" s="21">
        <f t="shared" si="9"/>
        <v>0</v>
      </c>
      <c r="Z30" s="211" t="b">
        <f>IFERROR(INDEX(Outliers!$X$3:$X$61,MATCH('SkYSPark Data_w Will''s Data'!C30,Outliers!$B$3:$B$61,0)),0)</f>
        <v>0</v>
      </c>
      <c r="AA30" s="1" t="b">
        <f>IFERROR(INDEX(Outliers!$AP$3:$AP$61,MATCH('SkYSPark Data_w Will''s Data'!C30,Outliers!$B$3:$B$61,0)),0)</f>
        <v>1</v>
      </c>
      <c r="AB30" s="112" t="b">
        <f>IFERROR(INDEX(Outliers!$AY$3:$AY$61,MATCH('SkYSPark Data_w Will''s Data'!C30,Outliers!$B$3:$B$61,0)),0)</f>
        <v>1</v>
      </c>
      <c r="AG30">
        <v>2.3275449552857368</v>
      </c>
      <c r="AH30">
        <v>0.78610203836929304</v>
      </c>
    </row>
    <row r="31" spans="1:34" x14ac:dyDescent="0.3">
      <c r="A31" s="2">
        <v>45047</v>
      </c>
      <c r="B31" s="3">
        <f t="shared" si="5"/>
        <v>5</v>
      </c>
      <c r="C31" s="3" t="s">
        <v>124</v>
      </c>
      <c r="D31" s="3" t="str">
        <f>VLOOKUP(C31,'Data availability'!$A$2:$B$91,2,FALSE)</f>
        <v>Art Foundry</v>
      </c>
      <c r="E31" s="3">
        <v>7934</v>
      </c>
      <c r="F31" s="3" t="str">
        <f>VLOOKUP(C31,'Data availability'!$A$2:$H$91,8,FALSE)</f>
        <v>Storage</v>
      </c>
      <c r="G31" s="1">
        <v>5033.0050000000228</v>
      </c>
      <c r="I31" s="1">
        <v>100.3830645161281</v>
      </c>
      <c r="M31" s="21">
        <f t="shared" si="6"/>
        <v>2.164433206453249</v>
      </c>
      <c r="N31" s="21">
        <f t="shared" si="7"/>
        <v>1.2652264244533413</v>
      </c>
      <c r="O31" s="21">
        <f t="shared" si="8"/>
        <v>0</v>
      </c>
      <c r="P31" s="21">
        <f t="shared" si="9"/>
        <v>0</v>
      </c>
      <c r="Z31" s="211" t="b">
        <f>IFERROR(INDEX(Outliers!$X$3:$X$61,MATCH('SkYSPark Data_w Will''s Data'!C31,Outliers!$B$3:$B$61,0)),0)</f>
        <v>0</v>
      </c>
      <c r="AA31" s="1" t="b">
        <f>IFERROR(INDEX(Outliers!$AP$3:$AP$61,MATCH('SkYSPark Data_w Will''s Data'!C31,Outliers!$B$3:$B$61,0)),0)</f>
        <v>1</v>
      </c>
      <c r="AB31" s="112" t="b">
        <f>IFERROR(INDEX(Outliers!$AY$3:$AY$61,MATCH('SkYSPark Data_w Will''s Data'!C31,Outliers!$B$3:$B$61,0)),0)</f>
        <v>1</v>
      </c>
      <c r="AG31">
        <v>2.262771897401413</v>
      </c>
      <c r="AH31">
        <v>0.2245907041276452</v>
      </c>
    </row>
    <row r="32" spans="1:34" x14ac:dyDescent="0.3">
      <c r="A32" s="2">
        <v>45078</v>
      </c>
      <c r="B32" s="3">
        <f t="shared" si="5"/>
        <v>6</v>
      </c>
      <c r="C32" s="3" t="s">
        <v>124</v>
      </c>
      <c r="D32" s="3" t="str">
        <f>VLOOKUP(C32,'Data availability'!$A$2:$B$91,2,FALSE)</f>
        <v>Art Foundry</v>
      </c>
      <c r="E32" s="3">
        <v>7934</v>
      </c>
      <c r="F32" s="3" t="str">
        <f>VLOOKUP(C32,'Data availability'!$A$2:$H$91,8,FALSE)</f>
        <v>Storage</v>
      </c>
      <c r="G32" s="1">
        <v>4577.4180645161132</v>
      </c>
      <c r="I32" s="1">
        <v>26.129032258065369</v>
      </c>
      <c r="M32" s="21">
        <f t="shared" si="6"/>
        <v>1.9685090037974511</v>
      </c>
      <c r="N32" s="21">
        <f t="shared" si="7"/>
        <v>0.32932987469202629</v>
      </c>
      <c r="O32" s="21">
        <f t="shared" si="8"/>
        <v>0</v>
      </c>
      <c r="P32" s="21">
        <f t="shared" si="9"/>
        <v>0</v>
      </c>
      <c r="Z32" s="211" t="b">
        <f>IFERROR(INDEX(Outliers!$X$3:$X$61,MATCH('SkYSPark Data_w Will''s Data'!C32,Outliers!$B$3:$B$61,0)),0)</f>
        <v>0</v>
      </c>
      <c r="AA32" s="1" t="b">
        <f>IFERROR(INDEX(Outliers!$AP$3:$AP$61,MATCH('SkYSPark Data_w Will''s Data'!C32,Outliers!$B$3:$B$61,0)),0)</f>
        <v>1</v>
      </c>
      <c r="AB32" s="112" t="b">
        <f>IFERROR(INDEX(Outliers!$AY$3:$AY$61,MATCH('SkYSPark Data_w Will''s Data'!C32,Outliers!$B$3:$B$61,0)),0)</f>
        <v>1</v>
      </c>
      <c r="AG32">
        <v>2.315894190561512</v>
      </c>
      <c r="AH32">
        <v>0.1097580645161296</v>
      </c>
    </row>
    <row r="33" spans="1:34" x14ac:dyDescent="0.3">
      <c r="A33" s="2">
        <v>45108</v>
      </c>
      <c r="B33" s="3">
        <f t="shared" si="5"/>
        <v>7</v>
      </c>
      <c r="C33" s="3" t="s">
        <v>124</v>
      </c>
      <c r="D33" s="3" t="str">
        <f>VLOOKUP(C33,'Data availability'!$A$2:$B$91,2,FALSE)</f>
        <v>Art Foundry</v>
      </c>
      <c r="E33" s="3">
        <v>7934</v>
      </c>
      <c r="F33" s="3" t="str">
        <f>VLOOKUP(C33,'Data availability'!$A$2:$H$91,8,FALSE)</f>
        <v>Storage</v>
      </c>
      <c r="G33" s="1">
        <v>5602.0296774192921</v>
      </c>
      <c r="I33" s="1">
        <v>12.90322580645158</v>
      </c>
      <c r="M33" s="21">
        <f t="shared" si="6"/>
        <v>2.4091410712571997</v>
      </c>
      <c r="N33" s="21">
        <f t="shared" si="7"/>
        <v>0.16263203688494557</v>
      </c>
      <c r="O33" s="21">
        <f t="shared" si="8"/>
        <v>0</v>
      </c>
      <c r="P33" s="21">
        <f t="shared" si="9"/>
        <v>0</v>
      </c>
      <c r="Z33" s="211" t="b">
        <f>IFERROR(INDEX(Outliers!$X$3:$X$61,MATCH('SkYSPark Data_w Will''s Data'!C33,Outliers!$B$3:$B$61,0)),0)</f>
        <v>0</v>
      </c>
      <c r="AA33" s="1" t="b">
        <f>IFERROR(INDEX(Outliers!$AP$3:$AP$61,MATCH('SkYSPark Data_w Will''s Data'!C33,Outliers!$B$3:$B$61,0)),0)</f>
        <v>1</v>
      </c>
      <c r="AB33" s="112" t="b">
        <f>IFERROR(INDEX(Outliers!$AY$3:$AY$61,MATCH('SkYSPark Data_w Will''s Data'!C33,Outliers!$B$3:$B$61,0)),0)</f>
        <v>1</v>
      </c>
      <c r="AG33">
        <v>2.8838185050295091</v>
      </c>
      <c r="AH33">
        <v>9.031044051335288E-2</v>
      </c>
    </row>
    <row r="34" spans="1:34" x14ac:dyDescent="0.3">
      <c r="A34" s="2">
        <v>45139</v>
      </c>
      <c r="B34" s="3">
        <f t="shared" si="5"/>
        <v>8</v>
      </c>
      <c r="C34" s="3" t="s">
        <v>124</v>
      </c>
      <c r="D34" s="3" t="str">
        <f>VLOOKUP(C34,'Data availability'!$A$2:$B$91,2,FALSE)</f>
        <v>Art Foundry</v>
      </c>
      <c r="E34" s="3">
        <v>7934</v>
      </c>
      <c r="F34" s="3" t="str">
        <f>VLOOKUP(C34,'Data availability'!$A$2:$H$91,8,FALSE)</f>
        <v>Storage</v>
      </c>
      <c r="G34" s="1">
        <v>6189.0655913979608</v>
      </c>
      <c r="I34" s="1">
        <v>5.1096774193548384</v>
      </c>
      <c r="M34" s="21">
        <f t="shared" si="6"/>
        <v>2.6615946304322966</v>
      </c>
      <c r="N34" s="21">
        <f t="shared" si="7"/>
        <v>6.4402286606438597E-2</v>
      </c>
      <c r="O34" s="21">
        <f t="shared" si="8"/>
        <v>0</v>
      </c>
      <c r="P34" s="21">
        <f t="shared" si="9"/>
        <v>0</v>
      </c>
      <c r="Z34" s="211" t="b">
        <f>IFERROR(INDEX(Outliers!$X$3:$X$61,MATCH('SkYSPark Data_w Will''s Data'!C34,Outliers!$B$3:$B$61,0)),0)</f>
        <v>0</v>
      </c>
      <c r="AA34" s="1" t="b">
        <f>IFERROR(INDEX(Outliers!$AP$3:$AP$61,MATCH('SkYSPark Data_w Will''s Data'!C34,Outliers!$B$3:$B$61,0)),0)</f>
        <v>1</v>
      </c>
      <c r="AB34" s="112" t="b">
        <f>IFERROR(INDEX(Outliers!$AY$3:$AY$61,MATCH('SkYSPark Data_w Will''s Data'!C34,Outliers!$B$3:$B$61,0)),0)</f>
        <v>1</v>
      </c>
      <c r="AG34">
        <v>3.2061001994450349</v>
      </c>
      <c r="AH34">
        <v>7.8300728407909151E-2</v>
      </c>
    </row>
    <row r="35" spans="1:34" x14ac:dyDescent="0.3">
      <c r="A35" s="2">
        <v>45170</v>
      </c>
      <c r="B35" s="3">
        <f t="shared" si="5"/>
        <v>9</v>
      </c>
      <c r="C35" s="3" t="s">
        <v>124</v>
      </c>
      <c r="D35" s="3" t="str">
        <f>VLOOKUP(C35,'Data availability'!$A$2:$B$91,2,FALSE)</f>
        <v>Art Foundry</v>
      </c>
      <c r="E35" s="3">
        <v>7934</v>
      </c>
      <c r="F35" s="3" t="str">
        <f>VLOOKUP(C35,'Data availability'!$A$2:$H$91,8,FALSE)</f>
        <v>Storage</v>
      </c>
      <c r="G35" s="1">
        <v>5033.3399999999338</v>
      </c>
      <c r="I35" s="1">
        <v>63.800000000000402</v>
      </c>
      <c r="M35" s="21">
        <f t="shared" si="6"/>
        <v>2.164577272498081</v>
      </c>
      <c r="N35" s="21">
        <f t="shared" si="7"/>
        <v>0.80413410637762039</v>
      </c>
      <c r="O35" s="21">
        <f t="shared" si="8"/>
        <v>0</v>
      </c>
      <c r="P35" s="21">
        <f t="shared" si="9"/>
        <v>0</v>
      </c>
      <c r="Z35" s="211" t="b">
        <f>IFERROR(INDEX(Outliers!$X$3:$X$61,MATCH('SkYSPark Data_w Will''s Data'!C35,Outliers!$B$3:$B$61,0)),0)</f>
        <v>0</v>
      </c>
      <c r="AA35" s="1" t="b">
        <f>IFERROR(INDEX(Outliers!$AP$3:$AP$61,MATCH('SkYSPark Data_w Will''s Data'!C35,Outliers!$B$3:$B$61,0)),0)</f>
        <v>1</v>
      </c>
      <c r="AB35" s="112" t="b">
        <f>IFERROR(INDEX(Outliers!$AY$3:$AY$61,MATCH('SkYSPark Data_w Will''s Data'!C35,Outliers!$B$3:$B$61,0)),0)</f>
        <v>1</v>
      </c>
      <c r="AG35">
        <v>2.6885671296296141</v>
      </c>
      <c r="AH35">
        <v>0.20020277777777709</v>
      </c>
    </row>
    <row r="36" spans="1:34" x14ac:dyDescent="0.3">
      <c r="A36" s="2">
        <v>45200</v>
      </c>
      <c r="B36" s="3">
        <f t="shared" si="5"/>
        <v>10</v>
      </c>
      <c r="C36" s="3" t="s">
        <v>124</v>
      </c>
      <c r="D36" s="3" t="str">
        <f>VLOOKUP(C36,'Data availability'!$A$2:$B$91,2,FALSE)</f>
        <v>Art Foundry</v>
      </c>
      <c r="E36" s="3">
        <v>7934</v>
      </c>
      <c r="F36" s="3" t="str">
        <f>VLOOKUP(C36,'Data availability'!$A$2:$H$91,8,FALSE)</f>
        <v>Storage</v>
      </c>
      <c r="G36" s="1">
        <v>4253.5916599552475</v>
      </c>
      <c r="I36" s="1">
        <v>102.34646324549411</v>
      </c>
      <c r="M36" s="21">
        <f t="shared" si="6"/>
        <v>1.8292481401269605</v>
      </c>
      <c r="N36" s="21">
        <f t="shared" si="7"/>
        <v>1.2899730683828348</v>
      </c>
      <c r="O36" s="21">
        <f t="shared" si="8"/>
        <v>0</v>
      </c>
      <c r="P36" s="21">
        <f t="shared" si="9"/>
        <v>0</v>
      </c>
      <c r="Z36" s="211" t="b">
        <f>IFERROR(INDEX(Outliers!$X$3:$X$61,MATCH('SkYSPark Data_w Will''s Data'!C36,Outliers!$B$3:$B$61,0)),0)</f>
        <v>0</v>
      </c>
      <c r="AA36" s="1" t="b">
        <f>IFERROR(INDEX(Outliers!$AP$3:$AP$61,MATCH('SkYSPark Data_w Will''s Data'!C36,Outliers!$B$3:$B$61,0)),0)</f>
        <v>1</v>
      </c>
      <c r="AB36" s="112" t="b">
        <f>IFERROR(INDEX(Outliers!$AY$3:$AY$61,MATCH('SkYSPark Data_w Will''s Data'!C36,Outliers!$B$3:$B$61,0)),0)</f>
        <v>1</v>
      </c>
      <c r="AG36">
        <v>2.0490494274854889</v>
      </c>
      <c r="AH36">
        <v>0.29300563733166468</v>
      </c>
    </row>
    <row r="37" spans="1:34" x14ac:dyDescent="0.3">
      <c r="A37" s="2">
        <v>45231</v>
      </c>
      <c r="B37" s="3">
        <f t="shared" si="5"/>
        <v>11</v>
      </c>
      <c r="C37" s="3" t="s">
        <v>124</v>
      </c>
      <c r="D37" s="3" t="str">
        <f>VLOOKUP(C37,'Data availability'!$A$2:$B$91,2,FALSE)</f>
        <v>Art Foundry</v>
      </c>
      <c r="E37" s="3">
        <v>7934</v>
      </c>
      <c r="F37" s="3" t="str">
        <f>VLOOKUP(C37,'Data availability'!$A$2:$H$91,8,FALSE)</f>
        <v>Storage</v>
      </c>
      <c r="G37" s="1">
        <v>3787.0040389695009</v>
      </c>
      <c r="I37" s="1">
        <v>411.80837546419127</v>
      </c>
      <c r="M37" s="21">
        <f t="shared" si="6"/>
        <v>1.6285931158260571</v>
      </c>
      <c r="N37" s="21">
        <f t="shared" si="7"/>
        <v>5.1904257053717071</v>
      </c>
      <c r="O37" s="21">
        <f t="shared" si="8"/>
        <v>0</v>
      </c>
      <c r="P37" s="21">
        <f t="shared" si="9"/>
        <v>0</v>
      </c>
      <c r="Z37" s="211" t="b">
        <f>IFERROR(INDEX(Outliers!$X$3:$X$61,MATCH('SkYSPark Data_w Will''s Data'!C37,Outliers!$B$3:$B$61,0)),0)</f>
        <v>0</v>
      </c>
      <c r="AA37" s="1" t="b">
        <f>IFERROR(INDEX(Outliers!$AP$3:$AP$61,MATCH('SkYSPark Data_w Will''s Data'!C37,Outliers!$B$3:$B$61,0)),0)</f>
        <v>1</v>
      </c>
      <c r="AB37" s="112" t="b">
        <f>IFERROR(INDEX(Outliers!$AY$3:$AY$61,MATCH('SkYSPark Data_w Will''s Data'!C37,Outliers!$B$3:$B$61,0)),0)</f>
        <v>1</v>
      </c>
      <c r="AG37">
        <v>1.8506841157505509</v>
      </c>
      <c r="AH37">
        <v>1.135046932154367</v>
      </c>
    </row>
    <row r="38" spans="1:34" s="69" customFormat="1" x14ac:dyDescent="0.3">
      <c r="A38" s="65">
        <v>45261</v>
      </c>
      <c r="B38" s="3">
        <f t="shared" si="5"/>
        <v>12</v>
      </c>
      <c r="C38" s="64" t="s">
        <v>124</v>
      </c>
      <c r="D38" s="64" t="str">
        <f>VLOOKUP(C38,'Data availability'!$A$2:$B$91,2,FALSE)</f>
        <v>Art Foundry</v>
      </c>
      <c r="E38" s="64">
        <v>7934</v>
      </c>
      <c r="F38" s="3" t="str">
        <f>VLOOKUP(C38,'Data availability'!$A$2:$H$91,8,FALSE)</f>
        <v>Storage</v>
      </c>
      <c r="G38" s="66">
        <v>2781.017634408624</v>
      </c>
      <c r="H38" s="66"/>
      <c r="I38" s="66">
        <v>296.36929922135653</v>
      </c>
      <c r="J38" s="66"/>
      <c r="K38" s="66"/>
      <c r="L38" s="67"/>
      <c r="M38" s="21">
        <f t="shared" si="6"/>
        <v>1.1959707800103636</v>
      </c>
      <c r="N38" s="21">
        <f t="shared" si="7"/>
        <v>3.7354335671963264</v>
      </c>
      <c r="O38" s="21">
        <f t="shared" si="8"/>
        <v>0</v>
      </c>
      <c r="P38" s="21">
        <f t="shared" si="9"/>
        <v>0</v>
      </c>
      <c r="Q38" s="66"/>
      <c r="R38" s="66"/>
      <c r="S38" s="66"/>
      <c r="T38" s="66"/>
      <c r="U38" s="66"/>
      <c r="V38" s="68"/>
      <c r="W38" s="66"/>
      <c r="X38" s="67"/>
      <c r="Y38" s="66"/>
      <c r="Z38" s="211" t="b">
        <f>IFERROR(INDEX(Outliers!$X$3:$X$61,MATCH('SkYSPark Data_w Will''s Data'!C38,Outliers!$B$3:$B$61,0)),0)</f>
        <v>0</v>
      </c>
      <c r="AA38" s="1" t="b">
        <f>IFERROR(INDEX(Outliers!$AP$3:$AP$61,MATCH('SkYSPark Data_w Will''s Data'!C38,Outliers!$B$3:$B$61,0)),0)</f>
        <v>1</v>
      </c>
      <c r="AB38" s="112" t="b">
        <f>IFERROR(INDEX(Outliers!$AY$3:$AY$61,MATCH('SkYSPark Data_w Will''s Data'!C38,Outliers!$B$3:$B$61,0)),0)</f>
        <v>1</v>
      </c>
      <c r="AC38" s="112"/>
      <c r="AD38" s="134"/>
      <c r="AE38" s="134"/>
      <c r="AF38" s="134"/>
      <c r="AG38" s="69">
        <v>1.359483394034011</v>
      </c>
      <c r="AH38" s="69">
        <v>0.86428939861495002</v>
      </c>
    </row>
    <row r="39" spans="1:34" x14ac:dyDescent="0.3">
      <c r="A39" s="2">
        <v>44562</v>
      </c>
      <c r="B39" s="3">
        <f t="shared" si="5"/>
        <v>1</v>
      </c>
      <c r="C39" s="3" t="s">
        <v>128</v>
      </c>
      <c r="D39" s="3" t="str">
        <f>VLOOKUP(C39,'Data availability'!$A$2:$B$91,2,FALSE)</f>
        <v>Main campus</v>
      </c>
      <c r="E39" s="3">
        <v>8591</v>
      </c>
      <c r="F39" s="3" t="str">
        <f>VLOOKUP(C39,'Data availability'!$A$2:$H$91,8,FALSE)</f>
        <v>Office</v>
      </c>
      <c r="G39" s="1">
        <v>3811.8787878787439</v>
      </c>
      <c r="M39" s="21">
        <f t="shared" si="6"/>
        <v>1.5139250872124634</v>
      </c>
      <c r="N39" s="21">
        <f t="shared" si="7"/>
        <v>0</v>
      </c>
      <c r="O39" s="21">
        <f t="shared" si="8"/>
        <v>0</v>
      </c>
      <c r="P39" s="21">
        <f t="shared" si="9"/>
        <v>0</v>
      </c>
      <c r="Q39" s="1">
        <f>(SUM(G39:G50)*3.412)/E39</f>
        <v>15.377739325509763</v>
      </c>
      <c r="V39" s="33">
        <f>SUM(Q39:T39)</f>
        <v>15.377739325509763</v>
      </c>
      <c r="W39" s="10" t="s">
        <v>255</v>
      </c>
      <c r="Z39" s="211" t="b">
        <f>IFERROR(INDEX(Outliers!$X$3:$X$61,MATCH('SkYSPark Data_w Will''s Data'!C39,Outliers!$B$3:$B$61,0)),0)</f>
        <v>0</v>
      </c>
      <c r="AA39" s="1" t="b">
        <f>IFERROR(INDEX(Outliers!$AP$3:$AP$61,MATCH('SkYSPark Data_w Will''s Data'!C39,Outliers!$B$3:$B$61,0)),0)</f>
        <v>1</v>
      </c>
      <c r="AB39" s="112" t="b">
        <f>IFERROR(INDEX(Outliers!$AY$3:$AY$61,MATCH('SkYSPark Data_w Will''s Data'!C39,Outliers!$B$3:$B$61,0)),0)</f>
        <v>1</v>
      </c>
      <c r="AC39" s="112" t="s">
        <v>392</v>
      </c>
    </row>
    <row r="40" spans="1:34" x14ac:dyDescent="0.3">
      <c r="A40" s="2">
        <v>44593</v>
      </c>
      <c r="B40" s="3">
        <f t="shared" si="5"/>
        <v>2</v>
      </c>
      <c r="C40" s="3" t="s">
        <v>128</v>
      </c>
      <c r="D40" s="3" t="str">
        <f>VLOOKUP(C40,'Data availability'!$A$2:$B$91,2,FALSE)</f>
        <v>Main campus</v>
      </c>
      <c r="E40" s="3">
        <v>8591</v>
      </c>
      <c r="F40" s="3" t="str">
        <f>VLOOKUP(C40,'Data availability'!$A$2:$H$91,8,FALSE)</f>
        <v>Office</v>
      </c>
      <c r="G40" s="1">
        <v>3358.0000000000241</v>
      </c>
      <c r="M40" s="21">
        <f t="shared" si="6"/>
        <v>1.3336626702363035</v>
      </c>
      <c r="N40" s="21">
        <f t="shared" si="7"/>
        <v>0</v>
      </c>
      <c r="O40" s="21">
        <f t="shared" si="8"/>
        <v>0</v>
      </c>
      <c r="P40" s="21">
        <f t="shared" si="9"/>
        <v>0</v>
      </c>
      <c r="Z40" s="211" t="b">
        <f>IFERROR(INDEX(Outliers!$X$3:$X$61,MATCH('SkYSPark Data_w Will''s Data'!C40,Outliers!$B$3:$B$61,0)),0)</f>
        <v>0</v>
      </c>
      <c r="AA40" s="1" t="b">
        <f>IFERROR(INDEX(Outliers!$AP$3:$AP$61,MATCH('SkYSPark Data_w Will''s Data'!C40,Outliers!$B$3:$B$61,0)),0)</f>
        <v>1</v>
      </c>
      <c r="AB40" s="112" t="b">
        <f>IFERROR(INDEX(Outliers!$AY$3:$AY$61,MATCH('SkYSPark Data_w Will''s Data'!C40,Outliers!$B$3:$B$61,0)),0)</f>
        <v>1</v>
      </c>
      <c r="AC40" s="112" t="s">
        <v>392</v>
      </c>
    </row>
    <row r="41" spans="1:34" x14ac:dyDescent="0.3">
      <c r="A41" s="2">
        <v>44621</v>
      </c>
      <c r="B41" s="3">
        <f t="shared" si="5"/>
        <v>3</v>
      </c>
      <c r="C41" s="3" t="s">
        <v>128</v>
      </c>
      <c r="D41" s="3" t="str">
        <f>VLOOKUP(C41,'Data availability'!$A$2:$B$91,2,FALSE)</f>
        <v>Main campus</v>
      </c>
      <c r="E41" s="3">
        <v>8591</v>
      </c>
      <c r="F41" s="3" t="str">
        <f>VLOOKUP(C41,'Data availability'!$A$2:$H$91,8,FALSE)</f>
        <v>Office</v>
      </c>
      <c r="G41" s="1">
        <v>3000.0000000000191</v>
      </c>
      <c r="M41" s="21">
        <f t="shared" si="6"/>
        <v>1.1914794552438674</v>
      </c>
      <c r="N41" s="21">
        <f t="shared" si="7"/>
        <v>0</v>
      </c>
      <c r="O41" s="21">
        <f t="shared" si="8"/>
        <v>0</v>
      </c>
      <c r="P41" s="21">
        <f t="shared" si="9"/>
        <v>0</v>
      </c>
      <c r="Z41" s="211" t="b">
        <f>IFERROR(INDEX(Outliers!$X$3:$X$61,MATCH('SkYSPark Data_w Will''s Data'!C41,Outliers!$B$3:$B$61,0)),0)</f>
        <v>0</v>
      </c>
      <c r="AA41" s="1" t="b">
        <f>IFERROR(INDEX(Outliers!$AP$3:$AP$61,MATCH('SkYSPark Data_w Will''s Data'!C41,Outliers!$B$3:$B$61,0)),0)</f>
        <v>1</v>
      </c>
      <c r="AB41" s="112" t="b">
        <f>IFERROR(INDEX(Outliers!$AY$3:$AY$61,MATCH('SkYSPark Data_w Will''s Data'!C41,Outliers!$B$3:$B$61,0)),0)</f>
        <v>1</v>
      </c>
      <c r="AC41" s="112" t="s">
        <v>392</v>
      </c>
    </row>
    <row r="42" spans="1:34" x14ac:dyDescent="0.3">
      <c r="A42" s="2">
        <v>44652</v>
      </c>
      <c r="B42" s="3">
        <f t="shared" si="5"/>
        <v>4</v>
      </c>
      <c r="C42" s="3" t="s">
        <v>128</v>
      </c>
      <c r="D42" s="3" t="str">
        <f>VLOOKUP(C42,'Data availability'!$A$2:$B$91,2,FALSE)</f>
        <v>Main campus</v>
      </c>
      <c r="E42" s="3">
        <v>8591</v>
      </c>
      <c r="F42" s="3" t="str">
        <f>VLOOKUP(C42,'Data availability'!$A$2:$H$91,8,FALSE)</f>
        <v>Office</v>
      </c>
      <c r="G42" s="1">
        <v>2666.1290322580749</v>
      </c>
      <c r="M42" s="21">
        <f t="shared" si="6"/>
        <v>1.0588793223215633</v>
      </c>
      <c r="N42" s="21">
        <f t="shared" si="7"/>
        <v>0</v>
      </c>
      <c r="O42" s="21">
        <f t="shared" si="8"/>
        <v>0</v>
      </c>
      <c r="P42" s="21">
        <f t="shared" si="9"/>
        <v>0</v>
      </c>
      <c r="Z42" s="211" t="b">
        <f>IFERROR(INDEX(Outliers!$X$3:$X$61,MATCH('SkYSPark Data_w Will''s Data'!C42,Outliers!$B$3:$B$61,0)),0)</f>
        <v>0</v>
      </c>
      <c r="AA42" s="1" t="b">
        <f>IFERROR(INDEX(Outliers!$AP$3:$AP$61,MATCH('SkYSPark Data_w Will''s Data'!C42,Outliers!$B$3:$B$61,0)),0)</f>
        <v>1</v>
      </c>
      <c r="AB42" s="112" t="b">
        <f>IFERROR(INDEX(Outliers!$AY$3:$AY$61,MATCH('SkYSPark Data_w Will''s Data'!C42,Outliers!$B$3:$B$61,0)),0)</f>
        <v>1</v>
      </c>
      <c r="AC42" s="112" t="s">
        <v>392</v>
      </c>
    </row>
    <row r="43" spans="1:34" x14ac:dyDescent="0.3">
      <c r="A43" s="2">
        <v>44682</v>
      </c>
      <c r="B43" s="3">
        <f t="shared" si="5"/>
        <v>5</v>
      </c>
      <c r="C43" s="3" t="s">
        <v>128</v>
      </c>
      <c r="D43" s="3" t="str">
        <f>VLOOKUP(C43,'Data availability'!$A$2:$B$91,2,FALSE)</f>
        <v>Main campus</v>
      </c>
      <c r="E43" s="3">
        <v>8591</v>
      </c>
      <c r="F43" s="3" t="str">
        <f>VLOOKUP(C43,'Data availability'!$A$2:$H$91,8,FALSE)</f>
        <v>Office</v>
      </c>
      <c r="G43" s="1">
        <v>2764.870967741952</v>
      </c>
      <c r="M43" s="21">
        <f t="shared" si="6"/>
        <v>1.0980956514882483</v>
      </c>
      <c r="N43" s="21">
        <f t="shared" si="7"/>
        <v>0</v>
      </c>
      <c r="O43" s="21">
        <f t="shared" si="8"/>
        <v>0</v>
      </c>
      <c r="P43" s="21">
        <f t="shared" si="9"/>
        <v>0</v>
      </c>
      <c r="Z43" s="211" t="b">
        <f>IFERROR(INDEX(Outliers!$X$3:$X$61,MATCH('SkYSPark Data_w Will''s Data'!C43,Outliers!$B$3:$B$61,0)),0)</f>
        <v>0</v>
      </c>
      <c r="AA43" s="1" t="b">
        <f>IFERROR(INDEX(Outliers!$AP$3:$AP$61,MATCH('SkYSPark Data_w Will''s Data'!C43,Outliers!$B$3:$B$61,0)),0)</f>
        <v>1</v>
      </c>
      <c r="AB43" s="112" t="b">
        <f>IFERROR(INDEX(Outliers!$AY$3:$AY$61,MATCH('SkYSPark Data_w Will''s Data'!C43,Outliers!$B$3:$B$61,0)),0)</f>
        <v>1</v>
      </c>
      <c r="AC43" s="112" t="s">
        <v>392</v>
      </c>
    </row>
    <row r="44" spans="1:34" x14ac:dyDescent="0.3">
      <c r="A44" s="2">
        <v>44713</v>
      </c>
      <c r="B44" s="3">
        <f t="shared" si="5"/>
        <v>6</v>
      </c>
      <c r="C44" s="3" t="s">
        <v>128</v>
      </c>
      <c r="D44" s="3" t="str">
        <f>VLOOKUP(C44,'Data availability'!$A$2:$B$91,2,FALSE)</f>
        <v>Main campus</v>
      </c>
      <c r="E44" s="3">
        <v>8591</v>
      </c>
      <c r="F44" s="3" t="str">
        <f>VLOOKUP(C44,'Data availability'!$A$2:$H$91,8,FALSE)</f>
        <v>Office</v>
      </c>
      <c r="G44" s="1">
        <v>3293.999999999965</v>
      </c>
      <c r="M44" s="21">
        <f t="shared" si="6"/>
        <v>1.3082444418577441</v>
      </c>
      <c r="N44" s="21">
        <f t="shared" si="7"/>
        <v>0</v>
      </c>
      <c r="O44" s="21">
        <f t="shared" si="8"/>
        <v>0</v>
      </c>
      <c r="P44" s="21">
        <f t="shared" si="9"/>
        <v>0</v>
      </c>
      <c r="Z44" s="211" t="b">
        <f>IFERROR(INDEX(Outliers!$X$3:$X$61,MATCH('SkYSPark Data_w Will''s Data'!C44,Outliers!$B$3:$B$61,0)),0)</f>
        <v>0</v>
      </c>
      <c r="AA44" s="1" t="b">
        <f>IFERROR(INDEX(Outliers!$AP$3:$AP$61,MATCH('SkYSPark Data_w Will''s Data'!C44,Outliers!$B$3:$B$61,0)),0)</f>
        <v>1</v>
      </c>
      <c r="AB44" s="112" t="b">
        <f>IFERROR(INDEX(Outliers!$AY$3:$AY$61,MATCH('SkYSPark Data_w Will''s Data'!C44,Outliers!$B$3:$B$61,0)),0)</f>
        <v>1</v>
      </c>
      <c r="AC44" s="112" t="s">
        <v>392</v>
      </c>
    </row>
    <row r="45" spans="1:34" x14ac:dyDescent="0.3">
      <c r="A45" s="2">
        <v>44743</v>
      </c>
      <c r="B45" s="3">
        <f t="shared" si="5"/>
        <v>7</v>
      </c>
      <c r="C45" s="3" t="s">
        <v>128</v>
      </c>
      <c r="D45" s="3" t="str">
        <f>VLOOKUP(C45,'Data availability'!$A$2:$B$91,2,FALSE)</f>
        <v>Main campus</v>
      </c>
      <c r="E45" s="3">
        <v>8591</v>
      </c>
      <c r="F45" s="3" t="str">
        <f>VLOOKUP(C45,'Data availability'!$A$2:$H$91,8,FALSE)</f>
        <v>Office</v>
      </c>
      <c r="G45" s="1">
        <v>3048.65625</v>
      </c>
      <c r="M45" s="21">
        <f t="shared" si="6"/>
        <v>1.2108037626585961</v>
      </c>
      <c r="N45" s="21">
        <f t="shared" si="7"/>
        <v>0</v>
      </c>
      <c r="O45" s="21">
        <f t="shared" si="8"/>
        <v>0</v>
      </c>
      <c r="P45" s="21">
        <f t="shared" si="9"/>
        <v>0</v>
      </c>
      <c r="Z45" s="211" t="b">
        <f>IFERROR(INDEX(Outliers!$X$3:$X$61,MATCH('SkYSPark Data_w Will''s Data'!C45,Outliers!$B$3:$B$61,0)),0)</f>
        <v>0</v>
      </c>
      <c r="AA45" s="1" t="b">
        <f>IFERROR(INDEX(Outliers!$AP$3:$AP$61,MATCH('SkYSPark Data_w Will''s Data'!C45,Outliers!$B$3:$B$61,0)),0)</f>
        <v>1</v>
      </c>
      <c r="AB45" s="112" t="b">
        <f>IFERROR(INDEX(Outliers!$AY$3:$AY$61,MATCH('SkYSPark Data_w Will''s Data'!C45,Outliers!$B$3:$B$61,0)),0)</f>
        <v>1</v>
      </c>
      <c r="AC45" s="112" t="s">
        <v>392</v>
      </c>
    </row>
    <row r="46" spans="1:34" x14ac:dyDescent="0.3">
      <c r="A46" s="2">
        <v>44774</v>
      </c>
      <c r="B46" s="3">
        <f t="shared" si="5"/>
        <v>8</v>
      </c>
      <c r="C46" s="3" t="s">
        <v>128</v>
      </c>
      <c r="D46" s="3" t="str">
        <f>VLOOKUP(C46,'Data availability'!$A$2:$B$91,2,FALSE)</f>
        <v>Main campus</v>
      </c>
      <c r="E46" s="3">
        <v>8591</v>
      </c>
      <c r="F46" s="3" t="str">
        <f>VLOOKUP(C46,'Data availability'!$A$2:$H$91,8,FALSE)</f>
        <v>Office</v>
      </c>
      <c r="G46" s="1">
        <v>3280.3437499999582</v>
      </c>
      <c r="M46" s="21">
        <f t="shared" si="6"/>
        <v>1.3028207280875168</v>
      </c>
      <c r="N46" s="21">
        <f t="shared" si="7"/>
        <v>0</v>
      </c>
      <c r="O46" s="21">
        <f t="shared" si="8"/>
        <v>0</v>
      </c>
      <c r="P46" s="21">
        <f t="shared" si="9"/>
        <v>0</v>
      </c>
      <c r="Z46" s="211" t="b">
        <f>IFERROR(INDEX(Outliers!$X$3:$X$61,MATCH('SkYSPark Data_w Will''s Data'!C46,Outliers!$B$3:$B$61,0)),0)</f>
        <v>0</v>
      </c>
      <c r="AA46" s="1" t="b">
        <f>IFERROR(INDEX(Outliers!$AP$3:$AP$61,MATCH('SkYSPark Data_w Will''s Data'!C46,Outliers!$B$3:$B$61,0)),0)</f>
        <v>1</v>
      </c>
      <c r="AB46" s="112" t="b">
        <f>IFERROR(INDEX(Outliers!$AY$3:$AY$61,MATCH('SkYSPark Data_w Will''s Data'!C46,Outliers!$B$3:$B$61,0)),0)</f>
        <v>1</v>
      </c>
      <c r="AC46" s="112" t="s">
        <v>392</v>
      </c>
    </row>
    <row r="47" spans="1:34" x14ac:dyDescent="0.3">
      <c r="A47" s="2">
        <v>44805</v>
      </c>
      <c r="B47" s="3">
        <f t="shared" si="5"/>
        <v>9</v>
      </c>
      <c r="C47" s="3" t="s">
        <v>128</v>
      </c>
      <c r="D47" s="3" t="str">
        <f>VLOOKUP(C47,'Data availability'!$A$2:$B$91,2,FALSE)</f>
        <v>Main campus</v>
      </c>
      <c r="E47" s="3">
        <v>8591</v>
      </c>
      <c r="F47" s="3" t="str">
        <f>VLOOKUP(C47,'Data availability'!$A$2:$H$91,8,FALSE)</f>
        <v>Office</v>
      </c>
      <c r="G47" s="1">
        <v>3360.99999999997</v>
      </c>
      <c r="M47" s="21">
        <f t="shared" si="6"/>
        <v>1.3348541496915258</v>
      </c>
      <c r="N47" s="21">
        <f t="shared" si="7"/>
        <v>0</v>
      </c>
      <c r="O47" s="21">
        <f t="shared" si="8"/>
        <v>0</v>
      </c>
      <c r="P47" s="21">
        <f t="shared" si="9"/>
        <v>0</v>
      </c>
      <c r="Z47" s="211" t="b">
        <f>IFERROR(INDEX(Outliers!$X$3:$X$61,MATCH('SkYSPark Data_w Will''s Data'!C47,Outliers!$B$3:$B$61,0)),0)</f>
        <v>0</v>
      </c>
      <c r="AA47" s="1" t="b">
        <f>IFERROR(INDEX(Outliers!$AP$3:$AP$61,MATCH('SkYSPark Data_w Will''s Data'!C47,Outliers!$B$3:$B$61,0)),0)</f>
        <v>1</v>
      </c>
      <c r="AB47" s="112" t="b">
        <f>IFERROR(INDEX(Outliers!$AY$3:$AY$61,MATCH('SkYSPark Data_w Will''s Data'!C47,Outliers!$B$3:$B$61,0)),0)</f>
        <v>1</v>
      </c>
      <c r="AC47" s="112" t="s">
        <v>392</v>
      </c>
    </row>
    <row r="48" spans="1:34" x14ac:dyDescent="0.3">
      <c r="A48" s="2">
        <v>44835</v>
      </c>
      <c r="B48" s="3">
        <f t="shared" si="5"/>
        <v>10</v>
      </c>
      <c r="C48" s="3" t="s">
        <v>128</v>
      </c>
      <c r="D48" s="3" t="str">
        <f>VLOOKUP(C48,'Data availability'!$A$2:$B$91,2,FALSE)</f>
        <v>Main campus</v>
      </c>
      <c r="E48" s="3">
        <v>8591</v>
      </c>
      <c r="F48" s="3" t="str">
        <f>VLOOKUP(C48,'Data availability'!$A$2:$H$91,8,FALSE)</f>
        <v>Office</v>
      </c>
      <c r="G48" s="1">
        <v>2995.9999999999841</v>
      </c>
      <c r="M48" s="21">
        <f t="shared" si="6"/>
        <v>1.1898908159701951</v>
      </c>
      <c r="N48" s="21">
        <f t="shared" si="7"/>
        <v>0</v>
      </c>
      <c r="O48" s="21">
        <f t="shared" si="8"/>
        <v>0</v>
      </c>
      <c r="P48" s="21">
        <f t="shared" si="9"/>
        <v>0</v>
      </c>
      <c r="Z48" s="211" t="b">
        <f>IFERROR(INDEX(Outliers!$X$3:$X$61,MATCH('SkYSPark Data_w Will''s Data'!C48,Outliers!$B$3:$B$61,0)),0)</f>
        <v>0</v>
      </c>
      <c r="AA48" s="1" t="b">
        <f>IFERROR(INDEX(Outliers!$AP$3:$AP$61,MATCH('SkYSPark Data_w Will''s Data'!C48,Outliers!$B$3:$B$61,0)),0)</f>
        <v>1</v>
      </c>
      <c r="AB48" s="112" t="b">
        <f>IFERROR(INDEX(Outliers!$AY$3:$AY$61,MATCH('SkYSPark Data_w Will''s Data'!C48,Outliers!$B$3:$B$61,0)),0)</f>
        <v>1</v>
      </c>
      <c r="AC48" s="112" t="s">
        <v>392</v>
      </c>
    </row>
    <row r="49" spans="1:40" x14ac:dyDescent="0.3">
      <c r="A49" s="2">
        <v>44866</v>
      </c>
      <c r="B49" s="3">
        <f t="shared" si="5"/>
        <v>11</v>
      </c>
      <c r="C49" s="3" t="s">
        <v>128</v>
      </c>
      <c r="D49" s="3" t="str">
        <f>VLOOKUP(C49,'Data availability'!$A$2:$B$91,2,FALSE)</f>
        <v>Main campus</v>
      </c>
      <c r="E49" s="3">
        <v>8591</v>
      </c>
      <c r="F49" s="3" t="str">
        <f>VLOOKUP(C49,'Data availability'!$A$2:$H$91,8,FALSE)</f>
        <v>Office</v>
      </c>
      <c r="G49" s="1">
        <v>3346.9999999999682</v>
      </c>
      <c r="M49" s="21">
        <f t="shared" si="6"/>
        <v>1.3292939122337202</v>
      </c>
      <c r="N49" s="21">
        <f t="shared" si="7"/>
        <v>0</v>
      </c>
      <c r="O49" s="21">
        <f t="shared" si="8"/>
        <v>0</v>
      </c>
      <c r="P49" s="21">
        <f t="shared" si="9"/>
        <v>0</v>
      </c>
      <c r="Z49" s="211" t="b">
        <f>IFERROR(INDEX(Outliers!$X$3:$X$61,MATCH('SkYSPark Data_w Will''s Data'!C49,Outliers!$B$3:$B$61,0)),0)</f>
        <v>0</v>
      </c>
      <c r="AA49" s="1" t="b">
        <f>IFERROR(INDEX(Outliers!$AP$3:$AP$61,MATCH('SkYSPark Data_w Will''s Data'!C49,Outliers!$B$3:$B$61,0)),0)</f>
        <v>1</v>
      </c>
      <c r="AB49" s="112" t="b">
        <f>IFERROR(INDEX(Outliers!$AY$3:$AY$61,MATCH('SkYSPark Data_w Will''s Data'!C49,Outliers!$B$3:$B$61,0)),0)</f>
        <v>1</v>
      </c>
      <c r="AC49" s="112" t="s">
        <v>392</v>
      </c>
    </row>
    <row r="50" spans="1:40" s="69" customFormat="1" x14ac:dyDescent="0.3">
      <c r="A50" s="65">
        <v>44896</v>
      </c>
      <c r="B50" s="3">
        <f t="shared" si="5"/>
        <v>12</v>
      </c>
      <c r="C50" s="64" t="s">
        <v>128</v>
      </c>
      <c r="D50" s="64" t="str">
        <f>VLOOKUP(C50,'Data availability'!$A$2:$B$91,2,FALSE)</f>
        <v>Main campus</v>
      </c>
      <c r="E50" s="64">
        <v>8591</v>
      </c>
      <c r="F50" s="3" t="str">
        <f>VLOOKUP(C50,'Data availability'!$A$2:$H$91,8,FALSE)</f>
        <v>Office</v>
      </c>
      <c r="G50" s="66">
        <v>3791.3939393940091</v>
      </c>
      <c r="H50" s="66"/>
      <c r="I50" s="66"/>
      <c r="J50" s="66"/>
      <c r="K50" s="66"/>
      <c r="L50" s="67"/>
      <c r="M50" s="21">
        <f t="shared" si="6"/>
        <v>1.5057893285080151</v>
      </c>
      <c r="N50" s="21">
        <f t="shared" si="7"/>
        <v>0</v>
      </c>
      <c r="O50" s="21">
        <f t="shared" si="8"/>
        <v>0</v>
      </c>
      <c r="P50" s="21">
        <f t="shared" si="9"/>
        <v>0</v>
      </c>
      <c r="Q50" s="66"/>
      <c r="R50" s="66"/>
      <c r="S50" s="66"/>
      <c r="T50" s="66"/>
      <c r="U50" s="66"/>
      <c r="V50" s="68"/>
      <c r="W50" s="66"/>
      <c r="X50" s="67"/>
      <c r="Y50" s="66"/>
      <c r="Z50" s="211" t="b">
        <f>IFERROR(INDEX(Outliers!$X$3:$X$61,MATCH('SkYSPark Data_w Will''s Data'!C50,Outliers!$B$3:$B$61,0)),0)</f>
        <v>0</v>
      </c>
      <c r="AA50" s="1" t="b">
        <f>IFERROR(INDEX(Outliers!$AP$3:$AP$61,MATCH('SkYSPark Data_w Will''s Data'!C50,Outliers!$B$3:$B$61,0)),0)</f>
        <v>1</v>
      </c>
      <c r="AB50" s="112" t="b">
        <f>IFERROR(INDEX(Outliers!$AY$3:$AY$61,MATCH('SkYSPark Data_w Will''s Data'!C50,Outliers!$B$3:$B$61,0)),0)</f>
        <v>1</v>
      </c>
      <c r="AC50" s="112" t="s">
        <v>392</v>
      </c>
      <c r="AD50" s="134"/>
      <c r="AE50" s="134"/>
      <c r="AF50" s="134"/>
    </row>
    <row r="51" spans="1:40" x14ac:dyDescent="0.3">
      <c r="A51" s="2">
        <v>44927</v>
      </c>
      <c r="B51" s="3">
        <f t="shared" si="5"/>
        <v>1</v>
      </c>
      <c r="C51" s="3" t="s">
        <v>129</v>
      </c>
      <c r="D51" s="3" t="str">
        <f>VLOOKUP(C51,'Data availability'!$A$2:$B$91,2,FALSE)</f>
        <v>Main campus</v>
      </c>
      <c r="E51" s="3">
        <v>1396</v>
      </c>
      <c r="F51" s="3" t="str">
        <f>VLOOKUP(C51,'Data availability'!$A$2:$H$91,8,FALSE)</f>
        <v>Office</v>
      </c>
      <c r="G51" s="1">
        <v>2317.8417062365502</v>
      </c>
      <c r="M51" s="21">
        <f t="shared" si="6"/>
        <v>5.6650973507730011</v>
      </c>
      <c r="N51" s="21">
        <f t="shared" si="7"/>
        <v>0</v>
      </c>
      <c r="O51" s="21">
        <f t="shared" si="8"/>
        <v>0</v>
      </c>
      <c r="P51" s="21">
        <f t="shared" si="9"/>
        <v>0</v>
      </c>
      <c r="Q51" s="1">
        <f>(SUM(G51:G62)*3.412)/E51</f>
        <v>70.997282644450976</v>
      </c>
      <c r="V51" s="33">
        <f>SUM(Q51:T51)</f>
        <v>70.997282644450976</v>
      </c>
      <c r="W51" s="10" t="s">
        <v>256</v>
      </c>
      <c r="X51" s="23" t="s">
        <v>257</v>
      </c>
      <c r="Z51" s="211" t="b">
        <f>IFERROR(INDEX(Outliers!$X$3:$X$61,MATCH('SkYSPark Data_w Will''s Data'!C51,Outliers!$B$3:$B$61,0)),0)</f>
        <v>0</v>
      </c>
      <c r="AA51" s="1" t="b">
        <f>IFERROR(INDEX(Outliers!$AP$3:$AP$61,MATCH('SkYSPark Data_w Will''s Data'!C51,Outliers!$B$3:$B$61,0)),0)</f>
        <v>1</v>
      </c>
      <c r="AB51" s="112" t="b">
        <f>IFERROR(INDEX(Outliers!$AY$3:$AY$61,MATCH('SkYSPark Data_w Will''s Data'!C51,Outliers!$B$3:$B$61,0)),0)</f>
        <v>1</v>
      </c>
      <c r="AC51" s="112" t="s">
        <v>391</v>
      </c>
      <c r="AG51">
        <v>0.98252702624580146</v>
      </c>
      <c r="AJ51">
        <v>1419.4249634742739</v>
      </c>
      <c r="AK51">
        <v>10.98388440860232</v>
      </c>
      <c r="AL51">
        <v>94693.000000000917</v>
      </c>
      <c r="AM51">
        <v>6.7858602150536909</v>
      </c>
      <c r="AN51">
        <v>38392.999999999243</v>
      </c>
    </row>
    <row r="52" spans="1:40" x14ac:dyDescent="0.3">
      <c r="A52" s="2">
        <v>44958</v>
      </c>
      <c r="B52" s="3">
        <f t="shared" si="5"/>
        <v>2</v>
      </c>
      <c r="C52" s="3" t="s">
        <v>129</v>
      </c>
      <c r="D52" s="3" t="str">
        <f>VLOOKUP(C52,'Data availability'!$A$2:$B$91,2,FALSE)</f>
        <v>Main campus</v>
      </c>
      <c r="E52" s="3">
        <v>1396</v>
      </c>
      <c r="F52" s="3" t="str">
        <f>VLOOKUP(C52,'Data availability'!$A$2:$H$91,8,FALSE)</f>
        <v>Office</v>
      </c>
      <c r="G52" s="1">
        <v>2018.435747096767</v>
      </c>
      <c r="M52" s="21">
        <f t="shared" si="6"/>
        <v>4.9333114391792048</v>
      </c>
      <c r="N52" s="21">
        <f t="shared" si="7"/>
        <v>0</v>
      </c>
      <c r="O52" s="21">
        <f t="shared" si="8"/>
        <v>0</v>
      </c>
      <c r="P52" s="21">
        <f t="shared" si="9"/>
        <v>0</v>
      </c>
      <c r="Z52" s="211" t="b">
        <f>IFERROR(INDEX(Outliers!$X$3:$X$61,MATCH('SkYSPark Data_w Will''s Data'!C52,Outliers!$B$3:$B$61,0)),0)</f>
        <v>0</v>
      </c>
      <c r="AA52" s="1" t="b">
        <f>IFERROR(INDEX(Outliers!$AP$3:$AP$61,MATCH('SkYSPark Data_w Will''s Data'!C52,Outliers!$B$3:$B$61,0)),0)</f>
        <v>1</v>
      </c>
      <c r="AB52" s="112" t="b">
        <f>IFERROR(INDEX(Outliers!$AY$3:$AY$61,MATCH('SkYSPark Data_w Will''s Data'!C52,Outliers!$B$3:$B$61,0)),0)</f>
        <v>1</v>
      </c>
      <c r="AC52" s="112" t="s">
        <v>391</v>
      </c>
      <c r="AG52">
        <v>0.91265360983102217</v>
      </c>
      <c r="AJ52">
        <v>1943.5387351661921</v>
      </c>
      <c r="AK52">
        <v>15.40930059523815</v>
      </c>
      <c r="AL52">
        <v>119989.00000000199</v>
      </c>
      <c r="AM52">
        <v>9.3766220238094498</v>
      </c>
      <c r="AN52">
        <v>47916.999999999804</v>
      </c>
    </row>
    <row r="53" spans="1:40" x14ac:dyDescent="0.3">
      <c r="A53" s="2">
        <v>44986</v>
      </c>
      <c r="B53" s="3">
        <f t="shared" si="5"/>
        <v>3</v>
      </c>
      <c r="C53" s="3" t="s">
        <v>129</v>
      </c>
      <c r="D53" s="3" t="str">
        <f>VLOOKUP(C53,'Data availability'!$A$2:$B$91,2,FALSE)</f>
        <v>Main campus</v>
      </c>
      <c r="E53" s="3">
        <v>1396</v>
      </c>
      <c r="F53" s="3" t="str">
        <f>VLOOKUP(C53,'Data availability'!$A$2:$H$91,8,FALSE)</f>
        <v>Office</v>
      </c>
      <c r="G53" s="1">
        <v>2246.3135871942591</v>
      </c>
      <c r="M53" s="21">
        <f t="shared" si="6"/>
        <v>5.4902736099618998</v>
      </c>
      <c r="N53" s="21">
        <f t="shared" si="7"/>
        <v>0</v>
      </c>
      <c r="O53" s="21">
        <f t="shared" si="8"/>
        <v>0</v>
      </c>
      <c r="P53" s="21">
        <f t="shared" si="9"/>
        <v>0</v>
      </c>
      <c r="Z53" s="211" t="b">
        <f>IFERROR(INDEX(Outliers!$X$3:$X$61,MATCH('SkYSPark Data_w Will''s Data'!C53,Outliers!$B$3:$B$61,0)),0)</f>
        <v>0</v>
      </c>
      <c r="AA53" s="1" t="b">
        <f>IFERROR(INDEX(Outliers!$AP$3:$AP$61,MATCH('SkYSPark Data_w Will''s Data'!C53,Outliers!$B$3:$B$61,0)),0)</f>
        <v>1</v>
      </c>
      <c r="AB53" s="112" t="b">
        <f>IFERROR(INDEX(Outliers!$AY$3:$AY$61,MATCH('SkYSPark Data_w Will''s Data'!C53,Outliers!$B$3:$B$61,0)),0)</f>
        <v>1</v>
      </c>
      <c r="AC53" s="112" t="s">
        <v>391</v>
      </c>
      <c r="AG53">
        <v>0.97848986705657048</v>
      </c>
      <c r="AJ53">
        <v>2252.196119010448</v>
      </c>
      <c r="AK53">
        <v>18.747765814266629</v>
      </c>
      <c r="AL53">
        <v>161408.99999999881</v>
      </c>
      <c r="AM53">
        <v>11.66297442799447</v>
      </c>
      <c r="AN53">
        <v>65898.000000000349</v>
      </c>
    </row>
    <row r="54" spans="1:40" x14ac:dyDescent="0.3">
      <c r="A54" s="2">
        <v>45017</v>
      </c>
      <c r="B54" s="3">
        <f t="shared" si="5"/>
        <v>4</v>
      </c>
      <c r="C54" s="3" t="s">
        <v>129</v>
      </c>
      <c r="D54" s="3" t="str">
        <f>VLOOKUP(C54,'Data availability'!$A$2:$B$91,2,FALSE)</f>
        <v>Main campus</v>
      </c>
      <c r="E54" s="3">
        <v>1396</v>
      </c>
      <c r="F54" s="3" t="str">
        <f>VLOOKUP(C54,'Data availability'!$A$2:$H$91,8,FALSE)</f>
        <v>Office</v>
      </c>
      <c r="G54" s="1">
        <v>2223.0582090557359</v>
      </c>
      <c r="M54" s="21">
        <f t="shared" si="6"/>
        <v>5.4334345338812113</v>
      </c>
      <c r="N54" s="21">
        <f t="shared" si="7"/>
        <v>0</v>
      </c>
      <c r="O54" s="21">
        <f t="shared" si="8"/>
        <v>0</v>
      </c>
      <c r="P54" s="21">
        <f t="shared" si="9"/>
        <v>0</v>
      </c>
      <c r="Z54" s="211" t="b">
        <f>IFERROR(INDEX(Outliers!$X$3:$X$61,MATCH('SkYSPark Data_w Will''s Data'!C54,Outliers!$B$3:$B$61,0)),0)</f>
        <v>0</v>
      </c>
      <c r="AA54" s="1" t="b">
        <f>IFERROR(INDEX(Outliers!$AP$3:$AP$61,MATCH('SkYSPark Data_w Will''s Data'!C54,Outliers!$B$3:$B$61,0)),0)</f>
        <v>1</v>
      </c>
      <c r="AB54" s="112" t="b">
        <f>IFERROR(INDEX(Outliers!$AY$3:$AY$61,MATCH('SkYSPark Data_w Will''s Data'!C54,Outliers!$B$3:$B$61,0)),0)</f>
        <v>1</v>
      </c>
      <c r="AC54" s="112" t="s">
        <v>391</v>
      </c>
      <c r="AG54">
        <v>1.014850908023597</v>
      </c>
      <c r="AJ54">
        <v>2198.5816674828529</v>
      </c>
      <c r="AK54">
        <v>29.523555555555511</v>
      </c>
      <c r="AL54">
        <v>247174.0000000018</v>
      </c>
      <c r="AM54">
        <v>18.33538888888874</v>
      </c>
      <c r="AN54">
        <v>100621.0000000007</v>
      </c>
    </row>
    <row r="55" spans="1:40" x14ac:dyDescent="0.3">
      <c r="A55" s="2">
        <v>45047</v>
      </c>
      <c r="B55" s="3">
        <f t="shared" si="5"/>
        <v>5</v>
      </c>
      <c r="C55" s="3" t="s">
        <v>129</v>
      </c>
      <c r="D55" s="3" t="str">
        <f>VLOOKUP(C55,'Data availability'!$A$2:$B$91,2,FALSE)</f>
        <v>Main campus</v>
      </c>
      <c r="E55" s="3">
        <v>1396</v>
      </c>
      <c r="F55" s="3" t="str">
        <f>VLOOKUP(C55,'Data availability'!$A$2:$H$91,8,FALSE)</f>
        <v>Office</v>
      </c>
      <c r="G55" s="1">
        <v>2442.2333770833252</v>
      </c>
      <c r="M55" s="21">
        <f t="shared" si="6"/>
        <v>5.969126276940047</v>
      </c>
      <c r="N55" s="21">
        <f t="shared" si="7"/>
        <v>0</v>
      </c>
      <c r="O55" s="21">
        <f t="shared" si="8"/>
        <v>0</v>
      </c>
      <c r="P55" s="21">
        <f t="shared" si="9"/>
        <v>0</v>
      </c>
      <c r="Z55" s="211" t="b">
        <f>IFERROR(INDEX(Outliers!$X$3:$X$61,MATCH('SkYSPark Data_w Will''s Data'!C55,Outliers!$B$3:$B$61,0)),0)</f>
        <v>0</v>
      </c>
      <c r="AA55" s="1" t="b">
        <f>IFERROR(INDEX(Outliers!$AP$3:$AP$61,MATCH('SkYSPark Data_w Will''s Data'!C55,Outliers!$B$3:$B$61,0)),0)</f>
        <v>1</v>
      </c>
      <c r="AB55" s="112" t="b">
        <f>IFERROR(INDEX(Outliers!$AY$3:$AY$61,MATCH('SkYSPark Data_w Will''s Data'!C55,Outliers!$B$3:$B$61,0)),0)</f>
        <v>1</v>
      </c>
      <c r="AC55" s="112" t="s">
        <v>391</v>
      </c>
      <c r="AG55">
        <v>1.094069500448015</v>
      </c>
      <c r="AJ55">
        <v>2377.3856636285782</v>
      </c>
      <c r="AK55">
        <v>28.087862903225702</v>
      </c>
      <c r="AL55">
        <v>242148.00000000061</v>
      </c>
      <c r="AM55">
        <v>18.181989247312089</v>
      </c>
      <c r="AN55">
        <v>102869.99999999969</v>
      </c>
    </row>
    <row r="56" spans="1:40" x14ac:dyDescent="0.3">
      <c r="A56" s="2">
        <v>45078</v>
      </c>
      <c r="B56" s="3">
        <f t="shared" si="5"/>
        <v>6</v>
      </c>
      <c r="C56" s="3" t="s">
        <v>129</v>
      </c>
      <c r="D56" s="3" t="str">
        <f>VLOOKUP(C56,'Data availability'!$A$2:$B$91,2,FALSE)</f>
        <v>Main campus</v>
      </c>
      <c r="E56" s="3">
        <v>1396</v>
      </c>
      <c r="F56" s="3" t="str">
        <f>VLOOKUP(C56,'Data availability'!$A$2:$H$91,8,FALSE)</f>
        <v>Office</v>
      </c>
      <c r="G56" s="1">
        <v>2448.5575833333519</v>
      </c>
      <c r="M56" s="21">
        <f t="shared" si="6"/>
        <v>5.9845834343362441</v>
      </c>
      <c r="N56" s="21">
        <f t="shared" si="7"/>
        <v>0</v>
      </c>
      <c r="O56" s="21">
        <f t="shared" si="8"/>
        <v>0</v>
      </c>
      <c r="P56" s="21">
        <f t="shared" si="9"/>
        <v>0</v>
      </c>
      <c r="Z56" s="211" t="b">
        <f>IFERROR(INDEX(Outliers!$X$3:$X$61,MATCH('SkYSPark Data_w Will''s Data'!C56,Outliers!$B$3:$B$61,0)),0)</f>
        <v>0</v>
      </c>
      <c r="AA56" s="1" t="b">
        <f>IFERROR(INDEX(Outliers!$AP$3:$AP$61,MATCH('SkYSPark Data_w Will''s Data'!C56,Outliers!$B$3:$B$61,0)),0)</f>
        <v>1</v>
      </c>
      <c r="AB56" s="112" t="b">
        <f>IFERROR(INDEX(Outliers!$AY$3:$AY$61,MATCH('SkYSPark Data_w Will''s Data'!C56,Outliers!$B$3:$B$61,0)),0)</f>
        <v>1</v>
      </c>
      <c r="AC56" s="112" t="s">
        <v>391</v>
      </c>
      <c r="AG56">
        <v>1.219050925925907</v>
      </c>
      <c r="AJ56">
        <v>2439.4816456139092</v>
      </c>
      <c r="AK56">
        <v>31.807777777777449</v>
      </c>
      <c r="AL56">
        <v>265372.00000000157</v>
      </c>
      <c r="AM56">
        <v>20.31858333333356</v>
      </c>
      <c r="AN56">
        <v>111250.000000001</v>
      </c>
    </row>
    <row r="57" spans="1:40" x14ac:dyDescent="0.3">
      <c r="A57" s="2">
        <v>45108</v>
      </c>
      <c r="B57" s="3">
        <f t="shared" si="5"/>
        <v>7</v>
      </c>
      <c r="C57" s="3" t="s">
        <v>129</v>
      </c>
      <c r="D57" s="3" t="str">
        <f>VLOOKUP(C57,'Data availability'!$A$2:$B$91,2,FALSE)</f>
        <v>Main campus</v>
      </c>
      <c r="E57" s="3">
        <v>1396</v>
      </c>
      <c r="F57" s="3" t="str">
        <f>VLOOKUP(C57,'Data availability'!$A$2:$H$91,8,FALSE)</f>
        <v>Office</v>
      </c>
      <c r="G57" s="1">
        <v>2561.06413958334</v>
      </c>
      <c r="M57" s="21">
        <f t="shared" si="6"/>
        <v>6.2595636420188789</v>
      </c>
      <c r="N57" s="21">
        <f t="shared" si="7"/>
        <v>0</v>
      </c>
      <c r="O57" s="21">
        <f t="shared" si="8"/>
        <v>0</v>
      </c>
      <c r="P57" s="21">
        <f t="shared" si="9"/>
        <v>0</v>
      </c>
      <c r="Z57" s="211" t="b">
        <f>IFERROR(INDEX(Outliers!$X$3:$X$61,MATCH('SkYSPark Data_w Will''s Data'!C57,Outliers!$B$3:$B$61,0)),0)</f>
        <v>0</v>
      </c>
      <c r="AA57" s="1" t="b">
        <f>IFERROR(INDEX(Outliers!$AP$3:$AP$61,MATCH('SkYSPark Data_w Will''s Data'!C57,Outliers!$B$3:$B$61,0)),0)</f>
        <v>1</v>
      </c>
      <c r="AB57" s="112" t="b">
        <f>IFERROR(INDEX(Outliers!$AY$3:$AY$61,MATCH('SkYSPark Data_w Will''s Data'!C57,Outliers!$B$3:$B$61,0)),0)</f>
        <v>1</v>
      </c>
      <c r="AC57" s="112" t="s">
        <v>391</v>
      </c>
      <c r="AG57">
        <v>1.2955048723118381</v>
      </c>
      <c r="AJ57">
        <v>2568.0752530694008</v>
      </c>
      <c r="AK57">
        <v>33.511196236559051</v>
      </c>
      <c r="AL57">
        <v>288903.00000000122</v>
      </c>
      <c r="AM57">
        <v>20.40548387096754</v>
      </c>
      <c r="AN57">
        <v>115449.9999999986</v>
      </c>
    </row>
    <row r="58" spans="1:40" x14ac:dyDescent="0.3">
      <c r="A58" s="2">
        <v>45139</v>
      </c>
      <c r="B58" s="3">
        <f t="shared" si="5"/>
        <v>8</v>
      </c>
      <c r="C58" s="3" t="s">
        <v>129</v>
      </c>
      <c r="D58" s="3" t="str">
        <f>VLOOKUP(C58,'Data availability'!$A$2:$B$91,2,FALSE)</f>
        <v>Main campus</v>
      </c>
      <c r="E58" s="3">
        <v>1396</v>
      </c>
      <c r="F58" s="3" t="str">
        <f>VLOOKUP(C58,'Data availability'!$A$2:$H$91,8,FALSE)</f>
        <v>Office</v>
      </c>
      <c r="G58" s="1">
        <v>2773.5054937500231</v>
      </c>
      <c r="M58" s="21">
        <f t="shared" si="6"/>
        <v>6.7787970950394554</v>
      </c>
      <c r="N58" s="21">
        <f t="shared" si="7"/>
        <v>0</v>
      </c>
      <c r="O58" s="21">
        <f t="shared" si="8"/>
        <v>0</v>
      </c>
      <c r="P58" s="21">
        <f t="shared" si="9"/>
        <v>0</v>
      </c>
      <c r="Z58" s="211" t="b">
        <f>IFERROR(INDEX(Outliers!$X$3:$X$61,MATCH('SkYSPark Data_w Will''s Data'!C58,Outliers!$B$3:$B$61,0)),0)</f>
        <v>0</v>
      </c>
      <c r="AA58" s="1" t="b">
        <f>IFERROR(INDEX(Outliers!$AP$3:$AP$61,MATCH('SkYSPark Data_w Will''s Data'!C58,Outliers!$B$3:$B$61,0)),0)</f>
        <v>1</v>
      </c>
      <c r="AB58" s="112" t="b">
        <f>IFERROR(INDEX(Outliers!$AY$3:$AY$61,MATCH('SkYSPark Data_w Will''s Data'!C58,Outliers!$B$3:$B$61,0)),0)</f>
        <v>1</v>
      </c>
      <c r="AC58" s="112" t="s">
        <v>391</v>
      </c>
      <c r="AG58">
        <v>1.420895217293918</v>
      </c>
      <c r="AJ58">
        <v>2885.5756343901162</v>
      </c>
      <c r="AK58">
        <v>28.594287634408801</v>
      </c>
      <c r="AL58">
        <v>246514.0000000039</v>
      </c>
      <c r="AM58">
        <v>16.274529569892671</v>
      </c>
      <c r="AN58">
        <v>92078.000000000422</v>
      </c>
    </row>
    <row r="59" spans="1:40" x14ac:dyDescent="0.3">
      <c r="A59" s="2">
        <v>45170</v>
      </c>
      <c r="B59" s="3">
        <f t="shared" si="5"/>
        <v>9</v>
      </c>
      <c r="C59" s="3" t="s">
        <v>129</v>
      </c>
      <c r="D59" s="3" t="str">
        <f>VLOOKUP(C59,'Data availability'!$A$2:$B$91,2,FALSE)</f>
        <v>Main campus</v>
      </c>
      <c r="E59" s="3">
        <v>1396</v>
      </c>
      <c r="F59" s="3" t="str">
        <f>VLOOKUP(C59,'Data availability'!$A$2:$H$91,8,FALSE)</f>
        <v>Office</v>
      </c>
      <c r="G59" s="1">
        <v>2577.4934666666759</v>
      </c>
      <c r="M59" s="21">
        <f t="shared" si="6"/>
        <v>6.299718988729726</v>
      </c>
      <c r="N59" s="21">
        <f t="shared" si="7"/>
        <v>0</v>
      </c>
      <c r="O59" s="21">
        <f t="shared" si="8"/>
        <v>0</v>
      </c>
      <c r="P59" s="21">
        <f t="shared" si="9"/>
        <v>0</v>
      </c>
      <c r="Z59" s="211" t="b">
        <f>IFERROR(INDEX(Outliers!$X$3:$X$61,MATCH('SkYSPark Data_w Will''s Data'!C59,Outliers!$B$3:$B$61,0)),0)</f>
        <v>0</v>
      </c>
      <c r="AA59" s="1" t="b">
        <f>IFERROR(INDEX(Outliers!$AP$3:$AP$61,MATCH('SkYSPark Data_w Will''s Data'!C59,Outliers!$B$3:$B$61,0)),0)</f>
        <v>1</v>
      </c>
      <c r="AB59" s="112" t="b">
        <f>IFERROR(INDEX(Outliers!$AY$3:$AY$61,MATCH('SkYSPark Data_w Will''s Data'!C59,Outliers!$B$3:$B$61,0)),0)</f>
        <v>1</v>
      </c>
      <c r="AC59" s="112" t="s">
        <v>391</v>
      </c>
      <c r="AG59">
        <v>1.3179120370370589</v>
      </c>
      <c r="AJ59">
        <v>2523.9793540835381</v>
      </c>
      <c r="AK59">
        <v>21.727666666667101</v>
      </c>
      <c r="AL59">
        <v>181905.6000000005</v>
      </c>
      <c r="AM59">
        <v>11.72230555555573</v>
      </c>
      <c r="AN59">
        <v>64183.000000000393</v>
      </c>
    </row>
    <row r="60" spans="1:40" x14ac:dyDescent="0.3">
      <c r="A60" s="2">
        <v>45200</v>
      </c>
      <c r="B60" s="3">
        <f t="shared" si="5"/>
        <v>10</v>
      </c>
      <c r="C60" s="3" t="s">
        <v>129</v>
      </c>
      <c r="D60" s="3" t="str">
        <f>VLOOKUP(C60,'Data availability'!$A$2:$B$91,2,FALSE)</f>
        <v>Main campus</v>
      </c>
      <c r="E60" s="3">
        <v>1396</v>
      </c>
      <c r="F60" s="3" t="str">
        <f>VLOOKUP(C60,'Data availability'!$A$2:$H$91,8,FALSE)</f>
        <v>Office</v>
      </c>
      <c r="G60" s="1">
        <v>2598.47885554814</v>
      </c>
      <c r="M60" s="21">
        <f t="shared" si="6"/>
        <v>6.3510099248784053</v>
      </c>
      <c r="N60" s="21">
        <f t="shared" si="7"/>
        <v>0</v>
      </c>
      <c r="O60" s="21">
        <f t="shared" si="8"/>
        <v>0</v>
      </c>
      <c r="P60" s="21">
        <f t="shared" si="9"/>
        <v>0</v>
      </c>
      <c r="Z60" s="211" t="b">
        <f>IFERROR(INDEX(Outliers!$X$3:$X$61,MATCH('SkYSPark Data_w Will''s Data'!C60,Outliers!$B$3:$B$61,0)),0)</f>
        <v>0</v>
      </c>
      <c r="AA60" s="1" t="b">
        <f>IFERROR(INDEX(Outliers!$AP$3:$AP$61,MATCH('SkYSPark Data_w Will''s Data'!C60,Outliers!$B$3:$B$61,0)),0)</f>
        <v>1</v>
      </c>
      <c r="AB60" s="112" t="b">
        <f>IFERROR(INDEX(Outliers!$AY$3:$AY$61,MATCH('SkYSPark Data_w Will''s Data'!C60,Outliers!$B$3:$B$61,0)),0)</f>
        <v>1</v>
      </c>
      <c r="AC60" s="112" t="s">
        <v>391</v>
      </c>
      <c r="AG60">
        <v>1.2293412294628621</v>
      </c>
      <c r="AJ60">
        <v>2611.4165598452091</v>
      </c>
      <c r="AK60">
        <v>18.55159946236563</v>
      </c>
      <c r="AL60">
        <v>159935.00000000119</v>
      </c>
      <c r="AM60">
        <v>10.78848118279552</v>
      </c>
      <c r="AN60">
        <v>61038.99999999936</v>
      </c>
    </row>
    <row r="61" spans="1:40" x14ac:dyDescent="0.3">
      <c r="A61" s="2">
        <v>45231</v>
      </c>
      <c r="B61" s="3">
        <f t="shared" si="5"/>
        <v>11</v>
      </c>
      <c r="C61" s="3" t="s">
        <v>129</v>
      </c>
      <c r="D61" s="3" t="str">
        <f>VLOOKUP(C61,'Data availability'!$A$2:$B$91,2,FALSE)</f>
        <v>Main campus</v>
      </c>
      <c r="E61" s="3">
        <v>1396</v>
      </c>
      <c r="F61" s="3" t="str">
        <f>VLOOKUP(C61,'Data availability'!$A$2:$H$91,8,FALSE)</f>
        <v>Office</v>
      </c>
      <c r="G61" s="1">
        <v>2441.658934236842</v>
      </c>
      <c r="M61" s="21">
        <f t="shared" si="6"/>
        <v>5.9677222662006475</v>
      </c>
      <c r="N61" s="21">
        <f t="shared" si="7"/>
        <v>0</v>
      </c>
      <c r="O61" s="21">
        <f t="shared" si="8"/>
        <v>0</v>
      </c>
      <c r="P61" s="21">
        <f t="shared" si="9"/>
        <v>0</v>
      </c>
      <c r="Z61" s="211" t="b">
        <f>IFERROR(INDEX(Outliers!$X$3:$X$61,MATCH('SkYSPark Data_w Will''s Data'!C61,Outliers!$B$3:$B$61,0)),0)</f>
        <v>0</v>
      </c>
      <c r="AA61" s="1" t="b">
        <f>IFERROR(INDEX(Outliers!$AP$3:$AP$61,MATCH('SkYSPark Data_w Will''s Data'!C61,Outliers!$B$3:$B$61,0)),0)</f>
        <v>1</v>
      </c>
      <c r="AB61" s="112" t="b">
        <f>IFERROR(INDEX(Outliers!$AY$3:$AY$61,MATCH('SkYSPark Data_w Will''s Data'!C61,Outliers!$B$3:$B$61,0)),0)</f>
        <v>1</v>
      </c>
      <c r="AC61" s="112" t="s">
        <v>391</v>
      </c>
      <c r="AG61">
        <v>1.1840052145468101</v>
      </c>
      <c r="AJ61">
        <v>2445.3048895001411</v>
      </c>
      <c r="AK61">
        <v>11.73105409153955</v>
      </c>
      <c r="AL61">
        <v>98007.999999999418</v>
      </c>
      <c r="AM61">
        <v>7.7760055478502172</v>
      </c>
      <c r="AN61">
        <v>42634.999999999971</v>
      </c>
    </row>
    <row r="62" spans="1:40" s="69" customFormat="1" x14ac:dyDescent="0.3">
      <c r="A62" s="65">
        <v>45261</v>
      </c>
      <c r="B62" s="3">
        <f t="shared" si="5"/>
        <v>12</v>
      </c>
      <c r="C62" s="64" t="s">
        <v>129</v>
      </c>
      <c r="D62" s="64" t="str">
        <f>VLOOKUP(C62,'Data availability'!$A$2:$B$91,2,FALSE)</f>
        <v>Main campus</v>
      </c>
      <c r="E62" s="64">
        <v>1396</v>
      </c>
      <c r="F62" s="3" t="str">
        <f>VLOOKUP(C62,'Data availability'!$A$2:$H$91,8,FALSE)</f>
        <v>Office</v>
      </c>
      <c r="G62" s="66">
        <v>2399.4850935483901</v>
      </c>
      <c r="H62" s="66"/>
      <c r="I62" s="66"/>
      <c r="J62" s="66"/>
      <c r="K62" s="66"/>
      <c r="L62" s="67"/>
      <c r="M62" s="21">
        <f t="shared" si="6"/>
        <v>5.8646440825122541</v>
      </c>
      <c r="N62" s="21">
        <f t="shared" si="7"/>
        <v>0</v>
      </c>
      <c r="O62" s="21">
        <f t="shared" si="8"/>
        <v>0</v>
      </c>
      <c r="P62" s="21">
        <f t="shared" si="9"/>
        <v>0</v>
      </c>
      <c r="Q62" s="66"/>
      <c r="R62" s="66"/>
      <c r="S62" s="66"/>
      <c r="T62" s="66"/>
      <c r="U62" s="66"/>
      <c r="V62" s="68"/>
      <c r="W62" s="66"/>
      <c r="X62" s="67"/>
      <c r="Y62" s="66"/>
      <c r="Z62" s="211" t="b">
        <f>IFERROR(INDEX(Outliers!$X$3:$X$61,MATCH('SkYSPark Data_w Will''s Data'!C62,Outliers!$B$3:$B$61,0)),0)</f>
        <v>0</v>
      </c>
      <c r="AA62" s="1" t="b">
        <f>IFERROR(INDEX(Outliers!$AP$3:$AP$61,MATCH('SkYSPark Data_w Will''s Data'!C62,Outliers!$B$3:$B$61,0)),0)</f>
        <v>1</v>
      </c>
      <c r="AB62" s="112" t="b">
        <f>IFERROR(INDEX(Outliers!$AY$3:$AY$61,MATCH('SkYSPark Data_w Will''s Data'!C62,Outliers!$B$3:$B$61,0)),0)</f>
        <v>1</v>
      </c>
      <c r="AC62" s="112" t="s">
        <v>391</v>
      </c>
      <c r="AD62" s="134"/>
      <c r="AE62" s="134"/>
      <c r="AF62" s="134"/>
      <c r="AG62" s="69">
        <v>1.160690903572654</v>
      </c>
      <c r="AJ62" s="69">
        <v>2409.1359234452252</v>
      </c>
      <c r="AK62" s="69">
        <v>9.9906182795700538</v>
      </c>
      <c r="AL62" s="69">
        <v>86129.999999999709</v>
      </c>
      <c r="AM62" s="69">
        <v>5.4908333333332919</v>
      </c>
      <c r="AN62" s="69">
        <v>31065.999999999651</v>
      </c>
    </row>
    <row r="63" spans="1:40" x14ac:dyDescent="0.3">
      <c r="A63" s="2">
        <v>44927</v>
      </c>
      <c r="B63" s="3">
        <f t="shared" si="5"/>
        <v>1</v>
      </c>
      <c r="C63" s="3" t="s">
        <v>453</v>
      </c>
      <c r="D63" s="98" t="s">
        <v>522</v>
      </c>
      <c r="E63" s="98">
        <v>137601</v>
      </c>
      <c r="F63" s="3" t="s">
        <v>127</v>
      </c>
      <c r="G63" s="259">
        <f>'Solar Data-Main Campus'!C37</f>
        <v>103699.56896551717</v>
      </c>
      <c r="J63" s="1">
        <v>9803.2085129310635</v>
      </c>
      <c r="K63" s="1">
        <v>1689.660544854539</v>
      </c>
      <c r="M63" s="21">
        <f t="shared" si="6"/>
        <v>2.5713688803885479</v>
      </c>
      <c r="N63" s="21">
        <f t="shared" si="7"/>
        <v>0</v>
      </c>
      <c r="O63" s="21">
        <f t="shared" si="8"/>
        <v>7.1243730154076372</v>
      </c>
      <c r="P63" s="21">
        <f t="shared" si="9"/>
        <v>0.14735304640412838</v>
      </c>
      <c r="Q63" s="1">
        <f>(SUM(G63:G74)*3.412)/E63</f>
        <v>32.428903450230472</v>
      </c>
      <c r="S63" s="1">
        <f>(SUM(J63:J74)*100)/E63</f>
        <v>52.087683586150874</v>
      </c>
      <c r="T63" s="1">
        <f>(SUM(K63:K74)*12)/E63</f>
        <v>21.087550288883442</v>
      </c>
      <c r="V63" s="33">
        <f>SUM(Q63:T63)</f>
        <v>105.60413732526479</v>
      </c>
      <c r="W63" s="10" t="s">
        <v>258</v>
      </c>
      <c r="Y63" s="126" t="s">
        <v>686</v>
      </c>
      <c r="Z63" s="211" t="b">
        <f>IFERROR(INDEX(Outliers!$X$3:$X$61,MATCH('SkYSPark Data_w Will''s Data'!C63,Outliers!$B$3:$B$61,0)),0)</f>
        <v>0</v>
      </c>
      <c r="AA63" s="1" t="b">
        <f>IFERROR(INDEX(Outliers!$AP$3:$AP$61,MATCH('SkYSPark Data_w Will''s Data'!C63,Outliers!$B$3:$B$61,0)),0)</f>
        <v>0</v>
      </c>
      <c r="AB63" s="112" t="b">
        <f>IFERROR(INDEX(Outliers!$AY$3:$AY$61,MATCH('SkYSPark Data_w Will''s Data'!C63,Outliers!$B$3:$B$61,0)),0)</f>
        <v>0</v>
      </c>
      <c r="AC63" s="112" t="s">
        <v>392</v>
      </c>
      <c r="AD63" s="198"/>
      <c r="AE63" s="198"/>
      <c r="AF63" s="135"/>
    </row>
    <row r="64" spans="1:40" x14ac:dyDescent="0.3">
      <c r="A64" s="2">
        <v>44958</v>
      </c>
      <c r="B64" s="3">
        <f t="shared" si="5"/>
        <v>2</v>
      </c>
      <c r="C64" s="3" t="s">
        <v>453</v>
      </c>
      <c r="D64" s="98" t="s">
        <v>522</v>
      </c>
      <c r="E64" s="98">
        <v>137601</v>
      </c>
      <c r="F64" s="3" t="s">
        <v>127</v>
      </c>
      <c r="G64" s="259">
        <f>'Solar Data-Main Campus'!C38</f>
        <v>96736.500000000713</v>
      </c>
      <c r="J64" s="1">
        <v>8322.10937500008</v>
      </c>
      <c r="K64" s="1">
        <v>6833.0599999998976</v>
      </c>
      <c r="M64" s="21">
        <f t="shared" si="6"/>
        <v>2.3987103146052893</v>
      </c>
      <c r="N64" s="21">
        <f t="shared" si="7"/>
        <v>0</v>
      </c>
      <c r="O64" s="21">
        <f t="shared" si="8"/>
        <v>6.0480006504313781</v>
      </c>
      <c r="P64" s="21">
        <f t="shared" si="9"/>
        <v>0.59590206466521889</v>
      </c>
      <c r="W64" s="10" t="s">
        <v>259</v>
      </c>
      <c r="Z64" s="211" t="b">
        <f>IFERROR(INDEX(Outliers!$X$3:$X$61,MATCH('SkYSPark Data_w Will''s Data'!C64,Outliers!$B$3:$B$61,0)),0)</f>
        <v>0</v>
      </c>
      <c r="AA64" s="1" t="b">
        <f>IFERROR(INDEX(Outliers!$AP$3:$AP$61,MATCH('SkYSPark Data_w Will''s Data'!C64,Outliers!$B$3:$B$61,0)),0)</f>
        <v>0</v>
      </c>
      <c r="AB64" s="112" t="b">
        <f>IFERROR(INDEX(Outliers!$AY$3:$AY$61,MATCH('SkYSPark Data_w Will''s Data'!C64,Outliers!$B$3:$B$61,0)),0)</f>
        <v>0</v>
      </c>
      <c r="AC64" s="112" t="s">
        <v>392</v>
      </c>
      <c r="AF64" s="132"/>
    </row>
    <row r="65" spans="1:32" x14ac:dyDescent="0.3">
      <c r="A65" s="2">
        <v>44986</v>
      </c>
      <c r="B65" s="3">
        <f t="shared" si="5"/>
        <v>3</v>
      </c>
      <c r="C65" s="3" t="s">
        <v>453</v>
      </c>
      <c r="D65" s="98" t="s">
        <v>522</v>
      </c>
      <c r="E65" s="98">
        <v>137601</v>
      </c>
      <c r="F65" s="3" t="s">
        <v>127</v>
      </c>
      <c r="G65" s="259">
        <f>'Solar Data-Main Campus'!C39</f>
        <v>105933.41213653515</v>
      </c>
      <c r="J65" s="1">
        <v>9215.7302860304535</v>
      </c>
      <c r="K65" s="1">
        <v>1019.999100426662</v>
      </c>
      <c r="M65" s="21">
        <f t="shared" si="6"/>
        <v>2.6267599960019035</v>
      </c>
      <c r="N65" s="21">
        <f t="shared" si="7"/>
        <v>0</v>
      </c>
      <c r="O65" s="21">
        <f t="shared" si="8"/>
        <v>6.6974297323641938</v>
      </c>
      <c r="P65" s="21">
        <f t="shared" si="9"/>
        <v>8.8952763461893042E-2</v>
      </c>
      <c r="W65" s="10" t="s">
        <v>260</v>
      </c>
      <c r="Z65" s="211" t="b">
        <f>IFERROR(INDEX(Outliers!$X$3:$X$61,MATCH('SkYSPark Data_w Will''s Data'!C65,Outliers!$B$3:$B$61,0)),0)</f>
        <v>0</v>
      </c>
      <c r="AA65" s="1" t="b">
        <f>IFERROR(INDEX(Outliers!$AP$3:$AP$61,MATCH('SkYSPark Data_w Will''s Data'!C65,Outliers!$B$3:$B$61,0)),0)</f>
        <v>0</v>
      </c>
      <c r="AB65" s="112" t="b">
        <f>IFERROR(INDEX(Outliers!$AY$3:$AY$61,MATCH('SkYSPark Data_w Will''s Data'!C65,Outliers!$B$3:$B$61,0)),0)</f>
        <v>0</v>
      </c>
      <c r="AC65" s="112" t="s">
        <v>392</v>
      </c>
      <c r="AF65" s="132"/>
    </row>
    <row r="66" spans="1:32" x14ac:dyDescent="0.3">
      <c r="A66" s="2">
        <v>45017</v>
      </c>
      <c r="B66" s="3">
        <f t="shared" si="5"/>
        <v>4</v>
      </c>
      <c r="C66" s="3" t="s">
        <v>453</v>
      </c>
      <c r="D66" s="98" t="s">
        <v>522</v>
      </c>
      <c r="E66" s="98">
        <v>137601</v>
      </c>
      <c r="F66" s="3" t="s">
        <v>127</v>
      </c>
      <c r="G66" s="259">
        <f>'Solar Data-Main Campus'!C40</f>
        <v>107979.58786346499</v>
      </c>
      <c r="J66" s="1">
        <v>4037.863463969592</v>
      </c>
      <c r="K66" s="1">
        <v>4961.0442003545104</v>
      </c>
      <c r="M66" s="21">
        <f t="shared" si="6"/>
        <v>2.677497647474528</v>
      </c>
      <c r="N66" s="21">
        <f t="shared" si="7"/>
        <v>0</v>
      </c>
      <c r="O66" s="21">
        <f t="shared" si="8"/>
        <v>2.9344724703814595</v>
      </c>
      <c r="P66" s="21">
        <f t="shared" si="9"/>
        <v>0.43264605928920663</v>
      </c>
      <c r="Z66" s="211" t="b">
        <f>IFERROR(INDEX(Outliers!$X$3:$X$61,MATCH('SkYSPark Data_w Will''s Data'!C66,Outliers!$B$3:$B$61,0)),0)</f>
        <v>0</v>
      </c>
      <c r="AA66" s="1" t="b">
        <f>IFERROR(INDEX(Outliers!$AP$3:$AP$61,MATCH('SkYSPark Data_w Will''s Data'!C66,Outliers!$B$3:$B$61,0)),0)</f>
        <v>0</v>
      </c>
      <c r="AB66" s="112" t="b">
        <f>IFERROR(INDEX(Outliers!$AY$3:$AY$61,MATCH('SkYSPark Data_w Will''s Data'!C66,Outliers!$B$3:$B$61,0)),0)</f>
        <v>0</v>
      </c>
      <c r="AC66" s="112" t="s">
        <v>392</v>
      </c>
      <c r="AF66" s="132"/>
    </row>
    <row r="67" spans="1:32" x14ac:dyDescent="0.3">
      <c r="A67" s="2">
        <v>45047</v>
      </c>
      <c r="B67" s="3">
        <f t="shared" si="5"/>
        <v>5</v>
      </c>
      <c r="C67" s="3" t="s">
        <v>453</v>
      </c>
      <c r="D67" s="98" t="s">
        <v>522</v>
      </c>
      <c r="E67" s="98">
        <v>137601</v>
      </c>
      <c r="F67" s="3" t="s">
        <v>127</v>
      </c>
      <c r="G67" s="259">
        <f>'Solar Data-Main Campus'!C41</f>
        <v>116106.99999999907</v>
      </c>
      <c r="J67" s="1">
        <v>6455.70312499998</v>
      </c>
      <c r="K67" s="1">
        <v>5698.0142578125933</v>
      </c>
      <c r="M67" s="21">
        <f t="shared" si="6"/>
        <v>2.8790276524152936</v>
      </c>
      <c r="N67" s="21">
        <f t="shared" si="7"/>
        <v>0</v>
      </c>
      <c r="O67" s="21">
        <f t="shared" si="8"/>
        <v>4.6916106169286413</v>
      </c>
      <c r="P67" s="21">
        <f t="shared" si="9"/>
        <v>0.49691623675519164</v>
      </c>
      <c r="Z67" s="211" t="b">
        <f>IFERROR(INDEX(Outliers!$X$3:$X$61,MATCH('SkYSPark Data_w Will''s Data'!C67,Outliers!$B$3:$B$61,0)),0)</f>
        <v>0</v>
      </c>
      <c r="AA67" s="1" t="b">
        <f>IFERROR(INDEX(Outliers!$AP$3:$AP$61,MATCH('SkYSPark Data_w Will''s Data'!C67,Outliers!$B$3:$B$61,0)),0)</f>
        <v>0</v>
      </c>
      <c r="AB67" s="112" t="b">
        <f>IFERROR(INDEX(Outliers!$AY$3:$AY$61,MATCH('SkYSPark Data_w Will''s Data'!C67,Outliers!$B$3:$B$61,0)),0)</f>
        <v>0</v>
      </c>
      <c r="AC67" s="112" t="s">
        <v>392</v>
      </c>
      <c r="AF67" s="132"/>
    </row>
    <row r="68" spans="1:32" x14ac:dyDescent="0.3">
      <c r="A68" s="2">
        <v>45078</v>
      </c>
      <c r="B68" s="3">
        <f t="shared" si="5"/>
        <v>6</v>
      </c>
      <c r="C68" s="3" t="s">
        <v>453</v>
      </c>
      <c r="D68" s="98" t="s">
        <v>522</v>
      </c>
      <c r="E68" s="98">
        <v>137601</v>
      </c>
      <c r="F68" s="3" t="s">
        <v>127</v>
      </c>
      <c r="G68" s="259">
        <f>'Solar Data-Main Campus'!C42</f>
        <v>120264.46341463484</v>
      </c>
      <c r="J68" s="1">
        <v>6693.064024390259</v>
      </c>
      <c r="K68" s="1">
        <v>22904.952667683301</v>
      </c>
      <c r="M68" s="21">
        <f t="shared" si="6"/>
        <v>2.9821174931194836</v>
      </c>
      <c r="N68" s="21">
        <f t="shared" si="7"/>
        <v>0</v>
      </c>
      <c r="O68" s="21">
        <f t="shared" si="8"/>
        <v>4.8641100169259373</v>
      </c>
      <c r="P68" s="21">
        <f t="shared" si="9"/>
        <v>1.9975104251582445</v>
      </c>
      <c r="Z68" s="211" t="b">
        <f>IFERROR(INDEX(Outliers!$X$3:$X$61,MATCH('SkYSPark Data_w Will''s Data'!C68,Outliers!$B$3:$B$61,0)),0)</f>
        <v>0</v>
      </c>
      <c r="AA68" s="1" t="b">
        <f>IFERROR(INDEX(Outliers!$AP$3:$AP$61,MATCH('SkYSPark Data_w Will''s Data'!C68,Outliers!$B$3:$B$61,0)),0)</f>
        <v>0</v>
      </c>
      <c r="AB68" s="112" t="b">
        <f>IFERROR(INDEX(Outliers!$AY$3:$AY$61,MATCH('SkYSPark Data_w Will''s Data'!C68,Outliers!$B$3:$B$61,0)),0)</f>
        <v>0</v>
      </c>
      <c r="AC68" s="112" t="s">
        <v>392</v>
      </c>
      <c r="AF68" s="132"/>
    </row>
    <row r="69" spans="1:32" x14ac:dyDescent="0.3">
      <c r="A69" s="2">
        <v>45108</v>
      </c>
      <c r="B69" s="3">
        <f t="shared" si="5"/>
        <v>7</v>
      </c>
      <c r="C69" s="3" t="s">
        <v>453</v>
      </c>
      <c r="D69" s="98" t="s">
        <v>522</v>
      </c>
      <c r="E69" s="98">
        <v>137601</v>
      </c>
      <c r="F69" s="3" t="s">
        <v>127</v>
      </c>
      <c r="G69" s="259">
        <f>'Solar Data-Main Campus'!C43</f>
        <v>120514.53658536615</v>
      </c>
      <c r="J69" s="1">
        <v>6492.639100609761</v>
      </c>
      <c r="K69" s="1">
        <v>51267.2105354425</v>
      </c>
      <c r="M69" s="21">
        <f t="shared" si="6"/>
        <v>2.98831839034069</v>
      </c>
      <c r="N69" s="21">
        <f t="shared" si="7"/>
        <v>0</v>
      </c>
      <c r="O69" s="21">
        <f t="shared" si="8"/>
        <v>4.7184534273804406</v>
      </c>
      <c r="P69" s="21">
        <f t="shared" si="9"/>
        <v>4.4709451706405474</v>
      </c>
      <c r="Z69" s="211" t="b">
        <f>IFERROR(INDEX(Outliers!$X$3:$X$61,MATCH('SkYSPark Data_w Will''s Data'!C69,Outliers!$B$3:$B$61,0)),0)</f>
        <v>0</v>
      </c>
      <c r="AA69" s="1" t="b">
        <f>IFERROR(INDEX(Outliers!$AP$3:$AP$61,MATCH('SkYSPark Data_w Will''s Data'!C69,Outliers!$B$3:$B$61,0)),0)</f>
        <v>0</v>
      </c>
      <c r="AB69" s="112" t="b">
        <f>IFERROR(INDEX(Outliers!$AY$3:$AY$61,MATCH('SkYSPark Data_w Will''s Data'!C69,Outliers!$B$3:$B$61,0)),0)</f>
        <v>0</v>
      </c>
      <c r="AC69" s="112" t="s">
        <v>392</v>
      </c>
      <c r="AF69" s="132"/>
    </row>
    <row r="70" spans="1:32" x14ac:dyDescent="0.3">
      <c r="A70" s="2">
        <v>45139</v>
      </c>
      <c r="B70" s="3">
        <f t="shared" si="5"/>
        <v>8</v>
      </c>
      <c r="C70" s="3" t="s">
        <v>453</v>
      </c>
      <c r="D70" s="98" t="s">
        <v>522</v>
      </c>
      <c r="E70" s="98">
        <v>137601</v>
      </c>
      <c r="F70" s="3" t="s">
        <v>127</v>
      </c>
      <c r="G70" s="259">
        <f>'Solar Data-Main Campus'!C44</f>
        <v>114224.00000000049</v>
      </c>
      <c r="J70" s="1">
        <v>2586.424107142861</v>
      </c>
      <c r="K70" s="1">
        <v>58428.856948659923</v>
      </c>
      <c r="M70" s="21">
        <f t="shared" si="6"/>
        <v>2.8323361603476842</v>
      </c>
      <c r="N70" s="21">
        <f t="shared" si="7"/>
        <v>0</v>
      </c>
      <c r="O70" s="21">
        <f t="shared" si="8"/>
        <v>1.8796550222330222</v>
      </c>
      <c r="P70" s="21">
        <f t="shared" si="9"/>
        <v>5.095502818903344</v>
      </c>
      <c r="Z70" s="211" t="b">
        <f>IFERROR(INDEX(Outliers!$X$3:$X$61,MATCH('SkYSPark Data_w Will''s Data'!C70,Outliers!$B$3:$B$61,0)),0)</f>
        <v>0</v>
      </c>
      <c r="AA70" s="1" t="b">
        <f>IFERROR(INDEX(Outliers!$AP$3:$AP$61,MATCH('SkYSPark Data_w Will''s Data'!C70,Outliers!$B$3:$B$61,0)),0)</f>
        <v>0</v>
      </c>
      <c r="AB70" s="112" t="b">
        <f>IFERROR(INDEX(Outliers!$AY$3:$AY$61,MATCH('SkYSPark Data_w Will''s Data'!C70,Outliers!$B$3:$B$61,0)),0)</f>
        <v>0</v>
      </c>
      <c r="AC70" s="112" t="s">
        <v>392</v>
      </c>
      <c r="AF70" s="132"/>
    </row>
    <row r="71" spans="1:32" x14ac:dyDescent="0.3">
      <c r="A71" s="2">
        <v>45170</v>
      </c>
      <c r="B71" s="3">
        <f t="shared" si="5"/>
        <v>9</v>
      </c>
      <c r="C71" s="3" t="s">
        <v>453</v>
      </c>
      <c r="D71" s="98" t="s">
        <v>522</v>
      </c>
      <c r="E71" s="98">
        <v>137601</v>
      </c>
      <c r="F71" s="3" t="s">
        <v>127</v>
      </c>
      <c r="G71" s="259">
        <f>'Solar Data-Main Campus'!C45</f>
        <v>114124.96296296161</v>
      </c>
      <c r="J71" s="1">
        <v>1156.990244708998</v>
      </c>
      <c r="K71" s="1">
        <v>41662.842348214392</v>
      </c>
      <c r="M71" s="21">
        <f t="shared" si="6"/>
        <v>2.8298804051542139</v>
      </c>
      <c r="N71" s="21">
        <f t="shared" si="7"/>
        <v>0</v>
      </c>
      <c r="O71" s="21">
        <f t="shared" si="8"/>
        <v>0.84082982297294206</v>
      </c>
      <c r="P71" s="21">
        <f t="shared" si="9"/>
        <v>3.6333610088485746</v>
      </c>
      <c r="Z71" s="211" t="b">
        <f>IFERROR(INDEX(Outliers!$X$3:$X$61,MATCH('SkYSPark Data_w Will''s Data'!C71,Outliers!$B$3:$B$61,0)),0)</f>
        <v>0</v>
      </c>
      <c r="AA71" s="1" t="b">
        <f>IFERROR(INDEX(Outliers!$AP$3:$AP$61,MATCH('SkYSPark Data_w Will''s Data'!C71,Outliers!$B$3:$B$61,0)),0)</f>
        <v>0</v>
      </c>
      <c r="AB71" s="112" t="b">
        <f>IFERROR(INDEX(Outliers!$AY$3:$AY$61,MATCH('SkYSPark Data_w Will''s Data'!C71,Outliers!$B$3:$B$61,0)),0)</f>
        <v>0</v>
      </c>
      <c r="AC71" s="112" t="s">
        <v>392</v>
      </c>
      <c r="AF71" s="132"/>
    </row>
    <row r="72" spans="1:32" x14ac:dyDescent="0.3">
      <c r="A72" s="2">
        <v>45200</v>
      </c>
      <c r="B72" s="3">
        <f t="shared" si="5"/>
        <v>10</v>
      </c>
      <c r="C72" s="3" t="s">
        <v>453</v>
      </c>
      <c r="D72" s="98" t="s">
        <v>522</v>
      </c>
      <c r="E72" s="98">
        <v>137601</v>
      </c>
      <c r="F72" s="3" t="s">
        <v>127</v>
      </c>
      <c r="G72" s="259">
        <f>'Solar Data-Main Campus'!C46</f>
        <v>112149.03703703595</v>
      </c>
      <c r="J72" s="1">
        <v>3717.913773148111</v>
      </c>
      <c r="K72" s="1">
        <v>37645.466777344052</v>
      </c>
      <c r="M72" s="21">
        <f t="shared" si="6"/>
        <v>2.7808846910296192</v>
      </c>
      <c r="N72" s="21">
        <f t="shared" si="7"/>
        <v>0</v>
      </c>
      <c r="O72" s="21">
        <f t="shared" si="8"/>
        <v>2.7019525825743353</v>
      </c>
      <c r="P72" s="21">
        <f t="shared" si="9"/>
        <v>3.2830110342812087</v>
      </c>
      <c r="Z72" s="211" t="b">
        <f>IFERROR(INDEX(Outliers!$X$3:$X$61,MATCH('SkYSPark Data_w Will''s Data'!C72,Outliers!$B$3:$B$61,0)),0)</f>
        <v>0</v>
      </c>
      <c r="AA72" s="1" t="b">
        <f>IFERROR(INDEX(Outliers!$AP$3:$AP$61,MATCH('SkYSPark Data_w Will''s Data'!C72,Outliers!$B$3:$B$61,0)),0)</f>
        <v>0</v>
      </c>
      <c r="AB72" s="112" t="b">
        <f>IFERROR(INDEX(Outliers!$AY$3:$AY$61,MATCH('SkYSPark Data_w Will''s Data'!C72,Outliers!$B$3:$B$61,0)),0)</f>
        <v>0</v>
      </c>
      <c r="AC72" s="112" t="s">
        <v>392</v>
      </c>
      <c r="AF72" s="132"/>
    </row>
    <row r="73" spans="1:32" x14ac:dyDescent="0.3">
      <c r="A73" s="2">
        <v>45231</v>
      </c>
      <c r="B73" s="3">
        <f t="shared" ref="B73:B136" si="10">MONTH(A73)</f>
        <v>11</v>
      </c>
      <c r="C73" s="3" t="s">
        <v>453</v>
      </c>
      <c r="D73" s="98" t="s">
        <v>522</v>
      </c>
      <c r="E73" s="98">
        <v>137601</v>
      </c>
      <c r="F73" s="3" t="s">
        <v>127</v>
      </c>
      <c r="G73" s="259">
        <f>'Solar Data-Main Campus'!C47</f>
        <v>99933.839218157795</v>
      </c>
      <c r="J73" s="1">
        <v>5359.9798037515047</v>
      </c>
      <c r="K73" s="1">
        <v>6787.2498037269952</v>
      </c>
      <c r="M73" s="21">
        <f t="shared" ref="M73:M136" si="11">IFERROR((G73*3.412)/E73,0)</f>
        <v>2.4779925975273027</v>
      </c>
      <c r="N73" s="21">
        <f t="shared" ref="N73:N136" si="12">IFERROR((I73*100)/E73,0)</f>
        <v>0</v>
      </c>
      <c r="O73" s="21">
        <f t="shared" ref="O73:O136" si="13">IFERROR((J73*100)/E73,0)</f>
        <v>3.8953058507943288</v>
      </c>
      <c r="P73" s="21">
        <f t="shared" ref="P73:P136" si="14">IFERROR((K73*12)/E73,0)</f>
        <v>0.59190701844262716</v>
      </c>
      <c r="Z73" s="211" t="b">
        <f>IFERROR(INDEX(Outliers!$X$3:$X$61,MATCH('SkYSPark Data_w Will''s Data'!C73,Outliers!$B$3:$B$61,0)),0)</f>
        <v>0</v>
      </c>
      <c r="AA73" s="1" t="b">
        <f>IFERROR(INDEX(Outliers!$AP$3:$AP$61,MATCH('SkYSPark Data_w Will''s Data'!C73,Outliers!$B$3:$B$61,0)),0)</f>
        <v>0</v>
      </c>
      <c r="AB73" s="112" t="b">
        <f>IFERROR(INDEX(Outliers!$AY$3:$AY$61,MATCH('SkYSPark Data_w Will''s Data'!C73,Outliers!$B$3:$B$61,0)),0)</f>
        <v>0</v>
      </c>
      <c r="AC73" s="112" t="s">
        <v>392</v>
      </c>
      <c r="AF73" s="132"/>
    </row>
    <row r="74" spans="1:32" s="69" customFormat="1" x14ac:dyDescent="0.3">
      <c r="A74" s="65">
        <v>45261</v>
      </c>
      <c r="B74" s="3">
        <f t="shared" si="10"/>
        <v>12</v>
      </c>
      <c r="C74" s="64" t="s">
        <v>453</v>
      </c>
      <c r="D74" s="99" t="s">
        <v>522</v>
      </c>
      <c r="E74" s="99">
        <v>137601</v>
      </c>
      <c r="F74" s="3" t="s">
        <v>127</v>
      </c>
      <c r="G74" s="259">
        <f>'Solar Data-Main Campus'!C48</f>
        <v>96143.626299082156</v>
      </c>
      <c r="H74" s="66"/>
      <c r="I74" s="66"/>
      <c r="J74" s="66">
        <v>7831.5476746967952</v>
      </c>
      <c r="K74" s="66">
        <v>2907.310090534861</v>
      </c>
      <c r="L74" s="67"/>
      <c r="M74" s="21">
        <f t="shared" si="11"/>
        <v>2.3840092218259192</v>
      </c>
      <c r="N74" s="21">
        <f t="shared" si="12"/>
        <v>0</v>
      </c>
      <c r="O74" s="21">
        <f t="shared" si="13"/>
        <v>5.6914903777565531</v>
      </c>
      <c r="P74" s="21">
        <f t="shared" si="14"/>
        <v>0.25354264203325794</v>
      </c>
      <c r="Q74" s="66"/>
      <c r="R74" s="66"/>
      <c r="S74" s="66"/>
      <c r="T74" s="66"/>
      <c r="U74" s="66"/>
      <c r="V74" s="68"/>
      <c r="W74" s="66"/>
      <c r="X74" s="67"/>
      <c r="Y74" s="66"/>
      <c r="Z74" s="211" t="b">
        <f>IFERROR(INDEX(Outliers!$X$3:$X$61,MATCH('SkYSPark Data_w Will''s Data'!C74,Outliers!$B$3:$B$61,0)),0)</f>
        <v>0</v>
      </c>
      <c r="AA74" s="1" t="b">
        <f>IFERROR(INDEX(Outliers!$AP$3:$AP$61,MATCH('SkYSPark Data_w Will''s Data'!C74,Outliers!$B$3:$B$61,0)),0)</f>
        <v>0</v>
      </c>
      <c r="AB74" s="112" t="b">
        <f>IFERROR(INDEX(Outliers!$AY$3:$AY$61,MATCH('SkYSPark Data_w Will''s Data'!C74,Outliers!$B$3:$B$61,0)),0)</f>
        <v>0</v>
      </c>
      <c r="AC74" s="112" t="s">
        <v>392</v>
      </c>
      <c r="AD74" s="134"/>
      <c r="AE74" s="134"/>
      <c r="AF74" s="133"/>
    </row>
    <row r="75" spans="1:32" x14ac:dyDescent="0.3">
      <c r="A75" s="2">
        <v>44197</v>
      </c>
      <c r="B75" s="3">
        <f t="shared" si="10"/>
        <v>1</v>
      </c>
      <c r="C75" s="3" t="s">
        <v>367</v>
      </c>
      <c r="D75" s="98" t="s">
        <v>522</v>
      </c>
      <c r="F75" s="3" t="s">
        <v>145</v>
      </c>
      <c r="G75" s="1">
        <v>134.20001220703247</v>
      </c>
      <c r="M75" s="21">
        <f t="shared" si="11"/>
        <v>0</v>
      </c>
      <c r="N75" s="21">
        <f t="shared" si="12"/>
        <v>0</v>
      </c>
      <c r="O75" s="21">
        <f t="shared" si="13"/>
        <v>0</v>
      </c>
      <c r="P75" s="21">
        <f t="shared" si="14"/>
        <v>0</v>
      </c>
      <c r="W75" s="25" t="s">
        <v>368</v>
      </c>
      <c r="Z75" s="211" t="b">
        <f>IFERROR(INDEX(Outliers!$X$3:$X$61,MATCH('SkYSPark Data_w Will''s Data'!C75,Outliers!$B$3:$B$61,0)),0)</f>
        <v>1</v>
      </c>
      <c r="AA75" s="1" t="b">
        <f>IFERROR(INDEX(Outliers!$AP$3:$AP$61,MATCH('SkYSPark Data_w Will''s Data'!C75,Outliers!$B$3:$B$61,0)),0)</f>
        <v>1</v>
      </c>
      <c r="AB75" s="112" t="b">
        <f>IFERROR(INDEX(Outliers!$AY$3:$AY$61,MATCH('SkYSPark Data_w Will''s Data'!C75,Outliers!$B$3:$B$61,0)),0)</f>
        <v>1</v>
      </c>
      <c r="AC75" s="112" t="s">
        <v>392</v>
      </c>
      <c r="AF75" s="112" t="s">
        <v>564</v>
      </c>
    </row>
    <row r="76" spans="1:32" x14ac:dyDescent="0.3">
      <c r="A76" s="2">
        <v>44228</v>
      </c>
      <c r="B76" s="3">
        <f t="shared" si="10"/>
        <v>2</v>
      </c>
      <c r="C76" s="3" t="s">
        <v>367</v>
      </c>
      <c r="D76" s="98" t="s">
        <v>522</v>
      </c>
      <c r="F76" s="3" t="s">
        <v>145</v>
      </c>
      <c r="G76" s="1">
        <v>999.99993896483227</v>
      </c>
      <c r="M76" s="21">
        <f t="shared" si="11"/>
        <v>0</v>
      </c>
      <c r="N76" s="21">
        <f t="shared" si="12"/>
        <v>0</v>
      </c>
      <c r="O76" s="21">
        <f t="shared" si="13"/>
        <v>0</v>
      </c>
      <c r="P76" s="21">
        <f t="shared" si="14"/>
        <v>0</v>
      </c>
      <c r="Z76" s="211" t="b">
        <f>IFERROR(INDEX(Outliers!$X$3:$X$61,MATCH('SkYSPark Data_w Will''s Data'!C76,Outliers!$B$3:$B$61,0)),0)</f>
        <v>1</v>
      </c>
      <c r="AA76" s="1" t="b">
        <f>IFERROR(INDEX(Outliers!$AP$3:$AP$61,MATCH('SkYSPark Data_w Will''s Data'!C76,Outliers!$B$3:$B$61,0)),0)</f>
        <v>1</v>
      </c>
      <c r="AB76" s="112" t="b">
        <f>IFERROR(INDEX(Outliers!$AY$3:$AY$61,MATCH('SkYSPark Data_w Will''s Data'!C76,Outliers!$B$3:$B$61,0)),0)</f>
        <v>1</v>
      </c>
      <c r="AC76" s="112" t="s">
        <v>392</v>
      </c>
    </row>
    <row r="77" spans="1:32" x14ac:dyDescent="0.3">
      <c r="A77" s="2">
        <v>44256</v>
      </c>
      <c r="B77" s="3">
        <f t="shared" si="10"/>
        <v>3</v>
      </c>
      <c r="C77" s="3" t="s">
        <v>367</v>
      </c>
      <c r="D77" s="98" t="s">
        <v>522</v>
      </c>
      <c r="F77" s="3" t="s">
        <v>145</v>
      </c>
      <c r="G77" s="1">
        <v>715.80004882811886</v>
      </c>
      <c r="M77" s="21">
        <f t="shared" si="11"/>
        <v>0</v>
      </c>
      <c r="N77" s="21">
        <f t="shared" si="12"/>
        <v>0</v>
      </c>
      <c r="O77" s="21">
        <f t="shared" si="13"/>
        <v>0</v>
      </c>
      <c r="P77" s="21">
        <f t="shared" si="14"/>
        <v>0</v>
      </c>
      <c r="Z77" s="211" t="b">
        <f>IFERROR(INDEX(Outliers!$X$3:$X$61,MATCH('SkYSPark Data_w Will''s Data'!C77,Outliers!$B$3:$B$61,0)),0)</f>
        <v>1</v>
      </c>
      <c r="AA77" s="1" t="b">
        <f>IFERROR(INDEX(Outliers!$AP$3:$AP$61,MATCH('SkYSPark Data_w Will''s Data'!C77,Outliers!$B$3:$B$61,0)),0)</f>
        <v>1</v>
      </c>
      <c r="AB77" s="112" t="b">
        <f>IFERROR(INDEX(Outliers!$AY$3:$AY$61,MATCH('SkYSPark Data_w Will''s Data'!C77,Outliers!$B$3:$B$61,0)),0)</f>
        <v>1</v>
      </c>
      <c r="AC77" s="112" t="s">
        <v>392</v>
      </c>
    </row>
    <row r="78" spans="1:32" x14ac:dyDescent="0.3">
      <c r="A78" s="2">
        <v>44287</v>
      </c>
      <c r="B78" s="3">
        <f t="shared" si="10"/>
        <v>4</v>
      </c>
      <c r="C78" s="3" t="s">
        <v>367</v>
      </c>
      <c r="D78" s="98" t="s">
        <v>522</v>
      </c>
      <c r="F78" s="3" t="s">
        <v>145</v>
      </c>
      <c r="G78" s="1">
        <v>427.99999999999523</v>
      </c>
      <c r="M78" s="21">
        <f t="shared" si="11"/>
        <v>0</v>
      </c>
      <c r="N78" s="21">
        <f t="shared" si="12"/>
        <v>0</v>
      </c>
      <c r="O78" s="21">
        <f t="shared" si="13"/>
        <v>0</v>
      </c>
      <c r="P78" s="21">
        <f t="shared" si="14"/>
        <v>0</v>
      </c>
      <c r="Z78" s="211" t="b">
        <f>IFERROR(INDEX(Outliers!$X$3:$X$61,MATCH('SkYSPark Data_w Will''s Data'!C78,Outliers!$B$3:$B$61,0)),0)</f>
        <v>1</v>
      </c>
      <c r="AA78" s="1" t="b">
        <f>IFERROR(INDEX(Outliers!$AP$3:$AP$61,MATCH('SkYSPark Data_w Will''s Data'!C78,Outliers!$B$3:$B$61,0)),0)</f>
        <v>1</v>
      </c>
      <c r="AB78" s="112" t="b">
        <f>IFERROR(INDEX(Outliers!$AY$3:$AY$61,MATCH('SkYSPark Data_w Will''s Data'!C78,Outliers!$B$3:$B$61,0)),0)</f>
        <v>1</v>
      </c>
      <c r="AC78" s="112" t="s">
        <v>392</v>
      </c>
    </row>
    <row r="79" spans="1:32" x14ac:dyDescent="0.3">
      <c r="A79" s="2">
        <v>44317</v>
      </c>
      <c r="B79" s="3">
        <f t="shared" si="10"/>
        <v>5</v>
      </c>
      <c r="C79" s="3" t="s">
        <v>367</v>
      </c>
      <c r="D79" s="98" t="s">
        <v>522</v>
      </c>
      <c r="F79" s="3" t="s">
        <v>145</v>
      </c>
      <c r="G79" s="1">
        <v>491.00000000000779</v>
      </c>
      <c r="M79" s="21">
        <f t="shared" si="11"/>
        <v>0</v>
      </c>
      <c r="N79" s="21">
        <f t="shared" si="12"/>
        <v>0</v>
      </c>
      <c r="O79" s="21">
        <f t="shared" si="13"/>
        <v>0</v>
      </c>
      <c r="P79" s="21">
        <f t="shared" si="14"/>
        <v>0</v>
      </c>
      <c r="Z79" s="211" t="b">
        <f>IFERROR(INDEX(Outliers!$X$3:$X$61,MATCH('SkYSPark Data_w Will''s Data'!C79,Outliers!$B$3:$B$61,0)),0)</f>
        <v>1</v>
      </c>
      <c r="AA79" s="1" t="b">
        <f>IFERROR(INDEX(Outliers!$AP$3:$AP$61,MATCH('SkYSPark Data_w Will''s Data'!C79,Outliers!$B$3:$B$61,0)),0)</f>
        <v>1</v>
      </c>
      <c r="AB79" s="112" t="b">
        <f>IFERROR(INDEX(Outliers!$AY$3:$AY$61,MATCH('SkYSPark Data_w Will''s Data'!C79,Outliers!$B$3:$B$61,0)),0)</f>
        <v>1</v>
      </c>
      <c r="AC79" s="112" t="s">
        <v>392</v>
      </c>
    </row>
    <row r="80" spans="1:32" x14ac:dyDescent="0.3">
      <c r="A80" s="2">
        <v>44348</v>
      </c>
      <c r="B80" s="3">
        <f t="shared" si="10"/>
        <v>6</v>
      </c>
      <c r="C80" s="3" t="s">
        <v>367</v>
      </c>
      <c r="D80" s="98" t="s">
        <v>522</v>
      </c>
      <c r="F80" s="3" t="s">
        <v>145</v>
      </c>
      <c r="G80" s="1">
        <v>191.00000000000225</v>
      </c>
      <c r="M80" s="21">
        <f t="shared" si="11"/>
        <v>0</v>
      </c>
      <c r="N80" s="21">
        <f t="shared" si="12"/>
        <v>0</v>
      </c>
      <c r="O80" s="21">
        <f t="shared" si="13"/>
        <v>0</v>
      </c>
      <c r="P80" s="21">
        <f t="shared" si="14"/>
        <v>0</v>
      </c>
      <c r="Z80" s="211" t="b">
        <f>IFERROR(INDEX(Outliers!$X$3:$X$61,MATCH('SkYSPark Data_w Will''s Data'!C80,Outliers!$B$3:$B$61,0)),0)</f>
        <v>1</v>
      </c>
      <c r="AA80" s="1" t="b">
        <f>IFERROR(INDEX(Outliers!$AP$3:$AP$61,MATCH('SkYSPark Data_w Will''s Data'!C80,Outliers!$B$3:$B$61,0)),0)</f>
        <v>1</v>
      </c>
      <c r="AB80" s="112" t="b">
        <f>IFERROR(INDEX(Outliers!$AY$3:$AY$61,MATCH('SkYSPark Data_w Will''s Data'!C80,Outliers!$B$3:$B$61,0)),0)</f>
        <v>1</v>
      </c>
      <c r="AC80" s="112" t="s">
        <v>392</v>
      </c>
    </row>
    <row r="81" spans="1:32" x14ac:dyDescent="0.3">
      <c r="A81" s="2">
        <v>44378</v>
      </c>
      <c r="B81" s="3">
        <f t="shared" si="10"/>
        <v>7</v>
      </c>
      <c r="C81" s="3" t="s">
        <v>367</v>
      </c>
      <c r="D81" s="98" t="s">
        <v>522</v>
      </c>
      <c r="F81" s="3" t="s">
        <v>145</v>
      </c>
      <c r="G81" s="1">
        <v>368.0000000000029</v>
      </c>
      <c r="M81" s="21">
        <f t="shared" si="11"/>
        <v>0</v>
      </c>
      <c r="N81" s="21">
        <f t="shared" si="12"/>
        <v>0</v>
      </c>
      <c r="O81" s="21">
        <f t="shared" si="13"/>
        <v>0</v>
      </c>
      <c r="P81" s="21">
        <f t="shared" si="14"/>
        <v>0</v>
      </c>
      <c r="Z81" s="211" t="b">
        <f>IFERROR(INDEX(Outliers!$X$3:$X$61,MATCH('SkYSPark Data_w Will''s Data'!C81,Outliers!$B$3:$B$61,0)),0)</f>
        <v>1</v>
      </c>
      <c r="AA81" s="1" t="b">
        <f>IFERROR(INDEX(Outliers!$AP$3:$AP$61,MATCH('SkYSPark Data_w Will''s Data'!C81,Outliers!$B$3:$B$61,0)),0)</f>
        <v>1</v>
      </c>
      <c r="AB81" s="112" t="b">
        <f>IFERROR(INDEX(Outliers!$AY$3:$AY$61,MATCH('SkYSPark Data_w Will''s Data'!C81,Outliers!$B$3:$B$61,0)),0)</f>
        <v>1</v>
      </c>
      <c r="AC81" s="112" t="s">
        <v>392</v>
      </c>
    </row>
    <row r="82" spans="1:32" x14ac:dyDescent="0.3">
      <c r="A82" s="2">
        <v>44409</v>
      </c>
      <c r="B82" s="3">
        <f t="shared" si="10"/>
        <v>8</v>
      </c>
      <c r="C82" s="3" t="s">
        <v>367</v>
      </c>
      <c r="D82" s="98" t="s">
        <v>522</v>
      </c>
      <c r="F82" s="3" t="s">
        <v>145</v>
      </c>
      <c r="G82" s="1">
        <v>343.99999999999795</v>
      </c>
      <c r="M82" s="21">
        <f t="shared" si="11"/>
        <v>0</v>
      </c>
      <c r="N82" s="21">
        <f t="shared" si="12"/>
        <v>0</v>
      </c>
      <c r="O82" s="21">
        <f t="shared" si="13"/>
        <v>0</v>
      </c>
      <c r="P82" s="21">
        <f t="shared" si="14"/>
        <v>0</v>
      </c>
      <c r="Z82" s="211" t="b">
        <f>IFERROR(INDEX(Outliers!$X$3:$X$61,MATCH('SkYSPark Data_w Will''s Data'!C82,Outliers!$B$3:$B$61,0)),0)</f>
        <v>1</v>
      </c>
      <c r="AA82" s="1" t="b">
        <f>IFERROR(INDEX(Outliers!$AP$3:$AP$61,MATCH('SkYSPark Data_w Will''s Data'!C82,Outliers!$B$3:$B$61,0)),0)</f>
        <v>1</v>
      </c>
      <c r="AB82" s="112" t="b">
        <f>IFERROR(INDEX(Outliers!$AY$3:$AY$61,MATCH('SkYSPark Data_w Will''s Data'!C82,Outliers!$B$3:$B$61,0)),0)</f>
        <v>1</v>
      </c>
      <c r="AC82" s="112" t="s">
        <v>392</v>
      </c>
    </row>
    <row r="83" spans="1:32" x14ac:dyDescent="0.3">
      <c r="A83" s="2">
        <v>44440</v>
      </c>
      <c r="B83" s="3">
        <f t="shared" si="10"/>
        <v>9</v>
      </c>
      <c r="C83" s="3" t="s">
        <v>367</v>
      </c>
      <c r="D83" s="98" t="s">
        <v>522</v>
      </c>
      <c r="F83" s="3" t="s">
        <v>145</v>
      </c>
      <c r="G83" s="1">
        <v>424.00000000000693</v>
      </c>
      <c r="M83" s="21">
        <f t="shared" si="11"/>
        <v>0</v>
      </c>
      <c r="N83" s="21">
        <f t="shared" si="12"/>
        <v>0</v>
      </c>
      <c r="O83" s="21">
        <f t="shared" si="13"/>
        <v>0</v>
      </c>
      <c r="P83" s="21">
        <f t="shared" si="14"/>
        <v>0</v>
      </c>
      <c r="Z83" s="211" t="b">
        <f>IFERROR(INDEX(Outliers!$X$3:$X$61,MATCH('SkYSPark Data_w Will''s Data'!C83,Outliers!$B$3:$B$61,0)),0)</f>
        <v>1</v>
      </c>
      <c r="AA83" s="1" t="b">
        <f>IFERROR(INDEX(Outliers!$AP$3:$AP$61,MATCH('SkYSPark Data_w Will''s Data'!C83,Outliers!$B$3:$B$61,0)),0)</f>
        <v>1</v>
      </c>
      <c r="AB83" s="112" t="b">
        <f>IFERROR(INDEX(Outliers!$AY$3:$AY$61,MATCH('SkYSPark Data_w Will''s Data'!C83,Outliers!$B$3:$B$61,0)),0)</f>
        <v>1</v>
      </c>
      <c r="AC83" s="112" t="s">
        <v>392</v>
      </c>
    </row>
    <row r="84" spans="1:32" x14ac:dyDescent="0.3">
      <c r="A84" s="2">
        <v>44470</v>
      </c>
      <c r="B84" s="3">
        <f t="shared" si="10"/>
        <v>10</v>
      </c>
      <c r="C84" s="3" t="s">
        <v>367</v>
      </c>
      <c r="D84" s="98" t="s">
        <v>522</v>
      </c>
      <c r="F84" s="3" t="s">
        <v>145</v>
      </c>
      <c r="G84" s="1">
        <v>589.00000000000125</v>
      </c>
      <c r="M84" s="21">
        <f t="shared" si="11"/>
        <v>0</v>
      </c>
      <c r="N84" s="21">
        <f t="shared" si="12"/>
        <v>0</v>
      </c>
      <c r="O84" s="21">
        <f t="shared" si="13"/>
        <v>0</v>
      </c>
      <c r="P84" s="21">
        <f t="shared" si="14"/>
        <v>0</v>
      </c>
      <c r="Z84" s="211" t="b">
        <f>IFERROR(INDEX(Outliers!$X$3:$X$61,MATCH('SkYSPark Data_w Will''s Data'!C84,Outliers!$B$3:$B$61,0)),0)</f>
        <v>1</v>
      </c>
      <c r="AA84" s="1" t="b">
        <f>IFERROR(INDEX(Outliers!$AP$3:$AP$61,MATCH('SkYSPark Data_w Will''s Data'!C84,Outliers!$B$3:$B$61,0)),0)</f>
        <v>1</v>
      </c>
      <c r="AB84" s="112" t="b">
        <f>IFERROR(INDEX(Outliers!$AY$3:$AY$61,MATCH('SkYSPark Data_w Will''s Data'!C84,Outliers!$B$3:$B$61,0)),0)</f>
        <v>1</v>
      </c>
      <c r="AC84" s="112" t="s">
        <v>392</v>
      </c>
    </row>
    <row r="85" spans="1:32" x14ac:dyDescent="0.3">
      <c r="A85" s="2">
        <v>44501</v>
      </c>
      <c r="B85" s="3">
        <f t="shared" si="10"/>
        <v>11</v>
      </c>
      <c r="C85" s="3" t="s">
        <v>367</v>
      </c>
      <c r="D85" s="98" t="s">
        <v>522</v>
      </c>
      <c r="F85" s="3" t="s">
        <v>145</v>
      </c>
      <c r="G85" s="1">
        <v>458.00000000000409</v>
      </c>
      <c r="M85" s="21">
        <f t="shared" si="11"/>
        <v>0</v>
      </c>
      <c r="N85" s="21">
        <f t="shared" si="12"/>
        <v>0</v>
      </c>
      <c r="O85" s="21">
        <f t="shared" si="13"/>
        <v>0</v>
      </c>
      <c r="P85" s="21">
        <f t="shared" si="14"/>
        <v>0</v>
      </c>
      <c r="Z85" s="211" t="b">
        <f>IFERROR(INDEX(Outliers!$X$3:$X$61,MATCH('SkYSPark Data_w Will''s Data'!C85,Outliers!$B$3:$B$61,0)),0)</f>
        <v>1</v>
      </c>
      <c r="AA85" s="1" t="b">
        <f>IFERROR(INDEX(Outliers!$AP$3:$AP$61,MATCH('SkYSPark Data_w Will''s Data'!C85,Outliers!$B$3:$B$61,0)),0)</f>
        <v>1</v>
      </c>
      <c r="AB85" s="112" t="b">
        <f>IFERROR(INDEX(Outliers!$AY$3:$AY$61,MATCH('SkYSPark Data_w Will''s Data'!C85,Outliers!$B$3:$B$61,0)),0)</f>
        <v>1</v>
      </c>
      <c r="AC85" s="112" t="s">
        <v>392</v>
      </c>
    </row>
    <row r="86" spans="1:32" s="69" customFormat="1" x14ac:dyDescent="0.3">
      <c r="A86" s="65">
        <v>44531</v>
      </c>
      <c r="B86" s="3">
        <f t="shared" si="10"/>
        <v>12</v>
      </c>
      <c r="C86" s="64" t="s">
        <v>367</v>
      </c>
      <c r="D86" s="99" t="s">
        <v>522</v>
      </c>
      <c r="E86" s="64"/>
      <c r="F86" s="3" t="s">
        <v>145</v>
      </c>
      <c r="G86" s="66">
        <v>937.99999999999397</v>
      </c>
      <c r="H86" s="66"/>
      <c r="I86" s="66"/>
      <c r="J86" s="66"/>
      <c r="K86" s="66"/>
      <c r="L86" s="67"/>
      <c r="M86" s="21">
        <f t="shared" si="11"/>
        <v>0</v>
      </c>
      <c r="N86" s="21">
        <f t="shared" si="12"/>
        <v>0</v>
      </c>
      <c r="O86" s="21">
        <f t="shared" si="13"/>
        <v>0</v>
      </c>
      <c r="P86" s="21">
        <f t="shared" si="14"/>
        <v>0</v>
      </c>
      <c r="Q86" s="66"/>
      <c r="R86" s="66"/>
      <c r="S86" s="66"/>
      <c r="T86" s="66"/>
      <c r="U86" s="66"/>
      <c r="V86" s="68"/>
      <c r="W86" s="66"/>
      <c r="X86" s="67"/>
      <c r="Y86" s="66"/>
      <c r="Z86" s="211" t="b">
        <f>IFERROR(INDEX(Outliers!$X$3:$X$61,MATCH('SkYSPark Data_w Will''s Data'!C86,Outliers!$B$3:$B$61,0)),0)</f>
        <v>1</v>
      </c>
      <c r="AA86" s="1" t="b">
        <f>IFERROR(INDEX(Outliers!$AP$3:$AP$61,MATCH('SkYSPark Data_w Will''s Data'!C86,Outliers!$B$3:$B$61,0)),0)</f>
        <v>1</v>
      </c>
      <c r="AB86" s="112" t="b">
        <f>IFERROR(INDEX(Outliers!$AY$3:$AY$61,MATCH('SkYSPark Data_w Will''s Data'!C86,Outliers!$B$3:$B$61,0)),0)</f>
        <v>1</v>
      </c>
      <c r="AC86" s="112" t="s">
        <v>392</v>
      </c>
      <c r="AD86" s="134"/>
      <c r="AE86" s="134"/>
      <c r="AF86" s="134"/>
    </row>
    <row r="87" spans="1:32" x14ac:dyDescent="0.3">
      <c r="A87" s="2">
        <v>44927</v>
      </c>
      <c r="B87" s="3">
        <f t="shared" si="10"/>
        <v>1</v>
      </c>
      <c r="C87" s="3" t="s">
        <v>132</v>
      </c>
      <c r="D87" s="98" t="s">
        <v>522</v>
      </c>
      <c r="E87" s="98">
        <v>960662</v>
      </c>
      <c r="F87" s="3" t="s">
        <v>134</v>
      </c>
      <c r="G87" s="4">
        <v>365132.59097411844</v>
      </c>
      <c r="J87" s="1">
        <v>37562.999999999884</v>
      </c>
      <c r="K87" s="1">
        <v>26803.00000000044</v>
      </c>
      <c r="M87" s="21">
        <f t="shared" si="11"/>
        <v>1.2968477991256988</v>
      </c>
      <c r="N87" s="21">
        <f t="shared" si="12"/>
        <v>0</v>
      </c>
      <c r="O87" s="21">
        <f t="shared" si="13"/>
        <v>3.9101161490721901</v>
      </c>
      <c r="P87" s="21">
        <f t="shared" si="14"/>
        <v>0.33480662293294133</v>
      </c>
      <c r="Q87" s="1">
        <f>(SUM(G87:G98)*3.412)/E87</f>
        <v>15.798215853946822</v>
      </c>
      <c r="S87" s="1">
        <f>(SUM(J87:J98)*100)/E87</f>
        <v>23.889047344435436</v>
      </c>
      <c r="T87" s="1">
        <f>(SUM(K87:K98)*12)/E87</f>
        <v>10.394319750338862</v>
      </c>
      <c r="V87" s="33">
        <f>SUM(Q87:T87)</f>
        <v>50.08158294872112</v>
      </c>
      <c r="W87" s="10" t="s">
        <v>261</v>
      </c>
      <c r="Y87" s="126" t="s">
        <v>449</v>
      </c>
      <c r="Z87" s="211" t="b">
        <f>IFERROR(INDEX(Outliers!$X$3:$X$61,MATCH('SkYSPark Data_w Will''s Data'!C87,Outliers!$B$3:$B$61,0)),0)</f>
        <v>0</v>
      </c>
      <c r="AA87" s="1" t="b">
        <f>IFERROR(INDEX(Outliers!$AP$3:$AP$61,MATCH('SkYSPark Data_w Will''s Data'!C87,Outliers!$B$3:$B$61,0)),0)</f>
        <v>0</v>
      </c>
      <c r="AB87" s="112" t="b">
        <f>IFERROR(INDEX(Outliers!$AY$3:$AY$61,MATCH('SkYSPark Data_w Will''s Data'!C87,Outliers!$B$3:$B$61,0)),0)</f>
        <v>0</v>
      </c>
      <c r="AC87" s="112" t="s">
        <v>392</v>
      </c>
      <c r="AD87" s="198"/>
      <c r="AE87" s="126"/>
      <c r="AF87" s="23" t="s">
        <v>561</v>
      </c>
    </row>
    <row r="88" spans="1:32" x14ac:dyDescent="0.3">
      <c r="A88" s="2">
        <v>44958</v>
      </c>
      <c r="B88" s="3">
        <f t="shared" si="10"/>
        <v>2</v>
      </c>
      <c r="C88" s="3" t="s">
        <v>132</v>
      </c>
      <c r="D88" s="98" t="s">
        <v>522</v>
      </c>
      <c r="E88" s="98">
        <v>960662</v>
      </c>
      <c r="F88" s="3" t="s">
        <v>134</v>
      </c>
      <c r="G88" s="4">
        <v>356083.4512205231</v>
      </c>
      <c r="J88" s="1">
        <v>35962.999999999673</v>
      </c>
      <c r="K88" s="1">
        <v>39259.000000000342</v>
      </c>
      <c r="M88" s="21">
        <f t="shared" si="11"/>
        <v>1.264707811451296</v>
      </c>
      <c r="N88" s="21">
        <f t="shared" si="12"/>
        <v>0</v>
      </c>
      <c r="O88" s="21">
        <f t="shared" si="13"/>
        <v>3.7435643337614763</v>
      </c>
      <c r="P88" s="21">
        <f t="shared" si="14"/>
        <v>0.49039932879618853</v>
      </c>
      <c r="W88" s="10" t="s">
        <v>262</v>
      </c>
      <c r="Z88" s="211" t="b">
        <f>IFERROR(INDEX(Outliers!$X$3:$X$61,MATCH('SkYSPark Data_w Will''s Data'!C88,Outliers!$B$3:$B$61,0)),0)</f>
        <v>0</v>
      </c>
      <c r="AA88" s="1" t="b">
        <f>IFERROR(INDEX(Outliers!$AP$3:$AP$61,MATCH('SkYSPark Data_w Will''s Data'!C88,Outliers!$B$3:$B$61,0)),0)</f>
        <v>0</v>
      </c>
      <c r="AB88" s="112" t="b">
        <f>IFERROR(INDEX(Outliers!$AY$3:$AY$61,MATCH('SkYSPark Data_w Will''s Data'!C88,Outliers!$B$3:$B$61,0)),0)</f>
        <v>0</v>
      </c>
      <c r="AC88" s="112" t="s">
        <v>392</v>
      </c>
    </row>
    <row r="89" spans="1:32" x14ac:dyDescent="0.3">
      <c r="A89" s="2">
        <v>44986</v>
      </c>
      <c r="B89" s="3">
        <f t="shared" si="10"/>
        <v>3</v>
      </c>
      <c r="C89" s="3" t="s">
        <v>132</v>
      </c>
      <c r="D89" s="98" t="s">
        <v>522</v>
      </c>
      <c r="E89" s="98">
        <v>960662</v>
      </c>
      <c r="F89" s="3" t="s">
        <v>134</v>
      </c>
      <c r="G89" s="4">
        <v>377928.59291121725</v>
      </c>
      <c r="J89" s="1">
        <v>28489.000000000531</v>
      </c>
      <c r="K89" s="1">
        <v>57813.00000000056</v>
      </c>
      <c r="M89" s="21">
        <f t="shared" si="11"/>
        <v>1.3422955826430869</v>
      </c>
      <c r="N89" s="21">
        <f t="shared" si="12"/>
        <v>0</v>
      </c>
      <c r="O89" s="21">
        <f t="shared" si="13"/>
        <v>2.9655591664914955</v>
      </c>
      <c r="P89" s="21">
        <f t="shared" si="14"/>
        <v>0.72216450739178473</v>
      </c>
      <c r="W89" s="10" t="s">
        <v>693</v>
      </c>
      <c r="Z89" s="211" t="b">
        <f>IFERROR(INDEX(Outliers!$X$3:$X$61,MATCH('SkYSPark Data_w Will''s Data'!C89,Outliers!$B$3:$B$61,0)),0)</f>
        <v>0</v>
      </c>
      <c r="AA89" s="1" t="b">
        <f>IFERROR(INDEX(Outliers!$AP$3:$AP$61,MATCH('SkYSPark Data_w Will''s Data'!C89,Outliers!$B$3:$B$61,0)),0)</f>
        <v>0</v>
      </c>
      <c r="AB89" s="112" t="b">
        <f>IFERROR(INDEX(Outliers!$AY$3:$AY$61,MATCH('SkYSPark Data_w Will''s Data'!C89,Outliers!$B$3:$B$61,0)),0)</f>
        <v>0</v>
      </c>
      <c r="AC89" s="112" t="s">
        <v>392</v>
      </c>
    </row>
    <row r="90" spans="1:32" x14ac:dyDescent="0.3">
      <c r="A90" s="2">
        <v>45017</v>
      </c>
      <c r="B90" s="3">
        <f t="shared" si="10"/>
        <v>4</v>
      </c>
      <c r="C90" s="3" t="s">
        <v>132</v>
      </c>
      <c r="D90" s="98" t="s">
        <v>522</v>
      </c>
      <c r="E90" s="98">
        <v>960662</v>
      </c>
      <c r="F90" s="3" t="s">
        <v>134</v>
      </c>
      <c r="G90" s="4">
        <v>409551.78817630885</v>
      </c>
      <c r="J90" s="1">
        <v>30032.000000000269</v>
      </c>
      <c r="K90" s="1">
        <v>53645.00000000048</v>
      </c>
      <c r="M90" s="21">
        <f t="shared" si="11"/>
        <v>1.4546122374545529</v>
      </c>
      <c r="N90" s="21">
        <f t="shared" si="12"/>
        <v>0</v>
      </c>
      <c r="O90" s="21">
        <f t="shared" si="13"/>
        <v>3.126177573381717</v>
      </c>
      <c r="P90" s="21">
        <f t="shared" si="14"/>
        <v>0.67010040992566144</v>
      </c>
      <c r="Z90" s="211" t="b">
        <f>IFERROR(INDEX(Outliers!$X$3:$X$61,MATCH('SkYSPark Data_w Will''s Data'!C90,Outliers!$B$3:$B$61,0)),0)</f>
        <v>0</v>
      </c>
      <c r="AA90" s="1" t="b">
        <f>IFERROR(INDEX(Outliers!$AP$3:$AP$61,MATCH('SkYSPark Data_w Will''s Data'!C90,Outliers!$B$3:$B$61,0)),0)</f>
        <v>0</v>
      </c>
      <c r="AB90" s="112" t="b">
        <f>IFERROR(INDEX(Outliers!$AY$3:$AY$61,MATCH('SkYSPark Data_w Will''s Data'!C90,Outliers!$B$3:$B$61,0)),0)</f>
        <v>0</v>
      </c>
      <c r="AC90" s="112" t="s">
        <v>392</v>
      </c>
    </row>
    <row r="91" spans="1:32" x14ac:dyDescent="0.3">
      <c r="A91" s="2">
        <v>45047</v>
      </c>
      <c r="B91" s="3">
        <f t="shared" si="10"/>
        <v>5</v>
      </c>
      <c r="C91" s="3" t="s">
        <v>132</v>
      </c>
      <c r="D91" s="98" t="s">
        <v>522</v>
      </c>
      <c r="E91" s="98">
        <v>960662</v>
      </c>
      <c r="F91" s="3" t="s">
        <v>134</v>
      </c>
      <c r="G91" s="4">
        <v>402231.06130649807</v>
      </c>
      <c r="J91" s="1">
        <v>1557.0000000000109</v>
      </c>
      <c r="K91" s="1">
        <v>84490.000000000407</v>
      </c>
      <c r="M91" s="21">
        <f t="shared" si="11"/>
        <v>1.42861108400017</v>
      </c>
      <c r="N91" s="21">
        <f t="shared" si="12"/>
        <v>0</v>
      </c>
      <c r="O91" s="21">
        <f t="shared" si="13"/>
        <v>0.16207573527421831</v>
      </c>
      <c r="P91" s="21">
        <f t="shared" si="14"/>
        <v>1.0553972156700326</v>
      </c>
      <c r="Z91" s="211" t="b">
        <f>IFERROR(INDEX(Outliers!$X$3:$X$61,MATCH('SkYSPark Data_w Will''s Data'!C91,Outliers!$B$3:$B$61,0)),0)</f>
        <v>0</v>
      </c>
      <c r="AA91" s="1" t="b">
        <f>IFERROR(INDEX(Outliers!$AP$3:$AP$61,MATCH('SkYSPark Data_w Will''s Data'!C91,Outliers!$B$3:$B$61,0)),0)</f>
        <v>0</v>
      </c>
      <c r="AB91" s="112" t="b">
        <f>IFERROR(INDEX(Outliers!$AY$3:$AY$61,MATCH('SkYSPark Data_w Will''s Data'!C91,Outliers!$B$3:$B$61,0)),0)</f>
        <v>0</v>
      </c>
      <c r="AC91" s="112" t="s">
        <v>392</v>
      </c>
    </row>
    <row r="92" spans="1:32" x14ac:dyDescent="0.3">
      <c r="A92" s="2">
        <v>45078</v>
      </c>
      <c r="B92" s="3">
        <f t="shared" si="10"/>
        <v>6</v>
      </c>
      <c r="C92" s="3" t="s">
        <v>132</v>
      </c>
      <c r="D92" s="98" t="s">
        <v>522</v>
      </c>
      <c r="E92" s="98">
        <v>960662</v>
      </c>
      <c r="F92" s="3" t="s">
        <v>134</v>
      </c>
      <c r="G92" s="4">
        <v>218147.31795103959</v>
      </c>
      <c r="J92" s="1">
        <v>1154.999999999997</v>
      </c>
      <c r="K92" s="1">
        <v>91714.00000000163</v>
      </c>
      <c r="M92" s="21">
        <f t="shared" si="11"/>
        <v>0.77479763834621029</v>
      </c>
      <c r="N92" s="21">
        <f t="shared" si="12"/>
        <v>0</v>
      </c>
      <c r="O92" s="21">
        <f t="shared" si="13"/>
        <v>0.12022959167740549</v>
      </c>
      <c r="P92" s="21">
        <f t="shared" si="14"/>
        <v>1.1456349892053808</v>
      </c>
      <c r="Z92" s="211" t="b">
        <f>IFERROR(INDEX(Outliers!$X$3:$X$61,MATCH('SkYSPark Data_w Will''s Data'!C92,Outliers!$B$3:$B$61,0)),0)</f>
        <v>0</v>
      </c>
      <c r="AA92" s="1" t="b">
        <f>IFERROR(INDEX(Outliers!$AP$3:$AP$61,MATCH('SkYSPark Data_w Will''s Data'!C92,Outliers!$B$3:$B$61,0)),0)</f>
        <v>0</v>
      </c>
      <c r="AB92" s="112" t="b">
        <f>IFERROR(INDEX(Outliers!$AY$3:$AY$61,MATCH('SkYSPark Data_w Will''s Data'!C92,Outliers!$B$3:$B$61,0)),0)</f>
        <v>0</v>
      </c>
      <c r="AC92" s="112" t="s">
        <v>392</v>
      </c>
    </row>
    <row r="93" spans="1:32" x14ac:dyDescent="0.3">
      <c r="A93" s="2">
        <v>45108</v>
      </c>
      <c r="B93" s="3">
        <f t="shared" si="10"/>
        <v>7</v>
      </c>
      <c r="C93" s="3" t="s">
        <v>132</v>
      </c>
      <c r="D93" s="98" t="s">
        <v>522</v>
      </c>
      <c r="E93" s="98">
        <v>960662</v>
      </c>
      <c r="F93" s="3" t="s">
        <v>134</v>
      </c>
      <c r="G93" s="4">
        <v>319954.18631479633</v>
      </c>
      <c r="J93" s="1">
        <v>1189.0000000000141</v>
      </c>
      <c r="K93" s="1">
        <v>121751.9999999991</v>
      </c>
      <c r="M93" s="21">
        <f t="shared" si="11"/>
        <v>1.1363868704144486</v>
      </c>
      <c r="N93" s="21">
        <f t="shared" si="12"/>
        <v>0</v>
      </c>
      <c r="O93" s="21">
        <f t="shared" si="13"/>
        <v>0.12376881775275947</v>
      </c>
      <c r="P93" s="21">
        <f t="shared" si="14"/>
        <v>1.5208512463280417</v>
      </c>
      <c r="Z93" s="211" t="b">
        <f>IFERROR(INDEX(Outliers!$X$3:$X$61,MATCH('SkYSPark Data_w Will''s Data'!C93,Outliers!$B$3:$B$61,0)),0)</f>
        <v>0</v>
      </c>
      <c r="AA93" s="1" t="b">
        <f>IFERROR(INDEX(Outliers!$AP$3:$AP$61,MATCH('SkYSPark Data_w Will''s Data'!C93,Outliers!$B$3:$B$61,0)),0)</f>
        <v>0</v>
      </c>
      <c r="AB93" s="112" t="b">
        <f>IFERROR(INDEX(Outliers!$AY$3:$AY$61,MATCH('SkYSPark Data_w Will''s Data'!C93,Outliers!$B$3:$B$61,0)),0)</f>
        <v>0</v>
      </c>
      <c r="AC93" s="112" t="s">
        <v>392</v>
      </c>
    </row>
    <row r="94" spans="1:32" x14ac:dyDescent="0.3">
      <c r="A94" s="2">
        <v>45139</v>
      </c>
      <c r="B94" s="3">
        <f t="shared" si="10"/>
        <v>8</v>
      </c>
      <c r="C94" s="3" t="s">
        <v>132</v>
      </c>
      <c r="D94" s="98" t="s">
        <v>522</v>
      </c>
      <c r="E94" s="98">
        <v>960662</v>
      </c>
      <c r="F94" s="3" t="s">
        <v>134</v>
      </c>
      <c r="G94" s="4">
        <v>358366.52878039167</v>
      </c>
      <c r="J94" s="1">
        <v>1203.999999999992</v>
      </c>
      <c r="K94" s="1">
        <v>112109.0000000016</v>
      </c>
      <c r="M94" s="21">
        <f t="shared" si="11"/>
        <v>1.2728166578866411</v>
      </c>
      <c r="N94" s="21">
        <f t="shared" si="12"/>
        <v>0</v>
      </c>
      <c r="O94" s="21">
        <f t="shared" si="13"/>
        <v>0.12533024102129489</v>
      </c>
      <c r="P94" s="21">
        <f t="shared" si="14"/>
        <v>1.4003968096999977</v>
      </c>
      <c r="Z94" s="211" t="b">
        <f>IFERROR(INDEX(Outliers!$X$3:$X$61,MATCH('SkYSPark Data_w Will''s Data'!C94,Outliers!$B$3:$B$61,0)),0)</f>
        <v>0</v>
      </c>
      <c r="AA94" s="1" t="b">
        <f>IFERROR(INDEX(Outliers!$AP$3:$AP$61,MATCH('SkYSPark Data_w Will''s Data'!C94,Outliers!$B$3:$B$61,0)),0)</f>
        <v>0</v>
      </c>
      <c r="AB94" s="112" t="b">
        <f>IFERROR(INDEX(Outliers!$AY$3:$AY$61,MATCH('SkYSPark Data_w Will''s Data'!C94,Outliers!$B$3:$B$61,0)),0)</f>
        <v>0</v>
      </c>
      <c r="AC94" s="112" t="s">
        <v>392</v>
      </c>
    </row>
    <row r="95" spans="1:32" x14ac:dyDescent="0.3">
      <c r="A95" s="2">
        <v>45170</v>
      </c>
      <c r="B95" s="3">
        <f t="shared" si="10"/>
        <v>9</v>
      </c>
      <c r="C95" s="3" t="s">
        <v>132</v>
      </c>
      <c r="D95" s="98" t="s">
        <v>522</v>
      </c>
      <c r="E95" s="98">
        <v>960662</v>
      </c>
      <c r="F95" s="3" t="s">
        <v>134</v>
      </c>
      <c r="G95" s="4">
        <v>416098.25288503151</v>
      </c>
      <c r="J95" s="1">
        <v>13996.00000000026</v>
      </c>
      <c r="K95" s="1">
        <v>88371.999999998749</v>
      </c>
      <c r="M95" s="21">
        <f t="shared" si="11"/>
        <v>1.4778634304716201</v>
      </c>
      <c r="N95" s="21">
        <f t="shared" si="12"/>
        <v>0</v>
      </c>
      <c r="O95" s="21">
        <f t="shared" si="13"/>
        <v>1.4569120044303054</v>
      </c>
      <c r="P95" s="21">
        <f t="shared" si="14"/>
        <v>1.1038887766977199</v>
      </c>
      <c r="Z95" s="211" t="b">
        <f>IFERROR(INDEX(Outliers!$X$3:$X$61,MATCH('SkYSPark Data_w Will''s Data'!C95,Outliers!$B$3:$B$61,0)),0)</f>
        <v>0</v>
      </c>
      <c r="AA95" s="1" t="b">
        <f>IFERROR(INDEX(Outliers!$AP$3:$AP$61,MATCH('SkYSPark Data_w Will''s Data'!C95,Outliers!$B$3:$B$61,0)),0)</f>
        <v>0</v>
      </c>
      <c r="AB95" s="112" t="b">
        <f>IFERROR(INDEX(Outliers!$AY$3:$AY$61,MATCH('SkYSPark Data_w Will''s Data'!C95,Outliers!$B$3:$B$61,0)),0)</f>
        <v>0</v>
      </c>
      <c r="AC95" s="112" t="s">
        <v>392</v>
      </c>
    </row>
    <row r="96" spans="1:32" x14ac:dyDescent="0.3">
      <c r="A96" s="2">
        <v>45200</v>
      </c>
      <c r="B96" s="3">
        <f t="shared" si="10"/>
        <v>10</v>
      </c>
      <c r="C96" s="3" t="s">
        <v>132</v>
      </c>
      <c r="D96" s="98" t="s">
        <v>522</v>
      </c>
      <c r="E96" s="98">
        <v>960662</v>
      </c>
      <c r="F96" s="3" t="s">
        <v>134</v>
      </c>
      <c r="G96" s="4">
        <v>439122.00457373651</v>
      </c>
      <c r="J96" s="1">
        <v>21030.999999999771</v>
      </c>
      <c r="K96" s="1">
        <v>77880.999999999709</v>
      </c>
      <c r="M96" s="21">
        <f t="shared" si="11"/>
        <v>1.5596372913736454</v>
      </c>
      <c r="N96" s="21">
        <f t="shared" si="12"/>
        <v>0</v>
      </c>
      <c r="O96" s="21">
        <f t="shared" si="13"/>
        <v>2.1892195173744535</v>
      </c>
      <c r="P96" s="21">
        <f t="shared" si="14"/>
        <v>0.97284164461589662</v>
      </c>
      <c r="Z96" s="211" t="b">
        <f>IFERROR(INDEX(Outliers!$X$3:$X$61,MATCH('SkYSPark Data_w Will''s Data'!C96,Outliers!$B$3:$B$61,0)),0)</f>
        <v>0</v>
      </c>
      <c r="AA96" s="1" t="b">
        <f>IFERROR(INDEX(Outliers!$AP$3:$AP$61,MATCH('SkYSPark Data_w Will''s Data'!C96,Outliers!$B$3:$B$61,0)),0)</f>
        <v>0</v>
      </c>
      <c r="AB96" s="112" t="b">
        <f>IFERROR(INDEX(Outliers!$AY$3:$AY$61,MATCH('SkYSPark Data_w Will''s Data'!C96,Outliers!$B$3:$B$61,0)),0)</f>
        <v>0</v>
      </c>
      <c r="AC96" s="112" t="s">
        <v>392</v>
      </c>
    </row>
    <row r="97" spans="1:32" x14ac:dyDescent="0.3">
      <c r="A97" s="2">
        <v>45231</v>
      </c>
      <c r="B97" s="3">
        <f t="shared" si="10"/>
        <v>11</v>
      </c>
      <c r="C97" s="3" t="s">
        <v>132</v>
      </c>
      <c r="D97" s="98" t="s">
        <v>522</v>
      </c>
      <c r="E97" s="98">
        <v>960662</v>
      </c>
      <c r="F97" s="3" t="s">
        <v>134</v>
      </c>
      <c r="G97" s="4">
        <v>403710.46241515892</v>
      </c>
      <c r="J97" s="1">
        <v>24095.00000000028</v>
      </c>
      <c r="K97" s="1">
        <v>43204.999999999724</v>
      </c>
      <c r="M97" s="21">
        <f t="shared" si="11"/>
        <v>1.4338654987503641</v>
      </c>
      <c r="N97" s="21">
        <f t="shared" si="12"/>
        <v>0</v>
      </c>
      <c r="O97" s="21">
        <f t="shared" si="13"/>
        <v>2.5081662436944816</v>
      </c>
      <c r="P97" s="21">
        <f t="shared" si="14"/>
        <v>0.53969033853738013</v>
      </c>
      <c r="Z97" s="211" t="b">
        <f>IFERROR(INDEX(Outliers!$X$3:$X$61,MATCH('SkYSPark Data_w Will''s Data'!C97,Outliers!$B$3:$B$61,0)),0)</f>
        <v>0</v>
      </c>
      <c r="AA97" s="1" t="b">
        <f>IFERROR(INDEX(Outliers!$AP$3:$AP$61,MATCH('SkYSPark Data_w Will''s Data'!C97,Outliers!$B$3:$B$61,0)),0)</f>
        <v>0</v>
      </c>
      <c r="AB97" s="112" t="b">
        <f>IFERROR(INDEX(Outliers!$AY$3:$AY$61,MATCH('SkYSPark Data_w Will''s Data'!C97,Outliers!$B$3:$B$61,0)),0)</f>
        <v>0</v>
      </c>
      <c r="AC97" s="112" t="s">
        <v>392</v>
      </c>
    </row>
    <row r="98" spans="1:32" s="69" customFormat="1" x14ac:dyDescent="0.3">
      <c r="A98" s="65">
        <v>45261</v>
      </c>
      <c r="B98" s="3">
        <f t="shared" si="10"/>
        <v>12</v>
      </c>
      <c r="C98" s="64" t="s">
        <v>132</v>
      </c>
      <c r="D98" s="99" t="s">
        <v>522</v>
      </c>
      <c r="E98" s="99">
        <v>960662</v>
      </c>
      <c r="F98" s="3" t="s">
        <v>134</v>
      </c>
      <c r="G98" s="100">
        <v>381723.48074565356</v>
      </c>
      <c r="H98" s="66"/>
      <c r="I98" s="66"/>
      <c r="J98" s="66">
        <v>33218.999999999643</v>
      </c>
      <c r="K98" s="66">
        <v>35075.999999999869</v>
      </c>
      <c r="L98" s="67"/>
      <c r="M98" s="21">
        <f t="shared" si="11"/>
        <v>1.3557739520290903</v>
      </c>
      <c r="N98" s="21">
        <f t="shared" si="12"/>
        <v>0</v>
      </c>
      <c r="O98" s="21">
        <f t="shared" si="13"/>
        <v>3.4579279705036363</v>
      </c>
      <c r="P98" s="21">
        <f t="shared" si="14"/>
        <v>0.43814786053783583</v>
      </c>
      <c r="Q98" s="66"/>
      <c r="R98" s="66"/>
      <c r="S98" s="66"/>
      <c r="T98" s="66"/>
      <c r="U98" s="66"/>
      <c r="V98" s="68"/>
      <c r="W98" s="66"/>
      <c r="X98" s="67"/>
      <c r="Y98" s="66"/>
      <c r="Z98" s="211" t="b">
        <f>IFERROR(INDEX(Outliers!$X$3:$X$61,MATCH('SkYSPark Data_w Will''s Data'!C98,Outliers!$B$3:$B$61,0)),0)</f>
        <v>0</v>
      </c>
      <c r="AA98" s="1" t="b">
        <f>IFERROR(INDEX(Outliers!$AP$3:$AP$61,MATCH('SkYSPark Data_w Will''s Data'!C98,Outliers!$B$3:$B$61,0)),0)</f>
        <v>0</v>
      </c>
      <c r="AB98" s="112" t="b">
        <f>IFERROR(INDEX(Outliers!$AY$3:$AY$61,MATCH('SkYSPark Data_w Will''s Data'!C98,Outliers!$B$3:$B$61,0)),0)</f>
        <v>0</v>
      </c>
      <c r="AC98" s="112" t="s">
        <v>392</v>
      </c>
      <c r="AD98" s="134"/>
      <c r="AE98" s="134"/>
      <c r="AF98" s="134"/>
    </row>
    <row r="99" spans="1:32" x14ac:dyDescent="0.3">
      <c r="A99" s="2">
        <v>44927</v>
      </c>
      <c r="B99" s="3">
        <f t="shared" si="10"/>
        <v>1</v>
      </c>
      <c r="C99" s="3" t="s">
        <v>190</v>
      </c>
      <c r="D99" s="98" t="s">
        <v>522</v>
      </c>
      <c r="G99" s="1">
        <v>10458.909090909199</v>
      </c>
      <c r="M99" s="21">
        <f t="shared" si="11"/>
        <v>0</v>
      </c>
      <c r="N99" s="21">
        <f t="shared" si="12"/>
        <v>0</v>
      </c>
      <c r="O99" s="21">
        <f t="shared" si="13"/>
        <v>0</v>
      </c>
      <c r="P99" s="21">
        <f t="shared" si="14"/>
        <v>0</v>
      </c>
      <c r="Q99" s="1" t="e">
        <f>(SUM(G99:G110)*3.412)/E99</f>
        <v>#DIV/0!</v>
      </c>
      <c r="V99" s="33" t="e">
        <f>SUM(Q99:T99)</f>
        <v>#DIV/0!</v>
      </c>
      <c r="W99" s="10" t="s">
        <v>263</v>
      </c>
      <c r="Z99" s="211" t="b">
        <f>IFERROR(INDEX(Outliers!$X$3:$X$61,MATCH('SkYSPark Data_w Will''s Data'!C99,Outliers!$B$3:$B$61,0)),0)</f>
        <v>1</v>
      </c>
      <c r="AA99" s="1" t="b">
        <f>IFERROR(INDEX(Outliers!$AP$3:$AP$61,MATCH('SkYSPark Data_w Will''s Data'!C99,Outliers!$B$3:$B$61,0)),0)</f>
        <v>1</v>
      </c>
      <c r="AB99" s="112" t="b">
        <f>IFERROR(INDEX(Outliers!$AY$3:$AY$61,MATCH('SkYSPark Data_w Will''s Data'!C99,Outliers!$B$3:$B$61,0)),0)</f>
        <v>1</v>
      </c>
      <c r="AC99" s="112" t="s">
        <v>392</v>
      </c>
      <c r="AF99" s="132"/>
    </row>
    <row r="100" spans="1:32" x14ac:dyDescent="0.3">
      <c r="A100" s="2">
        <v>44958</v>
      </c>
      <c r="B100" s="3">
        <f t="shared" si="10"/>
        <v>2</v>
      </c>
      <c r="C100" s="3" t="s">
        <v>190</v>
      </c>
      <c r="D100" s="98" t="s">
        <v>522</v>
      </c>
      <c r="G100" s="1">
        <v>13945.0000000002</v>
      </c>
      <c r="M100" s="21">
        <f t="shared" si="11"/>
        <v>0</v>
      </c>
      <c r="N100" s="21">
        <f t="shared" si="12"/>
        <v>0</v>
      </c>
      <c r="O100" s="21">
        <f t="shared" si="13"/>
        <v>0</v>
      </c>
      <c r="P100" s="21">
        <f t="shared" si="14"/>
        <v>0</v>
      </c>
      <c r="Z100" s="211" t="b">
        <f>IFERROR(INDEX(Outliers!$X$3:$X$61,MATCH('SkYSPark Data_w Will''s Data'!C100,Outliers!$B$3:$B$61,0)),0)</f>
        <v>1</v>
      </c>
      <c r="AA100" s="1" t="b">
        <f>IFERROR(INDEX(Outliers!$AP$3:$AP$61,MATCH('SkYSPark Data_w Will''s Data'!C100,Outliers!$B$3:$B$61,0)),0)</f>
        <v>1</v>
      </c>
      <c r="AB100" s="112" t="b">
        <f>IFERROR(INDEX(Outliers!$AY$3:$AY$61,MATCH('SkYSPark Data_w Will''s Data'!C100,Outliers!$B$3:$B$61,0)),0)</f>
        <v>1</v>
      </c>
      <c r="AC100" s="112" t="s">
        <v>392</v>
      </c>
      <c r="AF100" s="132"/>
    </row>
    <row r="101" spans="1:32" x14ac:dyDescent="0.3">
      <c r="A101" s="2">
        <v>44986</v>
      </c>
      <c r="B101" s="3">
        <f t="shared" si="10"/>
        <v>3</v>
      </c>
      <c r="C101" s="3" t="s">
        <v>190</v>
      </c>
      <c r="D101" s="98" t="s">
        <v>522</v>
      </c>
      <c r="G101" s="1">
        <v>13020.8166877372</v>
      </c>
      <c r="M101" s="21">
        <f t="shared" si="11"/>
        <v>0</v>
      </c>
      <c r="N101" s="21">
        <f t="shared" si="12"/>
        <v>0</v>
      </c>
      <c r="O101" s="21">
        <f t="shared" si="13"/>
        <v>0</v>
      </c>
      <c r="P101" s="21">
        <f t="shared" si="14"/>
        <v>0</v>
      </c>
      <c r="Z101" s="211" t="b">
        <f>IFERROR(INDEX(Outliers!$X$3:$X$61,MATCH('SkYSPark Data_w Will''s Data'!C101,Outliers!$B$3:$B$61,0)),0)</f>
        <v>1</v>
      </c>
      <c r="AA101" s="1" t="b">
        <f>IFERROR(INDEX(Outliers!$AP$3:$AP$61,MATCH('SkYSPark Data_w Will''s Data'!C101,Outliers!$B$3:$B$61,0)),0)</f>
        <v>1</v>
      </c>
      <c r="AB101" s="112" t="b">
        <f>IFERROR(INDEX(Outliers!$AY$3:$AY$61,MATCH('SkYSPark Data_w Will''s Data'!C101,Outliers!$B$3:$B$61,0)),0)</f>
        <v>1</v>
      </c>
      <c r="AC101" s="112" t="s">
        <v>392</v>
      </c>
      <c r="AF101" s="132"/>
    </row>
    <row r="102" spans="1:32" x14ac:dyDescent="0.3">
      <c r="A102" s="2">
        <v>45017</v>
      </c>
      <c r="B102" s="3">
        <f t="shared" si="10"/>
        <v>4</v>
      </c>
      <c r="C102" s="3" t="s">
        <v>190</v>
      </c>
      <c r="D102" s="98" t="s">
        <v>522</v>
      </c>
      <c r="G102" s="1">
        <v>14584.183312263071</v>
      </c>
      <c r="M102" s="21">
        <f t="shared" si="11"/>
        <v>0</v>
      </c>
      <c r="N102" s="21">
        <f t="shared" si="12"/>
        <v>0</v>
      </c>
      <c r="O102" s="21">
        <f t="shared" si="13"/>
        <v>0</v>
      </c>
      <c r="P102" s="21">
        <f t="shared" si="14"/>
        <v>0</v>
      </c>
      <c r="Z102" s="211" t="b">
        <f>IFERROR(INDEX(Outliers!$X$3:$X$61,MATCH('SkYSPark Data_w Will''s Data'!C102,Outliers!$B$3:$B$61,0)),0)</f>
        <v>1</v>
      </c>
      <c r="AA102" s="1" t="b">
        <f>IFERROR(INDEX(Outliers!$AP$3:$AP$61,MATCH('SkYSPark Data_w Will''s Data'!C102,Outliers!$B$3:$B$61,0)),0)</f>
        <v>1</v>
      </c>
      <c r="AB102" s="112" t="b">
        <f>IFERROR(INDEX(Outliers!$AY$3:$AY$61,MATCH('SkYSPark Data_w Will''s Data'!C102,Outliers!$B$3:$B$61,0)),0)</f>
        <v>1</v>
      </c>
      <c r="AC102" s="112" t="s">
        <v>392</v>
      </c>
      <c r="AF102" s="132"/>
    </row>
    <row r="103" spans="1:32" x14ac:dyDescent="0.3">
      <c r="A103" s="2">
        <v>45047</v>
      </c>
      <c r="B103" s="3">
        <f t="shared" si="10"/>
        <v>5</v>
      </c>
      <c r="C103" s="3" t="s">
        <v>190</v>
      </c>
      <c r="D103" s="98" t="s">
        <v>522</v>
      </c>
      <c r="G103" s="1">
        <v>13604.00000000012</v>
      </c>
      <c r="M103" s="21">
        <f t="shared" si="11"/>
        <v>0</v>
      </c>
      <c r="N103" s="21">
        <f t="shared" si="12"/>
        <v>0</v>
      </c>
      <c r="O103" s="21">
        <f t="shared" si="13"/>
        <v>0</v>
      </c>
      <c r="P103" s="21">
        <f t="shared" si="14"/>
        <v>0</v>
      </c>
      <c r="Z103" s="211" t="b">
        <f>IFERROR(INDEX(Outliers!$X$3:$X$61,MATCH('SkYSPark Data_w Will''s Data'!C103,Outliers!$B$3:$B$61,0)),0)</f>
        <v>1</v>
      </c>
      <c r="AA103" s="1" t="b">
        <f>IFERROR(INDEX(Outliers!$AP$3:$AP$61,MATCH('SkYSPark Data_w Will''s Data'!C103,Outliers!$B$3:$B$61,0)),0)</f>
        <v>1</v>
      </c>
      <c r="AB103" s="112" t="b">
        <f>IFERROR(INDEX(Outliers!$AY$3:$AY$61,MATCH('SkYSPark Data_w Will''s Data'!C103,Outliers!$B$3:$B$61,0)),0)</f>
        <v>1</v>
      </c>
      <c r="AC103" s="112" t="s">
        <v>392</v>
      </c>
      <c r="AF103" s="132"/>
    </row>
    <row r="104" spans="1:32" x14ac:dyDescent="0.3">
      <c r="A104" s="2">
        <v>45078</v>
      </c>
      <c r="B104" s="3">
        <f t="shared" si="10"/>
        <v>6</v>
      </c>
      <c r="C104" s="3" t="s">
        <v>190</v>
      </c>
      <c r="D104" s="98" t="s">
        <v>522</v>
      </c>
      <c r="G104" s="1">
        <v>8669.142857142926</v>
      </c>
      <c r="M104" s="21">
        <f t="shared" si="11"/>
        <v>0</v>
      </c>
      <c r="N104" s="21">
        <f t="shared" si="12"/>
        <v>0</v>
      </c>
      <c r="O104" s="21">
        <f t="shared" si="13"/>
        <v>0</v>
      </c>
      <c r="P104" s="21">
        <f t="shared" si="14"/>
        <v>0</v>
      </c>
      <c r="Z104" s="211" t="b">
        <f>IFERROR(INDEX(Outliers!$X$3:$X$61,MATCH('SkYSPark Data_w Will''s Data'!C104,Outliers!$B$3:$B$61,0)),0)</f>
        <v>1</v>
      </c>
      <c r="AA104" s="1" t="b">
        <f>IFERROR(INDEX(Outliers!$AP$3:$AP$61,MATCH('SkYSPark Data_w Will''s Data'!C104,Outliers!$B$3:$B$61,0)),0)</f>
        <v>1</v>
      </c>
      <c r="AB104" s="112" t="b">
        <f>IFERROR(INDEX(Outliers!$AY$3:$AY$61,MATCH('SkYSPark Data_w Will''s Data'!C104,Outliers!$B$3:$B$61,0)),0)</f>
        <v>1</v>
      </c>
      <c r="AC104" s="112" t="s">
        <v>392</v>
      </c>
      <c r="AF104" s="132"/>
    </row>
    <row r="105" spans="1:32" x14ac:dyDescent="0.3">
      <c r="A105" s="2">
        <v>45108</v>
      </c>
      <c r="B105" s="3">
        <f t="shared" si="10"/>
        <v>7</v>
      </c>
      <c r="C105" s="3" t="s">
        <v>190</v>
      </c>
      <c r="D105" s="98" t="s">
        <v>522</v>
      </c>
      <c r="G105" s="1">
        <v>9065.8571428570121</v>
      </c>
      <c r="M105" s="21">
        <f t="shared" si="11"/>
        <v>0</v>
      </c>
      <c r="N105" s="21">
        <f t="shared" si="12"/>
        <v>0</v>
      </c>
      <c r="O105" s="21">
        <f t="shared" si="13"/>
        <v>0</v>
      </c>
      <c r="P105" s="21">
        <f t="shared" si="14"/>
        <v>0</v>
      </c>
      <c r="Z105" s="211" t="b">
        <f>IFERROR(INDEX(Outliers!$X$3:$X$61,MATCH('SkYSPark Data_w Will''s Data'!C105,Outliers!$B$3:$B$61,0)),0)</f>
        <v>1</v>
      </c>
      <c r="AA105" s="1" t="b">
        <f>IFERROR(INDEX(Outliers!$AP$3:$AP$61,MATCH('SkYSPark Data_w Will''s Data'!C105,Outliers!$B$3:$B$61,0)),0)</f>
        <v>1</v>
      </c>
      <c r="AB105" s="112" t="b">
        <f>IFERROR(INDEX(Outliers!$AY$3:$AY$61,MATCH('SkYSPark Data_w Will''s Data'!C105,Outliers!$B$3:$B$61,0)),0)</f>
        <v>1</v>
      </c>
      <c r="AC105" s="112" t="s">
        <v>392</v>
      </c>
      <c r="AF105" s="132"/>
    </row>
    <row r="106" spans="1:32" x14ac:dyDescent="0.3">
      <c r="A106" s="2">
        <v>45139</v>
      </c>
      <c r="B106" s="3">
        <f t="shared" si="10"/>
        <v>8</v>
      </c>
      <c r="C106" s="3" t="s">
        <v>190</v>
      </c>
      <c r="D106" s="98" t="s">
        <v>522</v>
      </c>
      <c r="G106" s="1">
        <v>13082.000000000109</v>
      </c>
      <c r="M106" s="21">
        <f t="shared" si="11"/>
        <v>0</v>
      </c>
      <c r="N106" s="21">
        <f t="shared" si="12"/>
        <v>0</v>
      </c>
      <c r="O106" s="21">
        <f t="shared" si="13"/>
        <v>0</v>
      </c>
      <c r="P106" s="21">
        <f t="shared" si="14"/>
        <v>0</v>
      </c>
      <c r="Z106" s="211" t="b">
        <f>IFERROR(INDEX(Outliers!$X$3:$X$61,MATCH('SkYSPark Data_w Will''s Data'!C106,Outliers!$B$3:$B$61,0)),0)</f>
        <v>1</v>
      </c>
      <c r="AA106" s="1" t="b">
        <f>IFERROR(INDEX(Outliers!$AP$3:$AP$61,MATCH('SkYSPark Data_w Will''s Data'!C106,Outliers!$B$3:$B$61,0)),0)</f>
        <v>1</v>
      </c>
      <c r="AB106" s="112" t="b">
        <f>IFERROR(INDEX(Outliers!$AY$3:$AY$61,MATCH('SkYSPark Data_w Will''s Data'!C106,Outliers!$B$3:$B$61,0)),0)</f>
        <v>1</v>
      </c>
      <c r="AC106" s="112" t="s">
        <v>392</v>
      </c>
      <c r="AF106" s="132"/>
    </row>
    <row r="107" spans="1:32" x14ac:dyDescent="0.3">
      <c r="A107" s="2">
        <v>45170</v>
      </c>
      <c r="B107" s="3">
        <f t="shared" si="10"/>
        <v>9</v>
      </c>
      <c r="C107" s="3" t="s">
        <v>190</v>
      </c>
      <c r="D107" s="98" t="s">
        <v>522</v>
      </c>
      <c r="G107" s="1">
        <v>15324.99999999984</v>
      </c>
      <c r="M107" s="21">
        <f t="shared" si="11"/>
        <v>0</v>
      </c>
      <c r="N107" s="21">
        <f t="shared" si="12"/>
        <v>0</v>
      </c>
      <c r="O107" s="21">
        <f t="shared" si="13"/>
        <v>0</v>
      </c>
      <c r="P107" s="21">
        <f t="shared" si="14"/>
        <v>0</v>
      </c>
      <c r="Z107" s="211" t="b">
        <f>IFERROR(INDEX(Outliers!$X$3:$X$61,MATCH('SkYSPark Data_w Will''s Data'!C107,Outliers!$B$3:$B$61,0)),0)</f>
        <v>1</v>
      </c>
      <c r="AA107" s="1" t="b">
        <f>IFERROR(INDEX(Outliers!$AP$3:$AP$61,MATCH('SkYSPark Data_w Will''s Data'!C107,Outliers!$B$3:$B$61,0)),0)</f>
        <v>1</v>
      </c>
      <c r="AB107" s="112" t="b">
        <f>IFERROR(INDEX(Outliers!$AY$3:$AY$61,MATCH('SkYSPark Data_w Will''s Data'!C107,Outliers!$B$3:$B$61,0)),0)</f>
        <v>1</v>
      </c>
      <c r="AC107" s="112" t="s">
        <v>392</v>
      </c>
      <c r="AF107" s="132"/>
    </row>
    <row r="108" spans="1:32" x14ac:dyDescent="0.3">
      <c r="A108" s="2">
        <v>45200</v>
      </c>
      <c r="B108" s="3">
        <f t="shared" si="10"/>
        <v>10</v>
      </c>
      <c r="C108" s="3" t="s">
        <v>190</v>
      </c>
      <c r="D108" s="98" t="s">
        <v>522</v>
      </c>
      <c r="G108" s="1">
        <v>15584.00000000018</v>
      </c>
      <c r="M108" s="21">
        <f t="shared" si="11"/>
        <v>0</v>
      </c>
      <c r="N108" s="21">
        <f t="shared" si="12"/>
        <v>0</v>
      </c>
      <c r="O108" s="21">
        <f t="shared" si="13"/>
        <v>0</v>
      </c>
      <c r="P108" s="21">
        <f t="shared" si="14"/>
        <v>0</v>
      </c>
      <c r="Z108" s="211" t="b">
        <f>IFERROR(INDEX(Outliers!$X$3:$X$61,MATCH('SkYSPark Data_w Will''s Data'!C108,Outliers!$B$3:$B$61,0)),0)</f>
        <v>1</v>
      </c>
      <c r="AA108" s="1" t="b">
        <f>IFERROR(INDEX(Outliers!$AP$3:$AP$61,MATCH('SkYSPark Data_w Will''s Data'!C108,Outliers!$B$3:$B$61,0)),0)</f>
        <v>1</v>
      </c>
      <c r="AB108" s="112" t="b">
        <f>IFERROR(INDEX(Outliers!$AY$3:$AY$61,MATCH('SkYSPark Data_w Will''s Data'!C108,Outliers!$B$3:$B$61,0)),0)</f>
        <v>1</v>
      </c>
      <c r="AC108" s="112" t="s">
        <v>392</v>
      </c>
      <c r="AF108" s="132"/>
    </row>
    <row r="109" spans="1:32" x14ac:dyDescent="0.3">
      <c r="A109" s="2">
        <v>45231</v>
      </c>
      <c r="B109" s="3">
        <f t="shared" si="10"/>
        <v>11</v>
      </c>
      <c r="C109" s="3" t="s">
        <v>190</v>
      </c>
      <c r="D109" s="98" t="s">
        <v>522</v>
      </c>
      <c r="G109" s="1">
        <v>12983.45523329121</v>
      </c>
      <c r="M109" s="21">
        <f t="shared" si="11"/>
        <v>0</v>
      </c>
      <c r="N109" s="21">
        <f t="shared" si="12"/>
        <v>0</v>
      </c>
      <c r="O109" s="21">
        <f t="shared" si="13"/>
        <v>0</v>
      </c>
      <c r="P109" s="21">
        <f t="shared" si="14"/>
        <v>0</v>
      </c>
      <c r="Z109" s="211" t="b">
        <f>IFERROR(INDEX(Outliers!$X$3:$X$61,MATCH('SkYSPark Data_w Will''s Data'!C109,Outliers!$B$3:$B$61,0)),0)</f>
        <v>1</v>
      </c>
      <c r="AA109" s="1" t="b">
        <f>IFERROR(INDEX(Outliers!$AP$3:$AP$61,MATCH('SkYSPark Data_w Will''s Data'!C109,Outliers!$B$3:$B$61,0)),0)</f>
        <v>1</v>
      </c>
      <c r="AB109" s="112" t="b">
        <f>IFERROR(INDEX(Outliers!$AY$3:$AY$61,MATCH('SkYSPark Data_w Will''s Data'!C109,Outliers!$B$3:$B$61,0)),0)</f>
        <v>1</v>
      </c>
      <c r="AC109" s="112" t="s">
        <v>392</v>
      </c>
      <c r="AF109" s="132"/>
    </row>
    <row r="110" spans="1:32" s="69" customFormat="1" x14ac:dyDescent="0.3">
      <c r="A110" s="65">
        <v>45261</v>
      </c>
      <c r="B110" s="3">
        <f t="shared" si="10"/>
        <v>12</v>
      </c>
      <c r="C110" s="64" t="s">
        <v>190</v>
      </c>
      <c r="D110" s="99" t="s">
        <v>522</v>
      </c>
      <c r="E110" s="64"/>
      <c r="F110" s="3"/>
      <c r="G110" s="66">
        <v>10577.096490846699</v>
      </c>
      <c r="H110" s="66"/>
      <c r="I110" s="66"/>
      <c r="J110" s="66"/>
      <c r="K110" s="66"/>
      <c r="L110" s="67"/>
      <c r="M110" s="21">
        <f t="shared" si="11"/>
        <v>0</v>
      </c>
      <c r="N110" s="21">
        <f t="shared" si="12"/>
        <v>0</v>
      </c>
      <c r="O110" s="21">
        <f t="shared" si="13"/>
        <v>0</v>
      </c>
      <c r="P110" s="21">
        <f t="shared" si="14"/>
        <v>0</v>
      </c>
      <c r="Q110" s="66"/>
      <c r="R110" s="66"/>
      <c r="S110" s="66"/>
      <c r="T110" s="66"/>
      <c r="U110" s="66"/>
      <c r="V110" s="68"/>
      <c r="W110" s="66"/>
      <c r="X110" s="67"/>
      <c r="Y110" s="66"/>
      <c r="Z110" s="211" t="b">
        <f>IFERROR(INDEX(Outliers!$X$3:$X$61,MATCH('SkYSPark Data_w Will''s Data'!C110,Outliers!$B$3:$B$61,0)),0)</f>
        <v>1</v>
      </c>
      <c r="AA110" s="1" t="b">
        <f>IFERROR(INDEX(Outliers!$AP$3:$AP$61,MATCH('SkYSPark Data_w Will''s Data'!C110,Outliers!$B$3:$B$61,0)),0)</f>
        <v>1</v>
      </c>
      <c r="AB110" s="112" t="b">
        <f>IFERROR(INDEX(Outliers!$AY$3:$AY$61,MATCH('SkYSPark Data_w Will''s Data'!C110,Outliers!$B$3:$B$61,0)),0)</f>
        <v>1</v>
      </c>
      <c r="AC110" s="112" t="s">
        <v>392</v>
      </c>
      <c r="AD110" s="134"/>
      <c r="AE110" s="134"/>
      <c r="AF110" s="133"/>
    </row>
    <row r="111" spans="1:32" x14ac:dyDescent="0.3">
      <c r="A111" s="2">
        <v>44927</v>
      </c>
      <c r="B111" s="3">
        <f t="shared" si="10"/>
        <v>1</v>
      </c>
      <c r="C111" s="3" t="s">
        <v>133</v>
      </c>
      <c r="D111" s="3" t="str">
        <f>VLOOKUP(C111,'Data availability'!$A$2:$B$91,2,FALSE)</f>
        <v>Main campus</v>
      </c>
      <c r="E111" s="3">
        <v>186318</v>
      </c>
      <c r="F111" s="3" t="str">
        <f>VLOOKUP(C111,'Data availability'!$A$2:$H$91,8,FALSE)</f>
        <v>Residential</v>
      </c>
      <c r="G111" s="1">
        <v>83762.939393939494</v>
      </c>
      <c r="J111" s="1">
        <v>11923.333333333179</v>
      </c>
      <c r="K111" s="1">
        <v>3923.685875355035</v>
      </c>
      <c r="M111" s="21">
        <f t="shared" si="11"/>
        <v>1.5339320366906126</v>
      </c>
      <c r="N111" s="21">
        <f t="shared" si="12"/>
        <v>0</v>
      </c>
      <c r="O111" s="21">
        <f t="shared" si="13"/>
        <v>6.3994532644903757</v>
      </c>
      <c r="P111" s="21">
        <f t="shared" si="14"/>
        <v>0.25270897339097897</v>
      </c>
      <c r="Q111" s="1">
        <f>(SUM(G111:G122)*3.412)/E111</f>
        <v>20.783899267724205</v>
      </c>
      <c r="S111" s="1">
        <f>(SUM(J111:J122)*100)/E111</f>
        <v>44.061055915649305</v>
      </c>
      <c r="T111" s="1">
        <f>(SUM(K111:K122)*12)/E111</f>
        <v>15.925926331088087</v>
      </c>
      <c r="V111" s="33">
        <f>SUM(Q111:T111)</f>
        <v>80.770881514461607</v>
      </c>
      <c r="W111" s="10" t="s">
        <v>266</v>
      </c>
      <c r="Z111" s="211" t="b">
        <f>IFERROR(INDEX(Outliers!$X$3:$X$61,MATCH('SkYSPark Data_w Will''s Data'!C111,Outliers!$B$3:$B$61,0)),0)</f>
        <v>0</v>
      </c>
      <c r="AA111" s="1" t="b">
        <f>IFERROR(INDEX(Outliers!$AP$3:$AP$61,MATCH('SkYSPark Data_w Will''s Data'!C111,Outliers!$B$3:$B$61,0)),0)</f>
        <v>0</v>
      </c>
      <c r="AB111" s="112" t="b">
        <f>IFERROR(INDEX(Outliers!$AY$3:$AY$61,MATCH('SkYSPark Data_w Will''s Data'!C111,Outliers!$B$3:$B$61,0)),0)</f>
        <v>0</v>
      </c>
      <c r="AC111" s="112" t="s">
        <v>392</v>
      </c>
    </row>
    <row r="112" spans="1:32" x14ac:dyDescent="0.3">
      <c r="A112" s="2">
        <v>44958</v>
      </c>
      <c r="B112" s="3">
        <f t="shared" si="10"/>
        <v>2</v>
      </c>
      <c r="C112" s="3" t="s">
        <v>133</v>
      </c>
      <c r="D112" s="3" t="str">
        <f>VLOOKUP(C112,'Data availability'!$A$2:$B$91,2,FALSE)</f>
        <v>Main campus</v>
      </c>
      <c r="E112" s="3">
        <v>186318</v>
      </c>
      <c r="F112" s="3" t="str">
        <f>VLOOKUP(C112,'Data availability'!$A$2:$H$91,8,FALSE)</f>
        <v>Residential</v>
      </c>
      <c r="G112" s="1">
        <v>97841.999999999709</v>
      </c>
      <c r="J112" s="1">
        <v>12279.99999999986</v>
      </c>
      <c r="K112" s="1">
        <v>8169.0943359374141</v>
      </c>
      <c r="M112" s="21">
        <f t="shared" si="11"/>
        <v>1.7917587350658497</v>
      </c>
      <c r="N112" s="21">
        <f t="shared" si="12"/>
        <v>0</v>
      </c>
      <c r="O112" s="21">
        <f t="shared" si="13"/>
        <v>6.5908822550692152</v>
      </c>
      <c r="P112" s="21">
        <f t="shared" si="14"/>
        <v>0.52613881659983985</v>
      </c>
      <c r="W112" s="10" t="s">
        <v>267</v>
      </c>
      <c r="Z112" s="211" t="b">
        <f>IFERROR(INDEX(Outliers!$X$3:$X$61,MATCH('SkYSPark Data_w Will''s Data'!C112,Outliers!$B$3:$B$61,0)),0)</f>
        <v>0</v>
      </c>
      <c r="AA112" s="1" t="b">
        <f>IFERROR(INDEX(Outliers!$AP$3:$AP$61,MATCH('SkYSPark Data_w Will''s Data'!C112,Outliers!$B$3:$B$61,0)),0)</f>
        <v>0</v>
      </c>
      <c r="AB112" s="112" t="b">
        <f>IFERROR(INDEX(Outliers!$AY$3:$AY$61,MATCH('SkYSPark Data_w Will''s Data'!C112,Outliers!$B$3:$B$61,0)),0)</f>
        <v>0</v>
      </c>
      <c r="AC112" s="112" t="s">
        <v>392</v>
      </c>
    </row>
    <row r="113" spans="1:51" x14ac:dyDescent="0.3">
      <c r="A113" s="2">
        <v>44986</v>
      </c>
      <c r="B113" s="3">
        <f t="shared" si="10"/>
        <v>3</v>
      </c>
      <c r="C113" s="3" t="s">
        <v>133</v>
      </c>
      <c r="D113" s="3" t="str">
        <f>VLOOKUP(C113,'Data availability'!$A$2:$B$91,2,FALSE)</f>
        <v>Main campus</v>
      </c>
      <c r="E113" s="3">
        <v>186318</v>
      </c>
      <c r="F113" s="3" t="str">
        <f>VLOOKUP(C113,'Data availability'!$A$2:$H$91,8,FALSE)</f>
        <v>Residential</v>
      </c>
      <c r="G113" s="1">
        <v>103142.6776232617</v>
      </c>
      <c r="J113" s="1">
        <v>12060.83438685225</v>
      </c>
      <c r="K113" s="1">
        <v>9228.111754182848</v>
      </c>
      <c r="M113" s="21">
        <f t="shared" si="11"/>
        <v>1.8888288627538343</v>
      </c>
      <c r="N113" s="21">
        <f t="shared" si="12"/>
        <v>0</v>
      </c>
      <c r="O113" s="21">
        <f t="shared" si="13"/>
        <v>6.4732523893838749</v>
      </c>
      <c r="P113" s="21">
        <f t="shared" si="14"/>
        <v>0.59434590887726446</v>
      </c>
      <c r="W113" t="s">
        <v>268</v>
      </c>
      <c r="Z113" s="211" t="b">
        <f>IFERROR(INDEX(Outliers!$X$3:$X$61,MATCH('SkYSPark Data_w Will''s Data'!C113,Outliers!$B$3:$B$61,0)),0)</f>
        <v>0</v>
      </c>
      <c r="AA113" s="1" t="b">
        <f>IFERROR(INDEX(Outliers!$AP$3:$AP$61,MATCH('SkYSPark Data_w Will''s Data'!C113,Outliers!$B$3:$B$61,0)),0)</f>
        <v>0</v>
      </c>
      <c r="AB113" s="112" t="b">
        <f>IFERROR(INDEX(Outliers!$AY$3:$AY$61,MATCH('SkYSPark Data_w Will''s Data'!C113,Outliers!$B$3:$B$61,0)),0)</f>
        <v>0</v>
      </c>
      <c r="AC113" s="112" t="s">
        <v>392</v>
      </c>
    </row>
    <row r="114" spans="1:51" x14ac:dyDescent="0.3">
      <c r="A114" s="2">
        <v>45017</v>
      </c>
      <c r="B114" s="3">
        <f t="shared" si="10"/>
        <v>4</v>
      </c>
      <c r="C114" s="3" t="s">
        <v>133</v>
      </c>
      <c r="D114" s="3" t="str">
        <f>VLOOKUP(C114,'Data availability'!$A$2:$B$91,2,FALSE)</f>
        <v>Main campus</v>
      </c>
      <c r="E114" s="3">
        <v>186318</v>
      </c>
      <c r="F114" s="3" t="str">
        <f>VLOOKUP(C114,'Data availability'!$A$2:$H$91,8,FALSE)</f>
        <v>Residential</v>
      </c>
      <c r="G114" s="1">
        <v>106302.32237673691</v>
      </c>
      <c r="J114" s="1">
        <v>8269.1656131478285</v>
      </c>
      <c r="K114" s="1">
        <v>17378.103480192309</v>
      </c>
      <c r="M114" s="21">
        <f t="shared" si="11"/>
        <v>1.9466907327763625</v>
      </c>
      <c r="N114" s="21">
        <f t="shared" si="12"/>
        <v>0</v>
      </c>
      <c r="O114" s="21">
        <f t="shared" si="13"/>
        <v>4.4382000736095426</v>
      </c>
      <c r="P114" s="21">
        <f t="shared" si="14"/>
        <v>1.1192544024855768</v>
      </c>
      <c r="W114"/>
      <c r="Z114" s="211" t="b">
        <f>IFERROR(INDEX(Outliers!$X$3:$X$61,MATCH('SkYSPark Data_w Will''s Data'!C114,Outliers!$B$3:$B$61,0)),0)</f>
        <v>0</v>
      </c>
      <c r="AA114" s="1" t="b">
        <f>IFERROR(INDEX(Outliers!$AP$3:$AP$61,MATCH('SkYSPark Data_w Will''s Data'!C114,Outliers!$B$3:$B$61,0)),0)</f>
        <v>0</v>
      </c>
      <c r="AB114" s="112" t="b">
        <f>IFERROR(INDEX(Outliers!$AY$3:$AY$61,MATCH('SkYSPark Data_w Will''s Data'!C114,Outliers!$B$3:$B$61,0)),0)</f>
        <v>0</v>
      </c>
      <c r="AC114" s="112" t="s">
        <v>392</v>
      </c>
    </row>
    <row r="115" spans="1:51" x14ac:dyDescent="0.3">
      <c r="A115" s="2">
        <v>45047</v>
      </c>
      <c r="B115" s="3">
        <f t="shared" si="10"/>
        <v>5</v>
      </c>
      <c r="C115" s="3" t="s">
        <v>133</v>
      </c>
      <c r="D115" s="3" t="str">
        <f>VLOOKUP(C115,'Data availability'!$A$2:$B$91,2,FALSE)</f>
        <v>Main campus</v>
      </c>
      <c r="E115" s="3">
        <v>186318</v>
      </c>
      <c r="F115" s="3" t="str">
        <f>VLOOKUP(C115,'Data availability'!$A$2:$H$91,8,FALSE)</f>
        <v>Residential</v>
      </c>
      <c r="G115" s="1">
        <v>96874.999999999316</v>
      </c>
      <c r="J115" s="1">
        <v>5989.9999999999727</v>
      </c>
      <c r="K115" s="1">
        <v>17364.958789062501</v>
      </c>
      <c r="M115" s="21">
        <f t="shared" si="11"/>
        <v>1.7740502796294382</v>
      </c>
      <c r="N115" s="21">
        <f t="shared" si="12"/>
        <v>0</v>
      </c>
      <c r="O115" s="21">
        <f t="shared" si="13"/>
        <v>3.2149336081323185</v>
      </c>
      <c r="P115" s="21">
        <f t="shared" si="14"/>
        <v>1.1184078053046407</v>
      </c>
      <c r="Z115" s="211" t="b">
        <f>IFERROR(INDEX(Outliers!$X$3:$X$61,MATCH('SkYSPark Data_w Will''s Data'!C115,Outliers!$B$3:$B$61,0)),0)</f>
        <v>0</v>
      </c>
      <c r="AA115" s="1" t="b">
        <f>IFERROR(INDEX(Outliers!$AP$3:$AP$61,MATCH('SkYSPark Data_w Will''s Data'!C115,Outliers!$B$3:$B$61,0)),0)</f>
        <v>0</v>
      </c>
      <c r="AB115" s="112" t="b">
        <f>IFERROR(INDEX(Outliers!$AY$3:$AY$61,MATCH('SkYSPark Data_w Will''s Data'!C115,Outliers!$B$3:$B$61,0)),0)</f>
        <v>0</v>
      </c>
      <c r="AC115" s="112" t="s">
        <v>392</v>
      </c>
    </row>
    <row r="116" spans="1:51" x14ac:dyDescent="0.3">
      <c r="A116" s="2">
        <v>45078</v>
      </c>
      <c r="B116" s="3">
        <f t="shared" si="10"/>
        <v>6</v>
      </c>
      <c r="C116" s="3" t="s">
        <v>133</v>
      </c>
      <c r="D116" s="3" t="str">
        <f>VLOOKUP(C116,'Data availability'!$A$2:$B$91,2,FALSE)</f>
        <v>Main campus</v>
      </c>
      <c r="E116" s="3">
        <v>186318</v>
      </c>
      <c r="F116" s="3" t="str">
        <f>VLOOKUP(C116,'Data availability'!$A$2:$H$91,8,FALSE)</f>
        <v>Residential</v>
      </c>
      <c r="G116" s="1">
        <v>70182.857142857029</v>
      </c>
      <c r="J116" s="1">
        <v>3394.285714285742</v>
      </c>
      <c r="K116" s="1">
        <v>17248.88730468724</v>
      </c>
      <c r="M116" s="21">
        <f t="shared" si="11"/>
        <v>1.2852430176978509</v>
      </c>
      <c r="N116" s="21">
        <f t="shared" si="12"/>
        <v>0</v>
      </c>
      <c r="O116" s="21">
        <f t="shared" si="13"/>
        <v>1.8217701533323363</v>
      </c>
      <c r="P116" s="21">
        <f t="shared" si="14"/>
        <v>1.1109321034803232</v>
      </c>
      <c r="Z116" s="211" t="b">
        <f>IFERROR(INDEX(Outliers!$X$3:$X$61,MATCH('SkYSPark Data_w Will''s Data'!C116,Outliers!$B$3:$B$61,0)),0)</f>
        <v>0</v>
      </c>
      <c r="AA116" s="1" t="b">
        <f>IFERROR(INDEX(Outliers!$AP$3:$AP$61,MATCH('SkYSPark Data_w Will''s Data'!C116,Outliers!$B$3:$B$61,0)),0)</f>
        <v>0</v>
      </c>
      <c r="AB116" s="112" t="b">
        <f>IFERROR(INDEX(Outliers!$AY$3:$AY$61,MATCH('SkYSPark Data_w Will''s Data'!C116,Outliers!$B$3:$B$61,0)),0)</f>
        <v>0</v>
      </c>
      <c r="AC116" s="112" t="s">
        <v>392</v>
      </c>
    </row>
    <row r="117" spans="1:51" x14ac:dyDescent="0.3">
      <c r="A117" s="2">
        <v>45108</v>
      </c>
      <c r="B117" s="3">
        <f t="shared" si="10"/>
        <v>7</v>
      </c>
      <c r="C117" s="3" t="s">
        <v>133</v>
      </c>
      <c r="D117" s="3" t="str">
        <f>VLOOKUP(C117,'Data availability'!$A$2:$B$91,2,FALSE)</f>
        <v>Main campus</v>
      </c>
      <c r="E117" s="3">
        <v>186318</v>
      </c>
      <c r="F117" s="3" t="str">
        <f>VLOOKUP(C117,'Data availability'!$A$2:$H$91,8,FALSE)</f>
        <v>Residential</v>
      </c>
      <c r="G117" s="1">
        <v>75508.142857143335</v>
      </c>
      <c r="J117" s="1">
        <v>2435.714285714314</v>
      </c>
      <c r="K117" s="1">
        <v>30211.36904296912</v>
      </c>
      <c r="M117" s="21">
        <f t="shared" si="11"/>
        <v>1.3827637878711292</v>
      </c>
      <c r="N117" s="21">
        <f t="shared" si="12"/>
        <v>0</v>
      </c>
      <c r="O117" s="21">
        <f t="shared" si="13"/>
        <v>1.3072887674375606</v>
      </c>
      <c r="P117" s="21">
        <f t="shared" si="14"/>
        <v>1.9457939035177998</v>
      </c>
      <c r="Z117" s="211" t="b">
        <f>IFERROR(INDEX(Outliers!$X$3:$X$61,MATCH('SkYSPark Data_w Will''s Data'!C117,Outliers!$B$3:$B$61,0)),0)</f>
        <v>0</v>
      </c>
      <c r="AA117" s="1" t="b">
        <f>IFERROR(INDEX(Outliers!$AP$3:$AP$61,MATCH('SkYSPark Data_w Will''s Data'!C117,Outliers!$B$3:$B$61,0)),0)</f>
        <v>0</v>
      </c>
      <c r="AB117" s="112" t="b">
        <f>IFERROR(INDEX(Outliers!$AY$3:$AY$61,MATCH('SkYSPark Data_w Will''s Data'!C117,Outliers!$B$3:$B$61,0)),0)</f>
        <v>0</v>
      </c>
      <c r="AC117" s="112" t="s">
        <v>392</v>
      </c>
    </row>
    <row r="118" spans="1:51" x14ac:dyDescent="0.3">
      <c r="A118" s="2">
        <v>45139</v>
      </c>
      <c r="B118" s="3">
        <f t="shared" si="10"/>
        <v>8</v>
      </c>
      <c r="C118" s="3" t="s">
        <v>133</v>
      </c>
      <c r="D118" s="3" t="str">
        <f>VLOOKUP(C118,'Data availability'!$A$2:$B$91,2,FALSE)</f>
        <v>Main campus</v>
      </c>
      <c r="E118" s="3">
        <v>186318</v>
      </c>
      <c r="F118" s="3" t="str">
        <f>VLOOKUP(C118,'Data availability'!$A$2:$H$91,8,FALSE)</f>
        <v>Residential</v>
      </c>
      <c r="G118" s="1">
        <v>92632.428571428041</v>
      </c>
      <c r="J118" s="1">
        <v>1549.9999999999879</v>
      </c>
      <c r="K118" s="1">
        <v>46773.133613282029</v>
      </c>
      <c r="M118" s="21">
        <f t="shared" si="11"/>
        <v>1.6963570148118405</v>
      </c>
      <c r="N118" s="21">
        <f t="shared" si="12"/>
        <v>0</v>
      </c>
      <c r="O118" s="21">
        <f t="shared" si="13"/>
        <v>0.83191103382388609</v>
      </c>
      <c r="P118" s="21">
        <f t="shared" si="14"/>
        <v>3.0124711695025943</v>
      </c>
      <c r="Z118" s="211" t="b">
        <f>IFERROR(INDEX(Outliers!$X$3:$X$61,MATCH('SkYSPark Data_w Will''s Data'!C118,Outliers!$B$3:$B$61,0)),0)</f>
        <v>0</v>
      </c>
      <c r="AA118" s="1" t="b">
        <f>IFERROR(INDEX(Outliers!$AP$3:$AP$61,MATCH('SkYSPark Data_w Will''s Data'!C118,Outliers!$B$3:$B$61,0)),0)</f>
        <v>0</v>
      </c>
      <c r="AB118" s="112" t="b">
        <f>IFERROR(INDEX(Outliers!$AY$3:$AY$61,MATCH('SkYSPark Data_w Will''s Data'!C118,Outliers!$B$3:$B$61,0)),0)</f>
        <v>0</v>
      </c>
      <c r="AC118" s="112" t="s">
        <v>392</v>
      </c>
    </row>
    <row r="119" spans="1:51" x14ac:dyDescent="0.3">
      <c r="A119" s="2">
        <v>45170</v>
      </c>
      <c r="B119" s="3">
        <f t="shared" si="10"/>
        <v>9</v>
      </c>
      <c r="C119" s="3" t="s">
        <v>133</v>
      </c>
      <c r="D119" s="3" t="str">
        <f>VLOOKUP(C119,'Data availability'!$A$2:$B$91,2,FALSE)</f>
        <v>Main campus</v>
      </c>
      <c r="E119" s="3">
        <v>186318</v>
      </c>
      <c r="F119" s="3" t="str">
        <f>VLOOKUP(C119,'Data availability'!$A$2:$H$91,8,FALSE)</f>
        <v>Residential</v>
      </c>
      <c r="G119" s="1">
        <v>105804.67857142939</v>
      </c>
      <c r="J119" s="1">
        <v>2985.714285714309</v>
      </c>
      <c r="K119" s="1">
        <v>37017.166142578018</v>
      </c>
      <c r="M119" s="21">
        <f t="shared" si="11"/>
        <v>1.9375774927045004</v>
      </c>
      <c r="N119" s="21">
        <f t="shared" si="12"/>
        <v>0</v>
      </c>
      <c r="O119" s="21">
        <f t="shared" si="13"/>
        <v>1.6024830052460359</v>
      </c>
      <c r="P119" s="21">
        <f t="shared" si="14"/>
        <v>2.3841281771537703</v>
      </c>
      <c r="Z119" s="211" t="b">
        <f>IFERROR(INDEX(Outliers!$X$3:$X$61,MATCH('SkYSPark Data_w Will''s Data'!C119,Outliers!$B$3:$B$61,0)),0)</f>
        <v>0</v>
      </c>
      <c r="AA119" s="1" t="b">
        <f>IFERROR(INDEX(Outliers!$AP$3:$AP$61,MATCH('SkYSPark Data_w Will''s Data'!C119,Outliers!$B$3:$B$61,0)),0)</f>
        <v>0</v>
      </c>
      <c r="AB119" s="112" t="b">
        <f>IFERROR(INDEX(Outliers!$AY$3:$AY$61,MATCH('SkYSPark Data_w Will''s Data'!C119,Outliers!$B$3:$B$61,0)),0)</f>
        <v>0</v>
      </c>
      <c r="AC119" s="112" t="s">
        <v>392</v>
      </c>
    </row>
    <row r="120" spans="1:51" x14ac:dyDescent="0.3">
      <c r="A120" s="2">
        <v>45200</v>
      </c>
      <c r="B120" s="3">
        <f t="shared" si="10"/>
        <v>10</v>
      </c>
      <c r="C120" s="3" t="s">
        <v>133</v>
      </c>
      <c r="D120" s="3" t="str">
        <f>VLOOKUP(C120,'Data availability'!$A$2:$B$91,2,FALSE)</f>
        <v>Main campus</v>
      </c>
      <c r="E120" s="3">
        <v>186318</v>
      </c>
      <c r="F120" s="3" t="str">
        <f>VLOOKUP(C120,'Data availability'!$A$2:$H$91,8,FALSE)</f>
        <v>Residential</v>
      </c>
      <c r="G120" s="1">
        <v>112315.8928571415</v>
      </c>
      <c r="J120" s="1">
        <v>4154.2857142856919</v>
      </c>
      <c r="K120" s="1">
        <v>36016.901416015797</v>
      </c>
      <c r="M120" s="21">
        <f t="shared" si="11"/>
        <v>2.0568159084391566</v>
      </c>
      <c r="N120" s="21">
        <f t="shared" si="12"/>
        <v>0</v>
      </c>
      <c r="O120" s="21">
        <f t="shared" si="13"/>
        <v>2.2296749183040245</v>
      </c>
      <c r="P120" s="21">
        <f t="shared" si="14"/>
        <v>2.3197051116488452</v>
      </c>
      <c r="Z120" s="211" t="b">
        <f>IFERROR(INDEX(Outliers!$X$3:$X$61,MATCH('SkYSPark Data_w Will''s Data'!C120,Outliers!$B$3:$B$61,0)),0)</f>
        <v>0</v>
      </c>
      <c r="AA120" s="1" t="b">
        <f>IFERROR(INDEX(Outliers!$AP$3:$AP$61,MATCH('SkYSPark Data_w Will''s Data'!C120,Outliers!$B$3:$B$61,0)),0)</f>
        <v>0</v>
      </c>
      <c r="AB120" s="112" t="b">
        <f>IFERROR(INDEX(Outliers!$AY$3:$AY$61,MATCH('SkYSPark Data_w Will''s Data'!C120,Outliers!$B$3:$B$61,0)),0)</f>
        <v>0</v>
      </c>
      <c r="AC120" s="112" t="s">
        <v>392</v>
      </c>
    </row>
    <row r="121" spans="1:51" x14ac:dyDescent="0.3">
      <c r="A121" s="2">
        <v>45231</v>
      </c>
      <c r="B121" s="3">
        <f t="shared" si="10"/>
        <v>11</v>
      </c>
      <c r="C121" s="3" t="s">
        <v>133</v>
      </c>
      <c r="D121" s="3" t="str">
        <f>VLOOKUP(C121,'Data availability'!$A$2:$B$91,2,FALSE)</f>
        <v>Main campus</v>
      </c>
      <c r="E121" s="3">
        <v>186318</v>
      </c>
      <c r="F121" s="3" t="str">
        <f>VLOOKUP(C121,'Data availability'!$A$2:$H$91,8,FALSE)</f>
        <v>Residential</v>
      </c>
      <c r="G121" s="1">
        <v>104591.8240857513</v>
      </c>
      <c r="J121" s="1">
        <v>7619.1424968474612</v>
      </c>
      <c r="K121" s="1">
        <v>15659.32760605471</v>
      </c>
      <c r="M121" s="21">
        <f t="shared" si="11"/>
        <v>1.9153667588777437</v>
      </c>
      <c r="N121" s="21">
        <f t="shared" si="12"/>
        <v>0</v>
      </c>
      <c r="O121" s="21">
        <f t="shared" si="13"/>
        <v>4.0893217492928553</v>
      </c>
      <c r="P121" s="21">
        <f t="shared" si="14"/>
        <v>1.0085548968572899</v>
      </c>
      <c r="Z121" s="211" t="b">
        <f>IFERROR(INDEX(Outliers!$X$3:$X$61,MATCH('SkYSPark Data_w Will''s Data'!C121,Outliers!$B$3:$B$61,0)),0)</f>
        <v>0</v>
      </c>
      <c r="AA121" s="1" t="b">
        <f>IFERROR(INDEX(Outliers!$AP$3:$AP$61,MATCH('SkYSPark Data_w Will''s Data'!C121,Outliers!$B$3:$B$61,0)),0)</f>
        <v>0</v>
      </c>
      <c r="AB121" s="112" t="b">
        <f>IFERROR(INDEX(Outliers!$AY$3:$AY$61,MATCH('SkYSPark Data_w Will''s Data'!C121,Outliers!$B$3:$B$61,0)),0)</f>
        <v>0</v>
      </c>
      <c r="AC121" s="112" t="s">
        <v>392</v>
      </c>
    </row>
    <row r="122" spans="1:51" s="69" customFormat="1" x14ac:dyDescent="0.3">
      <c r="A122" s="65">
        <v>45261</v>
      </c>
      <c r="B122" s="3">
        <f t="shared" si="10"/>
        <v>12</v>
      </c>
      <c r="C122" s="64" t="s">
        <v>133</v>
      </c>
      <c r="D122" s="64" t="str">
        <f>VLOOKUP(C122,'Data availability'!$A$2:$B$91,2,FALSE)</f>
        <v>Main campus</v>
      </c>
      <c r="E122" s="64">
        <v>186318</v>
      </c>
      <c r="F122" s="3" t="str">
        <f>VLOOKUP(C122,'Data availability'!$A$2:$H$91,8,FALSE)</f>
        <v>Residential</v>
      </c>
      <c r="G122" s="66">
        <v>85979.020741836022</v>
      </c>
      <c r="H122" s="66"/>
      <c r="I122" s="66"/>
      <c r="J122" s="66">
        <v>9431.2023307388827</v>
      </c>
      <c r="K122" s="66">
        <v>8283.1558193221917</v>
      </c>
      <c r="L122" s="67"/>
      <c r="M122" s="21">
        <f t="shared" si="11"/>
        <v>1.5745146404058896</v>
      </c>
      <c r="N122" s="21">
        <f t="shared" si="12"/>
        <v>0</v>
      </c>
      <c r="O122" s="21">
        <f t="shared" si="13"/>
        <v>5.0618846975272822</v>
      </c>
      <c r="P122" s="21">
        <f t="shared" si="14"/>
        <v>0.53348506226916503</v>
      </c>
      <c r="Q122" s="66"/>
      <c r="R122" s="66"/>
      <c r="S122" s="66"/>
      <c r="T122" s="66"/>
      <c r="U122" s="66"/>
      <c r="V122" s="68"/>
      <c r="W122" s="66"/>
      <c r="X122" s="67"/>
      <c r="Y122" s="66"/>
      <c r="Z122" s="211" t="b">
        <f>IFERROR(INDEX(Outliers!$X$3:$X$61,MATCH('SkYSPark Data_w Will''s Data'!C122,Outliers!$B$3:$B$61,0)),0)</f>
        <v>0</v>
      </c>
      <c r="AA122" s="1" t="b">
        <f>IFERROR(INDEX(Outliers!$AP$3:$AP$61,MATCH('SkYSPark Data_w Will''s Data'!C122,Outliers!$B$3:$B$61,0)),0)</f>
        <v>0</v>
      </c>
      <c r="AB122" s="112" t="b">
        <f>IFERROR(INDEX(Outliers!$AY$3:$AY$61,MATCH('SkYSPark Data_w Will''s Data'!C122,Outliers!$B$3:$B$61,0)),0)</f>
        <v>0</v>
      </c>
      <c r="AC122" s="112" t="s">
        <v>392</v>
      </c>
      <c r="AD122" s="134"/>
      <c r="AE122" s="134"/>
      <c r="AF122" s="134"/>
    </row>
    <row r="123" spans="1:51" x14ac:dyDescent="0.3">
      <c r="A123" s="2">
        <v>44927</v>
      </c>
      <c r="B123" s="3">
        <f t="shared" si="10"/>
        <v>1</v>
      </c>
      <c r="C123" s="3" t="s">
        <v>135</v>
      </c>
      <c r="D123" s="3" t="str">
        <f>VLOOKUP(C123,'Data availability'!$A$2:$B$91,2,FALSE)</f>
        <v>South campus</v>
      </c>
      <c r="E123" s="3">
        <v>11541</v>
      </c>
      <c r="F123" s="3" t="str">
        <f>VLOOKUP(C123,'Data availability'!$A$2:$H$91,8,FALSE)</f>
        <v>Outdoor Athletics</v>
      </c>
      <c r="G123" s="1" cm="1">
        <f t="array" ref="G123">_xlfn._xlws.FILTER('Split meters'!$AD$35:$AD$106,('Split meters'!$A$35:$A$106='SkYSPark Data_w Will''s Data'!B123)*('Split meters'!$B$35:$B$106='SkYSPark Data_w Will''s Data'!C123))</f>
        <v>33373.051394976494</v>
      </c>
      <c r="M123" s="21">
        <f t="shared" si="11"/>
        <v>9.8664631626080741</v>
      </c>
      <c r="N123" s="21">
        <f t="shared" si="12"/>
        <v>0</v>
      </c>
      <c r="O123" s="21">
        <f t="shared" si="13"/>
        <v>0</v>
      </c>
      <c r="P123" s="21">
        <f t="shared" si="14"/>
        <v>0</v>
      </c>
      <c r="Q123" s="1">
        <f>(SUM(G123:G134)*3.412)/E123</f>
        <v>165.44978454007742</v>
      </c>
      <c r="V123" s="33">
        <f>SUM(Q123:T123)</f>
        <v>165.44978454007742</v>
      </c>
      <c r="W123" s="25" t="s">
        <v>21</v>
      </c>
      <c r="X123" s="23" t="s">
        <v>271</v>
      </c>
      <c r="Y123" s="1" t="s">
        <v>446</v>
      </c>
      <c r="Z123" s="211" t="b">
        <f>IFERROR(INDEX(Outliers!$X$3:$X$61,MATCH('SkYSPark Data_w Will''s Data'!C123,Outliers!$B$3:$B$61,0)),0)</f>
        <v>0</v>
      </c>
      <c r="AA123" s="1" t="b">
        <f>IFERROR(INDEX(Outliers!$AP$3:$AP$61,MATCH('SkYSPark Data_w Will''s Data'!C123,Outliers!$B$3:$B$61,0)),0)</f>
        <v>1</v>
      </c>
      <c r="AB123" s="112" t="b">
        <f>IFERROR(INDEX(Outliers!$AY$3:$AY$61,MATCH('SkYSPark Data_w Will''s Data'!C123,Outliers!$B$3:$B$61,0)),0)</f>
        <v>1</v>
      </c>
      <c r="AD123" s="112" t="s">
        <v>568</v>
      </c>
      <c r="AF123" s="112" t="s">
        <v>553</v>
      </c>
      <c r="AG123">
        <v>1.54599859810382</v>
      </c>
      <c r="AX123">
        <v>3.426944878020548</v>
      </c>
      <c r="AY123">
        <v>4433.2526881720532</v>
      </c>
    </row>
    <row r="124" spans="1:51" x14ac:dyDescent="0.3">
      <c r="A124" s="2">
        <v>44958</v>
      </c>
      <c r="B124" s="3">
        <f t="shared" si="10"/>
        <v>2</v>
      </c>
      <c r="C124" s="3" t="s">
        <v>135</v>
      </c>
      <c r="D124" s="3" t="str">
        <f>VLOOKUP(C124,'Data availability'!$A$2:$B$91,2,FALSE)</f>
        <v>South campus</v>
      </c>
      <c r="E124" s="3">
        <v>11541</v>
      </c>
      <c r="F124" s="3" t="str">
        <f>VLOOKUP(C124,'Data availability'!$A$2:$H$91,8,FALSE)</f>
        <v>Outdoor Athletics</v>
      </c>
      <c r="G124" s="1" cm="1">
        <f t="array" ref="G124">_xlfn._xlws.FILTER('Split meters'!$AD$35:$AD$106,('Split meters'!$A$35:$A$106='SkYSPark Data_w Will''s Data'!B124)*('Split meters'!$B$35:$B$106='SkYSPark Data_w Will''s Data'!C124))</f>
        <v>58734.084463035171</v>
      </c>
      <c r="M124" s="21">
        <f t="shared" si="11"/>
        <v>17.364240203437831</v>
      </c>
      <c r="N124" s="21">
        <f t="shared" si="12"/>
        <v>0</v>
      </c>
      <c r="O124" s="21">
        <f t="shared" si="13"/>
        <v>0</v>
      </c>
      <c r="P124" s="21">
        <f t="shared" si="14"/>
        <v>0</v>
      </c>
      <c r="W124" s="25" t="s">
        <v>23</v>
      </c>
      <c r="Z124" s="211" t="b">
        <f>IFERROR(INDEX(Outliers!$X$3:$X$61,MATCH('SkYSPark Data_w Will''s Data'!C124,Outliers!$B$3:$B$61,0)),0)</f>
        <v>0</v>
      </c>
      <c r="AA124" s="1" t="b">
        <f>IFERROR(INDEX(Outliers!$AP$3:$AP$61,MATCH('SkYSPark Data_w Will''s Data'!C124,Outliers!$B$3:$B$61,0)),0)</f>
        <v>1</v>
      </c>
      <c r="AB124" s="112" t="b">
        <f>IFERROR(INDEX(Outliers!$AY$3:$AY$61,MATCH('SkYSPark Data_w Will''s Data'!C124,Outliers!$B$3:$B$61,0)),0)</f>
        <v>1</v>
      </c>
      <c r="AG124">
        <v>2.9592976830517581</v>
      </c>
      <c r="AX124">
        <v>4.2035268017152996</v>
      </c>
      <c r="AY124">
        <v>7377.7139784945584</v>
      </c>
    </row>
    <row r="125" spans="1:51" x14ac:dyDescent="0.3">
      <c r="A125" s="2">
        <v>44986</v>
      </c>
      <c r="B125" s="3">
        <f t="shared" si="10"/>
        <v>3</v>
      </c>
      <c r="C125" s="3" t="s">
        <v>135</v>
      </c>
      <c r="D125" s="3" t="str">
        <f>VLOOKUP(C125,'Data availability'!$A$2:$B$91,2,FALSE)</f>
        <v>South campus</v>
      </c>
      <c r="E125" s="3">
        <v>11541</v>
      </c>
      <c r="F125" s="3" t="str">
        <f>VLOOKUP(C125,'Data availability'!$A$2:$H$91,8,FALSE)</f>
        <v>Outdoor Athletics</v>
      </c>
      <c r="G125" s="1" cm="1">
        <f t="array" ref="G125">_xlfn._xlws.FILTER('Split meters'!$AD$35:$AD$106,('Split meters'!$A$35:$A$106='SkYSPark Data_w Will''s Data'!B125)*('Split meters'!$B$35:$B$106='SkYSPark Data_w Will''s Data'!C125))</f>
        <v>52268.240810927979</v>
      </c>
      <c r="M125" s="21">
        <f t="shared" si="11"/>
        <v>15.452667675841457</v>
      </c>
      <c r="N125" s="21">
        <f t="shared" si="12"/>
        <v>0</v>
      </c>
      <c r="O125" s="21">
        <f t="shared" si="13"/>
        <v>0</v>
      </c>
      <c r="P125" s="21">
        <f t="shared" si="14"/>
        <v>0</v>
      </c>
      <c r="W125" s="25" t="s">
        <v>24</v>
      </c>
      <c r="Z125" s="211" t="b">
        <f>IFERROR(INDEX(Outliers!$X$3:$X$61,MATCH('SkYSPark Data_w Will''s Data'!C125,Outliers!$B$3:$B$61,0)),0)</f>
        <v>0</v>
      </c>
      <c r="AA125" s="1" t="b">
        <f>IFERROR(INDEX(Outliers!$AP$3:$AP$61,MATCH('SkYSPark Data_w Will''s Data'!C125,Outliers!$B$3:$B$61,0)),0)</f>
        <v>1</v>
      </c>
      <c r="AB125" s="112" t="b">
        <f>IFERROR(INDEX(Outliers!$AY$3:$AY$61,MATCH('SkYSPark Data_w Will''s Data'!C125,Outliers!$B$3:$B$61,0)),0)</f>
        <v>1</v>
      </c>
      <c r="AG125">
        <v>1.793250798015686</v>
      </c>
      <c r="AX125">
        <v>4.4224066700878124</v>
      </c>
      <c r="AY125">
        <v>6828.8378896882268</v>
      </c>
    </row>
    <row r="126" spans="1:51" x14ac:dyDescent="0.3">
      <c r="A126" s="2">
        <v>45017</v>
      </c>
      <c r="B126" s="3">
        <f t="shared" si="10"/>
        <v>4</v>
      </c>
      <c r="C126" s="3" t="s">
        <v>135</v>
      </c>
      <c r="D126" s="3" t="str">
        <f>VLOOKUP(C126,'Data availability'!$A$2:$B$91,2,FALSE)</f>
        <v>South campus</v>
      </c>
      <c r="E126" s="3">
        <v>11541</v>
      </c>
      <c r="F126" s="3" t="str">
        <f>VLOOKUP(C126,'Data availability'!$A$2:$H$91,8,FALSE)</f>
        <v>Outdoor Athletics</v>
      </c>
      <c r="G126" s="1" cm="1">
        <f t="array" ref="G126">_xlfn._xlws.FILTER('Split meters'!$AD$35:$AD$106,('Split meters'!$A$35:$A$106='SkYSPark Data_w Will''s Data'!B126)*('Split meters'!$B$35:$B$106='SkYSPark Data_w Will''s Data'!C126))</f>
        <v>49176.753545810891</v>
      </c>
      <c r="M126" s="21">
        <f t="shared" si="11"/>
        <v>14.5386953555417</v>
      </c>
      <c r="N126" s="21">
        <f t="shared" si="12"/>
        <v>0</v>
      </c>
      <c r="O126" s="21">
        <f t="shared" si="13"/>
        <v>0</v>
      </c>
      <c r="P126" s="21">
        <f t="shared" si="14"/>
        <v>0</v>
      </c>
      <c r="W126" s="25" t="s">
        <v>25</v>
      </c>
      <c r="Z126" s="211" t="b">
        <f>IFERROR(INDEX(Outliers!$X$3:$X$61,MATCH('SkYSPark Data_w Will''s Data'!C126,Outliers!$B$3:$B$61,0)),0)</f>
        <v>0</v>
      </c>
      <c r="AA126" s="1" t="b">
        <f>IFERROR(INDEX(Outliers!$AP$3:$AP$61,MATCH('SkYSPark Data_w Will''s Data'!C126,Outliers!$B$3:$B$61,0)),0)</f>
        <v>1</v>
      </c>
      <c r="AB126" s="112" t="b">
        <f>IFERROR(INDEX(Outliers!$AY$3:$AY$61,MATCH('SkYSPark Data_w Will''s Data'!C126,Outliers!$B$3:$B$61,0)),0)</f>
        <v>1</v>
      </c>
      <c r="AG126">
        <v>1.1197365607514069</v>
      </c>
      <c r="AX126">
        <v>3.532745587904679</v>
      </c>
      <c r="AY126">
        <v>-570.97122302158493</v>
      </c>
    </row>
    <row r="127" spans="1:51" x14ac:dyDescent="0.3">
      <c r="A127" s="2">
        <v>45047</v>
      </c>
      <c r="B127" s="3">
        <f t="shared" si="10"/>
        <v>5</v>
      </c>
      <c r="C127" s="3" t="s">
        <v>135</v>
      </c>
      <c r="D127" s="3" t="str">
        <f>VLOOKUP(C127,'Data availability'!$A$2:$B$91,2,FALSE)</f>
        <v>South campus</v>
      </c>
      <c r="E127" s="3">
        <v>11541</v>
      </c>
      <c r="F127" s="3" t="str">
        <f>VLOOKUP(C127,'Data availability'!$A$2:$H$91,8,FALSE)</f>
        <v>Outdoor Athletics</v>
      </c>
      <c r="G127" s="1" cm="1">
        <f t="array" ref="G127">_xlfn._xlws.FILTER('Split meters'!$AD$35:$AD$106,('Split meters'!$A$35:$A$106='SkYSPark Data_w Will''s Data'!B127)*('Split meters'!$B$35:$B$106='SkYSPark Data_w Will''s Data'!C127))</f>
        <v>43333.824243699033</v>
      </c>
      <c r="M127" s="21">
        <f t="shared" si="11"/>
        <v>12.811282238930863</v>
      </c>
      <c r="N127" s="21">
        <f t="shared" si="12"/>
        <v>0</v>
      </c>
      <c r="O127" s="21">
        <f t="shared" si="13"/>
        <v>0</v>
      </c>
      <c r="P127" s="21">
        <f t="shared" si="14"/>
        <v>0</v>
      </c>
      <c r="W127" s="25" t="s">
        <v>269</v>
      </c>
      <c r="Z127" s="211" t="b">
        <f>IFERROR(INDEX(Outliers!$X$3:$X$61,MATCH('SkYSPark Data_w Will''s Data'!C127,Outliers!$B$3:$B$61,0)),0)</f>
        <v>0</v>
      </c>
      <c r="AA127" s="1" t="b">
        <f>IFERROR(INDEX(Outliers!$AP$3:$AP$61,MATCH('SkYSPark Data_w Will''s Data'!C127,Outliers!$B$3:$B$61,0)),0)</f>
        <v>1</v>
      </c>
      <c r="AB127" s="112" t="b">
        <f>IFERROR(INDEX(Outliers!$AY$3:$AY$61,MATCH('SkYSPark Data_w Will''s Data'!C127,Outliers!$B$3:$B$61,0)),0)</f>
        <v>1</v>
      </c>
      <c r="AG127">
        <v>0.9705255376344013</v>
      </c>
      <c r="AX127">
        <v>0.83594282485691207</v>
      </c>
      <c r="AY127">
        <v>-6701.9032258063453</v>
      </c>
    </row>
    <row r="128" spans="1:51" x14ac:dyDescent="0.3">
      <c r="A128" s="2">
        <v>45078</v>
      </c>
      <c r="B128" s="3">
        <f t="shared" si="10"/>
        <v>6</v>
      </c>
      <c r="C128" s="3" t="s">
        <v>135</v>
      </c>
      <c r="D128" s="3" t="str">
        <f>VLOOKUP(C128,'Data availability'!$A$2:$B$91,2,FALSE)</f>
        <v>South campus</v>
      </c>
      <c r="E128" s="3">
        <v>11541</v>
      </c>
      <c r="F128" s="3" t="str">
        <f>VLOOKUP(C128,'Data availability'!$A$2:$H$91,8,FALSE)</f>
        <v>Outdoor Athletics</v>
      </c>
      <c r="G128" s="1" cm="1">
        <f t="array" ref="G128">_xlfn._xlws.FILTER('Split meters'!$AD$35:$AD$106,('Split meters'!$A$35:$A$106='SkYSPark Data_w Will''s Data'!B128)*('Split meters'!$B$35:$B$106='SkYSPark Data_w Will''s Data'!C128))</f>
        <v>46863.885944507805</v>
      </c>
      <c r="M128" s="21">
        <f t="shared" si="11"/>
        <v>13.854915418305227</v>
      </c>
      <c r="N128" s="21">
        <f t="shared" si="12"/>
        <v>0</v>
      </c>
      <c r="O128" s="21">
        <f t="shared" si="13"/>
        <v>0</v>
      </c>
      <c r="P128" s="21">
        <f t="shared" si="14"/>
        <v>0</v>
      </c>
      <c r="W128" s="25" t="s">
        <v>270</v>
      </c>
      <c r="Z128" s="211" t="b">
        <f>IFERROR(INDEX(Outliers!$X$3:$X$61,MATCH('SkYSPark Data_w Will''s Data'!C128,Outliers!$B$3:$B$61,0)),0)</f>
        <v>0</v>
      </c>
      <c r="AA128" s="1" t="b">
        <f>IFERROR(INDEX(Outliers!$AP$3:$AP$61,MATCH('SkYSPark Data_w Will''s Data'!C128,Outliers!$B$3:$B$61,0)),0)</f>
        <v>1</v>
      </c>
      <c r="AB128" s="112" t="b">
        <f>IFERROR(INDEX(Outliers!$AY$3:$AY$61,MATCH('SkYSPark Data_w Will''s Data'!C128,Outliers!$B$3:$B$61,0)),0)</f>
        <v>1</v>
      </c>
      <c r="AG128">
        <v>0.89413939393939745</v>
      </c>
      <c r="AX128">
        <v>1.505750140008965</v>
      </c>
      <c r="AY128">
        <v>-6766.784274193491</v>
      </c>
    </row>
    <row r="129" spans="1:51" x14ac:dyDescent="0.3">
      <c r="A129" s="2">
        <v>45108</v>
      </c>
      <c r="B129" s="3">
        <f t="shared" si="10"/>
        <v>7</v>
      </c>
      <c r="C129" s="3" t="s">
        <v>135</v>
      </c>
      <c r="D129" s="3" t="str">
        <f>VLOOKUP(C129,'Data availability'!$A$2:$B$91,2,FALSE)</f>
        <v>South campus</v>
      </c>
      <c r="E129" s="3">
        <v>11541</v>
      </c>
      <c r="F129" s="3" t="str">
        <f>VLOOKUP(C129,'Data availability'!$A$2:$H$91,8,FALSE)</f>
        <v>Outdoor Athletics</v>
      </c>
      <c r="G129" s="1" cm="1">
        <f t="array" ref="G129">_xlfn._xlws.FILTER('Split meters'!$AD$35:$AD$106,('Split meters'!$A$35:$A$106='SkYSPark Data_w Will''s Data'!B129)*('Split meters'!$B$35:$B$106='SkYSPark Data_w Will''s Data'!C129))</f>
        <v>48633.129279042027</v>
      </c>
      <c r="M129" s="21">
        <f t="shared" si="11"/>
        <v>14.377977393647985</v>
      </c>
      <c r="N129" s="21">
        <f t="shared" si="12"/>
        <v>0</v>
      </c>
      <c r="O129" s="21">
        <f t="shared" si="13"/>
        <v>0</v>
      </c>
      <c r="P129" s="21">
        <f t="shared" si="14"/>
        <v>0</v>
      </c>
      <c r="Z129" s="211" t="b">
        <f>IFERROR(INDEX(Outliers!$X$3:$X$61,MATCH('SkYSPark Data_w Will''s Data'!C129,Outliers!$B$3:$B$61,0)),0)</f>
        <v>0</v>
      </c>
      <c r="AA129" s="1" t="b">
        <f>IFERROR(INDEX(Outliers!$AP$3:$AP$61,MATCH('SkYSPark Data_w Will''s Data'!C129,Outliers!$B$3:$B$61,0)),0)</f>
        <v>1</v>
      </c>
      <c r="AB129" s="112" t="b">
        <f>IFERROR(INDEX(Outliers!$AY$3:$AY$61,MATCH('SkYSPark Data_w Will''s Data'!C129,Outliers!$B$3:$B$61,0)),0)</f>
        <v>1</v>
      </c>
      <c r="AG129">
        <v>1.335310319546992</v>
      </c>
      <c r="AX129">
        <v>2.4850352532906741</v>
      </c>
      <c r="AY129">
        <v>-4099.9331896550657</v>
      </c>
    </row>
    <row r="130" spans="1:51" x14ac:dyDescent="0.3">
      <c r="A130" s="2">
        <v>45139</v>
      </c>
      <c r="B130" s="3">
        <f t="shared" si="10"/>
        <v>8</v>
      </c>
      <c r="C130" s="3" t="s">
        <v>135</v>
      </c>
      <c r="D130" s="3" t="str">
        <f>VLOOKUP(C130,'Data availability'!$A$2:$B$91,2,FALSE)</f>
        <v>South campus</v>
      </c>
      <c r="E130" s="3">
        <v>11541</v>
      </c>
      <c r="F130" s="3" t="str">
        <f>VLOOKUP(C130,'Data availability'!$A$2:$H$91,8,FALSE)</f>
        <v>Outdoor Athletics</v>
      </c>
      <c r="G130" s="1" cm="1">
        <f t="array" ref="G130">_xlfn._xlws.FILTER('Split meters'!$AD$35:$AD$106,('Split meters'!$A$35:$A$106='SkYSPark Data_w Will''s Data'!B130)*('Split meters'!$B$35:$B$106='SkYSPark Data_w Will''s Data'!C130))</f>
        <v>56756.216060427156</v>
      </c>
      <c r="M130" s="21">
        <f t="shared" si="11"/>
        <v>16.779499973847798</v>
      </c>
      <c r="N130" s="21">
        <f t="shared" si="12"/>
        <v>0</v>
      </c>
      <c r="O130" s="21">
        <f t="shared" si="13"/>
        <v>0</v>
      </c>
      <c r="P130" s="21">
        <f t="shared" si="14"/>
        <v>0</v>
      </c>
      <c r="Z130" s="211" t="b">
        <f>IFERROR(INDEX(Outliers!$X$3:$X$61,MATCH('SkYSPark Data_w Will''s Data'!C130,Outliers!$B$3:$B$61,0)),0)</f>
        <v>0</v>
      </c>
      <c r="AA130" s="1" t="b">
        <f>IFERROR(INDEX(Outliers!$AP$3:$AP$61,MATCH('SkYSPark Data_w Will''s Data'!C130,Outliers!$B$3:$B$61,0)),0)</f>
        <v>1</v>
      </c>
      <c r="AB130" s="112" t="b">
        <f>IFERROR(INDEX(Outliers!$AY$3:$AY$61,MATCH('SkYSPark Data_w Will''s Data'!C130,Outliers!$B$3:$B$61,0)),0)</f>
        <v>1</v>
      </c>
      <c r="AG130">
        <v>2.352635428253584</v>
      </c>
      <c r="AX130">
        <v>3.3413399147200509</v>
      </c>
      <c r="AY130">
        <v>3869.0206896551308</v>
      </c>
    </row>
    <row r="131" spans="1:51" x14ac:dyDescent="0.3">
      <c r="A131" s="2">
        <v>45170</v>
      </c>
      <c r="B131" s="3">
        <f t="shared" si="10"/>
        <v>9</v>
      </c>
      <c r="C131" s="3" t="s">
        <v>135</v>
      </c>
      <c r="D131" s="3" t="str">
        <f>VLOOKUP(C131,'Data availability'!$A$2:$B$91,2,FALSE)</f>
        <v>South campus</v>
      </c>
      <c r="E131" s="3">
        <v>11541</v>
      </c>
      <c r="F131" s="3" t="str">
        <f>VLOOKUP(C131,'Data availability'!$A$2:$H$91,8,FALSE)</f>
        <v>Outdoor Athletics</v>
      </c>
      <c r="G131" s="1" cm="1">
        <f t="array" ref="G131">_xlfn._xlws.FILTER('Split meters'!$AD$35:$AD$106,('Split meters'!$A$35:$A$106='SkYSPark Data_w Will''s Data'!B131)*('Split meters'!$B$35:$B$106='SkYSPark Data_w Will''s Data'!C131))</f>
        <v>48667.417890573764</v>
      </c>
      <c r="M131" s="21">
        <f t="shared" si="11"/>
        <v>14.388114534497678</v>
      </c>
      <c r="N131" s="21">
        <f t="shared" si="12"/>
        <v>0</v>
      </c>
      <c r="O131" s="21">
        <f t="shared" si="13"/>
        <v>0</v>
      </c>
      <c r="P131" s="21">
        <f t="shared" si="14"/>
        <v>0</v>
      </c>
      <c r="Z131" s="211" t="b">
        <f>IFERROR(INDEX(Outliers!$X$3:$X$61,MATCH('SkYSPark Data_w Will''s Data'!C131,Outliers!$B$3:$B$61,0)),0)</f>
        <v>0</v>
      </c>
      <c r="AA131" s="1" t="b">
        <f>IFERROR(INDEX(Outliers!$AP$3:$AP$61,MATCH('SkYSPark Data_w Will''s Data'!C131,Outliers!$B$3:$B$61,0)),0)</f>
        <v>1</v>
      </c>
      <c r="AB131" s="112" t="b">
        <f>IFERROR(INDEX(Outliers!$AY$3:$AY$61,MATCH('SkYSPark Data_w Will''s Data'!C131,Outliers!$B$3:$B$61,0)),0)</f>
        <v>1</v>
      </c>
      <c r="AG131">
        <v>2.4762458333333419</v>
      </c>
      <c r="AX131">
        <v>3.7394166666666679</v>
      </c>
      <c r="AY131">
        <v>5431.8500000000204</v>
      </c>
    </row>
    <row r="132" spans="1:51" x14ac:dyDescent="0.3">
      <c r="A132" s="2">
        <v>45200</v>
      </c>
      <c r="B132" s="3">
        <f t="shared" si="10"/>
        <v>10</v>
      </c>
      <c r="C132" s="3" t="s">
        <v>135</v>
      </c>
      <c r="D132" s="3" t="str">
        <f>VLOOKUP(C132,'Data availability'!$A$2:$B$91,2,FALSE)</f>
        <v>South campus</v>
      </c>
      <c r="E132" s="3">
        <v>11541</v>
      </c>
      <c r="F132" s="3" t="str">
        <f>VLOOKUP(C132,'Data availability'!$A$2:$H$91,8,FALSE)</f>
        <v>Outdoor Athletics</v>
      </c>
      <c r="G132" s="1" cm="1">
        <f t="array" ref="G132">_xlfn._xlws.FILTER('Split meters'!$AD$35:$AD$106,('Split meters'!$A$35:$A$106='SkYSPark Data_w Will''s Data'!B132)*('Split meters'!$B$35:$B$106='SkYSPark Data_w Will''s Data'!C132))</f>
        <v>48269.033451170006</v>
      </c>
      <c r="M132" s="21">
        <f t="shared" si="11"/>
        <v>14.270335511254835</v>
      </c>
      <c r="N132" s="21">
        <f t="shared" si="12"/>
        <v>0</v>
      </c>
      <c r="O132" s="21">
        <f t="shared" si="13"/>
        <v>0</v>
      </c>
      <c r="P132" s="21">
        <f t="shared" si="14"/>
        <v>0</v>
      </c>
      <c r="Z132" s="211" t="b">
        <f>IFERROR(INDEX(Outliers!$X$3:$X$61,MATCH('SkYSPark Data_w Will''s Data'!C132,Outliers!$B$3:$B$61,0)),0)</f>
        <v>0</v>
      </c>
      <c r="AA132" s="1" t="b">
        <f>IFERROR(INDEX(Outliers!$AP$3:$AP$61,MATCH('SkYSPark Data_w Will''s Data'!C132,Outliers!$B$3:$B$61,0)),0)</f>
        <v>1</v>
      </c>
      <c r="AB132" s="112" t="b">
        <f>IFERROR(INDEX(Outliers!$AY$3:$AY$61,MATCH('SkYSPark Data_w Will''s Data'!C132,Outliers!$B$3:$B$61,0)),0)</f>
        <v>1</v>
      </c>
      <c r="AG132">
        <v>2.3655290627265622</v>
      </c>
      <c r="AX132">
        <v>3.825489135465312</v>
      </c>
      <c r="AY132">
        <v>6215.8059540889972</v>
      </c>
    </row>
    <row r="133" spans="1:51" x14ac:dyDescent="0.3">
      <c r="A133" s="2">
        <v>45231</v>
      </c>
      <c r="B133" s="3">
        <f t="shared" si="10"/>
        <v>11</v>
      </c>
      <c r="C133" s="3" t="s">
        <v>135</v>
      </c>
      <c r="D133" s="3" t="str">
        <f>VLOOKUP(C133,'Data availability'!$A$2:$B$91,2,FALSE)</f>
        <v>South campus</v>
      </c>
      <c r="E133" s="3">
        <v>11541</v>
      </c>
      <c r="F133" s="3" t="str">
        <f>VLOOKUP(C133,'Data availability'!$A$2:$H$91,8,FALSE)</f>
        <v>Outdoor Athletics</v>
      </c>
      <c r="G133" s="1" cm="1">
        <f t="array" ref="G133">_xlfn._xlws.FILTER('Split meters'!$AD$35:$AD$106,('Split meters'!$A$35:$A$106='SkYSPark Data_w Will''s Data'!B133)*('Split meters'!$B$35:$B$106='SkYSPark Data_w Will''s Data'!C133))</f>
        <v>41400.322097213895</v>
      </c>
      <c r="M133" s="21">
        <f t="shared" si="11"/>
        <v>12.23965852141875</v>
      </c>
      <c r="N133" s="21">
        <f t="shared" si="12"/>
        <v>0</v>
      </c>
      <c r="O133" s="21">
        <f t="shared" si="13"/>
        <v>0</v>
      </c>
      <c r="P133" s="21">
        <f t="shared" si="14"/>
        <v>0</v>
      </c>
      <c r="Z133" s="211" t="b">
        <f>IFERROR(INDEX(Outliers!$X$3:$X$61,MATCH('SkYSPark Data_w Will''s Data'!C133,Outliers!$B$3:$B$61,0)),0)</f>
        <v>0</v>
      </c>
      <c r="AA133" s="1" t="b">
        <f>IFERROR(INDEX(Outliers!$AP$3:$AP$61,MATCH('SkYSPark Data_w Will''s Data'!C133,Outliers!$B$3:$B$61,0)),0)</f>
        <v>1</v>
      </c>
      <c r="AB133" s="112" t="b">
        <f>IFERROR(INDEX(Outliers!$AY$3:$AY$61,MATCH('SkYSPark Data_w Will''s Data'!C133,Outliers!$B$3:$B$61,0)),0)</f>
        <v>1</v>
      </c>
      <c r="AG133">
        <v>2.257964417577452</v>
      </c>
      <c r="AX133">
        <v>4.0288997619626734</v>
      </c>
      <c r="AY133">
        <v>7770.2343684916132</v>
      </c>
    </row>
    <row r="134" spans="1:51" s="69" customFormat="1" x14ac:dyDescent="0.3">
      <c r="A134" s="65">
        <v>45261</v>
      </c>
      <c r="B134" s="3">
        <f t="shared" si="10"/>
        <v>12</v>
      </c>
      <c r="C134" s="64" t="s">
        <v>135</v>
      </c>
      <c r="D134" s="64" t="str">
        <f>VLOOKUP(C134,'Data availability'!$A$2:$B$91,2,FALSE)</f>
        <v>South campus</v>
      </c>
      <c r="E134" s="64">
        <v>11541</v>
      </c>
      <c r="F134" s="3" t="str">
        <f>VLOOKUP(C134,'Data availability'!$A$2:$H$91,8,FALSE)</f>
        <v>Outdoor Athletics</v>
      </c>
      <c r="G134" s="1" cm="1">
        <f t="array" ref="G134">_xlfn._xlws.FILTER('Split meters'!$AD$35:$AD$106,('Split meters'!$A$35:$A$106='SkYSPark Data_w Will''s Data'!B134)*('Split meters'!$B$35:$B$106='SkYSPark Data_w Will''s Data'!C134))</f>
        <v>32153.572875190595</v>
      </c>
      <c r="H134" s="66"/>
      <c r="I134" s="66"/>
      <c r="J134" s="66"/>
      <c r="K134" s="66"/>
      <c r="L134" s="67"/>
      <c r="M134" s="21">
        <f t="shared" si="11"/>
        <v>9.5059345507451969</v>
      </c>
      <c r="N134" s="21">
        <f t="shared" si="12"/>
        <v>0</v>
      </c>
      <c r="O134" s="21">
        <f t="shared" si="13"/>
        <v>0</v>
      </c>
      <c r="P134" s="21">
        <f t="shared" si="14"/>
        <v>0</v>
      </c>
      <c r="Q134" s="66"/>
      <c r="R134" s="66"/>
      <c r="S134" s="66"/>
      <c r="T134" s="66"/>
      <c r="U134" s="66"/>
      <c r="V134" s="68"/>
      <c r="W134" s="66"/>
      <c r="X134" s="67"/>
      <c r="Y134" s="66"/>
      <c r="Z134" s="211" t="b">
        <f>IFERROR(INDEX(Outliers!$X$3:$X$61,MATCH('SkYSPark Data_w Will''s Data'!C134,Outliers!$B$3:$B$61,0)),0)</f>
        <v>0</v>
      </c>
      <c r="AA134" s="1" t="b">
        <f>IFERROR(INDEX(Outliers!$AP$3:$AP$61,MATCH('SkYSPark Data_w Will''s Data'!C134,Outliers!$B$3:$B$61,0)),0)</f>
        <v>1</v>
      </c>
      <c r="AB134" s="112" t="b">
        <f>IFERROR(INDEX(Outliers!$AY$3:$AY$61,MATCH('SkYSPark Data_w Will''s Data'!C134,Outliers!$B$3:$B$61,0)),0)</f>
        <v>1</v>
      </c>
      <c r="AC134" s="112"/>
      <c r="AD134" s="134"/>
      <c r="AE134" s="134"/>
      <c r="AF134" s="134"/>
      <c r="AG134" s="69">
        <v>1.733443895248026</v>
      </c>
      <c r="AX134" s="69">
        <v>2.9390998959417858</v>
      </c>
      <c r="AY134" s="69">
        <v>4584.6129032257322</v>
      </c>
    </row>
    <row r="135" spans="1:51" x14ac:dyDescent="0.3">
      <c r="A135" s="2">
        <v>44927</v>
      </c>
      <c r="B135" s="3">
        <f t="shared" si="10"/>
        <v>1</v>
      </c>
      <c r="C135" s="3" t="s">
        <v>137</v>
      </c>
      <c r="D135" s="3" t="str">
        <f>VLOOKUP(C135,'Data availability'!$A$2:$B$91,2,FALSE)</f>
        <v>Main campus</v>
      </c>
      <c r="E135" s="3">
        <v>33407</v>
      </c>
      <c r="F135" s="3" t="str">
        <f>VLOOKUP(C135,'Data availability'!$A$2:$H$91,8,FALSE)</f>
        <v>Academic</v>
      </c>
      <c r="G135" s="1">
        <v>22429.43103448267</v>
      </c>
      <c r="I135" s="1">
        <v>12.706171631813049</v>
      </c>
      <c r="J135" s="1">
        <v>797.56835937499443</v>
      </c>
      <c r="K135" s="1">
        <v>1408.6126097791021</v>
      </c>
      <c r="M135" s="21">
        <f t="shared" si="11"/>
        <v>2.2908138620545055</v>
      </c>
      <c r="N135" s="21">
        <f t="shared" si="12"/>
        <v>3.8034458741620168E-2</v>
      </c>
      <c r="O135" s="21">
        <f t="shared" si="13"/>
        <v>2.3874288603436238</v>
      </c>
      <c r="P135" s="21">
        <f t="shared" si="14"/>
        <v>0.50598231859637877</v>
      </c>
      <c r="Q135" s="1">
        <f>(SUM(G135:G146)*3.412)/E135</f>
        <v>31.007827514984893</v>
      </c>
      <c r="R135" s="1">
        <f>(SUM(I135:I146)*100)/E135</f>
        <v>0.80855948270146916</v>
      </c>
      <c r="S135" s="1">
        <f>(SUM(J135:J146)*100)/E135</f>
        <v>29.644690648537434</v>
      </c>
      <c r="T135" s="1">
        <f>(SUM(K135:K146)*12)/E135</f>
        <v>41.719078883377627</v>
      </c>
      <c r="V135" s="33">
        <f>SUM(Q135:T135)</f>
        <v>103.18015652960142</v>
      </c>
      <c r="W135" s="10" t="s">
        <v>272</v>
      </c>
      <c r="Y135" s="1" t="s">
        <v>675</v>
      </c>
      <c r="Z135" s="211" t="b">
        <f>IFERROR(INDEX(Outliers!$X$3:$X$61,MATCH('SkYSPark Data_w Will''s Data'!C135,Outliers!$B$3:$B$61,0)),0)</f>
        <v>0</v>
      </c>
      <c r="AA135" s="1" t="b">
        <f>IFERROR(INDEX(Outliers!$AP$3:$AP$61,MATCH('SkYSPark Data_w Will''s Data'!C135,Outliers!$B$3:$B$61,0)),0)</f>
        <v>0</v>
      </c>
      <c r="AB135" s="112" t="b">
        <f>IFERROR(INDEX(Outliers!$AY$3:$AY$61,MATCH('SkYSPark Data_w Will''s Data'!C135,Outliers!$B$3:$B$61,0)),0)</f>
        <v>0</v>
      </c>
      <c r="AC135" s="112" t="s">
        <v>392</v>
      </c>
    </row>
    <row r="136" spans="1:51" x14ac:dyDescent="0.3">
      <c r="A136" s="2">
        <v>44958</v>
      </c>
      <c r="B136" s="3">
        <f t="shared" si="10"/>
        <v>2</v>
      </c>
      <c r="C136" s="3" t="s">
        <v>137</v>
      </c>
      <c r="D136" s="3" t="str">
        <f>VLOOKUP(C136,'Data availability'!$A$2:$B$91,2,FALSE)</f>
        <v>Main campus</v>
      </c>
      <c r="E136" s="3">
        <v>33407</v>
      </c>
      <c r="F136" s="3" t="str">
        <f>VLOOKUP(C136,'Data availability'!$A$2:$H$91,8,FALSE)</f>
        <v>Academic</v>
      </c>
      <c r="G136" s="1">
        <v>25594.499999999902</v>
      </c>
      <c r="I136" s="1">
        <v>21.129968047142029</v>
      </c>
      <c r="J136" s="1">
        <v>875.56640625001148</v>
      </c>
      <c r="K136" s="1">
        <v>781.62563476563287</v>
      </c>
      <c r="M136" s="21">
        <f t="shared" si="11"/>
        <v>2.6140759122339525</v>
      </c>
      <c r="N136" s="21">
        <f t="shared" si="12"/>
        <v>6.3250121373191331E-2</v>
      </c>
      <c r="O136" s="21">
        <f t="shared" si="13"/>
        <v>2.6209070142485453</v>
      </c>
      <c r="P136" s="21">
        <f t="shared" si="14"/>
        <v>0.28076473844366734</v>
      </c>
      <c r="W136" s="10" t="s">
        <v>273</v>
      </c>
      <c r="Z136" s="211" t="b">
        <f>IFERROR(INDEX(Outliers!$X$3:$X$61,MATCH('SkYSPark Data_w Will''s Data'!C136,Outliers!$B$3:$B$61,0)),0)</f>
        <v>0</v>
      </c>
      <c r="AA136" s="1" t="b">
        <f>IFERROR(INDEX(Outliers!$AP$3:$AP$61,MATCH('SkYSPark Data_w Will''s Data'!C136,Outliers!$B$3:$B$61,0)),0)</f>
        <v>0</v>
      </c>
      <c r="AB136" s="112" t="b">
        <f>IFERROR(INDEX(Outliers!$AY$3:$AY$61,MATCH('SkYSPark Data_w Will''s Data'!C136,Outliers!$B$3:$B$61,0)),0)</f>
        <v>0</v>
      </c>
      <c r="AC136" s="112" t="s">
        <v>392</v>
      </c>
    </row>
    <row r="137" spans="1:51" x14ac:dyDescent="0.3">
      <c r="A137" s="2">
        <v>44986</v>
      </c>
      <c r="B137" s="3">
        <f t="shared" ref="B137:B200" si="15">MONTH(A137)</f>
        <v>3</v>
      </c>
      <c r="C137" s="3" t="s">
        <v>137</v>
      </c>
      <c r="D137" s="3" t="str">
        <f>VLOOKUP(C137,'Data availability'!$A$2:$B$91,2,FALSE)</f>
        <v>Main campus</v>
      </c>
      <c r="E137" s="3">
        <v>33407</v>
      </c>
      <c r="F137" s="3" t="str">
        <f>VLOOKUP(C137,'Data availability'!$A$2:$H$91,8,FALSE)</f>
        <v>Academic</v>
      </c>
      <c r="G137" s="1">
        <v>27439.337547408151</v>
      </c>
      <c r="I137" s="1">
        <v>24.075812339782711</v>
      </c>
      <c r="J137" s="1">
        <v>1054.466248716034</v>
      </c>
      <c r="K137" s="1">
        <v>843.9605866165183</v>
      </c>
      <c r="M137" s="21">
        <f t="shared" ref="M137:M200" si="16">IFERROR((G137*3.412)/E137,0)</f>
        <v>2.8024970728217622</v>
      </c>
      <c r="N137" s="21">
        <f t="shared" ref="N137:N200" si="17">IFERROR((I137*100)/E137,0)</f>
        <v>7.2068166371666742E-2</v>
      </c>
      <c r="O137" s="21">
        <f t="shared" ref="O137:O200" si="18">IFERROR((J137*100)/E137,0)</f>
        <v>3.1564230512049392</v>
      </c>
      <c r="P137" s="21">
        <f t="shared" ref="P137:P200" si="19">IFERROR((K137*12)/E137,0)</f>
        <v>0.3031558367826569</v>
      </c>
      <c r="W137" s="10" t="s">
        <v>274</v>
      </c>
      <c r="Z137" s="211" t="b">
        <f>IFERROR(INDEX(Outliers!$X$3:$X$61,MATCH('SkYSPark Data_w Will''s Data'!C137,Outliers!$B$3:$B$61,0)),0)</f>
        <v>0</v>
      </c>
      <c r="AA137" s="1" t="b">
        <f>IFERROR(INDEX(Outliers!$AP$3:$AP$61,MATCH('SkYSPark Data_w Will''s Data'!C137,Outliers!$B$3:$B$61,0)),0)</f>
        <v>0</v>
      </c>
      <c r="AB137" s="112" t="b">
        <f>IFERROR(INDEX(Outliers!$AY$3:$AY$61,MATCH('SkYSPark Data_w Will''s Data'!C137,Outliers!$B$3:$B$61,0)),0)</f>
        <v>0</v>
      </c>
      <c r="AC137" s="112" t="s">
        <v>392</v>
      </c>
    </row>
    <row r="138" spans="1:51" x14ac:dyDescent="0.3">
      <c r="A138" s="2">
        <v>45017</v>
      </c>
      <c r="B138" s="3">
        <f t="shared" si="15"/>
        <v>4</v>
      </c>
      <c r="C138" s="3" t="s">
        <v>137</v>
      </c>
      <c r="D138" s="3" t="str">
        <f>VLOOKUP(C138,'Data availability'!$A$2:$B$91,2,FALSE)</f>
        <v>Main campus</v>
      </c>
      <c r="E138" s="3">
        <v>33407</v>
      </c>
      <c r="F138" s="3" t="str">
        <f>VLOOKUP(C138,'Data availability'!$A$2:$H$91,8,FALSE)</f>
        <v>Academic</v>
      </c>
      <c r="G138" s="1">
        <v>27463.662452591539</v>
      </c>
      <c r="I138" s="1">
        <v>27.106162756681439</v>
      </c>
      <c r="J138" s="1">
        <v>849.75250128397965</v>
      </c>
      <c r="K138" s="1">
        <v>5577.9016692428859</v>
      </c>
      <c r="M138" s="21">
        <f t="shared" si="16"/>
        <v>2.8049814795774037</v>
      </c>
      <c r="N138" s="21">
        <f t="shared" si="17"/>
        <v>8.1139170702791141E-2</v>
      </c>
      <c r="O138" s="21">
        <f t="shared" si="18"/>
        <v>2.5436360681413466</v>
      </c>
      <c r="P138" s="21">
        <f t="shared" si="19"/>
        <v>2.0036166082232656</v>
      </c>
      <c r="W138" s="10" t="s">
        <v>275</v>
      </c>
      <c r="Z138" s="211" t="b">
        <f>IFERROR(INDEX(Outliers!$X$3:$X$61,MATCH('SkYSPark Data_w Will''s Data'!C138,Outliers!$B$3:$B$61,0)),0)</f>
        <v>0</v>
      </c>
      <c r="AA138" s="1" t="b">
        <f>IFERROR(INDEX(Outliers!$AP$3:$AP$61,MATCH('SkYSPark Data_w Will''s Data'!C138,Outliers!$B$3:$B$61,0)),0)</f>
        <v>0</v>
      </c>
      <c r="AB138" s="112" t="b">
        <f>IFERROR(INDEX(Outliers!$AY$3:$AY$61,MATCH('SkYSPark Data_w Will''s Data'!C138,Outliers!$B$3:$B$61,0)),0)</f>
        <v>0</v>
      </c>
      <c r="AC138" s="112" t="s">
        <v>392</v>
      </c>
    </row>
    <row r="139" spans="1:51" x14ac:dyDescent="0.3">
      <c r="A139" s="2">
        <v>45047</v>
      </c>
      <c r="B139" s="3">
        <f t="shared" si="15"/>
        <v>5</v>
      </c>
      <c r="C139" s="3" t="s">
        <v>137</v>
      </c>
      <c r="D139" s="3" t="str">
        <f>VLOOKUP(C139,'Data availability'!$A$2:$B$91,2,FALSE)</f>
        <v>Main campus</v>
      </c>
      <c r="E139" s="3">
        <v>33407</v>
      </c>
      <c r="F139" s="3" t="str">
        <f>VLOOKUP(C139,'Data availability'!$A$2:$H$91,8,FALSE)</f>
        <v>Academic</v>
      </c>
      <c r="G139" s="1">
        <v>26857.49999999984</v>
      </c>
      <c r="I139" s="1">
        <v>23.008007764816281</v>
      </c>
      <c r="J139" s="1">
        <v>877.19726562501046</v>
      </c>
      <c r="K139" s="1">
        <v>8922.9015332030194</v>
      </c>
      <c r="M139" s="21">
        <f t="shared" si="16"/>
        <v>2.7430715119585551</v>
      </c>
      <c r="N139" s="21">
        <f t="shared" si="17"/>
        <v>6.8871816579807468E-2</v>
      </c>
      <c r="O139" s="21">
        <f t="shared" si="18"/>
        <v>2.6257888036190336</v>
      </c>
      <c r="P139" s="21">
        <f t="shared" si="19"/>
        <v>3.2051611458208233</v>
      </c>
      <c r="Z139" s="211" t="b">
        <f>IFERROR(INDEX(Outliers!$X$3:$X$61,MATCH('SkYSPark Data_w Will''s Data'!C139,Outliers!$B$3:$B$61,0)),0)</f>
        <v>0</v>
      </c>
      <c r="AA139" s="1" t="b">
        <f>IFERROR(INDEX(Outliers!$AP$3:$AP$61,MATCH('SkYSPark Data_w Will''s Data'!C139,Outliers!$B$3:$B$61,0)),0)</f>
        <v>0</v>
      </c>
      <c r="AB139" s="112" t="b">
        <f>IFERROR(INDEX(Outliers!$AY$3:$AY$61,MATCH('SkYSPark Data_w Will''s Data'!C139,Outliers!$B$3:$B$61,0)),0)</f>
        <v>0</v>
      </c>
      <c r="AC139" s="112" t="s">
        <v>392</v>
      </c>
    </row>
    <row r="140" spans="1:51" x14ac:dyDescent="0.3">
      <c r="A140" s="2">
        <v>45078</v>
      </c>
      <c r="B140" s="3">
        <f t="shared" si="15"/>
        <v>6</v>
      </c>
      <c r="C140" s="3" t="s">
        <v>137</v>
      </c>
      <c r="D140" s="3" t="str">
        <f>VLOOKUP(C140,'Data availability'!$A$2:$B$91,2,FALSE)</f>
        <v>Main campus</v>
      </c>
      <c r="E140" s="3">
        <v>33407</v>
      </c>
      <c r="F140" s="3" t="str">
        <f>VLOOKUP(C140,'Data availability'!$A$2:$H$91,8,FALSE)</f>
        <v>Academic</v>
      </c>
      <c r="G140" s="1">
        <v>23764.02439024351</v>
      </c>
      <c r="I140" s="1">
        <v>19.81864678859711</v>
      </c>
      <c r="J140" s="1">
        <v>795.96751143293363</v>
      </c>
      <c r="K140" s="1">
        <v>14833.271927400931</v>
      </c>
      <c r="M140" s="21">
        <f t="shared" si="16"/>
        <v>2.4271215978540681</v>
      </c>
      <c r="N140" s="21">
        <f t="shared" si="17"/>
        <v>5.9324832485997278E-2</v>
      </c>
      <c r="O140" s="21">
        <f t="shared" si="18"/>
        <v>2.3826369067349167</v>
      </c>
      <c r="P140" s="21">
        <f t="shared" si="19"/>
        <v>5.328202566193049</v>
      </c>
      <c r="Z140" s="211" t="b">
        <f>IFERROR(INDEX(Outliers!$X$3:$X$61,MATCH('SkYSPark Data_w Will''s Data'!C140,Outliers!$B$3:$B$61,0)),0)</f>
        <v>0</v>
      </c>
      <c r="AA140" s="1" t="b">
        <f>IFERROR(INDEX(Outliers!$AP$3:$AP$61,MATCH('SkYSPark Data_w Will''s Data'!C140,Outliers!$B$3:$B$61,0)),0)</f>
        <v>0</v>
      </c>
      <c r="AB140" s="112" t="b">
        <f>IFERROR(INDEX(Outliers!$AY$3:$AY$61,MATCH('SkYSPark Data_w Will''s Data'!C140,Outliers!$B$3:$B$61,0)),0)</f>
        <v>0</v>
      </c>
      <c r="AC140" s="112" t="s">
        <v>392</v>
      </c>
    </row>
    <row r="141" spans="1:51" x14ac:dyDescent="0.3">
      <c r="A141" s="2">
        <v>45108</v>
      </c>
      <c r="B141" s="3">
        <f t="shared" si="15"/>
        <v>7</v>
      </c>
      <c r="C141" s="3" t="s">
        <v>137</v>
      </c>
      <c r="D141" s="3" t="str">
        <f>VLOOKUP(C141,'Data availability'!$A$2:$B$91,2,FALSE)</f>
        <v>Main campus</v>
      </c>
      <c r="E141" s="3">
        <v>33407</v>
      </c>
      <c r="F141" s="3" t="str">
        <f>VLOOKUP(C141,'Data availability'!$A$2:$H$91,8,FALSE)</f>
        <v>Academic</v>
      </c>
      <c r="G141" s="1">
        <v>24717.47560975633</v>
      </c>
      <c r="I141" s="1">
        <v>20.960620403289791</v>
      </c>
      <c r="J141" s="1">
        <v>644.93092606707251</v>
      </c>
      <c r="K141" s="1">
        <v>16982.34992806779</v>
      </c>
      <c r="M141" s="21">
        <f t="shared" si="16"/>
        <v>2.5245016547576435</v>
      </c>
      <c r="N141" s="21">
        <f t="shared" si="17"/>
        <v>6.2743198740652525E-2</v>
      </c>
      <c r="O141" s="21">
        <f t="shared" si="18"/>
        <v>1.9305263150449681</v>
      </c>
      <c r="P141" s="21">
        <f t="shared" si="19"/>
        <v>6.1001646103156064</v>
      </c>
      <c r="Z141" s="211" t="b">
        <f>IFERROR(INDEX(Outliers!$X$3:$X$61,MATCH('SkYSPark Data_w Will''s Data'!C141,Outliers!$B$3:$B$61,0)),0)</f>
        <v>0</v>
      </c>
      <c r="AA141" s="1" t="b">
        <f>IFERROR(INDEX(Outliers!$AP$3:$AP$61,MATCH('SkYSPark Data_w Will''s Data'!C141,Outliers!$B$3:$B$61,0)),0)</f>
        <v>0</v>
      </c>
      <c r="AB141" s="112" t="b">
        <f>IFERROR(INDEX(Outliers!$AY$3:$AY$61,MATCH('SkYSPark Data_w Will''s Data'!C141,Outliers!$B$3:$B$61,0)),0)</f>
        <v>0</v>
      </c>
      <c r="AC141" s="112" t="s">
        <v>392</v>
      </c>
    </row>
    <row r="142" spans="1:51" x14ac:dyDescent="0.3">
      <c r="A142" s="2">
        <v>45139</v>
      </c>
      <c r="B142" s="3">
        <f t="shared" si="15"/>
        <v>8</v>
      </c>
      <c r="C142" s="3" t="s">
        <v>137</v>
      </c>
      <c r="D142" s="3" t="str">
        <f>VLOOKUP(C142,'Data availability'!$A$2:$B$91,2,FALSE)</f>
        <v>Main campus</v>
      </c>
      <c r="E142" s="3">
        <v>33407</v>
      </c>
      <c r="F142" s="3" t="str">
        <f>VLOOKUP(C142,'Data availability'!$A$2:$H$91,8,FALSE)</f>
        <v>Academic</v>
      </c>
      <c r="G142" s="1">
        <v>24128.185714285792</v>
      </c>
      <c r="I142" s="1">
        <v>21.05898380279541</v>
      </c>
      <c r="J142" s="1">
        <v>582.27064732141775</v>
      </c>
      <c r="K142" s="1">
        <v>16814.63616741039</v>
      </c>
      <c r="M142" s="21">
        <f t="shared" si="16"/>
        <v>2.4643149536666904</v>
      </c>
      <c r="N142" s="21">
        <f t="shared" si="17"/>
        <v>6.3037638227902565E-2</v>
      </c>
      <c r="O142" s="21">
        <f t="shared" si="18"/>
        <v>1.7429600003634502</v>
      </c>
      <c r="P142" s="21">
        <f t="shared" si="19"/>
        <v>6.0399207953101053</v>
      </c>
      <c r="Z142" s="211" t="b">
        <f>IFERROR(INDEX(Outliers!$X$3:$X$61,MATCH('SkYSPark Data_w Will''s Data'!C142,Outliers!$B$3:$B$61,0)),0)</f>
        <v>0</v>
      </c>
      <c r="AA142" s="1" t="b">
        <f>IFERROR(INDEX(Outliers!$AP$3:$AP$61,MATCH('SkYSPark Data_w Will''s Data'!C142,Outliers!$B$3:$B$61,0)),0)</f>
        <v>0</v>
      </c>
      <c r="AB142" s="112" t="b">
        <f>IFERROR(INDEX(Outliers!$AY$3:$AY$61,MATCH('SkYSPark Data_w Will''s Data'!C142,Outliers!$B$3:$B$61,0)),0)</f>
        <v>0</v>
      </c>
      <c r="AC142" s="112" t="s">
        <v>392</v>
      </c>
    </row>
    <row r="143" spans="1:51" x14ac:dyDescent="0.3">
      <c r="A143" s="2">
        <v>45170</v>
      </c>
      <c r="B143" s="3">
        <f t="shared" si="15"/>
        <v>9</v>
      </c>
      <c r="C143" s="3" t="s">
        <v>137</v>
      </c>
      <c r="D143" s="3" t="str">
        <f>VLOOKUP(C143,'Data availability'!$A$2:$B$91,2,FALSE)</f>
        <v>Main campus</v>
      </c>
      <c r="E143" s="3">
        <v>33407</v>
      </c>
      <c r="F143" s="3" t="str">
        <f>VLOOKUP(C143,'Data availability'!$A$2:$H$91,8,FALSE)</f>
        <v>Academic</v>
      </c>
      <c r="G143" s="1">
        <v>25513.277248676979</v>
      </c>
      <c r="I143" s="1">
        <v>27.345758646726608</v>
      </c>
      <c r="J143" s="1">
        <v>743.24367559523102</v>
      </c>
      <c r="K143" s="1">
        <v>14955.57132029168</v>
      </c>
      <c r="M143" s="21">
        <f t="shared" si="16"/>
        <v>2.6057802847452884</v>
      </c>
      <c r="N143" s="21">
        <f t="shared" si="17"/>
        <v>8.1856373355065126E-2</v>
      </c>
      <c r="O143" s="21">
        <f t="shared" si="18"/>
        <v>2.2248141874314697</v>
      </c>
      <c r="P143" s="21">
        <f t="shared" si="19"/>
        <v>5.3721332607986394</v>
      </c>
      <c r="Z143" s="211" t="b">
        <f>IFERROR(INDEX(Outliers!$X$3:$X$61,MATCH('SkYSPark Data_w Will''s Data'!C143,Outliers!$B$3:$B$61,0)),0)</f>
        <v>0</v>
      </c>
      <c r="AA143" s="1" t="b">
        <f>IFERROR(INDEX(Outliers!$AP$3:$AP$61,MATCH('SkYSPark Data_w Will''s Data'!C143,Outliers!$B$3:$B$61,0)),0)</f>
        <v>0</v>
      </c>
      <c r="AB143" s="112" t="b">
        <f>IFERROR(INDEX(Outliers!$AY$3:$AY$61,MATCH('SkYSPark Data_w Will''s Data'!C143,Outliers!$B$3:$B$61,0)),0)</f>
        <v>0</v>
      </c>
      <c r="AC143" s="112" t="s">
        <v>392</v>
      </c>
    </row>
    <row r="144" spans="1:51" x14ac:dyDescent="0.3">
      <c r="A144" s="2">
        <v>45200</v>
      </c>
      <c r="B144" s="3">
        <f t="shared" si="15"/>
        <v>10</v>
      </c>
      <c r="C144" s="3" t="s">
        <v>137</v>
      </c>
      <c r="D144" s="3" t="str">
        <f>VLOOKUP(C144,'Data availability'!$A$2:$B$91,2,FALSE)</f>
        <v>Main campus</v>
      </c>
      <c r="E144" s="3">
        <v>33407</v>
      </c>
      <c r="F144" s="3" t="str">
        <f>VLOOKUP(C144,'Data availability'!$A$2:$H$91,8,FALSE)</f>
        <v>Academic</v>
      </c>
      <c r="G144" s="1">
        <v>26114.537037036931</v>
      </c>
      <c r="I144" s="1">
        <v>27.011189371347431</v>
      </c>
      <c r="J144" s="1">
        <v>743.38216145833826</v>
      </c>
      <c r="K144" s="1">
        <v>15094.454309172221</v>
      </c>
      <c r="M144" s="21">
        <f t="shared" si="16"/>
        <v>2.6671895222668907</v>
      </c>
      <c r="N144" s="21">
        <f t="shared" si="17"/>
        <v>8.0854878831823962E-2</v>
      </c>
      <c r="O144" s="21">
        <f t="shared" si="18"/>
        <v>2.2252287288841806</v>
      </c>
      <c r="P144" s="21">
        <f t="shared" si="19"/>
        <v>5.4220208851458267</v>
      </c>
      <c r="Z144" s="211" t="b">
        <f>IFERROR(INDEX(Outliers!$X$3:$X$61,MATCH('SkYSPark Data_w Will''s Data'!C144,Outliers!$B$3:$B$61,0)),0)</f>
        <v>0</v>
      </c>
      <c r="AA144" s="1" t="b">
        <f>IFERROR(INDEX(Outliers!$AP$3:$AP$61,MATCH('SkYSPark Data_w Will''s Data'!C144,Outliers!$B$3:$B$61,0)),0)</f>
        <v>0</v>
      </c>
      <c r="AB144" s="112" t="b">
        <f>IFERROR(INDEX(Outliers!$AY$3:$AY$61,MATCH('SkYSPark Data_w Will''s Data'!C144,Outliers!$B$3:$B$61,0)),0)</f>
        <v>0</v>
      </c>
      <c r="AC144" s="112" t="s">
        <v>392</v>
      </c>
    </row>
    <row r="145" spans="1:52" x14ac:dyDescent="0.3">
      <c r="A145" s="2">
        <v>45231</v>
      </c>
      <c r="B145" s="3">
        <f t="shared" si="15"/>
        <v>11</v>
      </c>
      <c r="C145" s="3" t="s">
        <v>137</v>
      </c>
      <c r="D145" s="3" t="str">
        <f>VLOOKUP(C145,'Data availability'!$A$2:$B$91,2,FALSE)</f>
        <v>Main campus</v>
      </c>
      <c r="E145" s="3">
        <v>33407</v>
      </c>
      <c r="F145" s="3" t="str">
        <f>VLOOKUP(C145,'Data availability'!$A$2:$H$91,8,FALSE)</f>
        <v>Academic</v>
      </c>
      <c r="G145" s="1">
        <v>25032.247162673419</v>
      </c>
      <c r="I145" s="1">
        <v>24.106285035610199</v>
      </c>
      <c r="J145" s="1">
        <v>982.44809317857926</v>
      </c>
      <c r="K145" s="1">
        <v>9242.110174340427</v>
      </c>
      <c r="M145" s="21">
        <f t="shared" si="16"/>
        <v>2.5566506216973002</v>
      </c>
      <c r="N145" s="21">
        <f t="shared" si="17"/>
        <v>7.2159382870686378E-2</v>
      </c>
      <c r="O145" s="21">
        <f t="shared" si="18"/>
        <v>2.9408450120590874</v>
      </c>
      <c r="P145" s="21">
        <f t="shared" si="19"/>
        <v>3.3198228542546508</v>
      </c>
      <c r="Z145" s="211" t="b">
        <f>IFERROR(INDEX(Outliers!$X$3:$X$61,MATCH('SkYSPark Data_w Will''s Data'!C145,Outliers!$B$3:$B$61,0)),0)</f>
        <v>0</v>
      </c>
      <c r="AA145" s="1" t="b">
        <f>IFERROR(INDEX(Outliers!$AP$3:$AP$61,MATCH('SkYSPark Data_w Will''s Data'!C145,Outliers!$B$3:$B$61,0)),0)</f>
        <v>0</v>
      </c>
      <c r="AB145" s="112" t="b">
        <f>IFERROR(INDEX(Outliers!$AY$3:$AY$61,MATCH('SkYSPark Data_w Will''s Data'!C145,Outliers!$B$3:$B$61,0)),0)</f>
        <v>0</v>
      </c>
      <c r="AC145" s="112" t="s">
        <v>392</v>
      </c>
    </row>
    <row r="146" spans="1:52" s="69" customFormat="1" x14ac:dyDescent="0.3">
      <c r="A146" s="65">
        <v>45261</v>
      </c>
      <c r="B146" s="3">
        <f t="shared" si="15"/>
        <v>12</v>
      </c>
      <c r="C146" s="64" t="s">
        <v>137</v>
      </c>
      <c r="D146" s="64" t="str">
        <f>VLOOKUP(C146,'Data availability'!$A$2:$B$91,2,FALSE)</f>
        <v>Main campus</v>
      </c>
      <c r="E146" s="64">
        <v>33407</v>
      </c>
      <c r="F146" s="3" t="str">
        <f>VLOOKUP(C146,'Data availability'!$A$2:$H$91,8,FALSE)</f>
        <v>Academic</v>
      </c>
      <c r="G146" s="66">
        <v>24544.44249249922</v>
      </c>
      <c r="H146" s="66"/>
      <c r="I146" s="66">
        <v>21.787859797477719</v>
      </c>
      <c r="J146" s="66">
        <v>956.60800865329759</v>
      </c>
      <c r="K146" s="66">
        <v>10685.043161125761</v>
      </c>
      <c r="L146" s="67"/>
      <c r="M146" s="21">
        <f t="shared" si="16"/>
        <v>2.506829041350835</v>
      </c>
      <c r="N146" s="21">
        <f t="shared" si="17"/>
        <v>6.5219444420264366E-2</v>
      </c>
      <c r="O146" s="21">
        <f t="shared" si="18"/>
        <v>2.863495700461872</v>
      </c>
      <c r="P146" s="21">
        <f t="shared" si="19"/>
        <v>3.8381332634929546</v>
      </c>
      <c r="Q146" s="66"/>
      <c r="R146" s="66"/>
      <c r="S146" s="66"/>
      <c r="T146" s="66"/>
      <c r="U146" s="66"/>
      <c r="V146" s="68"/>
      <c r="W146" s="66"/>
      <c r="X146" s="67"/>
      <c r="Y146" s="66"/>
      <c r="Z146" s="211" t="b">
        <f>IFERROR(INDEX(Outliers!$X$3:$X$61,MATCH('SkYSPark Data_w Will''s Data'!C146,Outliers!$B$3:$B$61,0)),0)</f>
        <v>0</v>
      </c>
      <c r="AA146" s="1" t="b">
        <f>IFERROR(INDEX(Outliers!$AP$3:$AP$61,MATCH('SkYSPark Data_w Will''s Data'!C146,Outliers!$B$3:$B$61,0)),0)</f>
        <v>0</v>
      </c>
      <c r="AB146" s="112" t="b">
        <f>IFERROR(INDEX(Outliers!$AY$3:$AY$61,MATCH('SkYSPark Data_w Will''s Data'!C146,Outliers!$B$3:$B$61,0)),0)</f>
        <v>0</v>
      </c>
      <c r="AC146" s="112" t="s">
        <v>392</v>
      </c>
      <c r="AD146" s="134"/>
      <c r="AE146" s="134"/>
      <c r="AF146" s="134"/>
    </row>
    <row r="147" spans="1:52" x14ac:dyDescent="0.3">
      <c r="A147" s="2">
        <v>44927</v>
      </c>
      <c r="B147" s="3">
        <f t="shared" si="15"/>
        <v>1</v>
      </c>
      <c r="C147" s="3" t="s">
        <v>138</v>
      </c>
      <c r="D147" s="3" t="str">
        <f>VLOOKUP(C147,'Data availability'!$A$2:$B$91,2,FALSE)</f>
        <v xml:space="preserve">Main campus </v>
      </c>
      <c r="E147" s="3">
        <v>12889</v>
      </c>
      <c r="F147" s="3" t="str">
        <f>VLOOKUP(C147,'Data availability'!$A$2:$H$91,8,FALSE)</f>
        <v>Academic</v>
      </c>
      <c r="G147" s="1">
        <v>2434.8879999999958</v>
      </c>
      <c r="I147" s="1">
        <v>124.193939393939</v>
      </c>
      <c r="M147" s="21">
        <f t="shared" si="16"/>
        <v>0.64456807013732531</v>
      </c>
      <c r="N147" s="21">
        <f t="shared" si="17"/>
        <v>0.96356536111365509</v>
      </c>
      <c r="O147" s="21">
        <f t="shared" si="18"/>
        <v>0</v>
      </c>
      <c r="P147" s="21">
        <f t="shared" si="19"/>
        <v>0</v>
      </c>
      <c r="Q147" s="1">
        <f>(SUM(G147:G158)*3.412)/E147</f>
        <v>10.064787529888052</v>
      </c>
      <c r="R147" s="1">
        <f>(SUM(I147:I158)*100)/E147</f>
        <v>7.1905336239264388</v>
      </c>
      <c r="V147" s="33">
        <f>SUM(Q147:T147)</f>
        <v>17.255321153814492</v>
      </c>
      <c r="W147" s="10" t="s">
        <v>276</v>
      </c>
      <c r="Z147" s="211" t="b">
        <f>IFERROR(INDEX(Outliers!$X$3:$X$61,MATCH('SkYSPark Data_w Will''s Data'!C147,Outliers!$B$3:$B$61,0)),0)</f>
        <v>0</v>
      </c>
      <c r="AA147" s="1" t="b">
        <f>IFERROR(INDEX(Outliers!$AP$3:$AP$61,MATCH('SkYSPark Data_w Will''s Data'!C147,Outliers!$B$3:$B$61,0)),0)</f>
        <v>1</v>
      </c>
      <c r="AB147" s="112" t="b">
        <f>IFERROR(INDEX(Outliers!$AY$3:$AY$61,MATCH('SkYSPark Data_w Will''s Data'!C147,Outliers!$B$3:$B$61,0)),0)</f>
        <v>1</v>
      </c>
      <c r="AC147" s="112" t="s">
        <v>392</v>
      </c>
      <c r="AH147">
        <v>0.419255294884331</v>
      </c>
      <c r="AZ147">
        <v>1.038790770609324</v>
      </c>
    </row>
    <row r="148" spans="1:52" x14ac:dyDescent="0.3">
      <c r="A148" s="2">
        <v>44958</v>
      </c>
      <c r="B148" s="3">
        <f t="shared" si="15"/>
        <v>2</v>
      </c>
      <c r="C148" s="3" t="s">
        <v>138</v>
      </c>
      <c r="D148" s="3" t="str">
        <f>VLOOKUP(C148,'Data availability'!$A$2:$B$91,2,FALSE)</f>
        <v xml:space="preserve">Main campus </v>
      </c>
      <c r="E148" s="3">
        <v>12889</v>
      </c>
      <c r="F148" s="3" t="str">
        <f>VLOOKUP(C148,'Data availability'!$A$2:$H$91,8,FALSE)</f>
        <v>Academic</v>
      </c>
      <c r="G148" s="1">
        <v>2802.191251798537</v>
      </c>
      <c r="I148" s="1">
        <v>156.49544364508179</v>
      </c>
      <c r="M148" s="21">
        <f t="shared" si="16"/>
        <v>0.74180126861173157</v>
      </c>
      <c r="N148" s="21">
        <f t="shared" si="17"/>
        <v>1.2141783198470153</v>
      </c>
      <c r="O148" s="21">
        <f t="shared" si="18"/>
        <v>0</v>
      </c>
      <c r="P148" s="21">
        <f t="shared" si="19"/>
        <v>0</v>
      </c>
      <c r="W148" s="10" t="s">
        <v>277</v>
      </c>
      <c r="Z148" s="211" t="b">
        <f>IFERROR(INDEX(Outliers!$X$3:$X$61,MATCH('SkYSPark Data_w Will''s Data'!C148,Outliers!$B$3:$B$61,0)),0)</f>
        <v>0</v>
      </c>
      <c r="AA148" s="1" t="b">
        <f>IFERROR(INDEX(Outliers!$AP$3:$AP$61,MATCH('SkYSPark Data_w Will''s Data'!C148,Outliers!$B$3:$B$61,0)),0)</f>
        <v>1</v>
      </c>
      <c r="AB148" s="112" t="b">
        <f>IFERROR(INDEX(Outliers!$AY$3:$AY$61,MATCH('SkYSPark Data_w Will''s Data'!C148,Outliers!$B$3:$B$61,0)),0)</f>
        <v>1</v>
      </c>
      <c r="AC148" s="112" t="s">
        <v>392</v>
      </c>
      <c r="AH148">
        <v>0.58646602004111004</v>
      </c>
      <c r="AZ148">
        <v>1.320859937050356</v>
      </c>
    </row>
    <row r="149" spans="1:52" x14ac:dyDescent="0.3">
      <c r="A149" s="2">
        <v>44986</v>
      </c>
      <c r="B149" s="3">
        <f t="shared" si="15"/>
        <v>3</v>
      </c>
      <c r="C149" s="3" t="s">
        <v>138</v>
      </c>
      <c r="D149" s="3" t="str">
        <f>VLOOKUP(C149,'Data availability'!$A$2:$B$91,2,FALSE)</f>
        <v xml:space="preserve">Main campus </v>
      </c>
      <c r="E149" s="3">
        <v>12889</v>
      </c>
      <c r="F149" s="3" t="str">
        <f>VLOOKUP(C149,'Data availability'!$A$2:$H$91,8,FALSE)</f>
        <v>Academic</v>
      </c>
      <c r="G149" s="1">
        <v>2705.1182482014519</v>
      </c>
      <c r="I149" s="1">
        <v>136.62122302158309</v>
      </c>
      <c r="M149" s="21">
        <f t="shared" si="16"/>
        <v>0.7161039229469589</v>
      </c>
      <c r="N149" s="21">
        <f t="shared" si="17"/>
        <v>1.059983109795819</v>
      </c>
      <c r="O149" s="21">
        <f t="shared" si="18"/>
        <v>0</v>
      </c>
      <c r="P149" s="21">
        <f t="shared" si="19"/>
        <v>0</v>
      </c>
      <c r="Z149" s="211" t="b">
        <f>IFERROR(INDEX(Outliers!$X$3:$X$61,MATCH('SkYSPark Data_w Will''s Data'!C149,Outliers!$B$3:$B$61,0)),0)</f>
        <v>0</v>
      </c>
      <c r="AA149" s="1" t="b">
        <f>IFERROR(INDEX(Outliers!$AP$3:$AP$61,MATCH('SkYSPark Data_w Will''s Data'!C149,Outliers!$B$3:$B$61,0)),0)</f>
        <v>1</v>
      </c>
      <c r="AB149" s="112" t="b">
        <f>IFERROR(INDEX(Outliers!$AY$3:$AY$61,MATCH('SkYSPark Data_w Will''s Data'!C149,Outliers!$B$3:$B$61,0)),0)</f>
        <v>1</v>
      </c>
      <c r="AC149" s="112" t="s">
        <v>392</v>
      </c>
      <c r="AH149">
        <v>0.37002063867075968</v>
      </c>
      <c r="AZ149">
        <v>1.1832189566650839</v>
      </c>
    </row>
    <row r="150" spans="1:52" x14ac:dyDescent="0.3">
      <c r="A150" s="2">
        <v>45017</v>
      </c>
      <c r="B150" s="3">
        <f t="shared" si="15"/>
        <v>4</v>
      </c>
      <c r="C150" s="3" t="s">
        <v>138</v>
      </c>
      <c r="D150" s="3" t="str">
        <f>VLOOKUP(C150,'Data availability'!$A$2:$B$91,2,FALSE)</f>
        <v xml:space="preserve">Main campus </v>
      </c>
      <c r="E150" s="3">
        <v>12889</v>
      </c>
      <c r="F150" s="3" t="str">
        <f>VLOOKUP(C150,'Data availability'!$A$2:$H$91,8,FALSE)</f>
        <v>Academic</v>
      </c>
      <c r="G150" s="1">
        <v>2485.0769827585918</v>
      </c>
      <c r="I150" s="1">
        <v>82.163793103449052</v>
      </c>
      <c r="M150" s="21">
        <f t="shared" si="16"/>
        <v>0.65785419079620722</v>
      </c>
      <c r="N150" s="21">
        <f t="shared" si="17"/>
        <v>0.63747220966288354</v>
      </c>
      <c r="O150" s="21">
        <f t="shared" si="18"/>
        <v>0</v>
      </c>
      <c r="P150" s="21">
        <f t="shared" si="19"/>
        <v>0</v>
      </c>
      <c r="Z150" s="211" t="b">
        <f>IFERROR(INDEX(Outliers!$X$3:$X$61,MATCH('SkYSPark Data_w Will''s Data'!C150,Outliers!$B$3:$B$61,0)),0)</f>
        <v>0</v>
      </c>
      <c r="AA150" s="1" t="b">
        <f>IFERROR(INDEX(Outliers!$AP$3:$AP$61,MATCH('SkYSPark Data_w Will''s Data'!C150,Outliers!$B$3:$B$61,0)),0)</f>
        <v>1</v>
      </c>
      <c r="AB150" s="112" t="b">
        <f>IFERROR(INDEX(Outliers!$AY$3:$AY$61,MATCH('SkYSPark Data_w Will''s Data'!C150,Outliers!$B$3:$B$61,0)),0)</f>
        <v>1</v>
      </c>
      <c r="AC150" s="112" t="s">
        <v>392</v>
      </c>
      <c r="AH150">
        <v>0.17151041666666919</v>
      </c>
      <c r="AZ150">
        <v>1.1281709620450251</v>
      </c>
    </row>
    <row r="151" spans="1:52" x14ac:dyDescent="0.3">
      <c r="A151" s="2">
        <v>45047</v>
      </c>
      <c r="B151" s="3">
        <f t="shared" si="15"/>
        <v>5</v>
      </c>
      <c r="C151" s="3" t="s">
        <v>138</v>
      </c>
      <c r="D151" s="3" t="str">
        <f>VLOOKUP(C151,'Data availability'!$A$2:$B$91,2,FALSE)</f>
        <v xml:space="preserve">Main campus </v>
      </c>
      <c r="E151" s="3">
        <v>12889</v>
      </c>
      <c r="F151" s="3" t="str">
        <f>VLOOKUP(C151,'Data availability'!$A$2:$H$91,8,FALSE)</f>
        <v>Academic</v>
      </c>
      <c r="G151" s="1">
        <v>2952.37454949944</v>
      </c>
      <c r="I151" s="1">
        <v>60.48943270300326</v>
      </c>
      <c r="M151" s="21">
        <f t="shared" si="16"/>
        <v>0.78155806989619747</v>
      </c>
      <c r="N151" s="21">
        <f t="shared" si="17"/>
        <v>0.46931051829469517</v>
      </c>
      <c r="O151" s="21">
        <f t="shared" si="18"/>
        <v>0</v>
      </c>
      <c r="P151" s="21">
        <f t="shared" si="19"/>
        <v>0</v>
      </c>
      <c r="Z151" s="211" t="b">
        <f>IFERROR(INDEX(Outliers!$X$3:$X$61,MATCH('SkYSPark Data_w Will''s Data'!C151,Outliers!$B$3:$B$61,0)),0)</f>
        <v>0</v>
      </c>
      <c r="AA151" s="1" t="b">
        <f>IFERROR(INDEX(Outliers!$AP$3:$AP$61,MATCH('SkYSPark Data_w Will''s Data'!C151,Outliers!$B$3:$B$61,0)),0)</f>
        <v>1</v>
      </c>
      <c r="AB151" s="112" t="b">
        <f>IFERROR(INDEX(Outliers!$AY$3:$AY$61,MATCH('SkYSPark Data_w Will''s Data'!C151,Outliers!$B$3:$B$61,0)),0)</f>
        <v>1</v>
      </c>
      <c r="AC151" s="112" t="s">
        <v>392</v>
      </c>
      <c r="AH151">
        <v>0.113970690253207</v>
      </c>
      <c r="AZ151">
        <v>1.323078420467181</v>
      </c>
    </row>
    <row r="152" spans="1:52" x14ac:dyDescent="0.3">
      <c r="A152" s="2">
        <v>45078</v>
      </c>
      <c r="B152" s="3">
        <f t="shared" si="15"/>
        <v>6</v>
      </c>
      <c r="C152" s="3" t="s">
        <v>138</v>
      </c>
      <c r="D152" s="3" t="str">
        <f>VLOOKUP(C152,'Data availability'!$A$2:$B$91,2,FALSE)</f>
        <v xml:space="preserve">Main campus </v>
      </c>
      <c r="E152" s="3">
        <v>12889</v>
      </c>
      <c r="F152" s="3" t="str">
        <f>VLOOKUP(C152,'Data availability'!$A$2:$H$91,8,FALSE)</f>
        <v>Academic</v>
      </c>
      <c r="G152" s="1">
        <v>3149.4409677419412</v>
      </c>
      <c r="I152" s="1">
        <v>41.034274193548363</v>
      </c>
      <c r="M152" s="21">
        <f t="shared" si="16"/>
        <v>0.83372585785829023</v>
      </c>
      <c r="N152" s="21">
        <f t="shared" si="17"/>
        <v>0.31836662420318385</v>
      </c>
      <c r="O152" s="21">
        <f t="shared" si="18"/>
        <v>0</v>
      </c>
      <c r="P152" s="21">
        <f t="shared" si="19"/>
        <v>0</v>
      </c>
      <c r="Z152" s="211" t="b">
        <f>IFERROR(INDEX(Outliers!$X$3:$X$61,MATCH('SkYSPark Data_w Will''s Data'!C152,Outliers!$B$3:$B$61,0)),0)</f>
        <v>0</v>
      </c>
      <c r="AA152" s="1" t="b">
        <f>IFERROR(INDEX(Outliers!$AP$3:$AP$61,MATCH('SkYSPark Data_w Will''s Data'!C152,Outliers!$B$3:$B$61,0)),0)</f>
        <v>1</v>
      </c>
      <c r="AB152" s="112" t="b">
        <f>IFERROR(INDEX(Outliers!$AY$3:$AY$61,MATCH('SkYSPark Data_w Will''s Data'!C152,Outliers!$B$3:$B$61,0)),0)</f>
        <v>1</v>
      </c>
      <c r="AC152" s="112" t="s">
        <v>392</v>
      </c>
      <c r="AH152">
        <v>8.7673429099462324E-2</v>
      </c>
      <c r="AZ152">
        <v>1.5718055555555319</v>
      </c>
    </row>
    <row r="153" spans="1:52" x14ac:dyDescent="0.3">
      <c r="A153" s="2">
        <v>45108</v>
      </c>
      <c r="B153" s="3">
        <f t="shared" si="15"/>
        <v>7</v>
      </c>
      <c r="C153" s="3" t="s">
        <v>138</v>
      </c>
      <c r="D153" s="3" t="str">
        <f>VLOOKUP(C153,'Data availability'!$A$2:$B$91,2,FALSE)</f>
        <v xml:space="preserve">Main campus </v>
      </c>
      <c r="E153" s="3">
        <v>12889</v>
      </c>
      <c r="F153" s="3" t="str">
        <f>VLOOKUP(C153,'Data availability'!$A$2:$H$91,8,FALSE)</f>
        <v>Academic</v>
      </c>
      <c r="G153" s="1">
        <v>4118.3941379310018</v>
      </c>
      <c r="I153" s="1">
        <v>18.20043103448263</v>
      </c>
      <c r="M153" s="21">
        <f t="shared" si="16"/>
        <v>1.0902289392986715</v>
      </c>
      <c r="N153" s="21">
        <f t="shared" si="17"/>
        <v>0.14120902346561123</v>
      </c>
      <c r="O153" s="21">
        <f t="shared" si="18"/>
        <v>0</v>
      </c>
      <c r="P153" s="21">
        <f t="shared" si="19"/>
        <v>0</v>
      </c>
      <c r="Z153" s="211" t="b">
        <f>IFERROR(INDEX(Outliers!$X$3:$X$61,MATCH('SkYSPark Data_w Will''s Data'!C153,Outliers!$B$3:$B$61,0)),0)</f>
        <v>0</v>
      </c>
      <c r="AA153" s="1" t="b">
        <f>IFERROR(INDEX(Outliers!$AP$3:$AP$61,MATCH('SkYSPark Data_w Will''s Data'!C153,Outliers!$B$3:$B$61,0)),0)</f>
        <v>1</v>
      </c>
      <c r="AB153" s="112" t="b">
        <f>IFERROR(INDEX(Outliers!$AY$3:$AY$61,MATCH('SkYSPark Data_w Will''s Data'!C153,Outliers!$B$3:$B$61,0)),0)</f>
        <v>1</v>
      </c>
      <c r="AC153" s="112" t="s">
        <v>392</v>
      </c>
      <c r="AH153">
        <v>5.1824118812569653E-2</v>
      </c>
      <c r="AZ153">
        <v>2.0741745457915872</v>
      </c>
    </row>
    <row r="154" spans="1:52" x14ac:dyDescent="0.3">
      <c r="A154" s="2">
        <v>45139</v>
      </c>
      <c r="B154" s="3">
        <f t="shared" si="15"/>
        <v>8</v>
      </c>
      <c r="C154" s="3" t="s">
        <v>138</v>
      </c>
      <c r="D154" s="3" t="str">
        <f>VLOOKUP(C154,'Data availability'!$A$2:$B$91,2,FALSE)</f>
        <v xml:space="preserve">Main campus </v>
      </c>
      <c r="E154" s="3">
        <v>12889</v>
      </c>
      <c r="F154" s="3" t="str">
        <f>VLOOKUP(C154,'Data availability'!$A$2:$H$91,8,FALSE)</f>
        <v>Academic</v>
      </c>
      <c r="G154" s="1">
        <v>5179.6238620689273</v>
      </c>
      <c r="I154" s="1">
        <v>31.062068965517071</v>
      </c>
      <c r="M154" s="21">
        <f t="shared" si="16"/>
        <v>1.3711596413514766</v>
      </c>
      <c r="N154" s="21">
        <f t="shared" si="17"/>
        <v>0.24099673338131017</v>
      </c>
      <c r="O154" s="21">
        <f t="shared" si="18"/>
        <v>0</v>
      </c>
      <c r="P154" s="21">
        <f t="shared" si="19"/>
        <v>0</v>
      </c>
      <c r="Z154" s="211" t="b">
        <f>IFERROR(INDEX(Outliers!$X$3:$X$61,MATCH('SkYSPark Data_w Will''s Data'!C154,Outliers!$B$3:$B$61,0)),0)</f>
        <v>0</v>
      </c>
      <c r="AA154" s="1" t="b">
        <f>IFERROR(INDEX(Outliers!$AP$3:$AP$61,MATCH('SkYSPark Data_w Will''s Data'!C154,Outliers!$B$3:$B$61,0)),0)</f>
        <v>1</v>
      </c>
      <c r="AB154" s="112" t="b">
        <f>IFERROR(INDEX(Outliers!$AY$3:$AY$61,MATCH('SkYSPark Data_w Will''s Data'!C154,Outliers!$B$3:$B$61,0)),0)</f>
        <v>1</v>
      </c>
      <c r="AC154" s="112" t="s">
        <v>392</v>
      </c>
      <c r="AH154">
        <v>7.7109936967000761E-2</v>
      </c>
      <c r="AZ154">
        <v>2.6251493789395668</v>
      </c>
    </row>
    <row r="155" spans="1:52" x14ac:dyDescent="0.3">
      <c r="A155" s="2">
        <v>45170</v>
      </c>
      <c r="B155" s="3">
        <f t="shared" si="15"/>
        <v>9</v>
      </c>
      <c r="C155" s="3" t="s">
        <v>138</v>
      </c>
      <c r="D155" s="3" t="str">
        <f>VLOOKUP(C155,'Data availability'!$A$2:$B$91,2,FALSE)</f>
        <v xml:space="preserve">Main campus </v>
      </c>
      <c r="E155" s="3">
        <v>12889</v>
      </c>
      <c r="F155" s="3" t="str">
        <f>VLOOKUP(C155,'Data availability'!$A$2:$H$91,8,FALSE)</f>
        <v>Academic</v>
      </c>
      <c r="G155" s="1">
        <v>4087.564500000015</v>
      </c>
      <c r="I155" s="1">
        <v>56.79999999999977</v>
      </c>
      <c r="M155" s="21">
        <f t="shared" si="16"/>
        <v>1.0820676603305184</v>
      </c>
      <c r="N155" s="21">
        <f t="shared" si="17"/>
        <v>0.4406858561564107</v>
      </c>
      <c r="O155" s="21">
        <f t="shared" si="18"/>
        <v>0</v>
      </c>
      <c r="P155" s="21">
        <f t="shared" si="19"/>
        <v>0</v>
      </c>
      <c r="Z155" s="211" t="b">
        <f>IFERROR(INDEX(Outliers!$X$3:$X$61,MATCH('SkYSPark Data_w Will''s Data'!C155,Outliers!$B$3:$B$61,0)),0)</f>
        <v>0</v>
      </c>
      <c r="AA155" s="1" t="b">
        <f>IFERROR(INDEX(Outliers!$AP$3:$AP$61,MATCH('SkYSPark Data_w Will''s Data'!C155,Outliers!$B$3:$B$61,0)),0)</f>
        <v>1</v>
      </c>
      <c r="AB155" s="112" t="b">
        <f>IFERROR(INDEX(Outliers!$AY$3:$AY$61,MATCH('SkYSPark Data_w Will''s Data'!C155,Outliers!$B$3:$B$61,0)),0)</f>
        <v>1</v>
      </c>
      <c r="AC155" s="112" t="s">
        <v>392</v>
      </c>
      <c r="AH155">
        <v>0.1354638888888898</v>
      </c>
      <c r="AZ155">
        <v>2.128320572916683</v>
      </c>
    </row>
    <row r="156" spans="1:52" x14ac:dyDescent="0.3">
      <c r="A156" s="2">
        <v>45200</v>
      </c>
      <c r="B156" s="3">
        <f t="shared" si="15"/>
        <v>10</v>
      </c>
      <c r="C156" s="3" t="s">
        <v>138</v>
      </c>
      <c r="D156" s="3" t="str">
        <f>VLOOKUP(C156,'Data availability'!$A$2:$B$91,2,FALSE)</f>
        <v xml:space="preserve">Main campus </v>
      </c>
      <c r="E156" s="3">
        <v>12889</v>
      </c>
      <c r="F156" s="3" t="str">
        <f>VLOOKUP(C156,'Data availability'!$A$2:$H$91,8,FALSE)</f>
        <v>Academic</v>
      </c>
      <c r="G156" s="1">
        <v>3258.6876721664512</v>
      </c>
      <c r="I156" s="1">
        <v>60.4261119081782</v>
      </c>
      <c r="M156" s="21">
        <f t="shared" si="16"/>
        <v>0.86264584819861367</v>
      </c>
      <c r="N156" s="21">
        <f t="shared" si="17"/>
        <v>0.46881924050103346</v>
      </c>
      <c r="O156" s="21">
        <f t="shared" si="18"/>
        <v>0</v>
      </c>
      <c r="P156" s="21">
        <f t="shared" si="19"/>
        <v>0</v>
      </c>
      <c r="Z156" s="211" t="b">
        <f>IFERROR(INDEX(Outliers!$X$3:$X$61,MATCH('SkYSPark Data_w Will''s Data'!C156,Outliers!$B$3:$B$61,0)),0)</f>
        <v>0</v>
      </c>
      <c r="AA156" s="1" t="b">
        <f>IFERROR(INDEX(Outliers!$AP$3:$AP$61,MATCH('SkYSPark Data_w Will''s Data'!C156,Outliers!$B$3:$B$61,0)),0)</f>
        <v>1</v>
      </c>
      <c r="AB156" s="112" t="b">
        <f>IFERROR(INDEX(Outliers!$AY$3:$AY$61,MATCH('SkYSPark Data_w Will''s Data'!C156,Outliers!$B$3:$B$61,0)),0)</f>
        <v>1</v>
      </c>
      <c r="AC156" s="112" t="s">
        <v>392</v>
      </c>
      <c r="AH156">
        <v>0.153790843245245</v>
      </c>
      <c r="AZ156">
        <v>1.5588626847154301</v>
      </c>
    </row>
    <row r="157" spans="1:52" x14ac:dyDescent="0.3">
      <c r="A157" s="2">
        <v>45231</v>
      </c>
      <c r="B157" s="3">
        <f t="shared" si="15"/>
        <v>11</v>
      </c>
      <c r="C157" s="3" t="s">
        <v>138</v>
      </c>
      <c r="D157" s="3" t="str">
        <f>VLOOKUP(C157,'Data availability'!$A$2:$B$91,2,FALSE)</f>
        <v xml:space="preserve">Main campus </v>
      </c>
      <c r="E157" s="3">
        <v>12889</v>
      </c>
      <c r="F157" s="3" t="str">
        <f>VLOOKUP(C157,'Data availability'!$A$2:$H$91,8,FALSE)</f>
        <v>Academic</v>
      </c>
      <c r="G157" s="1">
        <v>2455.3438278335698</v>
      </c>
      <c r="I157" s="1">
        <v>69.373888091822892</v>
      </c>
      <c r="M157" s="21">
        <f t="shared" si="16"/>
        <v>0.64998317484429669</v>
      </c>
      <c r="N157" s="21">
        <f t="shared" si="17"/>
        <v>0.53824104346204427</v>
      </c>
      <c r="O157" s="21">
        <f t="shared" si="18"/>
        <v>0</v>
      </c>
      <c r="P157" s="21">
        <f t="shared" si="19"/>
        <v>0</v>
      </c>
      <c r="Z157" s="211" t="b">
        <f>IFERROR(INDEX(Outliers!$X$3:$X$61,MATCH('SkYSPark Data_w Will''s Data'!C157,Outliers!$B$3:$B$61,0)),0)</f>
        <v>0</v>
      </c>
      <c r="AA157" s="1" t="b">
        <f>IFERROR(INDEX(Outliers!$AP$3:$AP$61,MATCH('SkYSPark Data_w Will''s Data'!C157,Outliers!$B$3:$B$61,0)),0)</f>
        <v>1</v>
      </c>
      <c r="AB157" s="112" t="b">
        <f>IFERROR(INDEX(Outliers!$AY$3:$AY$61,MATCH('SkYSPark Data_w Will''s Data'!C157,Outliers!$B$3:$B$61,0)),0)</f>
        <v>1</v>
      </c>
      <c r="AC157" s="112" t="s">
        <v>392</v>
      </c>
      <c r="AH157">
        <v>0.1990128700307976</v>
      </c>
      <c r="AZ157">
        <v>1.193176629780492</v>
      </c>
    </row>
    <row r="158" spans="1:52" s="69" customFormat="1" x14ac:dyDescent="0.3">
      <c r="A158" s="65">
        <v>45261</v>
      </c>
      <c r="B158" s="3">
        <f t="shared" si="15"/>
        <v>12</v>
      </c>
      <c r="C158" s="64" t="s">
        <v>138</v>
      </c>
      <c r="D158" s="64" t="str">
        <f>VLOOKUP(C158,'Data availability'!$A$2:$B$91,2,FALSE)</f>
        <v xml:space="preserve">Main campus </v>
      </c>
      <c r="E158" s="64">
        <v>12889</v>
      </c>
      <c r="F158" s="3" t="str">
        <f>VLOOKUP(C158,'Data availability'!$A$2:$H$91,8,FALSE)</f>
        <v>Academic</v>
      </c>
      <c r="G158" s="66">
        <v>2391.5323636363878</v>
      </c>
      <c r="H158" s="66"/>
      <c r="I158" s="66">
        <v>89.927272727273646</v>
      </c>
      <c r="J158" s="66"/>
      <c r="K158" s="66"/>
      <c r="L158" s="67"/>
      <c r="M158" s="21">
        <f t="shared" si="16"/>
        <v>0.63309088561776361</v>
      </c>
      <c r="N158" s="21">
        <f t="shared" si="17"/>
        <v>0.69770558404277794</v>
      </c>
      <c r="O158" s="21">
        <f t="shared" si="18"/>
        <v>0</v>
      </c>
      <c r="P158" s="21">
        <f t="shared" si="19"/>
        <v>0</v>
      </c>
      <c r="Q158" s="66"/>
      <c r="R158" s="66"/>
      <c r="S158" s="66"/>
      <c r="T158" s="66"/>
      <c r="U158" s="66"/>
      <c r="V158" s="68"/>
      <c r="W158" s="66"/>
      <c r="X158" s="67"/>
      <c r="Y158" s="66"/>
      <c r="Z158" s="211" t="b">
        <f>IFERROR(INDEX(Outliers!$X$3:$X$61,MATCH('SkYSPark Data_w Will''s Data'!C158,Outliers!$B$3:$B$61,0)),0)</f>
        <v>0</v>
      </c>
      <c r="AA158" s="1" t="b">
        <f>IFERROR(INDEX(Outliers!$AP$3:$AP$61,MATCH('SkYSPark Data_w Will''s Data'!C158,Outliers!$B$3:$B$61,0)),0)</f>
        <v>1</v>
      </c>
      <c r="AB158" s="112" t="b">
        <f>IFERROR(INDEX(Outliers!$AY$3:$AY$61,MATCH('SkYSPark Data_w Will''s Data'!C158,Outliers!$B$3:$B$61,0)),0)</f>
        <v>1</v>
      </c>
      <c r="AC158" s="112" t="s">
        <v>392</v>
      </c>
      <c r="AD158" s="134"/>
      <c r="AE158" s="134"/>
      <c r="AF158" s="134"/>
      <c r="AH158" s="69">
        <v>0.26812495927012198</v>
      </c>
      <c r="AZ158" s="69">
        <v>1.17851963180189</v>
      </c>
    </row>
    <row r="159" spans="1:52" x14ac:dyDescent="0.3">
      <c r="A159" s="2">
        <v>44927</v>
      </c>
      <c r="B159" s="3">
        <f t="shared" si="15"/>
        <v>1</v>
      </c>
      <c r="C159" s="3" t="s">
        <v>139</v>
      </c>
      <c r="D159" s="3" t="str">
        <f>VLOOKUP(C159,'Data availability'!$A$2:$B$91,2,FALSE)</f>
        <v>Main campus</v>
      </c>
      <c r="E159" s="3">
        <v>192428</v>
      </c>
      <c r="F159" s="3" t="str">
        <f>VLOOKUP(C159,'Data availability'!$A$2:$H$91,8,FALSE)</f>
        <v>Academic</v>
      </c>
      <c r="G159" s="259">
        <f>'Solar Data-Main Campus'!D37</f>
        <v>72106.937999999966</v>
      </c>
      <c r="J159" s="1">
        <v>5989.0801199999996</v>
      </c>
      <c r="K159" s="185">
        <f>'Climate Normalization'!D55</f>
        <v>7866.6352000000461</v>
      </c>
      <c r="M159" s="21">
        <f t="shared" si="16"/>
        <v>1.2785502757187097</v>
      </c>
      <c r="N159" s="21">
        <f t="shared" si="17"/>
        <v>0</v>
      </c>
      <c r="O159" s="21">
        <f t="shared" si="18"/>
        <v>3.1123745608747169</v>
      </c>
      <c r="P159" s="21">
        <f t="shared" si="19"/>
        <v>0.49057113517783557</v>
      </c>
      <c r="Q159" s="1">
        <f>(SUM(G159:G170)*3.412)/E159</f>
        <v>13.875014051406239</v>
      </c>
      <c r="S159" s="1">
        <f>(SUM(J159:J170)*100)/E159</f>
        <v>17.744645134803665</v>
      </c>
      <c r="T159" s="1">
        <f>(SUM(K159:K170)*12)/E159</f>
        <v>14.43007677815771</v>
      </c>
      <c r="V159" s="33">
        <f>SUM(Q159:T159)</f>
        <v>46.049735964367613</v>
      </c>
      <c r="W159" s="10" t="s">
        <v>569</v>
      </c>
      <c r="Y159"/>
      <c r="Z159" s="211" t="b">
        <f>IFERROR(INDEX(Outliers!$X$3:$X$61,MATCH('SkYSPark Data_w Will''s Data'!C159,Outliers!$B$3:$B$61,0)),0)</f>
        <v>0</v>
      </c>
      <c r="AA159" s="1" t="b">
        <f>IFERROR(INDEX(Outliers!$AP$3:$AP$61,MATCH('SkYSPark Data_w Will''s Data'!C159,Outliers!$B$3:$B$61,0)),0)</f>
        <v>0</v>
      </c>
      <c r="AB159" s="112" t="b">
        <f>IFERROR(INDEX(Outliers!$AY$3:$AY$61,MATCH('SkYSPark Data_w Will''s Data'!C159,Outliers!$B$3:$B$61,0)),0)</f>
        <v>0</v>
      </c>
      <c r="AC159" s="112" t="s">
        <v>392</v>
      </c>
      <c r="AD159" s="136"/>
      <c r="AE159" s="136" t="s">
        <v>392</v>
      </c>
      <c r="AF159" s="136" t="s">
        <v>572</v>
      </c>
    </row>
    <row r="160" spans="1:52" x14ac:dyDescent="0.3">
      <c r="A160" s="2">
        <v>44958</v>
      </c>
      <c r="B160" s="3">
        <f t="shared" si="15"/>
        <v>2</v>
      </c>
      <c r="C160" s="3" t="s">
        <v>139</v>
      </c>
      <c r="D160" s="3" t="str">
        <f>VLOOKUP(C160,'Data availability'!$A$2:$B$91,2,FALSE)</f>
        <v>Main campus</v>
      </c>
      <c r="E160" s="3">
        <v>192428</v>
      </c>
      <c r="F160" s="3" t="str">
        <f>VLOOKUP(C160,'Data availability'!$A$2:$H$91,8,FALSE)</f>
        <v>Academic</v>
      </c>
      <c r="G160" s="259">
        <f>'Solar Data-Main Campus'!D38</f>
        <v>42879.156000000017</v>
      </c>
      <c r="J160" s="1">
        <v>2621.0150699999999</v>
      </c>
      <c r="K160" s="185">
        <f>'Climate Normalization'!D56</f>
        <v>10766.62360000011</v>
      </c>
      <c r="M160" s="21">
        <f t="shared" si="16"/>
        <v>0.76030349155008659</v>
      </c>
      <c r="N160" s="21">
        <f t="shared" si="17"/>
        <v>0</v>
      </c>
      <c r="O160" s="21">
        <f t="shared" si="18"/>
        <v>1.3620757218284241</v>
      </c>
      <c r="P160" s="21">
        <f t="shared" si="19"/>
        <v>0.67141727399339668</v>
      </c>
      <c r="W160" s="10" t="s">
        <v>570</v>
      </c>
      <c r="Z160" s="211" t="b">
        <f>IFERROR(INDEX(Outliers!$X$3:$X$61,MATCH('SkYSPark Data_w Will''s Data'!C160,Outliers!$B$3:$B$61,0)),0)</f>
        <v>0</v>
      </c>
      <c r="AA160" s="1" t="b">
        <f>IFERROR(INDEX(Outliers!$AP$3:$AP$61,MATCH('SkYSPark Data_w Will''s Data'!C160,Outliers!$B$3:$B$61,0)),0)</f>
        <v>0</v>
      </c>
      <c r="AB160" s="112" t="b">
        <f>IFERROR(INDEX(Outliers!$AY$3:$AY$61,MATCH('SkYSPark Data_w Will''s Data'!C160,Outliers!$B$3:$B$61,0)),0)</f>
        <v>0</v>
      </c>
      <c r="AC160" s="112" t="s">
        <v>392</v>
      </c>
    </row>
    <row r="161" spans="1:33" x14ac:dyDescent="0.3">
      <c r="A161" s="2">
        <v>44986</v>
      </c>
      <c r="B161" s="3">
        <f t="shared" si="15"/>
        <v>3</v>
      </c>
      <c r="C161" s="3" t="s">
        <v>139</v>
      </c>
      <c r="D161" s="3" t="str">
        <f>VLOOKUP(C161,'Data availability'!$A$2:$B$91,2,FALSE)</f>
        <v>Main campus</v>
      </c>
      <c r="E161" s="3">
        <v>192428</v>
      </c>
      <c r="F161" s="3" t="str">
        <f>VLOOKUP(C161,'Data availability'!$A$2:$H$91,8,FALSE)</f>
        <v>Academic</v>
      </c>
      <c r="G161" s="259">
        <f>'Solar Data-Main Campus'!D39</f>
        <v>46676.156000000017</v>
      </c>
      <c r="J161" s="1">
        <v>2621.0150699999999</v>
      </c>
      <c r="K161" s="185">
        <f>'Climate Normalization'!D57</f>
        <v>10991.538053155027</v>
      </c>
      <c r="M161" s="21">
        <f t="shared" si="16"/>
        <v>0.82762926534599979</v>
      </c>
      <c r="N161" s="21">
        <f t="shared" si="17"/>
        <v>0</v>
      </c>
      <c r="O161" s="21">
        <f t="shared" si="18"/>
        <v>1.3620757218284241</v>
      </c>
      <c r="P161" s="21">
        <f t="shared" si="19"/>
        <v>0.68544316127518001</v>
      </c>
      <c r="W161" s="25" t="s">
        <v>423</v>
      </c>
      <c r="Z161" s="211" t="b">
        <f>IFERROR(INDEX(Outliers!$X$3:$X$61,MATCH('SkYSPark Data_w Will''s Data'!C161,Outliers!$B$3:$B$61,0)),0)</f>
        <v>0</v>
      </c>
      <c r="AA161" s="1" t="b">
        <f>IFERROR(INDEX(Outliers!$AP$3:$AP$61,MATCH('SkYSPark Data_w Will''s Data'!C161,Outliers!$B$3:$B$61,0)),0)</f>
        <v>0</v>
      </c>
      <c r="AB161" s="112" t="b">
        <f>IFERROR(INDEX(Outliers!$AY$3:$AY$61,MATCH('SkYSPark Data_w Will''s Data'!C161,Outliers!$B$3:$B$61,0)),0)</f>
        <v>0</v>
      </c>
      <c r="AC161" s="112" t="s">
        <v>392</v>
      </c>
    </row>
    <row r="162" spans="1:33" x14ac:dyDescent="0.3">
      <c r="A162" s="2">
        <v>45017</v>
      </c>
      <c r="B162" s="3">
        <f t="shared" si="15"/>
        <v>4</v>
      </c>
      <c r="C162" s="3" t="s">
        <v>139</v>
      </c>
      <c r="D162" s="3" t="str">
        <f>VLOOKUP(C162,'Data availability'!$A$2:$B$91,2,FALSE)</f>
        <v>Main campus</v>
      </c>
      <c r="E162" s="3">
        <v>192428</v>
      </c>
      <c r="F162" s="3" t="str">
        <f>VLOOKUP(C162,'Data availability'!$A$2:$H$91,8,FALSE)</f>
        <v>Academic</v>
      </c>
      <c r="G162" s="259">
        <f>'Solar Data-Main Campus'!D40</f>
        <v>78455.375</v>
      </c>
      <c r="J162" s="1">
        <v>3928.3913399999997</v>
      </c>
      <c r="K162" s="185">
        <f>'Climate Normalization'!D58</f>
        <v>13915.062845583294</v>
      </c>
      <c r="M162" s="21">
        <f t="shared" si="16"/>
        <v>1.391116363003305</v>
      </c>
      <c r="N162" s="21">
        <f t="shared" si="17"/>
        <v>0</v>
      </c>
      <c r="O162" s="21">
        <f t="shared" si="18"/>
        <v>2.0414863429438541</v>
      </c>
      <c r="P162" s="21">
        <f t="shared" si="19"/>
        <v>0.86775705275219583</v>
      </c>
      <c r="W162" s="10" t="s">
        <v>571</v>
      </c>
      <c r="Z162" s="211" t="b">
        <f>IFERROR(INDEX(Outliers!$X$3:$X$61,MATCH('SkYSPark Data_w Will''s Data'!C162,Outliers!$B$3:$B$61,0)),0)</f>
        <v>0</v>
      </c>
      <c r="AA162" s="1" t="b">
        <f>IFERROR(INDEX(Outliers!$AP$3:$AP$61,MATCH('SkYSPark Data_w Will''s Data'!C162,Outliers!$B$3:$B$61,0)),0)</f>
        <v>0</v>
      </c>
      <c r="AB162" s="112" t="b">
        <f>IFERROR(INDEX(Outliers!$AY$3:$AY$61,MATCH('SkYSPark Data_w Will''s Data'!C162,Outliers!$B$3:$B$61,0)),0)</f>
        <v>0</v>
      </c>
      <c r="AC162" s="112" t="s">
        <v>392</v>
      </c>
    </row>
    <row r="163" spans="1:33" x14ac:dyDescent="0.3">
      <c r="A163" s="2">
        <v>45047</v>
      </c>
      <c r="B163" s="3">
        <f t="shared" si="15"/>
        <v>5</v>
      </c>
      <c r="C163" s="3" t="s">
        <v>139</v>
      </c>
      <c r="D163" s="3" t="str">
        <f>VLOOKUP(C163,'Data availability'!$A$2:$B$91,2,FALSE)</f>
        <v>Main campus</v>
      </c>
      <c r="E163" s="3">
        <v>192428</v>
      </c>
      <c r="F163" s="3" t="str">
        <f>VLOOKUP(C163,'Data availability'!$A$2:$H$91,8,FALSE)</f>
        <v>Academic</v>
      </c>
      <c r="G163" s="259">
        <f>'Solar Data-Main Campus'!D41</f>
        <v>21041</v>
      </c>
      <c r="J163" s="9"/>
      <c r="K163" s="185">
        <f>'Climate Normalization'!D59</f>
        <v>12169.968249369111</v>
      </c>
      <c r="M163" s="21">
        <f t="shared" si="16"/>
        <v>0.37308443677635267</v>
      </c>
      <c r="N163" s="21">
        <f t="shared" si="17"/>
        <v>0</v>
      </c>
      <c r="O163" s="21">
        <f t="shared" si="18"/>
        <v>0</v>
      </c>
      <c r="P163" s="21">
        <f t="shared" si="19"/>
        <v>0.7589312313822798</v>
      </c>
      <c r="Z163" s="211" t="b">
        <f>IFERROR(INDEX(Outliers!$X$3:$X$61,MATCH('SkYSPark Data_w Will''s Data'!C163,Outliers!$B$3:$B$61,0)),0)</f>
        <v>0</v>
      </c>
      <c r="AA163" s="1" t="b">
        <f>IFERROR(INDEX(Outliers!$AP$3:$AP$61,MATCH('SkYSPark Data_w Will''s Data'!C163,Outliers!$B$3:$B$61,0)),0)</f>
        <v>0</v>
      </c>
      <c r="AB163" s="112" t="b">
        <f>IFERROR(INDEX(Outliers!$AY$3:$AY$61,MATCH('SkYSPark Data_w Will''s Data'!C163,Outliers!$B$3:$B$61,0)),0)</f>
        <v>0</v>
      </c>
      <c r="AC163" s="112" t="s">
        <v>392</v>
      </c>
    </row>
    <row r="164" spans="1:33" x14ac:dyDescent="0.3">
      <c r="A164" s="2">
        <v>45078</v>
      </c>
      <c r="B164" s="3">
        <f t="shared" si="15"/>
        <v>6</v>
      </c>
      <c r="C164" s="3" t="s">
        <v>139</v>
      </c>
      <c r="D164" s="3" t="str">
        <f>VLOOKUP(C164,'Data availability'!$A$2:$B$91,2,FALSE)</f>
        <v>Main campus</v>
      </c>
      <c r="E164" s="3">
        <v>192428</v>
      </c>
      <c r="F164" s="3" t="str">
        <f>VLOOKUP(C164,'Data availability'!$A$2:$H$91,8,FALSE)</f>
        <v>Academic</v>
      </c>
      <c r="G164" s="259">
        <f>'Solar Data-Main Campus'!D42</f>
        <v>60724.100999999966</v>
      </c>
      <c r="J164" s="9"/>
      <c r="K164" s="185">
        <f>'Climate Normalization'!D60</f>
        <v>16488.444255525064</v>
      </c>
      <c r="M164" s="21">
        <f t="shared" si="16"/>
        <v>1.076717694992412</v>
      </c>
      <c r="N164" s="21">
        <f t="shared" si="17"/>
        <v>0</v>
      </c>
      <c r="O164" s="21">
        <f t="shared" si="18"/>
        <v>0</v>
      </c>
      <c r="P164" s="21">
        <f t="shared" si="19"/>
        <v>1.0282356573175462</v>
      </c>
      <c r="Z164" s="211" t="b">
        <f>IFERROR(INDEX(Outliers!$X$3:$X$61,MATCH('SkYSPark Data_w Will''s Data'!C164,Outliers!$B$3:$B$61,0)),0)</f>
        <v>0</v>
      </c>
      <c r="AA164" s="1" t="b">
        <f>IFERROR(INDEX(Outliers!$AP$3:$AP$61,MATCH('SkYSPark Data_w Will''s Data'!C164,Outliers!$B$3:$B$61,0)),0)</f>
        <v>0</v>
      </c>
      <c r="AB164" s="112" t="b">
        <f>IFERROR(INDEX(Outliers!$AY$3:$AY$61,MATCH('SkYSPark Data_w Will''s Data'!C164,Outliers!$B$3:$B$61,0)),0)</f>
        <v>0</v>
      </c>
      <c r="AC164" s="112" t="s">
        <v>392</v>
      </c>
    </row>
    <row r="165" spans="1:33" x14ac:dyDescent="0.3">
      <c r="A165" s="2">
        <v>45108</v>
      </c>
      <c r="B165" s="3">
        <f t="shared" si="15"/>
        <v>7</v>
      </c>
      <c r="C165" s="3" t="s">
        <v>139</v>
      </c>
      <c r="D165" s="3" t="str">
        <f>VLOOKUP(C165,'Data availability'!$A$2:$B$91,2,FALSE)</f>
        <v>Main campus</v>
      </c>
      <c r="E165" s="3">
        <v>192428</v>
      </c>
      <c r="F165" s="3" t="str">
        <f>VLOOKUP(C165,'Data availability'!$A$2:$H$91,8,FALSE)</f>
        <v>Academic</v>
      </c>
      <c r="G165" s="259">
        <f>'Solar Data-Main Campus'!D43</f>
        <v>89848.156000000017</v>
      </c>
      <c r="J165" s="1">
        <v>1520.559</v>
      </c>
      <c r="K165" s="185">
        <f>'Climate Normalization'!D61</f>
        <v>28015.623484703556</v>
      </c>
      <c r="M165" s="21">
        <f t="shared" si="16"/>
        <v>1.5931252638493361</v>
      </c>
      <c r="N165" s="21">
        <f t="shared" si="17"/>
        <v>0</v>
      </c>
      <c r="O165" s="21">
        <f t="shared" si="18"/>
        <v>0.79019633317396631</v>
      </c>
      <c r="P165" s="21">
        <f t="shared" si="19"/>
        <v>1.747081930989475</v>
      </c>
      <c r="Z165" s="211" t="b">
        <f>IFERROR(INDEX(Outliers!$X$3:$X$61,MATCH('SkYSPark Data_w Will''s Data'!C165,Outliers!$B$3:$B$61,0)),0)</f>
        <v>0</v>
      </c>
      <c r="AA165" s="1" t="b">
        <f>IFERROR(INDEX(Outliers!$AP$3:$AP$61,MATCH('SkYSPark Data_w Will''s Data'!C165,Outliers!$B$3:$B$61,0)),0)</f>
        <v>0</v>
      </c>
      <c r="AB165" s="112" t="b">
        <f>IFERROR(INDEX(Outliers!$AY$3:$AY$61,MATCH('SkYSPark Data_w Will''s Data'!C165,Outliers!$B$3:$B$61,0)),0)</f>
        <v>0</v>
      </c>
      <c r="AC165" s="112" t="s">
        <v>392</v>
      </c>
    </row>
    <row r="166" spans="1:33" x14ac:dyDescent="0.3">
      <c r="A166" s="2">
        <v>45139</v>
      </c>
      <c r="B166" s="3">
        <f t="shared" si="15"/>
        <v>8</v>
      </c>
      <c r="C166" s="3" t="s">
        <v>139</v>
      </c>
      <c r="D166" s="3" t="str">
        <f>VLOOKUP(C166,'Data availability'!$A$2:$B$91,2,FALSE)</f>
        <v>Main campus</v>
      </c>
      <c r="E166" s="3">
        <v>192428</v>
      </c>
      <c r="F166" s="3" t="str">
        <f>VLOOKUP(C166,'Data availability'!$A$2:$H$91,8,FALSE)</f>
        <v>Academic</v>
      </c>
      <c r="G166" s="259">
        <f>'Solar Data-Main Campus'!D44</f>
        <v>73592.625</v>
      </c>
      <c r="J166" s="1">
        <v>1252.6850999999999</v>
      </c>
      <c r="K166" s="185">
        <f>'Climate Normalization'!D62</f>
        <v>55797.731877745442</v>
      </c>
      <c r="M166" s="21">
        <f t="shared" si="16"/>
        <v>1.3048934484586443</v>
      </c>
      <c r="N166" s="21">
        <f t="shared" si="17"/>
        <v>0</v>
      </c>
      <c r="O166" s="21">
        <f t="shared" si="18"/>
        <v>0.6509889932858004</v>
      </c>
      <c r="P166" s="21">
        <f t="shared" si="19"/>
        <v>3.4796016303913424</v>
      </c>
      <c r="Z166" s="211" t="b">
        <f>IFERROR(INDEX(Outliers!$X$3:$X$61,MATCH('SkYSPark Data_w Will''s Data'!C166,Outliers!$B$3:$B$61,0)),0)</f>
        <v>0</v>
      </c>
      <c r="AA166" s="1" t="b">
        <f>IFERROR(INDEX(Outliers!$AP$3:$AP$61,MATCH('SkYSPark Data_w Will''s Data'!C166,Outliers!$B$3:$B$61,0)),0)</f>
        <v>0</v>
      </c>
      <c r="AB166" s="112" t="b">
        <f>IFERROR(INDEX(Outliers!$AY$3:$AY$61,MATCH('SkYSPark Data_w Will''s Data'!C166,Outliers!$B$3:$B$61,0)),0)</f>
        <v>0</v>
      </c>
      <c r="AC166" s="112" t="s">
        <v>392</v>
      </c>
    </row>
    <row r="167" spans="1:33" x14ac:dyDescent="0.3">
      <c r="A167" s="2">
        <v>45170</v>
      </c>
      <c r="B167" s="3">
        <f t="shared" si="15"/>
        <v>9</v>
      </c>
      <c r="C167" s="3" t="s">
        <v>139</v>
      </c>
      <c r="D167" s="3" t="str">
        <f>VLOOKUP(C167,'Data availability'!$A$2:$B$91,2,FALSE)</f>
        <v>Main campus</v>
      </c>
      <c r="E167" s="3">
        <v>192428</v>
      </c>
      <c r="F167" s="3" t="str">
        <f>VLOOKUP(C167,'Data availability'!$A$2:$H$91,8,FALSE)</f>
        <v>Academic</v>
      </c>
      <c r="G167" s="259">
        <f>'Solar Data-Main Campus'!D45</f>
        <v>83858.312999999966</v>
      </c>
      <c r="J167" s="1">
        <v>2025.2628</v>
      </c>
      <c r="K167" s="185">
        <f>'Climate Normalization'!D63</f>
        <v>27420.7537178208</v>
      </c>
      <c r="M167" s="21">
        <f t="shared" si="16"/>
        <v>1.4869175169725812</v>
      </c>
      <c r="N167" s="21">
        <f t="shared" si="17"/>
        <v>0</v>
      </c>
      <c r="O167" s="21">
        <f t="shared" si="18"/>
        <v>1.0524782256220508</v>
      </c>
      <c r="P167" s="21">
        <f t="shared" si="19"/>
        <v>1.7099852652101024</v>
      </c>
      <c r="Z167" s="211" t="b">
        <f>IFERROR(INDEX(Outliers!$X$3:$X$61,MATCH('SkYSPark Data_w Will''s Data'!C167,Outliers!$B$3:$B$61,0)),0)</f>
        <v>0</v>
      </c>
      <c r="AA167" s="1" t="b">
        <f>IFERROR(INDEX(Outliers!$AP$3:$AP$61,MATCH('SkYSPark Data_w Will''s Data'!C167,Outliers!$B$3:$B$61,0)),0)</f>
        <v>0</v>
      </c>
      <c r="AB167" s="112" t="b">
        <f>IFERROR(INDEX(Outliers!$AY$3:$AY$61,MATCH('SkYSPark Data_w Will''s Data'!C167,Outliers!$B$3:$B$61,0)),0)</f>
        <v>0</v>
      </c>
      <c r="AC167" s="112" t="s">
        <v>392</v>
      </c>
    </row>
    <row r="168" spans="1:33" x14ac:dyDescent="0.3">
      <c r="A168" s="2">
        <v>45200</v>
      </c>
      <c r="B168" s="3">
        <f t="shared" si="15"/>
        <v>10</v>
      </c>
      <c r="C168" s="3" t="s">
        <v>139</v>
      </c>
      <c r="D168" s="3" t="str">
        <f>VLOOKUP(C168,'Data availability'!$A$2:$B$91,2,FALSE)</f>
        <v>Main campus</v>
      </c>
      <c r="E168" s="3">
        <v>192428</v>
      </c>
      <c r="F168" s="3" t="str">
        <f>VLOOKUP(C168,'Data availability'!$A$2:$H$91,8,FALSE)</f>
        <v>Academic</v>
      </c>
      <c r="G168" s="259">
        <f>'Solar Data-Main Campus'!D46</f>
        <v>82453.437000000034</v>
      </c>
      <c r="J168" s="1">
        <v>3627.9092999999998</v>
      </c>
      <c r="K168" s="185">
        <f>'Climate Normalization'!D64</f>
        <v>29264.807640688639</v>
      </c>
      <c r="M168" s="21">
        <f t="shared" si="16"/>
        <v>1.4620072289063968</v>
      </c>
      <c r="N168" s="21">
        <f t="shared" si="17"/>
        <v>0</v>
      </c>
      <c r="O168" s="21">
        <f t="shared" si="18"/>
        <v>1.8853333714428253</v>
      </c>
      <c r="P168" s="21">
        <f t="shared" si="19"/>
        <v>1.824982287859686</v>
      </c>
      <c r="Z168" s="211" t="b">
        <f>IFERROR(INDEX(Outliers!$X$3:$X$61,MATCH('SkYSPark Data_w Will''s Data'!C168,Outliers!$B$3:$B$61,0)),0)</f>
        <v>0</v>
      </c>
      <c r="AA168" s="1" t="b">
        <f>IFERROR(INDEX(Outliers!$AP$3:$AP$61,MATCH('SkYSPark Data_w Will''s Data'!C168,Outliers!$B$3:$B$61,0)),0)</f>
        <v>0</v>
      </c>
      <c r="AB168" s="112" t="b">
        <f>IFERROR(INDEX(Outliers!$AY$3:$AY$61,MATCH('SkYSPark Data_w Will''s Data'!C168,Outliers!$B$3:$B$61,0)),0)</f>
        <v>0</v>
      </c>
      <c r="AC168" s="112" t="s">
        <v>392</v>
      </c>
    </row>
    <row r="169" spans="1:33" x14ac:dyDescent="0.3">
      <c r="A169" s="2">
        <v>45231</v>
      </c>
      <c r="B169" s="3">
        <f t="shared" si="15"/>
        <v>11</v>
      </c>
      <c r="C169" s="3" t="s">
        <v>139</v>
      </c>
      <c r="D169" s="3" t="str">
        <f>VLOOKUP(C169,'Data availability'!$A$2:$B$91,2,FALSE)</f>
        <v>Main campus</v>
      </c>
      <c r="E169" s="3">
        <v>192428</v>
      </c>
      <c r="F169" s="3" t="str">
        <f>VLOOKUP(C169,'Data availability'!$A$2:$H$91,8,FALSE)</f>
        <v>Academic</v>
      </c>
      <c r="G169" s="259">
        <f>'Solar Data-Main Campus'!D47</f>
        <v>65173</v>
      </c>
      <c r="J169" s="1">
        <v>5385.4295400000001</v>
      </c>
      <c r="K169" s="185">
        <f>'Climate Normalization'!D65</f>
        <v>12614.983398738192</v>
      </c>
      <c r="M169" s="21">
        <f t="shared" si="16"/>
        <v>1.1556024902820794</v>
      </c>
      <c r="N169" s="21">
        <f t="shared" si="17"/>
        <v>0</v>
      </c>
      <c r="O169" s="21">
        <f t="shared" si="18"/>
        <v>2.7986725112769455</v>
      </c>
      <c r="P169" s="21">
        <f t="shared" si="19"/>
        <v>0.7866828153120039</v>
      </c>
      <c r="Z169" s="211" t="b">
        <f>IFERROR(INDEX(Outliers!$X$3:$X$61,MATCH('SkYSPark Data_w Will''s Data'!C169,Outliers!$B$3:$B$61,0)),0)</f>
        <v>0</v>
      </c>
      <c r="AA169" s="1" t="b">
        <f>IFERROR(INDEX(Outliers!$AP$3:$AP$61,MATCH('SkYSPark Data_w Will''s Data'!C169,Outliers!$B$3:$B$61,0)),0)</f>
        <v>0</v>
      </c>
      <c r="AB169" s="112" t="b">
        <f>IFERROR(INDEX(Outliers!$AY$3:$AY$61,MATCH('SkYSPark Data_w Will''s Data'!C169,Outliers!$B$3:$B$61,0)),0)</f>
        <v>0</v>
      </c>
      <c r="AC169" s="112" t="s">
        <v>392</v>
      </c>
    </row>
    <row r="170" spans="1:33" s="69" customFormat="1" x14ac:dyDescent="0.3">
      <c r="A170" s="65">
        <v>45261</v>
      </c>
      <c r="B170" s="3">
        <f t="shared" si="15"/>
        <v>12</v>
      </c>
      <c r="C170" s="64" t="s">
        <v>139</v>
      </c>
      <c r="D170" s="64" t="str">
        <f>VLOOKUP(C170,'Data availability'!$A$2:$B$91,2,FALSE)</f>
        <v>Main campus</v>
      </c>
      <c r="E170" s="64">
        <v>192428</v>
      </c>
      <c r="F170" s="3" t="str">
        <f>VLOOKUP(C170,'Data availability'!$A$2:$H$91,8,FALSE)</f>
        <v>Academic</v>
      </c>
      <c r="G170" s="259">
        <f>'Solar Data-Main Campus'!D48</f>
        <v>65706.75</v>
      </c>
      <c r="H170" s="66"/>
      <c r="I170" s="66"/>
      <c r="J170" s="66">
        <v>5174.3184000000001</v>
      </c>
      <c r="K170" s="185">
        <f>'Climate Normalization'!D66</f>
        <v>6083.728865615014</v>
      </c>
      <c r="L170" s="67"/>
      <c r="M170" s="21">
        <f t="shared" si="16"/>
        <v>1.1650665755503355</v>
      </c>
      <c r="N170" s="21">
        <f t="shared" si="17"/>
        <v>0</v>
      </c>
      <c r="O170" s="21">
        <f t="shared" si="18"/>
        <v>2.6889633525266596</v>
      </c>
      <c r="P170" s="21">
        <f t="shared" si="19"/>
        <v>0.37938733649666462</v>
      </c>
      <c r="Q170" s="66"/>
      <c r="R170" s="66"/>
      <c r="S170" s="66"/>
      <c r="T170" s="66"/>
      <c r="U170" s="66"/>
      <c r="V170" s="68"/>
      <c r="W170" s="66"/>
      <c r="X170" s="67"/>
      <c r="Y170" s="66"/>
      <c r="Z170" s="211" t="b">
        <f>IFERROR(INDEX(Outliers!$X$3:$X$61,MATCH('SkYSPark Data_w Will''s Data'!C170,Outliers!$B$3:$B$61,0)),0)</f>
        <v>0</v>
      </c>
      <c r="AA170" s="1" t="b">
        <f>IFERROR(INDEX(Outliers!$AP$3:$AP$61,MATCH('SkYSPark Data_w Will''s Data'!C170,Outliers!$B$3:$B$61,0)),0)</f>
        <v>0</v>
      </c>
      <c r="AB170" s="112" t="b">
        <f>IFERROR(INDEX(Outliers!$AY$3:$AY$61,MATCH('SkYSPark Data_w Will''s Data'!C170,Outliers!$B$3:$B$61,0)),0)</f>
        <v>0</v>
      </c>
      <c r="AC170" s="112" t="s">
        <v>392</v>
      </c>
      <c r="AD170" s="134"/>
      <c r="AE170" s="134"/>
      <c r="AF170" s="134"/>
    </row>
    <row r="171" spans="1:33" x14ac:dyDescent="0.3">
      <c r="A171" s="2">
        <v>44927</v>
      </c>
      <c r="B171" s="3">
        <f t="shared" si="15"/>
        <v>1</v>
      </c>
      <c r="C171" s="3" t="s">
        <v>140</v>
      </c>
      <c r="D171" s="3" t="str">
        <f>VLOOKUP(C171,'Data availability'!$A$2:$B$91,2,FALSE)</f>
        <v>South campus</v>
      </c>
      <c r="E171" s="3">
        <v>4320</v>
      </c>
      <c r="F171" s="3" t="str">
        <f>VLOOKUP(C171,'Data availability'!$A$2:$H$91,8,FALSE)</f>
        <v>Storage</v>
      </c>
      <c r="M171" s="21">
        <f t="shared" si="16"/>
        <v>0</v>
      </c>
      <c r="N171" s="21">
        <f t="shared" si="17"/>
        <v>0</v>
      </c>
      <c r="O171" s="21">
        <f t="shared" si="18"/>
        <v>0</v>
      </c>
      <c r="P171" s="21">
        <f t="shared" si="19"/>
        <v>0</v>
      </c>
      <c r="W171" s="1" t="s">
        <v>720</v>
      </c>
      <c r="X171" s="23" t="s">
        <v>282</v>
      </c>
      <c r="Z171" s="211" t="b">
        <f>IFERROR(INDEX(Outliers!$X$3:$X$61,MATCH('SkYSPark Data_w Will''s Data'!C171,Outliers!$B$3:$B$61,0)),0)</f>
        <v>1</v>
      </c>
      <c r="AA171" s="1" t="b">
        <f>IFERROR(INDEX(Outliers!$AP$3:$AP$61,MATCH('SkYSPark Data_w Will''s Data'!C171,Outliers!$B$3:$B$61,0)),0)</f>
        <v>1</v>
      </c>
      <c r="AB171" s="112" t="b">
        <f>IFERROR(INDEX(Outliers!$AY$3:$AY$61,MATCH('SkYSPark Data_w Will''s Data'!C171,Outliers!$B$3:$B$61,0)),0)</f>
        <v>1</v>
      </c>
      <c r="AD171" s="112" t="s">
        <v>573</v>
      </c>
      <c r="AG171">
        <v>2.0250038299225488</v>
      </c>
    </row>
    <row r="172" spans="1:33" x14ac:dyDescent="0.3">
      <c r="A172" s="2">
        <v>44958</v>
      </c>
      <c r="B172" s="3">
        <f t="shared" si="15"/>
        <v>2</v>
      </c>
      <c r="C172" s="3" t="s">
        <v>140</v>
      </c>
      <c r="D172" s="3" t="str">
        <f>VLOOKUP(C172,'Data availability'!$A$2:$B$91,2,FALSE)</f>
        <v>South campus</v>
      </c>
      <c r="E172" s="3">
        <v>4320</v>
      </c>
      <c r="F172" s="3" t="str">
        <f>VLOOKUP(C172,'Data availability'!$A$2:$H$91,8,FALSE)</f>
        <v>Storage</v>
      </c>
      <c r="M172" s="21">
        <f t="shared" si="16"/>
        <v>0</v>
      </c>
      <c r="N172" s="21">
        <f t="shared" si="17"/>
        <v>0</v>
      </c>
      <c r="O172" s="21">
        <f t="shared" si="18"/>
        <v>0</v>
      </c>
      <c r="P172" s="21">
        <f t="shared" si="19"/>
        <v>0</v>
      </c>
      <c r="Z172" s="211" t="b">
        <f>IFERROR(INDEX(Outliers!$X$3:$X$61,MATCH('SkYSPark Data_w Will''s Data'!C172,Outliers!$B$3:$B$61,0)),0)</f>
        <v>1</v>
      </c>
      <c r="AA172" s="1" t="b">
        <f>IFERROR(INDEX(Outliers!$AP$3:$AP$61,MATCH('SkYSPark Data_w Will''s Data'!C172,Outliers!$B$3:$B$61,0)),0)</f>
        <v>1</v>
      </c>
      <c r="AB172" s="112" t="b">
        <f>IFERROR(INDEX(Outliers!$AY$3:$AY$61,MATCH('SkYSPark Data_w Will''s Data'!C172,Outliers!$B$3:$B$61,0)),0)</f>
        <v>1</v>
      </c>
      <c r="AG172">
        <v>1.8349917914746401</v>
      </c>
    </row>
    <row r="173" spans="1:33" x14ac:dyDescent="0.3">
      <c r="A173" s="2">
        <v>44986</v>
      </c>
      <c r="B173" s="3">
        <f t="shared" si="15"/>
        <v>3</v>
      </c>
      <c r="C173" s="3" t="s">
        <v>140</v>
      </c>
      <c r="D173" s="3" t="str">
        <f>VLOOKUP(C173,'Data availability'!$A$2:$B$91,2,FALSE)</f>
        <v>South campus</v>
      </c>
      <c r="E173" s="3">
        <v>4320</v>
      </c>
      <c r="F173" s="3" t="str">
        <f>VLOOKUP(C173,'Data availability'!$A$2:$H$91,8,FALSE)</f>
        <v>Storage</v>
      </c>
      <c r="M173" s="21">
        <f t="shared" si="16"/>
        <v>0</v>
      </c>
      <c r="N173" s="21">
        <f t="shared" si="17"/>
        <v>0</v>
      </c>
      <c r="O173" s="21">
        <f t="shared" si="18"/>
        <v>0</v>
      </c>
      <c r="P173" s="21">
        <f t="shared" si="19"/>
        <v>0</v>
      </c>
      <c r="Z173" s="211" t="b">
        <f>IFERROR(INDEX(Outliers!$X$3:$X$61,MATCH('SkYSPark Data_w Will''s Data'!C173,Outliers!$B$3:$B$61,0)),0)</f>
        <v>1</v>
      </c>
      <c r="AA173" s="1" t="b">
        <f>IFERROR(INDEX(Outliers!$AP$3:$AP$61,MATCH('SkYSPark Data_w Will''s Data'!C173,Outliers!$B$3:$B$61,0)),0)</f>
        <v>1</v>
      </c>
      <c r="AB173" s="112" t="b">
        <f>IFERROR(INDEX(Outliers!$AY$3:$AY$61,MATCH('SkYSPark Data_w Will''s Data'!C173,Outliers!$B$3:$B$61,0)),0)</f>
        <v>1</v>
      </c>
      <c r="AG173">
        <v>1.7325418921928359</v>
      </c>
    </row>
    <row r="174" spans="1:33" x14ac:dyDescent="0.3">
      <c r="A174" s="2">
        <v>45017</v>
      </c>
      <c r="B174" s="3">
        <f t="shared" si="15"/>
        <v>4</v>
      </c>
      <c r="C174" s="3" t="s">
        <v>140</v>
      </c>
      <c r="D174" s="3" t="str">
        <f>VLOOKUP(C174,'Data availability'!$A$2:$B$91,2,FALSE)</f>
        <v>South campus</v>
      </c>
      <c r="E174" s="3">
        <v>4320</v>
      </c>
      <c r="F174" s="3" t="str">
        <f>VLOOKUP(C174,'Data availability'!$A$2:$H$91,8,FALSE)</f>
        <v>Storage</v>
      </c>
      <c r="M174" s="21">
        <f t="shared" si="16"/>
        <v>0</v>
      </c>
      <c r="N174" s="21">
        <f t="shared" si="17"/>
        <v>0</v>
      </c>
      <c r="O174" s="21">
        <f t="shared" si="18"/>
        <v>0</v>
      </c>
      <c r="P174" s="21">
        <f t="shared" si="19"/>
        <v>0</v>
      </c>
      <c r="Z174" s="211" t="b">
        <f>IFERROR(INDEX(Outliers!$X$3:$X$61,MATCH('SkYSPark Data_w Will''s Data'!C174,Outliers!$B$3:$B$61,0)),0)</f>
        <v>1</v>
      </c>
      <c r="AA174" s="1" t="b">
        <f>IFERROR(INDEX(Outliers!$AP$3:$AP$61,MATCH('SkYSPark Data_w Will''s Data'!C174,Outliers!$B$3:$B$61,0)),0)</f>
        <v>1</v>
      </c>
      <c r="AB174" s="112" t="b">
        <f>IFERROR(INDEX(Outliers!$AY$3:$AY$61,MATCH('SkYSPark Data_w Will''s Data'!C174,Outliers!$B$3:$B$61,0)),0)</f>
        <v>1</v>
      </c>
      <c r="AG174">
        <v>1.539621352917651</v>
      </c>
    </row>
    <row r="175" spans="1:33" x14ac:dyDescent="0.3">
      <c r="A175" s="2">
        <v>45047</v>
      </c>
      <c r="B175" s="3">
        <f t="shared" si="15"/>
        <v>5</v>
      </c>
      <c r="C175" s="3" t="s">
        <v>140</v>
      </c>
      <c r="D175" s="3" t="str">
        <f>VLOOKUP(C175,'Data availability'!$A$2:$B$91,2,FALSE)</f>
        <v>South campus</v>
      </c>
      <c r="E175" s="3">
        <v>4320</v>
      </c>
      <c r="F175" s="3" t="str">
        <f>VLOOKUP(C175,'Data availability'!$A$2:$H$91,8,FALSE)</f>
        <v>Storage</v>
      </c>
      <c r="M175" s="21">
        <f t="shared" si="16"/>
        <v>0</v>
      </c>
      <c r="N175" s="21">
        <f t="shared" si="17"/>
        <v>0</v>
      </c>
      <c r="O175" s="21">
        <f t="shared" si="18"/>
        <v>0</v>
      </c>
      <c r="P175" s="21">
        <f t="shared" si="19"/>
        <v>0</v>
      </c>
      <c r="Z175" s="211" t="b">
        <f>IFERROR(INDEX(Outliers!$X$3:$X$61,MATCH('SkYSPark Data_w Will''s Data'!C175,Outliers!$B$3:$B$61,0)),0)</f>
        <v>1</v>
      </c>
      <c r="AA175" s="1" t="b">
        <f>IFERROR(INDEX(Outliers!$AP$3:$AP$61,MATCH('SkYSPark Data_w Will''s Data'!C175,Outliers!$B$3:$B$61,0)),0)</f>
        <v>1</v>
      </c>
      <c r="AB175" s="112" t="b">
        <f>IFERROR(INDEX(Outliers!$AY$3:$AY$61,MATCH('SkYSPark Data_w Will''s Data'!C175,Outliers!$B$3:$B$61,0)),0)</f>
        <v>1</v>
      </c>
      <c r="AG175">
        <v>1.3846303763441119</v>
      </c>
    </row>
    <row r="176" spans="1:33" x14ac:dyDescent="0.3">
      <c r="A176" s="2">
        <v>45078</v>
      </c>
      <c r="B176" s="3">
        <f t="shared" si="15"/>
        <v>6</v>
      </c>
      <c r="C176" s="3" t="s">
        <v>140</v>
      </c>
      <c r="D176" s="3" t="str">
        <f>VLOOKUP(C176,'Data availability'!$A$2:$B$91,2,FALSE)</f>
        <v>South campus</v>
      </c>
      <c r="E176" s="3">
        <v>4320</v>
      </c>
      <c r="F176" s="3" t="str">
        <f>VLOOKUP(C176,'Data availability'!$A$2:$H$91,8,FALSE)</f>
        <v>Storage</v>
      </c>
      <c r="M176" s="21">
        <f t="shared" si="16"/>
        <v>0</v>
      </c>
      <c r="N176" s="21">
        <f t="shared" si="17"/>
        <v>0</v>
      </c>
      <c r="O176" s="21">
        <f t="shared" si="18"/>
        <v>0</v>
      </c>
      <c r="P176" s="21">
        <f t="shared" si="19"/>
        <v>0</v>
      </c>
      <c r="Z176" s="211" t="b">
        <f>IFERROR(INDEX(Outliers!$X$3:$X$61,MATCH('SkYSPark Data_w Will''s Data'!C176,Outliers!$B$3:$B$61,0)),0)</f>
        <v>1</v>
      </c>
      <c r="AA176" s="1" t="b">
        <f>IFERROR(INDEX(Outliers!$AP$3:$AP$61,MATCH('SkYSPark Data_w Will''s Data'!C176,Outliers!$B$3:$B$61,0)),0)</f>
        <v>1</v>
      </c>
      <c r="AB176" s="112" t="b">
        <f>IFERROR(INDEX(Outliers!$AY$3:$AY$61,MATCH('SkYSPark Data_w Will''s Data'!C176,Outliers!$B$3:$B$61,0)),0)</f>
        <v>1</v>
      </c>
      <c r="AG176">
        <v>1.4127434895833471</v>
      </c>
    </row>
    <row r="177" spans="1:34" x14ac:dyDescent="0.3">
      <c r="A177" s="2">
        <v>45108</v>
      </c>
      <c r="B177" s="3">
        <f t="shared" si="15"/>
        <v>7</v>
      </c>
      <c r="C177" s="3" t="s">
        <v>140</v>
      </c>
      <c r="D177" s="3" t="str">
        <f>VLOOKUP(C177,'Data availability'!$A$2:$B$91,2,FALSE)</f>
        <v>South campus</v>
      </c>
      <c r="E177" s="3">
        <v>4320</v>
      </c>
      <c r="F177" s="3" t="str">
        <f>VLOOKUP(C177,'Data availability'!$A$2:$H$91,8,FALSE)</f>
        <v>Storage</v>
      </c>
      <c r="M177" s="21">
        <f t="shared" si="16"/>
        <v>0</v>
      </c>
      <c r="N177" s="21">
        <f t="shared" si="17"/>
        <v>0</v>
      </c>
      <c r="O177" s="21">
        <f t="shared" si="18"/>
        <v>0</v>
      </c>
      <c r="P177" s="21">
        <f t="shared" si="19"/>
        <v>0</v>
      </c>
      <c r="Z177" s="211" t="b">
        <f>IFERROR(INDEX(Outliers!$X$3:$X$61,MATCH('SkYSPark Data_w Will''s Data'!C177,Outliers!$B$3:$B$61,0)),0)</f>
        <v>1</v>
      </c>
      <c r="AA177" s="1" t="b">
        <f>IFERROR(INDEX(Outliers!$AP$3:$AP$61,MATCH('SkYSPark Data_w Will''s Data'!C177,Outliers!$B$3:$B$61,0)),0)</f>
        <v>1</v>
      </c>
      <c r="AB177" s="112" t="b">
        <f>IFERROR(INDEX(Outliers!$AY$3:$AY$61,MATCH('SkYSPark Data_w Will''s Data'!C177,Outliers!$B$3:$B$61,0)),0)</f>
        <v>1</v>
      </c>
      <c r="AG177">
        <v>1.5036288439701619</v>
      </c>
    </row>
    <row r="178" spans="1:34" x14ac:dyDescent="0.3">
      <c r="A178" s="2">
        <v>45139</v>
      </c>
      <c r="B178" s="3">
        <f t="shared" si="15"/>
        <v>8</v>
      </c>
      <c r="C178" s="3" t="s">
        <v>140</v>
      </c>
      <c r="D178" s="3" t="str">
        <f>VLOOKUP(C178,'Data availability'!$A$2:$B$91,2,FALSE)</f>
        <v>South campus</v>
      </c>
      <c r="E178" s="3">
        <v>4320</v>
      </c>
      <c r="F178" s="3" t="str">
        <f>VLOOKUP(C178,'Data availability'!$A$2:$H$91,8,FALSE)</f>
        <v>Storage</v>
      </c>
      <c r="M178" s="21">
        <f t="shared" si="16"/>
        <v>0</v>
      </c>
      <c r="N178" s="21">
        <f t="shared" si="17"/>
        <v>0</v>
      </c>
      <c r="O178" s="21">
        <f t="shared" si="18"/>
        <v>0</v>
      </c>
      <c r="P178" s="21">
        <f t="shared" si="19"/>
        <v>0</v>
      </c>
      <c r="Z178" s="211" t="b">
        <f>IFERROR(INDEX(Outliers!$X$3:$X$61,MATCH('SkYSPark Data_w Will''s Data'!C178,Outliers!$B$3:$B$61,0)),0)</f>
        <v>1</v>
      </c>
      <c r="AA178" s="1" t="b">
        <f>IFERROR(INDEX(Outliers!$AP$3:$AP$61,MATCH('SkYSPark Data_w Will''s Data'!C178,Outliers!$B$3:$B$61,0)),0)</f>
        <v>1</v>
      </c>
      <c r="AB178" s="112" t="b">
        <f>IFERROR(INDEX(Outliers!$AY$3:$AY$61,MATCH('SkYSPark Data_w Will''s Data'!C178,Outliers!$B$3:$B$61,0)),0)</f>
        <v>1</v>
      </c>
      <c r="AG178">
        <v>1.7099876714868441</v>
      </c>
    </row>
    <row r="179" spans="1:34" x14ac:dyDescent="0.3">
      <c r="A179" s="2">
        <v>45170</v>
      </c>
      <c r="B179" s="3">
        <f t="shared" si="15"/>
        <v>9</v>
      </c>
      <c r="C179" s="3" t="s">
        <v>140</v>
      </c>
      <c r="D179" s="3" t="str">
        <f>VLOOKUP(C179,'Data availability'!$A$2:$B$91,2,FALSE)</f>
        <v>South campus</v>
      </c>
      <c r="E179" s="3">
        <v>4320</v>
      </c>
      <c r="F179" s="3" t="str">
        <f>VLOOKUP(C179,'Data availability'!$A$2:$H$91,8,FALSE)</f>
        <v>Storage</v>
      </c>
      <c r="M179" s="21">
        <f t="shared" si="16"/>
        <v>0</v>
      </c>
      <c r="N179" s="21">
        <f t="shared" si="17"/>
        <v>0</v>
      </c>
      <c r="O179" s="21">
        <f t="shared" si="18"/>
        <v>0</v>
      </c>
      <c r="P179" s="21">
        <f t="shared" si="19"/>
        <v>0</v>
      </c>
      <c r="Z179" s="211" t="b">
        <f>IFERROR(INDEX(Outliers!$X$3:$X$61,MATCH('SkYSPark Data_w Will''s Data'!C179,Outliers!$B$3:$B$61,0)),0)</f>
        <v>1</v>
      </c>
      <c r="AA179" s="1" t="b">
        <f>IFERROR(INDEX(Outliers!$AP$3:$AP$61,MATCH('SkYSPark Data_w Will''s Data'!C179,Outliers!$B$3:$B$61,0)),0)</f>
        <v>1</v>
      </c>
      <c r="AB179" s="112" t="b">
        <f>IFERROR(INDEX(Outliers!$AY$3:$AY$61,MATCH('SkYSPark Data_w Will''s Data'!C179,Outliers!$B$3:$B$61,0)),0)</f>
        <v>1</v>
      </c>
      <c r="AG179">
        <v>1.8359187500000009</v>
      </c>
    </row>
    <row r="180" spans="1:34" x14ac:dyDescent="0.3">
      <c r="A180" s="2">
        <v>45200</v>
      </c>
      <c r="B180" s="3">
        <f t="shared" si="15"/>
        <v>10</v>
      </c>
      <c r="C180" s="3" t="s">
        <v>140</v>
      </c>
      <c r="D180" s="3" t="str">
        <f>VLOOKUP(C180,'Data availability'!$A$2:$B$91,2,FALSE)</f>
        <v>South campus</v>
      </c>
      <c r="E180" s="3">
        <v>4320</v>
      </c>
      <c r="F180" s="3" t="str">
        <f>VLOOKUP(C180,'Data availability'!$A$2:$H$91,8,FALSE)</f>
        <v>Storage</v>
      </c>
      <c r="M180" s="21">
        <f t="shared" si="16"/>
        <v>0</v>
      </c>
      <c r="N180" s="21">
        <f t="shared" si="17"/>
        <v>0</v>
      </c>
      <c r="O180" s="21">
        <f t="shared" si="18"/>
        <v>0</v>
      </c>
      <c r="P180" s="21">
        <f t="shared" si="19"/>
        <v>0</v>
      </c>
      <c r="Z180" s="211" t="b">
        <f>IFERROR(INDEX(Outliers!$X$3:$X$61,MATCH('SkYSPark Data_w Will''s Data'!C180,Outliers!$B$3:$B$61,0)),0)</f>
        <v>1</v>
      </c>
      <c r="AA180" s="1" t="b">
        <f>IFERROR(INDEX(Outliers!$AP$3:$AP$61,MATCH('SkYSPark Data_w Will''s Data'!C180,Outliers!$B$3:$B$61,0)),0)</f>
        <v>1</v>
      </c>
      <c r="AB180" s="112" t="b">
        <f>IFERROR(INDEX(Outliers!$AY$3:$AY$61,MATCH('SkYSPark Data_w Will''s Data'!C180,Outliers!$B$3:$B$61,0)),0)</f>
        <v>1</v>
      </c>
      <c r="AG180">
        <v>1.889874042555665</v>
      </c>
    </row>
    <row r="181" spans="1:34" x14ac:dyDescent="0.3">
      <c r="A181" s="2">
        <v>45231</v>
      </c>
      <c r="B181" s="3">
        <f t="shared" si="15"/>
        <v>11</v>
      </c>
      <c r="C181" s="3" t="s">
        <v>140</v>
      </c>
      <c r="D181" s="3" t="str">
        <f>VLOOKUP(C181,'Data availability'!$A$2:$B$91,2,FALSE)</f>
        <v>South campus</v>
      </c>
      <c r="E181" s="3">
        <v>4320</v>
      </c>
      <c r="F181" s="3" t="str">
        <f>VLOOKUP(C181,'Data availability'!$A$2:$H$91,8,FALSE)</f>
        <v>Storage</v>
      </c>
      <c r="M181" s="21">
        <f t="shared" si="16"/>
        <v>0</v>
      </c>
      <c r="N181" s="21">
        <f t="shared" si="17"/>
        <v>0</v>
      </c>
      <c r="O181" s="21">
        <f t="shared" si="18"/>
        <v>0</v>
      </c>
      <c r="P181" s="21">
        <f t="shared" si="19"/>
        <v>0</v>
      </c>
      <c r="Z181" s="211" t="b">
        <f>IFERROR(INDEX(Outliers!$X$3:$X$61,MATCH('SkYSPark Data_w Will''s Data'!C181,Outliers!$B$3:$B$61,0)),0)</f>
        <v>1</v>
      </c>
      <c r="AA181" s="1" t="b">
        <f>IFERROR(INDEX(Outliers!$AP$3:$AP$61,MATCH('SkYSPark Data_w Will''s Data'!C181,Outliers!$B$3:$B$61,0)),0)</f>
        <v>1</v>
      </c>
      <c r="AB181" s="112" t="b">
        <f>IFERROR(INDEX(Outliers!$AY$3:$AY$61,MATCH('SkYSPark Data_w Will''s Data'!C181,Outliers!$B$3:$B$61,0)),0)</f>
        <v>1</v>
      </c>
      <c r="AG181">
        <v>1.8640375187909251</v>
      </c>
    </row>
    <row r="182" spans="1:34" s="69" customFormat="1" x14ac:dyDescent="0.3">
      <c r="A182" s="65">
        <v>45261</v>
      </c>
      <c r="B182" s="3">
        <f t="shared" si="15"/>
        <v>12</v>
      </c>
      <c r="C182" s="64" t="s">
        <v>140</v>
      </c>
      <c r="D182" s="64" t="str">
        <f>VLOOKUP(C182,'Data availability'!$A$2:$B$91,2,FALSE)</f>
        <v>South campus</v>
      </c>
      <c r="E182" s="64">
        <v>4320</v>
      </c>
      <c r="F182" s="3" t="str">
        <f>VLOOKUP(C182,'Data availability'!$A$2:$H$91,8,FALSE)</f>
        <v>Storage</v>
      </c>
      <c r="G182" s="66"/>
      <c r="H182" s="66"/>
      <c r="I182" s="66"/>
      <c r="J182" s="66"/>
      <c r="K182" s="66"/>
      <c r="L182" s="67"/>
      <c r="M182" s="21">
        <f t="shared" si="16"/>
        <v>0</v>
      </c>
      <c r="N182" s="21">
        <f t="shared" si="17"/>
        <v>0</v>
      </c>
      <c r="O182" s="21">
        <f t="shared" si="18"/>
        <v>0</v>
      </c>
      <c r="P182" s="21">
        <f t="shared" si="19"/>
        <v>0</v>
      </c>
      <c r="Q182" s="66"/>
      <c r="R182" s="66"/>
      <c r="S182" s="66"/>
      <c r="T182" s="66"/>
      <c r="U182" s="66"/>
      <c r="V182" s="68"/>
      <c r="W182" s="66"/>
      <c r="X182" s="67"/>
      <c r="Y182" s="66"/>
      <c r="Z182" s="211" t="b">
        <f>IFERROR(INDEX(Outliers!$X$3:$X$61,MATCH('SkYSPark Data_w Will''s Data'!C182,Outliers!$B$3:$B$61,0)),0)</f>
        <v>1</v>
      </c>
      <c r="AA182" s="1" t="b">
        <f>IFERROR(INDEX(Outliers!$AP$3:$AP$61,MATCH('SkYSPark Data_w Will''s Data'!C182,Outliers!$B$3:$B$61,0)),0)</f>
        <v>1</v>
      </c>
      <c r="AB182" s="112" t="b">
        <f>IFERROR(INDEX(Outliers!$AY$3:$AY$61,MATCH('SkYSPark Data_w Will''s Data'!C182,Outliers!$B$3:$B$61,0)),0)</f>
        <v>1</v>
      </c>
      <c r="AC182" s="112"/>
      <c r="AD182" s="134"/>
      <c r="AE182" s="134"/>
      <c r="AF182" s="134"/>
      <c r="AG182" s="69">
        <v>1.897911030176882</v>
      </c>
    </row>
    <row r="183" spans="1:34" x14ac:dyDescent="0.3">
      <c r="A183" s="2">
        <v>44927</v>
      </c>
      <c r="B183" s="3">
        <f t="shared" si="15"/>
        <v>1</v>
      </c>
      <c r="C183" s="3" t="s">
        <v>715</v>
      </c>
      <c r="D183" s="3" t="s">
        <v>522</v>
      </c>
      <c r="E183" s="98">
        <v>42019</v>
      </c>
      <c r="F183" s="3" t="s">
        <v>123</v>
      </c>
      <c r="I183" s="1">
        <v>583.26344086020731</v>
      </c>
      <c r="M183" s="21">
        <f t="shared" si="16"/>
        <v>0</v>
      </c>
      <c r="N183" s="21">
        <f t="shared" si="17"/>
        <v>1.3880945307127903</v>
      </c>
      <c r="O183" s="21">
        <f t="shared" si="18"/>
        <v>0</v>
      </c>
      <c r="P183" s="21">
        <f t="shared" si="19"/>
        <v>0</v>
      </c>
      <c r="R183" s="1">
        <f>(SUM(I183:I194)*100)/E183</f>
        <v>6.6345383437651062</v>
      </c>
      <c r="V183" s="33">
        <f>SUM(Q183:T183)</f>
        <v>6.6345383437651062</v>
      </c>
      <c r="W183" s="10" t="s">
        <v>283</v>
      </c>
      <c r="Y183" s="126" t="s">
        <v>455</v>
      </c>
      <c r="Z183" s="211" t="b">
        <f>IFERROR(INDEX(Outliers!$X$3:$X$61,MATCH('SkYSPark Data_w Will''s Data'!C183,Outliers!$B$3:$B$61,0)),0)</f>
        <v>1</v>
      </c>
      <c r="AA183" s="1" t="b">
        <f>IFERROR(INDEX(Outliers!$AP$3:$AP$61,MATCH('SkYSPark Data_w Will''s Data'!C183,Outliers!$B$3:$B$61,0)),0)</f>
        <v>1</v>
      </c>
      <c r="AB183" s="112" t="b">
        <f>IFERROR(INDEX(Outliers!$AY$3:$AY$61,MATCH('SkYSPark Data_w Will''s Data'!C183,Outliers!$B$3:$B$61,0)),0)</f>
        <v>1</v>
      </c>
      <c r="AC183" s="112" t="s">
        <v>392</v>
      </c>
      <c r="AD183" s="198" t="s">
        <v>574</v>
      </c>
      <c r="AE183" s="198"/>
      <c r="AF183" s="135"/>
      <c r="AH183">
        <v>1.945009610937698</v>
      </c>
    </row>
    <row r="184" spans="1:34" x14ac:dyDescent="0.3">
      <c r="A184" s="2">
        <v>44958</v>
      </c>
      <c r="B184" s="3">
        <f t="shared" si="15"/>
        <v>2</v>
      </c>
      <c r="C184" s="3" t="s">
        <v>715</v>
      </c>
      <c r="D184" s="3" t="s">
        <v>522</v>
      </c>
      <c r="E184" s="98">
        <v>42019</v>
      </c>
      <c r="F184" s="3" t="s">
        <v>123</v>
      </c>
      <c r="I184" s="1">
        <v>698.04115684093131</v>
      </c>
      <c r="M184" s="21">
        <f t="shared" si="16"/>
        <v>0</v>
      </c>
      <c r="N184" s="21">
        <f t="shared" si="17"/>
        <v>1.6612512359668992</v>
      </c>
      <c r="O184" s="21">
        <f t="shared" si="18"/>
        <v>0</v>
      </c>
      <c r="P184" s="21">
        <f t="shared" si="19"/>
        <v>0</v>
      </c>
      <c r="Z184" s="211" t="b">
        <f>IFERROR(INDEX(Outliers!$X$3:$X$61,MATCH('SkYSPark Data_w Will''s Data'!C184,Outliers!$B$3:$B$61,0)),0)</f>
        <v>1</v>
      </c>
      <c r="AA184" s="1" t="b">
        <f>IFERROR(INDEX(Outliers!$AP$3:$AP$61,MATCH('SkYSPark Data_w Will''s Data'!C184,Outliers!$B$3:$B$61,0)),0)</f>
        <v>1</v>
      </c>
      <c r="AB184" s="112" t="b">
        <f>IFERROR(INDEX(Outliers!$AY$3:$AY$61,MATCH('SkYSPark Data_w Will''s Data'!C184,Outliers!$B$3:$B$61,0)),0)</f>
        <v>1</v>
      </c>
      <c r="AC184" s="112" t="s">
        <v>392</v>
      </c>
      <c r="AF184" s="132"/>
      <c r="AH184">
        <v>2.5298250701838212</v>
      </c>
    </row>
    <row r="185" spans="1:34" x14ac:dyDescent="0.3">
      <c r="A185" s="2">
        <v>44986</v>
      </c>
      <c r="B185" s="3">
        <f t="shared" si="15"/>
        <v>3</v>
      </c>
      <c r="C185" s="3" t="s">
        <v>715</v>
      </c>
      <c r="D185" s="3" t="s">
        <v>522</v>
      </c>
      <c r="E185" s="98">
        <v>42019</v>
      </c>
      <c r="F185" s="3" t="s">
        <v>123</v>
      </c>
      <c r="I185" s="1">
        <v>570.24732626733055</v>
      </c>
      <c r="M185" s="21">
        <f t="shared" si="16"/>
        <v>0</v>
      </c>
      <c r="N185" s="21">
        <f t="shared" si="17"/>
        <v>1.3571177949673494</v>
      </c>
      <c r="O185" s="21">
        <f t="shared" si="18"/>
        <v>0</v>
      </c>
      <c r="P185" s="21">
        <f t="shared" si="19"/>
        <v>0</v>
      </c>
      <c r="Z185" s="211" t="b">
        <f>IFERROR(INDEX(Outliers!$X$3:$X$61,MATCH('SkYSPark Data_w Will''s Data'!C185,Outliers!$B$3:$B$61,0)),0)</f>
        <v>1</v>
      </c>
      <c r="AA185" s="1" t="b">
        <f>IFERROR(INDEX(Outliers!$AP$3:$AP$61,MATCH('SkYSPark Data_w Will''s Data'!C185,Outliers!$B$3:$B$61,0)),0)</f>
        <v>1</v>
      </c>
      <c r="AB185" s="112" t="b">
        <f>IFERROR(INDEX(Outliers!$AY$3:$AY$61,MATCH('SkYSPark Data_w Will''s Data'!C185,Outliers!$B$3:$B$61,0)),0)</f>
        <v>1</v>
      </c>
      <c r="AC185" s="112" t="s">
        <v>392</v>
      </c>
      <c r="AF185" s="132"/>
      <c r="AH185">
        <v>1.520178275094604</v>
      </c>
    </row>
    <row r="186" spans="1:34" x14ac:dyDescent="0.3">
      <c r="A186" s="2">
        <v>45017</v>
      </c>
      <c r="B186" s="3">
        <f t="shared" si="15"/>
        <v>4</v>
      </c>
      <c r="C186" s="3" t="s">
        <v>715</v>
      </c>
      <c r="D186" s="3" t="s">
        <v>522</v>
      </c>
      <c r="E186" s="98">
        <v>42019</v>
      </c>
      <c r="F186" s="3" t="s">
        <v>123</v>
      </c>
      <c r="I186" s="1">
        <v>145.8959926981918</v>
      </c>
      <c r="M186" s="21">
        <f t="shared" si="16"/>
        <v>0</v>
      </c>
      <c r="N186" s="21">
        <f t="shared" si="17"/>
        <v>0.34721433803325114</v>
      </c>
      <c r="O186" s="21">
        <f t="shared" si="18"/>
        <v>0</v>
      </c>
      <c r="P186" s="21">
        <f t="shared" si="19"/>
        <v>0</v>
      </c>
      <c r="Z186" s="211" t="b">
        <f>IFERROR(INDEX(Outliers!$X$3:$X$61,MATCH('SkYSPark Data_w Will''s Data'!C186,Outliers!$B$3:$B$61,0)),0)</f>
        <v>1</v>
      </c>
      <c r="AA186" s="1" t="b">
        <f>IFERROR(INDEX(Outliers!$AP$3:$AP$61,MATCH('SkYSPark Data_w Will''s Data'!C186,Outliers!$B$3:$B$61,0)),0)</f>
        <v>1</v>
      </c>
      <c r="AB186" s="112" t="b">
        <f>IFERROR(INDEX(Outliers!$AY$3:$AY$61,MATCH('SkYSPark Data_w Will''s Data'!C186,Outliers!$B$3:$B$61,0)),0)</f>
        <v>1</v>
      </c>
      <c r="AC186" s="112" t="s">
        <v>392</v>
      </c>
      <c r="AF186" s="132"/>
      <c r="AH186">
        <v>0.34419607370866162</v>
      </c>
    </row>
    <row r="187" spans="1:34" x14ac:dyDescent="0.3">
      <c r="A187" s="2">
        <v>45047</v>
      </c>
      <c r="B187" s="3">
        <f t="shared" si="15"/>
        <v>5</v>
      </c>
      <c r="C187" s="3" t="s">
        <v>715</v>
      </c>
      <c r="D187" s="3" t="s">
        <v>522</v>
      </c>
      <c r="E187" s="98">
        <v>42019</v>
      </c>
      <c r="F187" s="3" t="s">
        <v>123</v>
      </c>
      <c r="I187" s="1">
        <v>19.31874999999923</v>
      </c>
      <c r="M187" s="21">
        <f t="shared" si="16"/>
        <v>0</v>
      </c>
      <c r="N187" s="21">
        <f t="shared" si="17"/>
        <v>4.5976225041051026E-2</v>
      </c>
      <c r="O187" s="21">
        <f t="shared" si="18"/>
        <v>0</v>
      </c>
      <c r="P187" s="21">
        <f t="shared" si="19"/>
        <v>0</v>
      </c>
      <c r="Z187" s="211" t="b">
        <f>IFERROR(INDEX(Outliers!$X$3:$X$61,MATCH('SkYSPark Data_w Will''s Data'!C187,Outliers!$B$3:$B$61,0)),0)</f>
        <v>1</v>
      </c>
      <c r="AA187" s="1" t="b">
        <f>IFERROR(INDEX(Outliers!$AP$3:$AP$61,MATCH('SkYSPark Data_w Will''s Data'!C187,Outliers!$B$3:$B$61,0)),0)</f>
        <v>1</v>
      </c>
      <c r="AB187" s="112" t="b">
        <f>IFERROR(INDEX(Outliers!$AY$3:$AY$61,MATCH('SkYSPark Data_w Will''s Data'!C187,Outliers!$B$3:$B$61,0)),0)</f>
        <v>1</v>
      </c>
      <c r="AC187" s="112" t="s">
        <v>392</v>
      </c>
      <c r="AF187" s="132"/>
      <c r="AH187">
        <v>7.0242523521505798E-2</v>
      </c>
    </row>
    <row r="188" spans="1:34" x14ac:dyDescent="0.3">
      <c r="A188" s="2">
        <v>45078</v>
      </c>
      <c r="B188" s="3">
        <f t="shared" si="15"/>
        <v>6</v>
      </c>
      <c r="C188" s="3" t="s">
        <v>715</v>
      </c>
      <c r="D188" s="3" t="s">
        <v>522</v>
      </c>
      <c r="E188" s="98">
        <v>42019</v>
      </c>
      <c r="F188" s="3" t="s">
        <v>123</v>
      </c>
      <c r="I188" s="1">
        <v>0.39999999999999908</v>
      </c>
      <c r="M188" s="21">
        <f t="shared" si="16"/>
        <v>0</v>
      </c>
      <c r="N188" s="21">
        <f t="shared" si="17"/>
        <v>9.5195030819391008E-4</v>
      </c>
      <c r="O188" s="21">
        <f t="shared" si="18"/>
        <v>0</v>
      </c>
      <c r="P188" s="21">
        <f t="shared" si="19"/>
        <v>0</v>
      </c>
      <c r="Z188" s="211" t="b">
        <f>IFERROR(INDEX(Outliers!$X$3:$X$61,MATCH('SkYSPark Data_w Will''s Data'!C188,Outliers!$B$3:$B$61,0)),0)</f>
        <v>1</v>
      </c>
      <c r="AA188" s="1" t="b">
        <f>IFERROR(INDEX(Outliers!$AP$3:$AP$61,MATCH('SkYSPark Data_w Will''s Data'!C188,Outliers!$B$3:$B$61,0)),0)</f>
        <v>1</v>
      </c>
      <c r="AB188" s="112" t="b">
        <f>IFERROR(INDEX(Outliers!$AY$3:$AY$61,MATCH('SkYSPark Data_w Will''s Data'!C188,Outliers!$B$3:$B$61,0)),0)</f>
        <v>1</v>
      </c>
      <c r="AC188" s="112" t="s">
        <v>392</v>
      </c>
      <c r="AF188" s="132"/>
      <c r="AH188">
        <v>3.9500806451613218E-2</v>
      </c>
    </row>
    <row r="189" spans="1:34" x14ac:dyDescent="0.3">
      <c r="A189" s="2">
        <v>45108</v>
      </c>
      <c r="B189" s="3">
        <f t="shared" si="15"/>
        <v>7</v>
      </c>
      <c r="C189" s="3" t="s">
        <v>715</v>
      </c>
      <c r="D189" s="3" t="s">
        <v>522</v>
      </c>
      <c r="E189" s="98">
        <v>42019</v>
      </c>
      <c r="F189" s="3" t="s">
        <v>123</v>
      </c>
      <c r="I189" s="1">
        <v>0</v>
      </c>
      <c r="M189" s="21">
        <f t="shared" si="16"/>
        <v>0</v>
      </c>
      <c r="N189" s="21">
        <f t="shared" si="17"/>
        <v>0</v>
      </c>
      <c r="O189" s="21">
        <f t="shared" si="18"/>
        <v>0</v>
      </c>
      <c r="P189" s="21">
        <f t="shared" si="19"/>
        <v>0</v>
      </c>
      <c r="Z189" s="211" t="b">
        <f>IFERROR(INDEX(Outliers!$X$3:$X$61,MATCH('SkYSPark Data_w Will''s Data'!C189,Outliers!$B$3:$B$61,0)),0)</f>
        <v>1</v>
      </c>
      <c r="AA189" s="1" t="b">
        <f>IFERROR(INDEX(Outliers!$AP$3:$AP$61,MATCH('SkYSPark Data_w Will''s Data'!C189,Outliers!$B$3:$B$61,0)),0)</f>
        <v>1</v>
      </c>
      <c r="AB189" s="112" t="b">
        <f>IFERROR(INDEX(Outliers!$AY$3:$AY$61,MATCH('SkYSPark Data_w Will''s Data'!C189,Outliers!$B$3:$B$61,0)),0)</f>
        <v>1</v>
      </c>
      <c r="AC189" s="112" t="s">
        <v>392</v>
      </c>
      <c r="AF189" s="132"/>
      <c r="AH189">
        <v>3.9614550815122621E-2</v>
      </c>
    </row>
    <row r="190" spans="1:34" x14ac:dyDescent="0.3">
      <c r="A190" s="2">
        <v>45139</v>
      </c>
      <c r="B190" s="3">
        <f t="shared" si="15"/>
        <v>8</v>
      </c>
      <c r="C190" s="3" t="s">
        <v>715</v>
      </c>
      <c r="D190" s="3" t="s">
        <v>522</v>
      </c>
      <c r="E190" s="98">
        <v>42019</v>
      </c>
      <c r="F190" s="3" t="s">
        <v>123</v>
      </c>
      <c r="I190" s="1">
        <v>0</v>
      </c>
      <c r="M190" s="21">
        <f t="shared" si="16"/>
        <v>0</v>
      </c>
      <c r="N190" s="21">
        <f t="shared" si="17"/>
        <v>0</v>
      </c>
      <c r="O190" s="21">
        <f t="shared" si="18"/>
        <v>0</v>
      </c>
      <c r="P190" s="21">
        <f t="shared" si="19"/>
        <v>0</v>
      </c>
      <c r="Z190" s="211" t="b">
        <f>IFERROR(INDEX(Outliers!$X$3:$X$61,MATCH('SkYSPark Data_w Will''s Data'!C190,Outliers!$B$3:$B$61,0)),0)</f>
        <v>1</v>
      </c>
      <c r="AA190" s="1" t="b">
        <f>IFERROR(INDEX(Outliers!$AP$3:$AP$61,MATCH('SkYSPark Data_w Will''s Data'!C190,Outliers!$B$3:$B$61,0)),0)</f>
        <v>1</v>
      </c>
      <c r="AB190" s="112" t="b">
        <f>IFERROR(INDEX(Outliers!$AY$3:$AY$61,MATCH('SkYSPark Data_w Will''s Data'!C190,Outliers!$B$3:$B$61,0)),0)</f>
        <v>1</v>
      </c>
      <c r="AC190" s="112" t="s">
        <v>392</v>
      </c>
      <c r="AF190" s="132"/>
      <c r="AH190">
        <v>3.9914238640305202E-2</v>
      </c>
    </row>
    <row r="191" spans="1:34" x14ac:dyDescent="0.3">
      <c r="A191" s="2">
        <v>45170</v>
      </c>
      <c r="B191" s="3">
        <f t="shared" si="15"/>
        <v>9</v>
      </c>
      <c r="C191" s="3" t="s">
        <v>715</v>
      </c>
      <c r="D191" s="3" t="s">
        <v>522</v>
      </c>
      <c r="E191" s="98">
        <v>42019</v>
      </c>
      <c r="F191" s="3" t="s">
        <v>123</v>
      </c>
      <c r="I191" s="1">
        <v>0.79999999999999749</v>
      </c>
      <c r="M191" s="21">
        <f t="shared" si="16"/>
        <v>0</v>
      </c>
      <c r="N191" s="21">
        <f t="shared" si="17"/>
        <v>1.9039006163878184E-3</v>
      </c>
      <c r="O191" s="21">
        <f t="shared" si="18"/>
        <v>0</v>
      </c>
      <c r="P191" s="21">
        <f t="shared" si="19"/>
        <v>0</v>
      </c>
      <c r="Z191" s="211" t="b">
        <f>IFERROR(INDEX(Outliers!$X$3:$X$61,MATCH('SkYSPark Data_w Will''s Data'!C191,Outliers!$B$3:$B$61,0)),0)</f>
        <v>1</v>
      </c>
      <c r="AA191" s="1" t="b">
        <f>IFERROR(INDEX(Outliers!$AP$3:$AP$61,MATCH('SkYSPark Data_w Will''s Data'!C191,Outliers!$B$3:$B$61,0)),0)</f>
        <v>1</v>
      </c>
      <c r="AB191" s="112" t="b">
        <f>IFERROR(INDEX(Outliers!$AY$3:$AY$61,MATCH('SkYSPark Data_w Will''s Data'!C191,Outliers!$B$3:$B$61,0)),0)</f>
        <v>1</v>
      </c>
      <c r="AC191" s="112" t="s">
        <v>392</v>
      </c>
      <c r="AF191" s="132"/>
      <c r="AH191">
        <v>4.1561111111110348E-2</v>
      </c>
    </row>
    <row r="192" spans="1:34" x14ac:dyDescent="0.3">
      <c r="A192" s="2">
        <v>45200</v>
      </c>
      <c r="B192" s="3">
        <f t="shared" si="15"/>
        <v>10</v>
      </c>
      <c r="C192" s="3" t="s">
        <v>715</v>
      </c>
      <c r="D192" s="3" t="s">
        <v>522</v>
      </c>
      <c r="E192" s="98">
        <v>42019</v>
      </c>
      <c r="F192" s="3" t="s">
        <v>123</v>
      </c>
      <c r="I192" s="1">
        <v>42.079194630872799</v>
      </c>
      <c r="M192" s="21">
        <f t="shared" si="16"/>
        <v>0</v>
      </c>
      <c r="N192" s="21">
        <f t="shared" si="17"/>
        <v>0.10014325574352745</v>
      </c>
      <c r="O192" s="21">
        <f t="shared" si="18"/>
        <v>0</v>
      </c>
      <c r="P192" s="21">
        <f t="shared" si="19"/>
        <v>0</v>
      </c>
      <c r="Z192" s="211" t="b">
        <f>IFERROR(INDEX(Outliers!$X$3:$X$61,MATCH('SkYSPark Data_w Will''s Data'!C192,Outliers!$B$3:$B$61,0)),0)</f>
        <v>1</v>
      </c>
      <c r="AA192" s="1" t="b">
        <f>IFERROR(INDEX(Outliers!$AP$3:$AP$61,MATCH('SkYSPark Data_w Will''s Data'!C192,Outliers!$B$3:$B$61,0)),0)</f>
        <v>1</v>
      </c>
      <c r="AB192" s="112" t="b">
        <f>IFERROR(INDEX(Outliers!$AY$3:$AY$61,MATCH('SkYSPark Data_w Will''s Data'!C192,Outliers!$B$3:$B$61,0)),0)</f>
        <v>1</v>
      </c>
      <c r="AC192" s="112" t="s">
        <v>392</v>
      </c>
      <c r="AF192" s="132"/>
      <c r="AH192">
        <v>0.13358371220321871</v>
      </c>
    </row>
    <row r="193" spans="1:54" x14ac:dyDescent="0.3">
      <c r="A193" s="2">
        <v>45231</v>
      </c>
      <c r="B193" s="3">
        <f t="shared" si="15"/>
        <v>11</v>
      </c>
      <c r="C193" s="3" t="s">
        <v>715</v>
      </c>
      <c r="D193" s="3" t="s">
        <v>522</v>
      </c>
      <c r="E193" s="98">
        <v>42019</v>
      </c>
      <c r="F193" s="3" t="s">
        <v>123</v>
      </c>
      <c r="I193" s="1">
        <v>174.24983762719029</v>
      </c>
      <c r="M193" s="21">
        <f t="shared" si="16"/>
        <v>0</v>
      </c>
      <c r="N193" s="21">
        <f t="shared" si="17"/>
        <v>0.41469296657985738</v>
      </c>
      <c r="O193" s="21">
        <f t="shared" si="18"/>
        <v>0</v>
      </c>
      <c r="P193" s="21">
        <f t="shared" si="19"/>
        <v>0</v>
      </c>
      <c r="Z193" s="211" t="b">
        <f>IFERROR(INDEX(Outliers!$X$3:$X$61,MATCH('SkYSPark Data_w Will''s Data'!C193,Outliers!$B$3:$B$61,0)),0)</f>
        <v>1</v>
      </c>
      <c r="AA193" s="1" t="b">
        <f>IFERROR(INDEX(Outliers!$AP$3:$AP$61,MATCH('SkYSPark Data_w Will''s Data'!C193,Outliers!$B$3:$B$61,0)),0)</f>
        <v>1</v>
      </c>
      <c r="AB193" s="112" t="b">
        <f>IFERROR(INDEX(Outliers!$AY$3:$AY$61,MATCH('SkYSPark Data_w Will''s Data'!C193,Outliers!$B$3:$B$61,0)),0)</f>
        <v>1</v>
      </c>
      <c r="AC193" s="112" t="s">
        <v>392</v>
      </c>
      <c r="AF193" s="132"/>
      <c r="AH193">
        <v>0.49140035174018287</v>
      </c>
    </row>
    <row r="194" spans="1:54" x14ac:dyDescent="0.3">
      <c r="A194" s="2">
        <v>45261</v>
      </c>
      <c r="B194" s="3">
        <f t="shared" si="15"/>
        <v>12</v>
      </c>
      <c r="C194" s="3" t="s">
        <v>715</v>
      </c>
      <c r="D194" s="3" t="s">
        <v>522</v>
      </c>
      <c r="E194" s="98">
        <v>42019</v>
      </c>
      <c r="F194" s="3" t="s">
        <v>123</v>
      </c>
      <c r="I194" s="1">
        <v>553.47096774193665</v>
      </c>
      <c r="M194" s="21">
        <f t="shared" si="16"/>
        <v>0</v>
      </c>
      <c r="N194" s="21">
        <f t="shared" si="17"/>
        <v>1.3171921457957987</v>
      </c>
      <c r="O194" s="21">
        <f t="shared" si="18"/>
        <v>0</v>
      </c>
      <c r="P194" s="21">
        <f t="shared" si="19"/>
        <v>0</v>
      </c>
      <c r="Z194" s="211" t="b">
        <f>IFERROR(INDEX(Outliers!$X$3:$X$61,MATCH('SkYSPark Data_w Will''s Data'!C194,Outliers!$B$3:$B$61,0)),0)</f>
        <v>1</v>
      </c>
      <c r="AA194" s="1" t="b">
        <f>IFERROR(INDEX(Outliers!$AP$3:$AP$61,MATCH('SkYSPark Data_w Will''s Data'!C194,Outliers!$B$3:$B$61,0)),0)</f>
        <v>1</v>
      </c>
      <c r="AB194" s="112" t="b">
        <f>IFERROR(INDEX(Outliers!$AY$3:$AY$61,MATCH('SkYSPark Data_w Will''s Data'!C194,Outliers!$B$3:$B$61,0)),0)</f>
        <v>1</v>
      </c>
      <c r="AC194" s="112" t="s">
        <v>392</v>
      </c>
      <c r="AF194" s="132"/>
      <c r="AH194">
        <v>1.5615027748872741</v>
      </c>
    </row>
    <row r="195" spans="1:54" s="15" customFormat="1" x14ac:dyDescent="0.3">
      <c r="A195" s="38">
        <v>43101</v>
      </c>
      <c r="B195" s="3">
        <f t="shared" si="15"/>
        <v>1</v>
      </c>
      <c r="C195" s="22" t="s">
        <v>142</v>
      </c>
      <c r="D195" s="3" t="str">
        <f>VLOOKUP(C195,'Data availability'!$A$2:$B$91,2,FALSE)</f>
        <v>Main campus</v>
      </c>
      <c r="E195" s="22">
        <v>29182</v>
      </c>
      <c r="F195" s="3" t="str">
        <f>VLOOKUP(C195,'Data availability'!$A$2:$H$91,8,FALSE)</f>
        <v>Warehouse</v>
      </c>
      <c r="G195" s="21"/>
      <c r="H195" s="21"/>
      <c r="I195" s="21"/>
      <c r="J195" s="21"/>
      <c r="K195" s="21"/>
      <c r="L195" s="20">
        <v>163.19999999999959</v>
      </c>
      <c r="M195" s="21">
        <f t="shared" si="16"/>
        <v>0</v>
      </c>
      <c r="N195" s="21">
        <f t="shared" si="17"/>
        <v>0</v>
      </c>
      <c r="O195" s="21">
        <f t="shared" si="18"/>
        <v>0</v>
      </c>
      <c r="P195" s="21">
        <f t="shared" si="19"/>
        <v>0</v>
      </c>
      <c r="Q195" s="21"/>
      <c r="R195" s="21"/>
      <c r="S195" s="21"/>
      <c r="T195" s="21"/>
      <c r="U195" s="21">
        <f>(SUM(L195:L206)*92)/E195</f>
        <v>5.3822301418683134</v>
      </c>
      <c r="V195" s="34">
        <f>SUM(Q195:U195)</f>
        <v>5.3822301418683134</v>
      </c>
      <c r="W195" s="19" t="s">
        <v>31</v>
      </c>
      <c r="X195" s="20"/>
      <c r="Y195" s="21" t="s">
        <v>565</v>
      </c>
      <c r="Z195" s="211" t="b">
        <f>IFERROR(INDEX(Outliers!$X$3:$X$61,MATCH('SkYSPark Data_w Will''s Data'!C195,Outliers!$B$3:$B$61,0)),0)</f>
        <v>1</v>
      </c>
      <c r="AA195" s="1" t="b">
        <f>IFERROR(INDEX(Outliers!$AP$3:$AP$61,MATCH('SkYSPark Data_w Will''s Data'!C195,Outliers!$B$3:$B$61,0)),0)</f>
        <v>1</v>
      </c>
      <c r="AB195" s="112" t="b">
        <f>IFERROR(INDEX(Outliers!$AY$3:$AY$61,MATCH('SkYSPark Data_w Will''s Data'!C195,Outliers!$B$3:$B$61,0)),0)</f>
        <v>1</v>
      </c>
      <c r="AC195" s="112" t="s">
        <v>392</v>
      </c>
      <c r="AD195" s="138"/>
      <c r="AE195" s="138"/>
      <c r="AF195" s="137"/>
      <c r="BB195" s="15">
        <v>1.276532258064526</v>
      </c>
    </row>
    <row r="196" spans="1:54" x14ac:dyDescent="0.3">
      <c r="A196" s="2">
        <v>43132</v>
      </c>
      <c r="B196" s="3">
        <f t="shared" si="15"/>
        <v>2</v>
      </c>
      <c r="C196" s="3" t="s">
        <v>142</v>
      </c>
      <c r="D196" s="3" t="str">
        <f>VLOOKUP(C196,'Data availability'!$A$2:$B$91,2,FALSE)</f>
        <v>Main campus</v>
      </c>
      <c r="E196" s="3">
        <v>29182</v>
      </c>
      <c r="F196" s="3" t="str">
        <f>VLOOKUP(C196,'Data availability'!$A$2:$H$91,8,FALSE)</f>
        <v>Warehouse</v>
      </c>
      <c r="L196" s="23">
        <v>175.60000000000241</v>
      </c>
      <c r="M196" s="21">
        <f t="shared" si="16"/>
        <v>0</v>
      </c>
      <c r="N196" s="21">
        <f t="shared" si="17"/>
        <v>0</v>
      </c>
      <c r="O196" s="21">
        <f t="shared" si="18"/>
        <v>0</v>
      </c>
      <c r="P196" s="21">
        <f t="shared" si="19"/>
        <v>0</v>
      </c>
      <c r="Z196" s="211" t="b">
        <f>IFERROR(INDEX(Outliers!$X$3:$X$61,MATCH('SkYSPark Data_w Will''s Data'!C196,Outliers!$B$3:$B$61,0)),0)</f>
        <v>1</v>
      </c>
      <c r="AA196" s="1" t="b">
        <f>IFERROR(INDEX(Outliers!$AP$3:$AP$61,MATCH('SkYSPark Data_w Will''s Data'!C196,Outliers!$B$3:$B$61,0)),0)</f>
        <v>1</v>
      </c>
      <c r="AB196" s="112" t="b">
        <f>IFERROR(INDEX(Outliers!$AY$3:$AY$61,MATCH('SkYSPark Data_w Will''s Data'!C196,Outliers!$B$3:$B$61,0)),0)</f>
        <v>1</v>
      </c>
      <c r="AC196" s="112" t="s">
        <v>392</v>
      </c>
      <c r="AF196" s="132"/>
      <c r="BB196">
        <v>1.519880952380958</v>
      </c>
    </row>
    <row r="197" spans="1:54" x14ac:dyDescent="0.3">
      <c r="A197" s="2">
        <v>43160</v>
      </c>
      <c r="B197" s="3">
        <f t="shared" si="15"/>
        <v>3</v>
      </c>
      <c r="C197" s="3" t="s">
        <v>142</v>
      </c>
      <c r="D197" s="3" t="str">
        <f>VLOOKUP(C197,'Data availability'!$A$2:$B$91,2,FALSE)</f>
        <v>Main campus</v>
      </c>
      <c r="E197" s="3">
        <v>29182</v>
      </c>
      <c r="F197" s="3" t="str">
        <f>VLOOKUP(C197,'Data availability'!$A$2:$H$91,8,FALSE)</f>
        <v>Warehouse</v>
      </c>
      <c r="L197" s="23">
        <v>143.1000000000013</v>
      </c>
      <c r="M197" s="21">
        <f t="shared" si="16"/>
        <v>0</v>
      </c>
      <c r="N197" s="21">
        <f t="shared" si="17"/>
        <v>0</v>
      </c>
      <c r="O197" s="21">
        <f t="shared" si="18"/>
        <v>0</v>
      </c>
      <c r="P197" s="21">
        <f t="shared" si="19"/>
        <v>0</v>
      </c>
      <c r="Z197" s="211" t="b">
        <f>IFERROR(INDEX(Outliers!$X$3:$X$61,MATCH('SkYSPark Data_w Will''s Data'!C197,Outliers!$B$3:$B$61,0)),0)</f>
        <v>1</v>
      </c>
      <c r="AA197" s="1" t="b">
        <f>IFERROR(INDEX(Outliers!$AP$3:$AP$61,MATCH('SkYSPark Data_w Will''s Data'!C197,Outliers!$B$3:$B$61,0)),0)</f>
        <v>1</v>
      </c>
      <c r="AB197" s="112" t="b">
        <f>IFERROR(INDEX(Outliers!$AY$3:$AY$61,MATCH('SkYSPark Data_w Will''s Data'!C197,Outliers!$B$3:$B$61,0)),0)</f>
        <v>1</v>
      </c>
      <c r="AC197" s="112" t="s">
        <v>392</v>
      </c>
      <c r="AF197" s="132"/>
      <c r="BB197">
        <v>1.130215343203218</v>
      </c>
    </row>
    <row r="198" spans="1:54" x14ac:dyDescent="0.3">
      <c r="A198" s="2">
        <v>43191</v>
      </c>
      <c r="B198" s="3">
        <f t="shared" si="15"/>
        <v>4</v>
      </c>
      <c r="C198" s="3" t="s">
        <v>142</v>
      </c>
      <c r="D198" s="3" t="str">
        <f>VLOOKUP(C198,'Data availability'!$A$2:$B$91,2,FALSE)</f>
        <v>Main campus</v>
      </c>
      <c r="E198" s="3">
        <v>29182</v>
      </c>
      <c r="F198" s="3" t="str">
        <f>VLOOKUP(C198,'Data availability'!$A$2:$H$91,8,FALSE)</f>
        <v>Warehouse</v>
      </c>
      <c r="L198" s="23">
        <v>198.020000000001</v>
      </c>
      <c r="M198" s="21">
        <f t="shared" si="16"/>
        <v>0</v>
      </c>
      <c r="N198" s="21">
        <f t="shared" si="17"/>
        <v>0</v>
      </c>
      <c r="O198" s="21">
        <f t="shared" si="18"/>
        <v>0</v>
      </c>
      <c r="P198" s="21">
        <f t="shared" si="19"/>
        <v>0</v>
      </c>
      <c r="Z198" s="211" t="b">
        <f>IFERROR(INDEX(Outliers!$X$3:$X$61,MATCH('SkYSPark Data_w Will''s Data'!C198,Outliers!$B$3:$B$61,0)),0)</f>
        <v>1</v>
      </c>
      <c r="AA198" s="1" t="b">
        <f>IFERROR(INDEX(Outliers!$AP$3:$AP$61,MATCH('SkYSPark Data_w Will''s Data'!C198,Outliers!$B$3:$B$61,0)),0)</f>
        <v>1</v>
      </c>
      <c r="AB198" s="112" t="b">
        <f>IFERROR(INDEX(Outliers!$AY$3:$AY$61,MATCH('SkYSPark Data_w Will''s Data'!C198,Outliers!$B$3:$B$61,0)),0)</f>
        <v>1</v>
      </c>
      <c r="AC198" s="112" t="s">
        <v>392</v>
      </c>
      <c r="AF198" s="132"/>
      <c r="BB198">
        <v>1.6074861111111109</v>
      </c>
    </row>
    <row r="199" spans="1:54" x14ac:dyDescent="0.3">
      <c r="A199" s="2">
        <v>43221</v>
      </c>
      <c r="B199" s="3">
        <f t="shared" si="15"/>
        <v>5</v>
      </c>
      <c r="C199" s="3" t="s">
        <v>142</v>
      </c>
      <c r="D199" s="3" t="str">
        <f>VLOOKUP(C199,'Data availability'!$A$2:$B$91,2,FALSE)</f>
        <v>Main campus</v>
      </c>
      <c r="E199" s="3">
        <v>29182</v>
      </c>
      <c r="F199" s="3" t="str">
        <f>VLOOKUP(C199,'Data availability'!$A$2:$H$91,8,FALSE)</f>
        <v>Warehouse</v>
      </c>
      <c r="L199" s="23">
        <v>0</v>
      </c>
      <c r="M199" s="21">
        <f t="shared" si="16"/>
        <v>0</v>
      </c>
      <c r="N199" s="21">
        <f t="shared" si="17"/>
        <v>0</v>
      </c>
      <c r="O199" s="21">
        <f t="shared" si="18"/>
        <v>0</v>
      </c>
      <c r="P199" s="21">
        <f t="shared" si="19"/>
        <v>0</v>
      </c>
      <c r="Z199" s="211" t="b">
        <f>IFERROR(INDEX(Outliers!$X$3:$X$61,MATCH('SkYSPark Data_w Will''s Data'!C199,Outliers!$B$3:$B$61,0)),0)</f>
        <v>1</v>
      </c>
      <c r="AA199" s="1" t="b">
        <f>IFERROR(INDEX(Outliers!$AP$3:$AP$61,MATCH('SkYSPark Data_w Will''s Data'!C199,Outliers!$B$3:$B$61,0)),0)</f>
        <v>1</v>
      </c>
      <c r="AB199" s="112" t="b">
        <f>IFERROR(INDEX(Outliers!$AY$3:$AY$61,MATCH('SkYSPark Data_w Will''s Data'!C199,Outliers!$B$3:$B$61,0)),0)</f>
        <v>1</v>
      </c>
      <c r="AC199" s="112" t="s">
        <v>392</v>
      </c>
      <c r="AF199" s="132"/>
      <c r="BB199">
        <v>0</v>
      </c>
    </row>
    <row r="200" spans="1:54" x14ac:dyDescent="0.3">
      <c r="A200" s="2">
        <v>43252</v>
      </c>
      <c r="B200" s="3">
        <f t="shared" si="15"/>
        <v>6</v>
      </c>
      <c r="C200" s="3" t="s">
        <v>142</v>
      </c>
      <c r="D200" s="3" t="str">
        <f>VLOOKUP(C200,'Data availability'!$A$2:$B$91,2,FALSE)</f>
        <v>Main campus</v>
      </c>
      <c r="E200" s="3">
        <v>29182</v>
      </c>
      <c r="F200" s="3" t="str">
        <f>VLOOKUP(C200,'Data availability'!$A$2:$H$91,8,FALSE)</f>
        <v>Warehouse</v>
      </c>
      <c r="L200" s="23">
        <v>205.6000000000025</v>
      </c>
      <c r="M200" s="21">
        <f t="shared" si="16"/>
        <v>0</v>
      </c>
      <c r="N200" s="21">
        <f t="shared" si="17"/>
        <v>0</v>
      </c>
      <c r="O200" s="21">
        <f t="shared" si="18"/>
        <v>0</v>
      </c>
      <c r="P200" s="21">
        <f t="shared" si="19"/>
        <v>0</v>
      </c>
      <c r="Z200" s="211" t="b">
        <f>IFERROR(INDEX(Outliers!$X$3:$X$61,MATCH('SkYSPark Data_w Will''s Data'!C200,Outliers!$B$3:$B$61,0)),0)</f>
        <v>1</v>
      </c>
      <c r="AA200" s="1" t="b">
        <f>IFERROR(INDEX(Outliers!$AP$3:$AP$61,MATCH('SkYSPark Data_w Will''s Data'!C200,Outliers!$B$3:$B$61,0)),0)</f>
        <v>1</v>
      </c>
      <c r="AB200" s="112" t="b">
        <f>IFERROR(INDEX(Outliers!$AY$3:$AY$61,MATCH('SkYSPark Data_w Will''s Data'!C200,Outliers!$B$3:$B$61,0)),0)</f>
        <v>1</v>
      </c>
      <c r="AC200" s="112" t="s">
        <v>392</v>
      </c>
      <c r="AF200" s="132"/>
      <c r="BB200">
        <v>1.6682777777777971</v>
      </c>
    </row>
    <row r="201" spans="1:54" x14ac:dyDescent="0.3">
      <c r="A201" s="2">
        <v>43282</v>
      </c>
      <c r="B201" s="3">
        <f t="shared" ref="B201:B264" si="20">MONTH(A201)</f>
        <v>7</v>
      </c>
      <c r="C201" s="3" t="s">
        <v>142</v>
      </c>
      <c r="D201" s="3" t="str">
        <f>VLOOKUP(C201,'Data availability'!$A$2:$B$91,2,FALSE)</f>
        <v>Main campus</v>
      </c>
      <c r="E201" s="3">
        <v>29182</v>
      </c>
      <c r="F201" s="3" t="str">
        <f>VLOOKUP(C201,'Data availability'!$A$2:$H$91,8,FALSE)</f>
        <v>Warehouse</v>
      </c>
      <c r="L201" s="23">
        <v>114.6000000000009</v>
      </c>
      <c r="M201" s="21">
        <f t="shared" ref="M201:M231" si="21">IFERROR((G201*3.412)/E201,0)</f>
        <v>0</v>
      </c>
      <c r="N201" s="21">
        <f t="shared" ref="N201:N231" si="22">IFERROR((I201*100)/E201,0)</f>
        <v>0</v>
      </c>
      <c r="O201" s="21">
        <f t="shared" ref="O201:O231" si="23">IFERROR((J201*100)/E201,0)</f>
        <v>0</v>
      </c>
      <c r="P201" s="21">
        <f t="shared" ref="P201:P231" si="24">IFERROR((K201*12)/E201,0)</f>
        <v>0</v>
      </c>
      <c r="Z201" s="211" t="b">
        <f>IFERROR(INDEX(Outliers!$X$3:$X$61,MATCH('SkYSPark Data_w Will''s Data'!C201,Outliers!$B$3:$B$61,0)),0)</f>
        <v>1</v>
      </c>
      <c r="AA201" s="1" t="b">
        <f>IFERROR(INDEX(Outliers!$AP$3:$AP$61,MATCH('SkYSPark Data_w Will''s Data'!C201,Outliers!$B$3:$B$61,0)),0)</f>
        <v>1</v>
      </c>
      <c r="AB201" s="112" t="b">
        <f>IFERROR(INDEX(Outliers!$AY$3:$AY$61,MATCH('SkYSPark Data_w Will''s Data'!C201,Outliers!$B$3:$B$61,0)),0)</f>
        <v>1</v>
      </c>
      <c r="AC201" s="112" t="s">
        <v>392</v>
      </c>
      <c r="AF201" s="132"/>
      <c r="BB201">
        <v>0.90858870967743111</v>
      </c>
    </row>
    <row r="202" spans="1:54" x14ac:dyDescent="0.3">
      <c r="A202" s="2">
        <v>43313</v>
      </c>
      <c r="B202" s="3">
        <f t="shared" si="20"/>
        <v>8</v>
      </c>
      <c r="C202" s="3" t="s">
        <v>142</v>
      </c>
      <c r="D202" s="3" t="str">
        <f>VLOOKUP(C202,'Data availability'!$A$2:$B$91,2,FALSE)</f>
        <v>Main campus</v>
      </c>
      <c r="E202" s="3">
        <v>29182</v>
      </c>
      <c r="F202" s="3" t="str">
        <f>VLOOKUP(C202,'Data availability'!$A$2:$H$91,8,FALSE)</f>
        <v>Warehouse</v>
      </c>
      <c r="M202" s="21">
        <f t="shared" si="21"/>
        <v>0</v>
      </c>
      <c r="N202" s="21">
        <f t="shared" si="22"/>
        <v>0</v>
      </c>
      <c r="O202" s="21">
        <f t="shared" si="23"/>
        <v>0</v>
      </c>
      <c r="P202" s="21">
        <f t="shared" si="24"/>
        <v>0</v>
      </c>
      <c r="Z202" s="211" t="b">
        <f>IFERROR(INDEX(Outliers!$X$3:$X$61,MATCH('SkYSPark Data_w Will''s Data'!C202,Outliers!$B$3:$B$61,0)),0)</f>
        <v>1</v>
      </c>
      <c r="AA202" s="1" t="b">
        <f>IFERROR(INDEX(Outliers!$AP$3:$AP$61,MATCH('SkYSPark Data_w Will''s Data'!C202,Outliers!$B$3:$B$61,0)),0)</f>
        <v>1</v>
      </c>
      <c r="AB202" s="112" t="b">
        <f>IFERROR(INDEX(Outliers!$AY$3:$AY$61,MATCH('SkYSPark Data_w Will''s Data'!C202,Outliers!$B$3:$B$61,0)),0)</f>
        <v>1</v>
      </c>
      <c r="AC202" s="112" t="s">
        <v>392</v>
      </c>
      <c r="AF202" s="132"/>
    </row>
    <row r="203" spans="1:54" x14ac:dyDescent="0.3">
      <c r="A203" s="2">
        <v>43344</v>
      </c>
      <c r="B203" s="3">
        <f t="shared" si="20"/>
        <v>9</v>
      </c>
      <c r="C203" s="3" t="s">
        <v>142</v>
      </c>
      <c r="D203" s="3" t="str">
        <f>VLOOKUP(C203,'Data availability'!$A$2:$B$91,2,FALSE)</f>
        <v>Main campus</v>
      </c>
      <c r="E203" s="3">
        <v>29182</v>
      </c>
      <c r="F203" s="3" t="str">
        <f>VLOOKUP(C203,'Data availability'!$A$2:$H$91,8,FALSE)</f>
        <v>Warehouse</v>
      </c>
      <c r="L203" s="23">
        <v>383.80000000000302</v>
      </c>
      <c r="M203" s="21">
        <f t="shared" si="21"/>
        <v>0</v>
      </c>
      <c r="N203" s="21">
        <f t="shared" si="22"/>
        <v>0</v>
      </c>
      <c r="O203" s="21">
        <f t="shared" si="23"/>
        <v>0</v>
      </c>
      <c r="P203" s="21">
        <f t="shared" si="24"/>
        <v>0</v>
      </c>
      <c r="Z203" s="211" t="b">
        <f>IFERROR(INDEX(Outliers!$X$3:$X$61,MATCH('SkYSPark Data_w Will''s Data'!C203,Outliers!$B$3:$B$61,0)),0)</f>
        <v>1</v>
      </c>
      <c r="AA203" s="1" t="b">
        <f>IFERROR(INDEX(Outliers!$AP$3:$AP$61,MATCH('SkYSPark Data_w Will''s Data'!C203,Outliers!$B$3:$B$61,0)),0)</f>
        <v>1</v>
      </c>
      <c r="AB203" s="112" t="b">
        <f>IFERROR(INDEX(Outliers!$AY$3:$AY$61,MATCH('SkYSPark Data_w Will''s Data'!C203,Outliers!$B$3:$B$61,0)),0)</f>
        <v>1</v>
      </c>
      <c r="AC203" s="112" t="s">
        <v>392</v>
      </c>
      <c r="AF203" s="132"/>
      <c r="BB203">
        <v>3.1415277777777999</v>
      </c>
    </row>
    <row r="204" spans="1:54" x14ac:dyDescent="0.3">
      <c r="A204" s="2">
        <v>43374</v>
      </c>
      <c r="B204" s="3">
        <f t="shared" si="20"/>
        <v>10</v>
      </c>
      <c r="C204" s="3" t="s">
        <v>142</v>
      </c>
      <c r="D204" s="3" t="str">
        <f>VLOOKUP(C204,'Data availability'!$A$2:$B$91,2,FALSE)</f>
        <v>Main campus</v>
      </c>
      <c r="E204" s="3">
        <v>29182</v>
      </c>
      <c r="F204" s="3" t="str">
        <f>VLOOKUP(C204,'Data availability'!$A$2:$H$91,8,FALSE)</f>
        <v>Warehouse</v>
      </c>
      <c r="L204" s="23">
        <v>160.1000000000019</v>
      </c>
      <c r="M204" s="21">
        <f t="shared" si="21"/>
        <v>0</v>
      </c>
      <c r="N204" s="21">
        <f t="shared" si="22"/>
        <v>0</v>
      </c>
      <c r="O204" s="21">
        <f t="shared" si="23"/>
        <v>0</v>
      </c>
      <c r="P204" s="21">
        <f t="shared" si="24"/>
        <v>0</v>
      </c>
      <c r="Z204" s="211" t="b">
        <f>IFERROR(INDEX(Outliers!$X$3:$X$61,MATCH('SkYSPark Data_w Will''s Data'!C204,Outliers!$B$3:$B$61,0)),0)</f>
        <v>1</v>
      </c>
      <c r="AA204" s="1" t="b">
        <f>IFERROR(INDEX(Outliers!$AP$3:$AP$61,MATCH('SkYSPark Data_w Will''s Data'!C204,Outliers!$B$3:$B$61,0)),0)</f>
        <v>1</v>
      </c>
      <c r="AB204" s="112" t="b">
        <f>IFERROR(INDEX(Outliers!$AY$3:$AY$61,MATCH('SkYSPark Data_w Will''s Data'!C204,Outliers!$B$3:$B$61,0)),0)</f>
        <v>1</v>
      </c>
      <c r="AC204" s="112" t="s">
        <v>392</v>
      </c>
      <c r="AF204" s="132"/>
      <c r="BB204">
        <v>1.351021505376359</v>
      </c>
    </row>
    <row r="205" spans="1:54" x14ac:dyDescent="0.3">
      <c r="A205" s="2">
        <v>43405</v>
      </c>
      <c r="B205" s="3">
        <f t="shared" si="20"/>
        <v>11</v>
      </c>
      <c r="C205" s="3" t="s">
        <v>142</v>
      </c>
      <c r="D205" s="3" t="str">
        <f>VLOOKUP(C205,'Data availability'!$A$2:$B$91,2,FALSE)</f>
        <v>Main campus</v>
      </c>
      <c r="E205" s="3">
        <v>29182</v>
      </c>
      <c r="F205" s="3" t="str">
        <f>VLOOKUP(C205,'Data availability'!$A$2:$H$91,8,FALSE)</f>
        <v>Warehouse</v>
      </c>
      <c r="M205" s="21">
        <f t="shared" si="21"/>
        <v>0</v>
      </c>
      <c r="N205" s="21">
        <f t="shared" si="22"/>
        <v>0</v>
      </c>
      <c r="O205" s="21">
        <f t="shared" si="23"/>
        <v>0</v>
      </c>
      <c r="P205" s="21">
        <f t="shared" si="24"/>
        <v>0</v>
      </c>
      <c r="Z205" s="211" t="b">
        <f>IFERROR(INDEX(Outliers!$X$3:$X$61,MATCH('SkYSPark Data_w Will''s Data'!C205,Outliers!$B$3:$B$61,0)),0)</f>
        <v>1</v>
      </c>
      <c r="AA205" s="1" t="b">
        <f>IFERROR(INDEX(Outliers!$AP$3:$AP$61,MATCH('SkYSPark Data_w Will''s Data'!C205,Outliers!$B$3:$B$61,0)),0)</f>
        <v>1</v>
      </c>
      <c r="AB205" s="112" t="b">
        <f>IFERROR(INDEX(Outliers!$AY$3:$AY$61,MATCH('SkYSPark Data_w Will''s Data'!C205,Outliers!$B$3:$B$61,0)),0)</f>
        <v>1</v>
      </c>
      <c r="AC205" s="112" t="s">
        <v>392</v>
      </c>
      <c r="AF205" s="132"/>
    </row>
    <row r="206" spans="1:54" x14ac:dyDescent="0.3">
      <c r="A206" s="2">
        <v>43435</v>
      </c>
      <c r="B206" s="3">
        <f t="shared" si="20"/>
        <v>12</v>
      </c>
      <c r="C206" s="3" t="s">
        <v>142</v>
      </c>
      <c r="D206" s="3" t="str">
        <f>VLOOKUP(C206,'Data availability'!$A$2:$B$91,2,FALSE)</f>
        <v>Main campus</v>
      </c>
      <c r="E206" s="3">
        <v>29182</v>
      </c>
      <c r="F206" s="3" t="str">
        <f>VLOOKUP(C206,'Data availability'!$A$2:$H$91,8,FALSE)</f>
        <v>Warehouse</v>
      </c>
      <c r="L206" s="23">
        <v>163.19999999999959</v>
      </c>
      <c r="M206" s="21">
        <f t="shared" si="21"/>
        <v>0</v>
      </c>
      <c r="N206" s="21">
        <f t="shared" si="22"/>
        <v>0</v>
      </c>
      <c r="O206" s="21">
        <f t="shared" si="23"/>
        <v>0</v>
      </c>
      <c r="P206" s="21">
        <f t="shared" si="24"/>
        <v>0</v>
      </c>
      <c r="Z206" s="211" t="b">
        <f>IFERROR(INDEX(Outliers!$X$3:$X$61,MATCH('SkYSPark Data_w Will''s Data'!C206,Outliers!$B$3:$B$61,0)),0)</f>
        <v>1</v>
      </c>
      <c r="AA206" s="1" t="b">
        <f>IFERROR(INDEX(Outliers!$AP$3:$AP$61,MATCH('SkYSPark Data_w Will''s Data'!C206,Outliers!$B$3:$B$61,0)),0)</f>
        <v>1</v>
      </c>
      <c r="AB206" s="112" t="b">
        <f>IFERROR(INDEX(Outliers!$AY$3:$AY$61,MATCH('SkYSPark Data_w Will''s Data'!C206,Outliers!$B$3:$B$61,0)),0)</f>
        <v>1</v>
      </c>
      <c r="AC206" s="112" t="s">
        <v>392</v>
      </c>
      <c r="AF206" s="132"/>
      <c r="BB206">
        <v>1.409704301075285</v>
      </c>
    </row>
    <row r="207" spans="1:54" s="15" customFormat="1" x14ac:dyDescent="0.3">
      <c r="A207" s="38">
        <v>44927</v>
      </c>
      <c r="B207" s="3">
        <f t="shared" si="20"/>
        <v>1</v>
      </c>
      <c r="C207" s="22" t="s">
        <v>144</v>
      </c>
      <c r="D207" s="3" t="str">
        <f>VLOOKUP(C207,'Data availability'!$A$2:$B$91,2,FALSE)</f>
        <v>Main campus</v>
      </c>
      <c r="E207" s="22">
        <v>23925</v>
      </c>
      <c r="F207" s="3" t="str">
        <f>VLOOKUP(C207,'Data availability'!$A$2:$H$91,8,FALSE)</f>
        <v>Food Service</v>
      </c>
      <c r="G207" s="21">
        <v>52353.377204301098</v>
      </c>
      <c r="H207" s="21"/>
      <c r="I207" s="21">
        <v>3716.8010752687869</v>
      </c>
      <c r="J207" s="21"/>
      <c r="K207" s="21"/>
      <c r="L207" s="20"/>
      <c r="M207" s="21">
        <f t="shared" si="21"/>
        <v>7.4662371168683528</v>
      </c>
      <c r="N207" s="21">
        <f t="shared" si="22"/>
        <v>15.535218705407679</v>
      </c>
      <c r="O207" s="21">
        <f t="shared" si="23"/>
        <v>0</v>
      </c>
      <c r="P207" s="21">
        <f t="shared" si="24"/>
        <v>0</v>
      </c>
      <c r="Q207" s="21">
        <f>(SUM(G207:G218)*3.412)/E207</f>
        <v>129.82672977722038</v>
      </c>
      <c r="R207" s="21">
        <f>(SUM(I207:I218)*100)/E207</f>
        <v>155.39993033786095</v>
      </c>
      <c r="S207" s="21"/>
      <c r="T207" s="21"/>
      <c r="U207" s="21"/>
      <c r="V207" s="34">
        <f>SUM(Q207:T207)</f>
        <v>285.22666011508136</v>
      </c>
      <c r="W207" s="19" t="s">
        <v>284</v>
      </c>
      <c r="X207" s="20"/>
      <c r="Y207" s="21"/>
      <c r="Z207" s="211" t="b">
        <f>IFERROR(INDEX(Outliers!$X$3:$X$61,MATCH('SkYSPark Data_w Will''s Data'!C207,Outliers!$B$3:$B$61,0)),0)</f>
        <v>0</v>
      </c>
      <c r="AA207" s="1" t="b">
        <f>IFERROR(INDEX(Outliers!$AP$3:$AP$61,MATCH('SkYSPark Data_w Will''s Data'!C207,Outliers!$B$3:$B$61,0)),0)</f>
        <v>1</v>
      </c>
      <c r="AB207" s="112" t="b">
        <f>IFERROR(INDEX(Outliers!$AY$3:$AY$61,MATCH('SkYSPark Data_w Will''s Data'!C207,Outliers!$B$3:$B$61,0)),0)</f>
        <v>1</v>
      </c>
      <c r="AC207" s="112" t="s">
        <v>391</v>
      </c>
      <c r="AD207" s="138"/>
      <c r="AE207" s="138"/>
      <c r="AF207" s="138"/>
      <c r="AG207" s="15">
        <v>10.78081133657083</v>
      </c>
      <c r="AH207" s="15">
        <v>12.88679146433107</v>
      </c>
    </row>
    <row r="208" spans="1:54" x14ac:dyDescent="0.3">
      <c r="A208" s="2">
        <v>44958</v>
      </c>
      <c r="B208" s="3">
        <f t="shared" si="20"/>
        <v>2</v>
      </c>
      <c r="C208" s="3" t="s">
        <v>144</v>
      </c>
      <c r="D208" s="3" t="str">
        <f>VLOOKUP(C208,'Data availability'!$A$2:$B$91,2,FALSE)</f>
        <v>Main campus</v>
      </c>
      <c r="E208" s="3">
        <v>23925</v>
      </c>
      <c r="F208" s="3" t="str">
        <f>VLOOKUP(C208,'Data availability'!$A$2:$H$91,8,FALSE)</f>
        <v>Food Service</v>
      </c>
      <c r="G208" s="1">
        <v>74900.164129031546</v>
      </c>
      <c r="I208" s="1">
        <v>4573.1322580645028</v>
      </c>
      <c r="M208" s="21">
        <f t="shared" si="21"/>
        <v>10.681686938694071</v>
      </c>
      <c r="N208" s="21">
        <f t="shared" si="22"/>
        <v>19.114450399433661</v>
      </c>
      <c r="O208" s="21">
        <f t="shared" si="23"/>
        <v>0</v>
      </c>
      <c r="P208" s="21">
        <f t="shared" si="24"/>
        <v>0</v>
      </c>
      <c r="W208" s="10" t="s">
        <v>285</v>
      </c>
      <c r="Z208" s="211" t="b">
        <f>IFERROR(INDEX(Outliers!$X$3:$X$61,MATCH('SkYSPark Data_w Will''s Data'!C208,Outliers!$B$3:$B$61,0)),0)</f>
        <v>0</v>
      </c>
      <c r="AA208" s="1" t="b">
        <f>IFERROR(INDEX(Outliers!$AP$3:$AP$61,MATCH('SkYSPark Data_w Will''s Data'!C208,Outliers!$B$3:$B$61,0)),0)</f>
        <v>1</v>
      </c>
      <c r="AB208" s="112" t="b">
        <f>IFERROR(INDEX(Outliers!$AY$3:$AY$61,MATCH('SkYSPark Data_w Will''s Data'!C208,Outliers!$B$3:$B$61,0)),0)</f>
        <v>1</v>
      </c>
      <c r="AC208" s="112" t="s">
        <v>391</v>
      </c>
      <c r="AG208">
        <v>14.40210867895553</v>
      </c>
      <c r="AH208">
        <v>16.569226414490409</v>
      </c>
    </row>
    <row r="209" spans="1:34" x14ac:dyDescent="0.3">
      <c r="A209" s="2">
        <v>44986</v>
      </c>
      <c r="B209" s="3">
        <f t="shared" si="20"/>
        <v>3</v>
      </c>
      <c r="C209" s="3" t="s">
        <v>144</v>
      </c>
      <c r="D209" s="3" t="str">
        <f>VLOOKUP(C209,'Data availability'!$A$2:$B$91,2,FALSE)</f>
        <v>Main campus</v>
      </c>
      <c r="E209" s="3">
        <v>23925</v>
      </c>
      <c r="F209" s="3" t="str">
        <f>VLOOKUP(C209,'Data availability'!$A$2:$H$91,8,FALSE)</f>
        <v>Food Service</v>
      </c>
      <c r="G209" s="1">
        <v>74200.094618705451</v>
      </c>
      <c r="I209" s="1">
        <v>4173.6985611511054</v>
      </c>
      <c r="M209" s="21">
        <f t="shared" si="21"/>
        <v>10.581848394525517</v>
      </c>
      <c r="N209" s="21">
        <f t="shared" si="22"/>
        <v>17.44492606541737</v>
      </c>
      <c r="O209" s="21">
        <f t="shared" si="23"/>
        <v>0</v>
      </c>
      <c r="P209" s="21">
        <f t="shared" si="24"/>
        <v>0</v>
      </c>
      <c r="Z209" s="211" t="b">
        <f>IFERROR(INDEX(Outliers!$X$3:$X$61,MATCH('SkYSPark Data_w Will''s Data'!C209,Outliers!$B$3:$B$61,0)),0)</f>
        <v>0</v>
      </c>
      <c r="AA209" s="1" t="b">
        <f>IFERROR(INDEX(Outliers!$AP$3:$AP$61,MATCH('SkYSPark Data_w Will''s Data'!C209,Outliers!$B$3:$B$61,0)),0)</f>
        <v>1</v>
      </c>
      <c r="AB209" s="112" t="b">
        <f>IFERROR(INDEX(Outliers!$AY$3:$AY$61,MATCH('SkYSPark Data_w Will''s Data'!C209,Outliers!$B$3:$B$61,0)),0)</f>
        <v>1</v>
      </c>
      <c r="AC209" s="112" t="s">
        <v>391</v>
      </c>
      <c r="AG209">
        <v>14.19676299660124</v>
      </c>
      <c r="AH209">
        <v>11.29387764297315</v>
      </c>
    </row>
    <row r="210" spans="1:34" x14ac:dyDescent="0.3">
      <c r="A210" s="2">
        <v>45017</v>
      </c>
      <c r="B210" s="3">
        <f t="shared" si="20"/>
        <v>4</v>
      </c>
      <c r="C210" s="3" t="s">
        <v>144</v>
      </c>
      <c r="D210" s="3" t="str">
        <f>VLOOKUP(C210,'Data availability'!$A$2:$B$91,2,FALSE)</f>
        <v>Main campus</v>
      </c>
      <c r="E210" s="3">
        <v>23925</v>
      </c>
      <c r="F210" s="3" t="str">
        <f>VLOOKUP(C210,'Data availability'!$A$2:$H$91,8,FALSE)</f>
        <v>Food Service</v>
      </c>
      <c r="G210" s="1">
        <v>85507.76738129447</v>
      </c>
      <c r="I210" s="1">
        <v>3671.763938848921</v>
      </c>
      <c r="M210" s="21">
        <f t="shared" si="21"/>
        <v>12.194461956320866</v>
      </c>
      <c r="N210" s="21">
        <f t="shared" si="22"/>
        <v>15.346975710967277</v>
      </c>
      <c r="O210" s="21">
        <f t="shared" si="23"/>
        <v>0</v>
      </c>
      <c r="P210" s="21">
        <f t="shared" si="24"/>
        <v>0</v>
      </c>
      <c r="Z210" s="211" t="b">
        <f>IFERROR(INDEX(Outliers!$X$3:$X$61,MATCH('SkYSPark Data_w Will''s Data'!C210,Outliers!$B$3:$B$61,0)),0)</f>
        <v>0</v>
      </c>
      <c r="AA210" s="1" t="b">
        <f>IFERROR(INDEX(Outliers!$AP$3:$AP$61,MATCH('SkYSPark Data_w Will''s Data'!C210,Outliers!$B$3:$B$61,0)),0)</f>
        <v>1</v>
      </c>
      <c r="AB210" s="112" t="b">
        <f>IFERROR(INDEX(Outliers!$AY$3:$AY$61,MATCH('SkYSPark Data_w Will''s Data'!C210,Outliers!$B$3:$B$61,0)),0)</f>
        <v>1</v>
      </c>
      <c r="AC210" s="112" t="s">
        <v>391</v>
      </c>
      <c r="AG210">
        <v>16.418514192395939</v>
      </c>
      <c r="AH210">
        <v>6.8695696973670222</v>
      </c>
    </row>
    <row r="211" spans="1:34" x14ac:dyDescent="0.3">
      <c r="A211" s="2">
        <v>45047</v>
      </c>
      <c r="B211" s="3">
        <f t="shared" si="20"/>
        <v>5</v>
      </c>
      <c r="C211" s="3" t="s">
        <v>144</v>
      </c>
      <c r="D211" s="3" t="str">
        <f>VLOOKUP(C211,'Data availability'!$A$2:$B$91,2,FALSE)</f>
        <v>Main campus</v>
      </c>
      <c r="E211" s="3">
        <v>23925</v>
      </c>
      <c r="F211" s="3" t="str">
        <f>VLOOKUP(C211,'Data availability'!$A$2:$H$91,8,FALSE)</f>
        <v>Food Service</v>
      </c>
      <c r="G211" s="1">
        <v>73908.450000000928</v>
      </c>
      <c r="I211" s="1">
        <v>2648.837500000001</v>
      </c>
      <c r="M211" s="21">
        <f t="shared" si="21"/>
        <v>10.5402562758622</v>
      </c>
      <c r="N211" s="21">
        <f t="shared" si="22"/>
        <v>11.071421107628009</v>
      </c>
      <c r="O211" s="21">
        <f t="shared" si="23"/>
        <v>0</v>
      </c>
      <c r="P211" s="21">
        <f t="shared" si="24"/>
        <v>0</v>
      </c>
      <c r="Z211" s="211" t="b">
        <f>IFERROR(INDEX(Outliers!$X$3:$X$61,MATCH('SkYSPark Data_w Will''s Data'!C211,Outliers!$B$3:$B$61,0)),0)</f>
        <v>0</v>
      </c>
      <c r="AA211" s="1" t="b">
        <f>IFERROR(INDEX(Outliers!$AP$3:$AP$61,MATCH('SkYSPark Data_w Will''s Data'!C211,Outliers!$B$3:$B$61,0)),0)</f>
        <v>1</v>
      </c>
      <c r="AB211" s="112" t="b">
        <f>IFERROR(INDEX(Outliers!$AY$3:$AY$61,MATCH('SkYSPark Data_w Will''s Data'!C211,Outliers!$B$3:$B$61,0)),0)</f>
        <v>1</v>
      </c>
      <c r="AC211" s="112" t="s">
        <v>391</v>
      </c>
      <c r="AG211">
        <v>14.85417142697141</v>
      </c>
      <c r="AH211">
        <v>4.3538253528225379</v>
      </c>
    </row>
    <row r="212" spans="1:34" x14ac:dyDescent="0.3">
      <c r="A212" s="2">
        <v>45078</v>
      </c>
      <c r="B212" s="3">
        <f t="shared" si="20"/>
        <v>6</v>
      </c>
      <c r="C212" s="3" t="s">
        <v>144</v>
      </c>
      <c r="D212" s="3" t="str">
        <f>VLOOKUP(C212,'Data availability'!$A$2:$B$91,2,FALSE)</f>
        <v>Main campus</v>
      </c>
      <c r="E212" s="3">
        <v>23925</v>
      </c>
      <c r="F212" s="3" t="str">
        <f>VLOOKUP(C212,'Data availability'!$A$2:$H$91,8,FALSE)</f>
        <v>Food Service</v>
      </c>
      <c r="G212" s="1">
        <v>53123.786666666143</v>
      </c>
      <c r="I212" s="1">
        <v>1568.858064516126</v>
      </c>
      <c r="M212" s="21">
        <f t="shared" si="21"/>
        <v>7.5761070055032347</v>
      </c>
      <c r="N212" s="21">
        <f t="shared" si="22"/>
        <v>6.5574004786462945</v>
      </c>
      <c r="O212" s="21">
        <f t="shared" si="23"/>
        <v>0</v>
      </c>
      <c r="P212" s="21">
        <f t="shared" si="24"/>
        <v>0</v>
      </c>
      <c r="Z212" s="211" t="b">
        <f>IFERROR(INDEX(Outliers!$X$3:$X$61,MATCH('SkYSPark Data_w Will''s Data'!C212,Outliers!$B$3:$B$61,0)),0)</f>
        <v>0</v>
      </c>
      <c r="AA212" s="1" t="b">
        <f>IFERROR(INDEX(Outliers!$AP$3:$AP$61,MATCH('SkYSPark Data_w Will''s Data'!C212,Outliers!$B$3:$B$61,0)),0)</f>
        <v>1</v>
      </c>
      <c r="AB212" s="112" t="b">
        <f>IFERROR(INDEX(Outliers!$AY$3:$AY$61,MATCH('SkYSPark Data_w Will''s Data'!C212,Outliers!$B$3:$B$61,0)),0)</f>
        <v>1</v>
      </c>
      <c r="AC212" s="112" t="s">
        <v>391</v>
      </c>
      <c r="AG212">
        <v>13.825905092592521</v>
      </c>
      <c r="AH212">
        <v>2.760154480286757</v>
      </c>
    </row>
    <row r="213" spans="1:34" x14ac:dyDescent="0.3">
      <c r="A213" s="2">
        <v>45108</v>
      </c>
      <c r="B213" s="3">
        <f t="shared" si="20"/>
        <v>7</v>
      </c>
      <c r="C213" s="3" t="s">
        <v>144</v>
      </c>
      <c r="D213" s="3" t="str">
        <f>VLOOKUP(C213,'Data availability'!$A$2:$B$91,2,FALSE)</f>
        <v>Main campus</v>
      </c>
      <c r="E213" s="3">
        <v>23925</v>
      </c>
      <c r="F213" s="3" t="str">
        <f>VLOOKUP(C213,'Data availability'!$A$2:$H$91,8,FALSE)</f>
        <v>Food Service</v>
      </c>
      <c r="G213" s="1">
        <v>58396.533333332853</v>
      </c>
      <c r="I213" s="1">
        <v>1393.5806451612791</v>
      </c>
      <c r="M213" s="21">
        <f t="shared" si="21"/>
        <v>8.3280656941831417</v>
      </c>
      <c r="N213" s="21">
        <f t="shared" si="22"/>
        <v>5.8247884855225882</v>
      </c>
      <c r="O213" s="21">
        <f t="shared" si="23"/>
        <v>0</v>
      </c>
      <c r="P213" s="21">
        <f t="shared" si="24"/>
        <v>0</v>
      </c>
      <c r="Z213" s="211" t="b">
        <f>IFERROR(INDEX(Outliers!$X$3:$X$61,MATCH('SkYSPark Data_w Will''s Data'!C213,Outliers!$B$3:$B$61,0)),0)</f>
        <v>0</v>
      </c>
      <c r="AA213" s="1" t="b">
        <f>IFERROR(INDEX(Outliers!$AP$3:$AP$61,MATCH('SkYSPark Data_w Will''s Data'!C213,Outliers!$B$3:$B$61,0)),0)</f>
        <v>1</v>
      </c>
      <c r="AB213" s="112" t="b">
        <f>IFERROR(INDEX(Outliers!$AY$3:$AY$61,MATCH('SkYSPark Data_w Will''s Data'!C213,Outliers!$B$3:$B$61,0)),0)</f>
        <v>1</v>
      </c>
      <c r="AC213" s="112" t="s">
        <v>391</v>
      </c>
      <c r="AG213">
        <v>14.988221326164661</v>
      </c>
      <c r="AH213">
        <v>2.4990058099201939</v>
      </c>
    </row>
    <row r="214" spans="1:34" x14ac:dyDescent="0.3">
      <c r="A214" s="2">
        <v>45139</v>
      </c>
      <c r="B214" s="3">
        <f t="shared" si="20"/>
        <v>8</v>
      </c>
      <c r="C214" s="3" t="s">
        <v>144</v>
      </c>
      <c r="D214" s="3" t="str">
        <f>VLOOKUP(C214,'Data availability'!$A$2:$B$91,2,FALSE)</f>
        <v>Main campus</v>
      </c>
      <c r="E214" s="3">
        <v>23925</v>
      </c>
      <c r="F214" s="3" t="str">
        <f>VLOOKUP(C214,'Data availability'!$A$2:$H$91,8,FALSE)</f>
        <v>Food Service</v>
      </c>
      <c r="G214" s="1">
        <v>92134.28000000093</v>
      </c>
      <c r="I214" s="1">
        <v>2327.161290322581</v>
      </c>
      <c r="M214" s="21">
        <f t="shared" si="21"/>
        <v>13.139484361964604</v>
      </c>
      <c r="N214" s="21">
        <f t="shared" si="22"/>
        <v>9.726901944921968</v>
      </c>
      <c r="O214" s="21">
        <f t="shared" si="23"/>
        <v>0</v>
      </c>
      <c r="P214" s="21">
        <f t="shared" si="24"/>
        <v>0</v>
      </c>
      <c r="Z214" s="211" t="b">
        <f>IFERROR(INDEX(Outliers!$X$3:$X$61,MATCH('SkYSPark Data_w Will''s Data'!C214,Outliers!$B$3:$B$61,0)),0)</f>
        <v>0</v>
      </c>
      <c r="AA214" s="1" t="b">
        <f>IFERROR(INDEX(Outliers!$AP$3:$AP$61,MATCH('SkYSPark Data_w Will''s Data'!C214,Outliers!$B$3:$B$61,0)),0)</f>
        <v>1</v>
      </c>
      <c r="AB214" s="112" t="b">
        <f>IFERROR(INDEX(Outliers!$AY$3:$AY$61,MATCH('SkYSPark Data_w Will''s Data'!C214,Outliers!$B$3:$B$61,0)),0)</f>
        <v>1</v>
      </c>
      <c r="AC214" s="112" t="s">
        <v>391</v>
      </c>
      <c r="AG214">
        <v>20.038909050179068</v>
      </c>
      <c r="AH214">
        <v>4.1610543704474514</v>
      </c>
    </row>
    <row r="215" spans="1:34" x14ac:dyDescent="0.3">
      <c r="A215" s="2">
        <v>45170</v>
      </c>
      <c r="B215" s="3">
        <f t="shared" si="20"/>
        <v>9</v>
      </c>
      <c r="C215" s="3" t="s">
        <v>144</v>
      </c>
      <c r="D215" s="3" t="str">
        <f>VLOOKUP(C215,'Data availability'!$A$2:$B$91,2,FALSE)</f>
        <v>Main campus</v>
      </c>
      <c r="E215" s="3">
        <v>23925</v>
      </c>
      <c r="F215" s="3" t="str">
        <f>VLOOKUP(C215,'Data availability'!$A$2:$H$91,8,FALSE)</f>
        <v>Food Service</v>
      </c>
      <c r="G215" s="1">
        <v>106109.7466666657</v>
      </c>
      <c r="I215" s="1">
        <v>3204</v>
      </c>
      <c r="M215" s="21">
        <f t="shared" si="21"/>
        <v>15.132558228909648</v>
      </c>
      <c r="N215" s="21">
        <f t="shared" si="22"/>
        <v>13.391849529780565</v>
      </c>
      <c r="O215" s="21">
        <f t="shared" si="23"/>
        <v>0</v>
      </c>
      <c r="P215" s="21">
        <f t="shared" si="24"/>
        <v>0</v>
      </c>
      <c r="Z215" s="211" t="b">
        <f>IFERROR(INDEX(Outliers!$X$3:$X$61,MATCH('SkYSPark Data_w Will''s Data'!C215,Outliers!$B$3:$B$61,0)),0)</f>
        <v>0</v>
      </c>
      <c r="AA215" s="1" t="b">
        <f>IFERROR(INDEX(Outliers!$AP$3:$AP$61,MATCH('SkYSPark Data_w Will''s Data'!C215,Outliers!$B$3:$B$61,0)),0)</f>
        <v>1</v>
      </c>
      <c r="AB215" s="112" t="b">
        <f>IFERROR(INDEX(Outliers!$AY$3:$AY$61,MATCH('SkYSPark Data_w Will''s Data'!C215,Outliers!$B$3:$B$61,0)),0)</f>
        <v>1</v>
      </c>
      <c r="AC215" s="112" t="s">
        <v>391</v>
      </c>
      <c r="AG215">
        <v>22.519791666666389</v>
      </c>
      <c r="AH215">
        <v>6.5346361111110447</v>
      </c>
    </row>
    <row r="216" spans="1:34" x14ac:dyDescent="0.3">
      <c r="A216" s="2">
        <v>45200</v>
      </c>
      <c r="B216" s="3">
        <f t="shared" si="20"/>
        <v>10</v>
      </c>
      <c r="C216" s="3" t="s">
        <v>144</v>
      </c>
      <c r="D216" s="3" t="str">
        <f>VLOOKUP(C216,'Data availability'!$A$2:$B$91,2,FALSE)</f>
        <v>Main campus</v>
      </c>
      <c r="E216" s="3">
        <v>23925</v>
      </c>
      <c r="F216" s="3" t="str">
        <f>VLOOKUP(C216,'Data availability'!$A$2:$H$91,8,FALSE)</f>
        <v>Food Service</v>
      </c>
      <c r="G216" s="1">
        <v>103674.32066219331</v>
      </c>
      <c r="I216" s="1">
        <v>3512.3154362415912</v>
      </c>
      <c r="M216" s="21">
        <f t="shared" si="21"/>
        <v>14.785236451385728</v>
      </c>
      <c r="N216" s="21">
        <f t="shared" si="22"/>
        <v>14.680524289411039</v>
      </c>
      <c r="O216" s="21">
        <f t="shared" si="23"/>
        <v>0</v>
      </c>
      <c r="P216" s="21">
        <f t="shared" si="24"/>
        <v>0</v>
      </c>
      <c r="Z216" s="211" t="b">
        <f>IFERROR(INDEX(Outliers!$X$3:$X$61,MATCH('SkYSPark Data_w Will''s Data'!C216,Outliers!$B$3:$B$61,0)),0)</f>
        <v>0</v>
      </c>
      <c r="AA216" s="1" t="b">
        <f>IFERROR(INDEX(Outliers!$AP$3:$AP$61,MATCH('SkYSPark Data_w Will''s Data'!C216,Outliers!$B$3:$B$61,0)),0)</f>
        <v>1</v>
      </c>
      <c r="AB216" s="112" t="b">
        <f>IFERROR(INDEX(Outliers!$AY$3:$AY$61,MATCH('SkYSPark Data_w Will''s Data'!C216,Outliers!$B$3:$B$61,0)),0)</f>
        <v>1</v>
      </c>
      <c r="AC216" s="112" t="s">
        <v>391</v>
      </c>
      <c r="AG216">
        <v>19.885370997811151</v>
      </c>
      <c r="AH216">
        <v>7.7510467272859351</v>
      </c>
    </row>
    <row r="217" spans="1:34" x14ac:dyDescent="0.3">
      <c r="A217" s="2">
        <v>45231</v>
      </c>
      <c r="B217" s="3">
        <f t="shared" si="20"/>
        <v>11</v>
      </c>
      <c r="C217" s="3" t="s">
        <v>144</v>
      </c>
      <c r="D217" s="3" t="str">
        <f>VLOOKUP(C217,'Data availability'!$A$2:$B$91,2,FALSE)</f>
        <v>Main campus</v>
      </c>
      <c r="E217" s="3">
        <v>23925</v>
      </c>
      <c r="F217" s="3" t="str">
        <f>VLOOKUP(C217,'Data availability'!$A$2:$H$91,8,FALSE)</f>
        <v>Food Service</v>
      </c>
      <c r="G217" s="1">
        <v>83654.355896947134</v>
      </c>
      <c r="I217" s="1">
        <v>3536.2652089196372</v>
      </c>
      <c r="M217" s="21">
        <f t="shared" si="21"/>
        <v>11.930142625721363</v>
      </c>
      <c r="N217" s="21">
        <f t="shared" si="22"/>
        <v>14.780627832474973</v>
      </c>
      <c r="O217" s="21">
        <f t="shared" si="23"/>
        <v>0</v>
      </c>
      <c r="P217" s="21">
        <f t="shared" si="24"/>
        <v>0</v>
      </c>
      <c r="Z217" s="211" t="b">
        <f>IFERROR(INDEX(Outliers!$X$3:$X$61,MATCH('SkYSPark Data_w Will''s Data'!C217,Outliers!$B$3:$B$61,0)),0)</f>
        <v>0</v>
      </c>
      <c r="AA217" s="1" t="b">
        <f>IFERROR(INDEX(Outliers!$AP$3:$AP$61,MATCH('SkYSPark Data_w Will''s Data'!C217,Outliers!$B$3:$B$61,0)),0)</f>
        <v>1</v>
      </c>
      <c r="AB217" s="112" t="b">
        <f>IFERROR(INDEX(Outliers!$AY$3:$AY$61,MATCH('SkYSPark Data_w Will''s Data'!C217,Outliers!$B$3:$B$61,0)),0)</f>
        <v>1</v>
      </c>
      <c r="AC217" s="112" t="s">
        <v>391</v>
      </c>
      <c r="AG217">
        <v>16.613078608257211</v>
      </c>
      <c r="AH217">
        <v>9.1038021691145516</v>
      </c>
    </row>
    <row r="218" spans="1:34" x14ac:dyDescent="0.3">
      <c r="A218" s="2">
        <v>45261</v>
      </c>
      <c r="B218" s="3">
        <f t="shared" si="20"/>
        <v>12</v>
      </c>
      <c r="C218" s="3" t="s">
        <v>144</v>
      </c>
      <c r="D218" s="3" t="str">
        <f>VLOOKUP(C218,'Data availability'!$A$2:$B$91,2,FALSE)</f>
        <v>Main campus</v>
      </c>
      <c r="E218" s="3">
        <v>23925</v>
      </c>
      <c r="F218" s="3" t="str">
        <f>VLOOKUP(C218,'Data availability'!$A$2:$H$91,8,FALSE)</f>
        <v>Food Service</v>
      </c>
      <c r="G218" s="1">
        <v>52384.283440859792</v>
      </c>
      <c r="I218" s="1">
        <v>2853.0193548387028</v>
      </c>
      <c r="M218" s="21">
        <f t="shared" si="21"/>
        <v>7.4706447272816554</v>
      </c>
      <c r="N218" s="21">
        <f t="shared" si="22"/>
        <v>11.924845788249542</v>
      </c>
      <c r="O218" s="21">
        <f t="shared" si="23"/>
        <v>0</v>
      </c>
      <c r="P218" s="21">
        <f t="shared" si="24"/>
        <v>0</v>
      </c>
      <c r="Z218" s="211" t="b">
        <f>IFERROR(INDEX(Outliers!$X$3:$X$61,MATCH('SkYSPark Data_w Will''s Data'!C218,Outliers!$B$3:$B$61,0)),0)</f>
        <v>0</v>
      </c>
      <c r="AA218" s="1" t="b">
        <f>IFERROR(INDEX(Outliers!$AP$3:$AP$61,MATCH('SkYSPark Data_w Will''s Data'!C218,Outliers!$B$3:$B$61,0)),0)</f>
        <v>1</v>
      </c>
      <c r="AB218" s="112" t="b">
        <f>IFERROR(INDEX(Outliers!$AY$3:$AY$61,MATCH('SkYSPark Data_w Will''s Data'!C218,Outliers!$B$3:$B$61,0)),0)</f>
        <v>1</v>
      </c>
      <c r="AC218" s="112" t="s">
        <v>391</v>
      </c>
      <c r="AG218">
        <v>11.94968768065657</v>
      </c>
      <c r="AH218">
        <v>7.7919111168922486</v>
      </c>
    </row>
    <row r="219" spans="1:34" s="15" customFormat="1" x14ac:dyDescent="0.3">
      <c r="A219" s="38">
        <v>44927</v>
      </c>
      <c r="B219" s="3">
        <f t="shared" si="20"/>
        <v>1</v>
      </c>
      <c r="C219" s="22" t="s">
        <v>146</v>
      </c>
      <c r="D219" s="3" t="str">
        <f>VLOOKUP(C219,'Data availability'!$A$2:$B$91,2,FALSE)</f>
        <v>Main campus</v>
      </c>
      <c r="E219">
        <v>499221</v>
      </c>
      <c r="F219" s="3" t="str">
        <f>VLOOKUP(C219,'Data availability'!$A$2:$H$91,8,FALSE)</f>
        <v>Library</v>
      </c>
      <c r="G219" s="259">
        <f>'Solar Data-Main Campus'!E37</f>
        <v>352147.56569602399</v>
      </c>
      <c r="H219" s="21"/>
      <c r="I219" s="21"/>
      <c r="J219" s="21">
        <v>12726.466060606241</v>
      </c>
      <c r="K219" s="193">
        <v>62484.203387878028</v>
      </c>
      <c r="L219" s="20"/>
      <c r="M219" s="21">
        <f t="shared" si="21"/>
        <v>2.4068047901727567</v>
      </c>
      <c r="N219" s="21">
        <f t="shared" si="22"/>
        <v>0</v>
      </c>
      <c r="O219" s="21">
        <f t="shared" si="23"/>
        <v>2.5492649669397403</v>
      </c>
      <c r="P219" s="21">
        <f t="shared" si="24"/>
        <v>1.5019609364480588</v>
      </c>
      <c r="Q219" s="21">
        <f>(SUM(G219:G230)*3.412)/E219</f>
        <v>27.003401292474905</v>
      </c>
      <c r="R219" s="21">
        <f>(SUM(I219:I230)*100)/E219</f>
        <v>0</v>
      </c>
      <c r="S219" s="21">
        <f>(SUM(J219:J230)*100)/E219</f>
        <v>13.667951673932754</v>
      </c>
      <c r="T219" s="21">
        <f>(SUM(K219:K230)*12)/E219</f>
        <v>29.273956811289949</v>
      </c>
      <c r="U219" s="21"/>
      <c r="V219" s="34">
        <f>SUM(Q219:T219)</f>
        <v>69.945309777697616</v>
      </c>
      <c r="W219" s="19" t="s">
        <v>563</v>
      </c>
      <c r="X219" s="20"/>
      <c r="Y219" s="21"/>
      <c r="Z219" s="211" t="b">
        <f>IFERROR(INDEX(Outliers!$X$3:$X$61,MATCH('SkYSPark Data_w Will''s Data'!C219,Outliers!$B$3:$B$61,0)),0)</f>
        <v>0</v>
      </c>
      <c r="AA219" s="1" t="b">
        <f>IFERROR(INDEX(Outliers!$AP$3:$AP$61,MATCH('SkYSPark Data_w Will''s Data'!C219,Outliers!$B$3:$B$61,0)),0)</f>
        <v>0</v>
      </c>
      <c r="AB219" s="112" t="b">
        <f>IFERROR(INDEX(Outliers!$AY$3:$AY$61,MATCH('SkYSPark Data_w Will''s Data'!C219,Outliers!$B$3:$B$61,0)),0)</f>
        <v>0</v>
      </c>
      <c r="AC219" s="112" t="s">
        <v>392</v>
      </c>
      <c r="AD219" s="138"/>
      <c r="AE219" s="138"/>
      <c r="AF219" s="137"/>
    </row>
    <row r="220" spans="1:34" x14ac:dyDescent="0.3">
      <c r="A220" s="2">
        <v>44958</v>
      </c>
      <c r="B220" s="3">
        <f t="shared" si="20"/>
        <v>2</v>
      </c>
      <c r="C220" s="3" t="s">
        <v>146</v>
      </c>
      <c r="D220" s="3" t="str">
        <f>VLOOKUP(C220,'Data availability'!$A$2:$B$91,2,FALSE)</f>
        <v>Main campus</v>
      </c>
      <c r="E220">
        <v>499221</v>
      </c>
      <c r="F220" s="3" t="str">
        <f>VLOOKUP(C220,'Data availability'!$A$2:$H$91,8,FALSE)</f>
        <v>Library</v>
      </c>
      <c r="G220" s="259">
        <f>'Solar Data-Main Campus'!E38</f>
        <v>336974.64062500378</v>
      </c>
      <c r="J220" s="1">
        <v>12056.370000000181</v>
      </c>
      <c r="K220" s="193">
        <v>59577.159599999126</v>
      </c>
      <c r="M220" s="21">
        <f t="shared" si="21"/>
        <v>2.3031031823831785</v>
      </c>
      <c r="N220" s="21">
        <f t="shared" si="22"/>
        <v>0</v>
      </c>
      <c r="O220" s="21">
        <f t="shared" si="23"/>
        <v>2.4150366270650037</v>
      </c>
      <c r="P220" s="21">
        <f t="shared" si="24"/>
        <v>1.4320830157384994</v>
      </c>
      <c r="W220" s="10" t="s">
        <v>287</v>
      </c>
      <c r="Z220" s="211" t="b">
        <f>IFERROR(INDEX(Outliers!$X$3:$X$61,MATCH('SkYSPark Data_w Will''s Data'!C220,Outliers!$B$3:$B$61,0)),0)</f>
        <v>0</v>
      </c>
      <c r="AA220" s="1" t="b">
        <f>IFERROR(INDEX(Outliers!$AP$3:$AP$61,MATCH('SkYSPark Data_w Will''s Data'!C220,Outliers!$B$3:$B$61,0)),0)</f>
        <v>0</v>
      </c>
      <c r="AB220" s="112" t="b">
        <f>IFERROR(INDEX(Outliers!$AY$3:$AY$61,MATCH('SkYSPark Data_w Will''s Data'!C220,Outliers!$B$3:$B$61,0)),0)</f>
        <v>0</v>
      </c>
      <c r="AC220" s="112" t="s">
        <v>392</v>
      </c>
      <c r="AF220" s="132"/>
    </row>
    <row r="221" spans="1:34" x14ac:dyDescent="0.3">
      <c r="A221" s="2">
        <v>44986</v>
      </c>
      <c r="B221" s="3">
        <f t="shared" si="20"/>
        <v>3</v>
      </c>
      <c r="C221" s="3" t="s">
        <v>146</v>
      </c>
      <c r="D221" s="3" t="str">
        <f>VLOOKUP(C221,'Data availability'!$A$2:$B$91,2,FALSE)</f>
        <v>Main campus</v>
      </c>
      <c r="E221">
        <v>499221</v>
      </c>
      <c r="F221" s="3" t="str">
        <f>VLOOKUP(C221,'Data availability'!$A$2:$H$91,8,FALSE)</f>
        <v>Library</v>
      </c>
      <c r="G221" s="259">
        <f>'Solar Data-Main Campus'!E39</f>
        <v>356579.62107893819</v>
      </c>
      <c r="J221" s="1">
        <v>10945.25417193427</v>
      </c>
      <c r="K221" s="193">
        <v>67979.05834690237</v>
      </c>
      <c r="M221" s="21">
        <f t="shared" si="21"/>
        <v>2.4370963303253208</v>
      </c>
      <c r="N221" s="21">
        <f t="shared" si="22"/>
        <v>0</v>
      </c>
      <c r="O221" s="21">
        <f t="shared" si="23"/>
        <v>2.1924666975015614</v>
      </c>
      <c r="P221" s="21">
        <f t="shared" si="24"/>
        <v>1.6340432396930986</v>
      </c>
      <c r="W221" s="10" t="s">
        <v>288</v>
      </c>
      <c r="Z221" s="211" t="b">
        <f>IFERROR(INDEX(Outliers!$X$3:$X$61,MATCH('SkYSPark Data_w Will''s Data'!C221,Outliers!$B$3:$B$61,0)),0)</f>
        <v>0</v>
      </c>
      <c r="AA221" s="1" t="b">
        <f>IFERROR(INDEX(Outliers!$AP$3:$AP$61,MATCH('SkYSPark Data_w Will''s Data'!C221,Outliers!$B$3:$B$61,0)),0)</f>
        <v>0</v>
      </c>
      <c r="AB221" s="112" t="b">
        <f>IFERROR(INDEX(Outliers!$AY$3:$AY$61,MATCH('SkYSPark Data_w Will''s Data'!C221,Outliers!$B$3:$B$61,0)),0)</f>
        <v>0</v>
      </c>
      <c r="AC221" s="112" t="s">
        <v>392</v>
      </c>
      <c r="AF221" s="132"/>
    </row>
    <row r="222" spans="1:34" x14ac:dyDescent="0.3">
      <c r="A222" s="2">
        <v>45017</v>
      </c>
      <c r="B222" s="3">
        <f t="shared" si="20"/>
        <v>4</v>
      </c>
      <c r="C222" s="3" t="s">
        <v>146</v>
      </c>
      <c r="D222" s="3" t="str">
        <f>VLOOKUP(C222,'Data availability'!$A$2:$B$91,2,FALSE)</f>
        <v>Main campus</v>
      </c>
      <c r="E222">
        <v>499221</v>
      </c>
      <c r="F222" s="3" t="str">
        <f>VLOOKUP(C222,'Data availability'!$A$2:$H$91,8,FALSE)</f>
        <v>Library</v>
      </c>
      <c r="G222" s="259">
        <f>'Solar Data-Main Campus'!E40</f>
        <v>339422.14063981816</v>
      </c>
      <c r="J222" s="1">
        <v>5662.65582806573</v>
      </c>
      <c r="K222" s="193">
        <v>87620.593553097046</v>
      </c>
      <c r="M222" s="21">
        <f t="shared" si="21"/>
        <v>2.3198309843998142</v>
      </c>
      <c r="N222" s="21">
        <f t="shared" si="22"/>
        <v>0</v>
      </c>
      <c r="O222" s="21">
        <f t="shared" si="23"/>
        <v>1.1342984025242788</v>
      </c>
      <c r="P222" s="21">
        <f t="shared" si="24"/>
        <v>2.1061756669634581</v>
      </c>
      <c r="Z222" s="211" t="b">
        <f>IFERROR(INDEX(Outliers!$X$3:$X$61,MATCH('SkYSPark Data_w Will''s Data'!C222,Outliers!$B$3:$B$61,0)),0)</f>
        <v>0</v>
      </c>
      <c r="AA222" s="1" t="b">
        <f>IFERROR(INDEX(Outliers!$AP$3:$AP$61,MATCH('SkYSPark Data_w Will''s Data'!C222,Outliers!$B$3:$B$61,0)),0)</f>
        <v>0</v>
      </c>
      <c r="AB222" s="112" t="b">
        <f>IFERROR(INDEX(Outliers!$AY$3:$AY$61,MATCH('SkYSPark Data_w Will''s Data'!C222,Outliers!$B$3:$B$61,0)),0)</f>
        <v>0</v>
      </c>
      <c r="AC222" s="112" t="s">
        <v>392</v>
      </c>
      <c r="AF222" s="132"/>
    </row>
    <row r="223" spans="1:34" x14ac:dyDescent="0.3">
      <c r="A223" s="2">
        <v>45047</v>
      </c>
      <c r="B223" s="3">
        <f t="shared" si="20"/>
        <v>5</v>
      </c>
      <c r="C223" s="3" t="s">
        <v>146</v>
      </c>
      <c r="D223" s="3" t="str">
        <f>VLOOKUP(C223,'Data availability'!$A$2:$B$91,2,FALSE)</f>
        <v>Main campus</v>
      </c>
      <c r="E223">
        <v>499221</v>
      </c>
      <c r="F223" s="3" t="str">
        <f>VLOOKUP(C223,'Data availability'!$A$2:$H$91,8,FALSE)</f>
        <v>Library</v>
      </c>
      <c r="G223" s="259">
        <f>'Solar Data-Main Campus'!E41</f>
        <v>345834.14062499721</v>
      </c>
      <c r="J223" s="1">
        <v>4223.54000000002</v>
      </c>
      <c r="K223" s="193">
        <v>99531.754700000994</v>
      </c>
      <c r="M223" s="21">
        <f t="shared" si="21"/>
        <v>2.3636547497250526</v>
      </c>
      <c r="N223" s="21">
        <f t="shared" si="22"/>
        <v>0</v>
      </c>
      <c r="O223" s="21">
        <f t="shared" si="23"/>
        <v>0.8460261086773232</v>
      </c>
      <c r="P223" s="21">
        <f t="shared" si="24"/>
        <v>2.3924896116149199</v>
      </c>
      <c r="Z223" s="211" t="b">
        <f>IFERROR(INDEX(Outliers!$X$3:$X$61,MATCH('SkYSPark Data_w Will''s Data'!C223,Outliers!$B$3:$B$61,0)),0)</f>
        <v>0</v>
      </c>
      <c r="AA223" s="1" t="b">
        <f>IFERROR(INDEX(Outliers!$AP$3:$AP$61,MATCH('SkYSPark Data_w Will''s Data'!C223,Outliers!$B$3:$B$61,0)),0)</f>
        <v>0</v>
      </c>
      <c r="AB223" s="112" t="b">
        <f>IFERROR(INDEX(Outliers!$AY$3:$AY$61,MATCH('SkYSPark Data_w Will''s Data'!C223,Outliers!$B$3:$B$61,0)),0)</f>
        <v>0</v>
      </c>
      <c r="AC223" s="112" t="s">
        <v>392</v>
      </c>
      <c r="AF223" s="132"/>
    </row>
    <row r="224" spans="1:34" x14ac:dyDescent="0.3">
      <c r="A224" s="2">
        <v>45078</v>
      </c>
      <c r="B224" s="3">
        <f t="shared" si="20"/>
        <v>6</v>
      </c>
      <c r="C224" s="3" t="s">
        <v>146</v>
      </c>
      <c r="D224" s="3" t="str">
        <f>VLOOKUP(C224,'Data availability'!$A$2:$B$91,2,FALSE)</f>
        <v>Main campus</v>
      </c>
      <c r="E224">
        <v>499221</v>
      </c>
      <c r="F224" s="3" t="str">
        <f>VLOOKUP(C224,'Data availability'!$A$2:$H$91,8,FALSE)</f>
        <v>Library</v>
      </c>
      <c r="G224" s="259">
        <f>'Solar Data-Main Campus'!E42</f>
        <v>324894.40148627938</v>
      </c>
      <c r="J224" s="1">
        <v>2150.524390243927</v>
      </c>
      <c r="K224" s="193">
        <v>114970.39587804809</v>
      </c>
      <c r="M224" s="21">
        <f t="shared" si="21"/>
        <v>2.2205389954973551</v>
      </c>
      <c r="N224" s="21">
        <f t="shared" si="22"/>
        <v>0</v>
      </c>
      <c r="O224" s="21">
        <f t="shared" si="23"/>
        <v>0.43077602709900564</v>
      </c>
      <c r="P224" s="21">
        <f t="shared" si="24"/>
        <v>2.7635951823672822</v>
      </c>
      <c r="Z224" s="211" t="b">
        <f>IFERROR(INDEX(Outliers!$X$3:$X$61,MATCH('SkYSPark Data_w Will''s Data'!C224,Outliers!$B$3:$B$61,0)),0)</f>
        <v>0</v>
      </c>
      <c r="AA224" s="1" t="b">
        <f>IFERROR(INDEX(Outliers!$AP$3:$AP$61,MATCH('SkYSPark Data_w Will''s Data'!C224,Outliers!$B$3:$B$61,0)),0)</f>
        <v>0</v>
      </c>
      <c r="AB224" s="112" t="b">
        <f>IFERROR(INDEX(Outliers!$AY$3:$AY$61,MATCH('SkYSPark Data_w Will''s Data'!C224,Outliers!$B$3:$B$61,0)),0)</f>
        <v>0</v>
      </c>
      <c r="AC224" s="112" t="s">
        <v>392</v>
      </c>
      <c r="AF224" s="132"/>
    </row>
    <row r="225" spans="1:32" x14ac:dyDescent="0.3">
      <c r="A225" s="2">
        <v>45108</v>
      </c>
      <c r="B225" s="3">
        <f t="shared" si="20"/>
        <v>7</v>
      </c>
      <c r="C225" s="3" t="s">
        <v>146</v>
      </c>
      <c r="D225" s="3" t="str">
        <f>VLOOKUP(C225,'Data availability'!$A$2:$B$91,2,FALSE)</f>
        <v>Main campus</v>
      </c>
      <c r="E225">
        <v>499221</v>
      </c>
      <c r="F225" s="3" t="str">
        <f>VLOOKUP(C225,'Data availability'!$A$2:$H$91,8,FALSE)</f>
        <v>Library</v>
      </c>
      <c r="G225" s="259">
        <f>'Solar Data-Main Campus'!E43</f>
        <v>342248.52820121712</v>
      </c>
      <c r="J225" s="1">
        <v>1287.02560975607</v>
      </c>
      <c r="K225" s="193">
        <v>146697.89492195137</v>
      </c>
      <c r="M225" s="21">
        <f t="shared" si="21"/>
        <v>2.3391483495737413</v>
      </c>
      <c r="N225" s="21">
        <f t="shared" si="22"/>
        <v>0</v>
      </c>
      <c r="O225" s="21">
        <f t="shared" si="23"/>
        <v>0.25780678492212267</v>
      </c>
      <c r="P225" s="21">
        <f t="shared" si="24"/>
        <v>3.5262433652899547</v>
      </c>
      <c r="Z225" s="211" t="b">
        <f>IFERROR(INDEX(Outliers!$X$3:$X$61,MATCH('SkYSPark Data_w Will''s Data'!C225,Outliers!$B$3:$B$61,0)),0)</f>
        <v>0</v>
      </c>
      <c r="AA225" s="1" t="b">
        <f>IFERROR(INDEX(Outliers!$AP$3:$AP$61,MATCH('SkYSPark Data_w Will''s Data'!C225,Outliers!$B$3:$B$61,0)),0)</f>
        <v>0</v>
      </c>
      <c r="AB225" s="112" t="b">
        <f>IFERROR(INDEX(Outliers!$AY$3:$AY$61,MATCH('SkYSPark Data_w Will''s Data'!C225,Outliers!$B$3:$B$61,0)),0)</f>
        <v>0</v>
      </c>
      <c r="AC225" s="112" t="s">
        <v>392</v>
      </c>
      <c r="AF225" s="132"/>
    </row>
    <row r="226" spans="1:32" x14ac:dyDescent="0.3">
      <c r="A226" s="2">
        <v>45139</v>
      </c>
      <c r="B226" s="3">
        <f t="shared" si="20"/>
        <v>8</v>
      </c>
      <c r="C226" s="3" t="s">
        <v>146</v>
      </c>
      <c r="D226" s="3" t="str">
        <f>VLOOKUP(C226,'Data availability'!$A$2:$B$91,2,FALSE)</f>
        <v>Main campus</v>
      </c>
      <c r="E226">
        <v>499221</v>
      </c>
      <c r="F226" s="3" t="str">
        <f>VLOOKUP(C226,'Data availability'!$A$2:$H$91,8,FALSE)</f>
        <v>Library</v>
      </c>
      <c r="G226" s="259">
        <f>'Solar Data-Main Campus'!E44</f>
        <v>325690.08928571618</v>
      </c>
      <c r="J226" s="1">
        <v>894.36771428570648</v>
      </c>
      <c r="K226" s="193">
        <v>157307.5184799986</v>
      </c>
      <c r="M226" s="21">
        <f t="shared" si="21"/>
        <v>2.2259772418284962</v>
      </c>
      <c r="N226" s="21">
        <f t="shared" si="22"/>
        <v>0</v>
      </c>
      <c r="O226" s="21">
        <f t="shared" si="23"/>
        <v>0.17915266270563668</v>
      </c>
      <c r="P226" s="21">
        <f t="shared" si="24"/>
        <v>3.7812716647736839</v>
      </c>
      <c r="Z226" s="211" t="b">
        <f>IFERROR(INDEX(Outliers!$X$3:$X$61,MATCH('SkYSPark Data_w Will''s Data'!C226,Outliers!$B$3:$B$61,0)),0)</f>
        <v>0</v>
      </c>
      <c r="AA226" s="1" t="b">
        <f>IFERROR(INDEX(Outliers!$AP$3:$AP$61,MATCH('SkYSPark Data_w Will''s Data'!C226,Outliers!$B$3:$B$61,0)),0)</f>
        <v>0</v>
      </c>
      <c r="AB226" s="112" t="b">
        <f>IFERROR(INDEX(Outliers!$AY$3:$AY$61,MATCH('SkYSPark Data_w Will''s Data'!C226,Outliers!$B$3:$B$61,0)),0)</f>
        <v>0</v>
      </c>
      <c r="AC226" s="112" t="s">
        <v>392</v>
      </c>
      <c r="AF226" s="132"/>
    </row>
    <row r="227" spans="1:32" x14ac:dyDescent="0.3">
      <c r="A227" s="2">
        <v>45170</v>
      </c>
      <c r="B227" s="3">
        <f t="shared" si="20"/>
        <v>9</v>
      </c>
      <c r="C227" s="3" t="s">
        <v>146</v>
      </c>
      <c r="D227" s="3" t="str">
        <f>VLOOKUP(C227,'Data availability'!$A$2:$B$91,2,FALSE)</f>
        <v>Main campus</v>
      </c>
      <c r="E227">
        <v>499221</v>
      </c>
      <c r="F227" s="3" t="str">
        <f>VLOOKUP(C227,'Data availability'!$A$2:$H$91,8,FALSE)</f>
        <v>Library</v>
      </c>
      <c r="G227" s="259">
        <f>'Solar Data-Main Campus'!E45</f>
        <v>311702.09126984171</v>
      </c>
      <c r="J227" s="1">
        <v>1484.6874708994931</v>
      </c>
      <c r="K227" s="193">
        <v>136612.11353481386</v>
      </c>
      <c r="M227" s="21">
        <f t="shared" si="21"/>
        <v>2.1303741938193705</v>
      </c>
      <c r="N227" s="21">
        <f t="shared" si="22"/>
        <v>0</v>
      </c>
      <c r="O227" s="21">
        <f t="shared" si="23"/>
        <v>0.29740084469593492</v>
      </c>
      <c r="P227" s="21">
        <f t="shared" si="24"/>
        <v>3.2838068959794686</v>
      </c>
      <c r="Z227" s="211" t="b">
        <f>IFERROR(INDEX(Outliers!$X$3:$X$61,MATCH('SkYSPark Data_w Will''s Data'!C227,Outliers!$B$3:$B$61,0)),0)</f>
        <v>0</v>
      </c>
      <c r="AA227" s="1" t="b">
        <f>IFERROR(INDEX(Outliers!$AP$3:$AP$61,MATCH('SkYSPark Data_w Will''s Data'!C227,Outliers!$B$3:$B$61,0)),0)</f>
        <v>0</v>
      </c>
      <c r="AB227" s="112" t="b">
        <f>IFERROR(INDEX(Outliers!$AY$3:$AY$61,MATCH('SkYSPark Data_w Will''s Data'!C227,Outliers!$B$3:$B$61,0)),0)</f>
        <v>0</v>
      </c>
      <c r="AC227" s="112" t="s">
        <v>392</v>
      </c>
      <c r="AF227" s="132"/>
    </row>
    <row r="228" spans="1:32" x14ac:dyDescent="0.3">
      <c r="A228" s="2">
        <v>45200</v>
      </c>
      <c r="B228" s="3">
        <f t="shared" si="20"/>
        <v>10</v>
      </c>
      <c r="C228" s="3" t="s">
        <v>146</v>
      </c>
      <c r="D228" s="3" t="str">
        <f>VLOOKUP(C228,'Data availability'!$A$2:$B$91,2,FALSE)</f>
        <v>Main campus</v>
      </c>
      <c r="E228">
        <v>499221</v>
      </c>
      <c r="F228" s="3" t="str">
        <f>VLOOKUP(C228,'Data availability'!$A$2:$H$91,8,FALSE)</f>
        <v>Library</v>
      </c>
      <c r="G228" s="259">
        <f>'Solar Data-Main Campus'!E46</f>
        <v>315562.74913194554</v>
      </c>
      <c r="J228" s="1">
        <v>2290.6848148148501</v>
      </c>
      <c r="K228" s="193">
        <v>124831.8003851844</v>
      </c>
      <c r="M228" s="21">
        <f t="shared" si="21"/>
        <v>2.1567604328307466</v>
      </c>
      <c r="N228" s="21">
        <f t="shared" si="22"/>
        <v>0</v>
      </c>
      <c r="O228" s="21">
        <f t="shared" si="23"/>
        <v>0.4588518541517384</v>
      </c>
      <c r="P228" s="21">
        <f t="shared" si="24"/>
        <v>3.0006382035655808</v>
      </c>
      <c r="Z228" s="211" t="b">
        <f>IFERROR(INDEX(Outliers!$X$3:$X$61,MATCH('SkYSPark Data_w Will''s Data'!C228,Outliers!$B$3:$B$61,0)),0)</f>
        <v>0</v>
      </c>
      <c r="AA228" s="1" t="b">
        <f>IFERROR(INDEX(Outliers!$AP$3:$AP$61,MATCH('SkYSPark Data_w Will''s Data'!C228,Outliers!$B$3:$B$61,0)),0)</f>
        <v>0</v>
      </c>
      <c r="AB228" s="112" t="b">
        <f>IFERROR(INDEX(Outliers!$AY$3:$AY$61,MATCH('SkYSPark Data_w Will''s Data'!C228,Outliers!$B$3:$B$61,0)),0)</f>
        <v>0</v>
      </c>
      <c r="AC228" s="112" t="s">
        <v>392</v>
      </c>
      <c r="AF228" s="132"/>
    </row>
    <row r="229" spans="1:32" x14ac:dyDescent="0.3">
      <c r="A229" s="2">
        <v>45231</v>
      </c>
      <c r="B229" s="3">
        <f t="shared" si="20"/>
        <v>11</v>
      </c>
      <c r="C229" s="3" t="s">
        <v>146</v>
      </c>
      <c r="D229" s="3" t="str">
        <f>VLOOKUP(C229,'Data availability'!$A$2:$B$91,2,FALSE)</f>
        <v>Main campus</v>
      </c>
      <c r="E229">
        <v>499221</v>
      </c>
      <c r="F229" s="3" t="str">
        <f>VLOOKUP(C229,'Data availability'!$A$2:$H$91,8,FALSE)</f>
        <v>Library</v>
      </c>
      <c r="G229" s="259">
        <f>'Solar Data-Main Campus'!E47</f>
        <v>292523.33703105233</v>
      </c>
      <c r="J229" s="1">
        <v>5581.4673896595596</v>
      </c>
      <c r="K229" s="193">
        <v>83332.922512989113</v>
      </c>
      <c r="M229" s="21">
        <f t="shared" si="21"/>
        <v>1.9992941521890115</v>
      </c>
      <c r="N229" s="21">
        <f t="shared" si="22"/>
        <v>0</v>
      </c>
      <c r="O229" s="21">
        <f t="shared" si="23"/>
        <v>1.1180353770493547</v>
      </c>
      <c r="P229" s="21">
        <f t="shared" si="24"/>
        <v>2.0031109872298427</v>
      </c>
      <c r="Z229" s="211" t="b">
        <f>IFERROR(INDEX(Outliers!$X$3:$X$61,MATCH('SkYSPark Data_w Will''s Data'!C229,Outliers!$B$3:$B$61,0)),0)</f>
        <v>0</v>
      </c>
      <c r="AA229" s="1" t="b">
        <f>IFERROR(INDEX(Outliers!$AP$3:$AP$61,MATCH('SkYSPark Data_w Will''s Data'!C229,Outliers!$B$3:$B$61,0)),0)</f>
        <v>0</v>
      </c>
      <c r="AB229" s="112" t="b">
        <f>IFERROR(INDEX(Outliers!$AY$3:$AY$61,MATCH('SkYSPark Data_w Will''s Data'!C229,Outliers!$B$3:$B$61,0)),0)</f>
        <v>0</v>
      </c>
      <c r="AC229" s="112" t="s">
        <v>392</v>
      </c>
      <c r="AF229" s="132"/>
    </row>
    <row r="230" spans="1:32" x14ac:dyDescent="0.3">
      <c r="A230" s="2">
        <v>45261</v>
      </c>
      <c r="B230" s="3">
        <f t="shared" si="20"/>
        <v>12</v>
      </c>
      <c r="C230" s="3" t="s">
        <v>146</v>
      </c>
      <c r="D230" s="3" t="str">
        <f>VLOOKUP(C230,'Data availability'!$A$2:$B$91,2,FALSE)</f>
        <v>Main campus</v>
      </c>
      <c r="E230">
        <v>499221</v>
      </c>
      <c r="F230" s="3" t="str">
        <f>VLOOKUP(C230,'Data availability'!$A$2:$H$91,8,FALSE)</f>
        <v>Library</v>
      </c>
      <c r="G230" s="259">
        <f>'Solar Data-Main Campus'!E48</f>
        <v>307377.61070601619</v>
      </c>
      <c r="J230" s="1">
        <v>8930.2415758577863</v>
      </c>
      <c r="K230" s="193">
        <v>76902.417473218724</v>
      </c>
      <c r="M230" s="21">
        <f t="shared" si="21"/>
        <v>2.1008178897300538</v>
      </c>
      <c r="N230" s="21">
        <f t="shared" si="22"/>
        <v>0</v>
      </c>
      <c r="O230" s="21">
        <f t="shared" si="23"/>
        <v>1.7888353206010537</v>
      </c>
      <c r="P230" s="21">
        <f t="shared" si="24"/>
        <v>1.8485380416261028</v>
      </c>
      <c r="Z230" s="211" t="b">
        <f>IFERROR(INDEX(Outliers!$X$3:$X$61,MATCH('SkYSPark Data_w Will''s Data'!C230,Outliers!$B$3:$B$61,0)),0)</f>
        <v>0</v>
      </c>
      <c r="AA230" s="1" t="b">
        <f>IFERROR(INDEX(Outliers!$AP$3:$AP$61,MATCH('SkYSPark Data_w Will''s Data'!C230,Outliers!$B$3:$B$61,0)),0)</f>
        <v>0</v>
      </c>
      <c r="AB230" s="112" t="b">
        <f>IFERROR(INDEX(Outliers!$AY$3:$AY$61,MATCH('SkYSPark Data_w Will''s Data'!C230,Outliers!$B$3:$B$61,0)),0)</f>
        <v>0</v>
      </c>
      <c r="AC230" s="112" t="s">
        <v>392</v>
      </c>
      <c r="AF230" s="132"/>
    </row>
    <row r="231" spans="1:32" s="15" customFormat="1" x14ac:dyDescent="0.3">
      <c r="A231" s="38">
        <v>44927</v>
      </c>
      <c r="B231" s="3">
        <f t="shared" si="20"/>
        <v>1</v>
      </c>
      <c r="C231" s="22" t="s">
        <v>289</v>
      </c>
      <c r="D231" s="98" t="s">
        <v>529</v>
      </c>
      <c r="E231" s="3">
        <v>2458</v>
      </c>
      <c r="F231" s="3" t="s">
        <v>147</v>
      </c>
      <c r="G231" s="1">
        <v>2781.0454545454791</v>
      </c>
      <c r="H231" s="21"/>
      <c r="I231" s="21"/>
      <c r="J231" s="21"/>
      <c r="K231" s="37"/>
      <c r="L231" s="20"/>
      <c r="M231" s="21">
        <f t="shared" si="21"/>
        <v>3.8604259930468565</v>
      </c>
      <c r="N231" s="21">
        <f t="shared" si="22"/>
        <v>0</v>
      </c>
      <c r="O231" s="21">
        <f t="shared" si="23"/>
        <v>0</v>
      </c>
      <c r="P231" s="21">
        <f t="shared" si="24"/>
        <v>0</v>
      </c>
      <c r="Q231" s="21"/>
      <c r="R231" s="21"/>
      <c r="S231" s="21"/>
      <c r="T231" s="21"/>
      <c r="U231" s="21"/>
      <c r="V231" s="34"/>
      <c r="W231" s="19" t="s">
        <v>290</v>
      </c>
      <c r="X231" s="20"/>
      <c r="Y231" s="21"/>
      <c r="Z231" s="211" t="b">
        <f>IFERROR(INDEX(Outliers!$X$3:$X$61,MATCH('SkYSPark Data_w Will''s Data'!C231,Outliers!$B$3:$B$61,0)),0)</f>
        <v>0</v>
      </c>
      <c r="AA231" s="1" t="b">
        <f>IFERROR(INDEX(Outliers!$AP$3:$AP$61,MATCH('SkYSPark Data_w Will''s Data'!C231,Outliers!$B$3:$B$61,0)),0)</f>
        <v>1</v>
      </c>
      <c r="AB231" s="112" t="b">
        <f>IFERROR(INDEX(Outliers!$AY$3:$AY$61,MATCH('SkYSPark Data_w Will''s Data'!C231,Outliers!$B$3:$B$61,0)),0)</f>
        <v>1</v>
      </c>
      <c r="AC231" s="112" t="s">
        <v>392</v>
      </c>
      <c r="AD231" s="138"/>
      <c r="AE231" s="138"/>
      <c r="AF231" s="137"/>
    </row>
    <row r="232" spans="1:32" x14ac:dyDescent="0.3">
      <c r="A232" s="2">
        <v>44958</v>
      </c>
      <c r="B232" s="3">
        <f t="shared" si="20"/>
        <v>2</v>
      </c>
      <c r="C232" s="3" t="s">
        <v>289</v>
      </c>
      <c r="D232" s="98" t="s">
        <v>529</v>
      </c>
      <c r="E232" s="3">
        <v>2458</v>
      </c>
      <c r="F232" s="3" t="s">
        <v>147</v>
      </c>
      <c r="G232" s="1">
        <v>1933.7500000000268</v>
      </c>
      <c r="K232" s="7"/>
      <c r="M232" s="21">
        <f t="shared" ref="M232:M295" si="25">IFERROR((G232*3.412)/E232,0)</f>
        <v>2.6842778681855539</v>
      </c>
      <c r="N232" s="21">
        <f t="shared" ref="N232:N295" si="26">IFERROR((I232*100)/E232,0)</f>
        <v>0</v>
      </c>
      <c r="O232" s="21">
        <f t="shared" ref="O232:O295" si="27">IFERROR((J232*100)/E232,0)</f>
        <v>0</v>
      </c>
      <c r="P232" s="21">
        <f t="shared" ref="P232:P295" si="28">IFERROR((K232*12)/E232,0)</f>
        <v>0</v>
      </c>
      <c r="W232" s="10" t="s">
        <v>291</v>
      </c>
      <c r="Z232" s="211" t="b">
        <f>IFERROR(INDEX(Outliers!$X$3:$X$61,MATCH('SkYSPark Data_w Will''s Data'!C232,Outliers!$B$3:$B$61,0)),0)</f>
        <v>0</v>
      </c>
      <c r="AA232" s="1" t="b">
        <f>IFERROR(INDEX(Outliers!$AP$3:$AP$61,MATCH('SkYSPark Data_w Will''s Data'!C232,Outliers!$B$3:$B$61,0)),0)</f>
        <v>1</v>
      </c>
      <c r="AB232" s="112" t="b">
        <f>IFERROR(INDEX(Outliers!$AY$3:$AY$61,MATCH('SkYSPark Data_w Will''s Data'!C232,Outliers!$B$3:$B$61,0)),0)</f>
        <v>1</v>
      </c>
      <c r="AC232" s="112" t="s">
        <v>392</v>
      </c>
      <c r="AF232" s="132"/>
    </row>
    <row r="233" spans="1:32" x14ac:dyDescent="0.3">
      <c r="A233" s="2">
        <v>44986</v>
      </c>
      <c r="B233" s="3">
        <f t="shared" si="20"/>
        <v>3</v>
      </c>
      <c r="C233" s="3" t="s">
        <v>289</v>
      </c>
      <c r="D233" s="98" t="s">
        <v>529</v>
      </c>
      <c r="E233" s="3">
        <v>2458</v>
      </c>
      <c r="F233" s="3" t="s">
        <v>147</v>
      </c>
      <c r="G233" s="1">
        <v>1837.8917509481803</v>
      </c>
      <c r="K233" s="7"/>
      <c r="M233" s="21">
        <f t="shared" si="25"/>
        <v>2.5512150749532916</v>
      </c>
      <c r="N233" s="21">
        <f t="shared" si="26"/>
        <v>0</v>
      </c>
      <c r="O233" s="21">
        <f t="shared" si="27"/>
        <v>0</v>
      </c>
      <c r="P233" s="21">
        <f t="shared" si="28"/>
        <v>0</v>
      </c>
      <c r="W233" s="10"/>
      <c r="Z233" s="211" t="b">
        <f>IFERROR(INDEX(Outliers!$X$3:$X$61,MATCH('SkYSPark Data_w Will''s Data'!C233,Outliers!$B$3:$B$61,0)),0)</f>
        <v>0</v>
      </c>
      <c r="AA233" s="1" t="b">
        <f>IFERROR(INDEX(Outliers!$AP$3:$AP$61,MATCH('SkYSPark Data_w Will''s Data'!C233,Outliers!$B$3:$B$61,0)),0)</f>
        <v>1</v>
      </c>
      <c r="AB233" s="112" t="b">
        <f>IFERROR(INDEX(Outliers!$AY$3:$AY$61,MATCH('SkYSPark Data_w Will''s Data'!C233,Outliers!$B$3:$B$61,0)),0)</f>
        <v>1</v>
      </c>
      <c r="AC233" s="112" t="s">
        <v>392</v>
      </c>
      <c r="AF233" s="132"/>
    </row>
    <row r="234" spans="1:32" x14ac:dyDescent="0.3">
      <c r="A234" s="2">
        <v>45017</v>
      </c>
      <c r="B234" s="3">
        <f t="shared" si="20"/>
        <v>4</v>
      </c>
      <c r="C234" s="3" t="s">
        <v>289</v>
      </c>
      <c r="D234" s="98" t="s">
        <v>529</v>
      </c>
      <c r="E234" s="3">
        <v>2458</v>
      </c>
      <c r="F234" s="3" t="s">
        <v>147</v>
      </c>
      <c r="G234" s="1">
        <v>1796.8582490518015</v>
      </c>
      <c r="K234" s="7"/>
      <c r="M234" s="21">
        <f t="shared" si="25"/>
        <v>2.4942556329392782</v>
      </c>
      <c r="N234" s="21">
        <f t="shared" si="26"/>
        <v>0</v>
      </c>
      <c r="O234" s="21">
        <f t="shared" si="27"/>
        <v>0</v>
      </c>
      <c r="P234" s="21">
        <f t="shared" si="28"/>
        <v>0</v>
      </c>
      <c r="Z234" s="211" t="b">
        <f>IFERROR(INDEX(Outliers!$X$3:$X$61,MATCH('SkYSPark Data_w Will''s Data'!C234,Outliers!$B$3:$B$61,0)),0)</f>
        <v>0</v>
      </c>
      <c r="AA234" s="1" t="b">
        <f>IFERROR(INDEX(Outliers!$AP$3:$AP$61,MATCH('SkYSPark Data_w Will''s Data'!C234,Outliers!$B$3:$B$61,0)),0)</f>
        <v>1</v>
      </c>
      <c r="AB234" s="112" t="b">
        <f>IFERROR(INDEX(Outliers!$AY$3:$AY$61,MATCH('SkYSPark Data_w Will''s Data'!C234,Outliers!$B$3:$B$61,0)),0)</f>
        <v>1</v>
      </c>
      <c r="AC234" s="112" t="s">
        <v>392</v>
      </c>
      <c r="AF234" s="132"/>
    </row>
    <row r="235" spans="1:32" x14ac:dyDescent="0.3">
      <c r="A235" s="2">
        <v>45047</v>
      </c>
      <c r="B235" s="3">
        <f t="shared" si="20"/>
        <v>5</v>
      </c>
      <c r="C235" s="3" t="s">
        <v>289</v>
      </c>
      <c r="D235" s="98" t="s">
        <v>529</v>
      </c>
      <c r="E235" s="3">
        <v>2458</v>
      </c>
      <c r="F235" s="3" t="s">
        <v>147</v>
      </c>
      <c r="G235" s="1">
        <v>1852.2500000000196</v>
      </c>
      <c r="K235" s="7"/>
      <c r="M235" s="21">
        <f t="shared" si="25"/>
        <v>2.5711460537022242</v>
      </c>
      <c r="N235" s="21">
        <f t="shared" si="26"/>
        <v>0</v>
      </c>
      <c r="O235" s="21">
        <f t="shared" si="27"/>
        <v>0</v>
      </c>
      <c r="P235" s="21">
        <f t="shared" si="28"/>
        <v>0</v>
      </c>
      <c r="Z235" s="211" t="b">
        <f>IFERROR(INDEX(Outliers!$X$3:$X$61,MATCH('SkYSPark Data_w Will''s Data'!C235,Outliers!$B$3:$B$61,0)),0)</f>
        <v>0</v>
      </c>
      <c r="AA235" s="1" t="b">
        <f>IFERROR(INDEX(Outliers!$AP$3:$AP$61,MATCH('SkYSPark Data_w Will''s Data'!C235,Outliers!$B$3:$B$61,0)),0)</f>
        <v>1</v>
      </c>
      <c r="AB235" s="112" t="b">
        <f>IFERROR(INDEX(Outliers!$AY$3:$AY$61,MATCH('SkYSPark Data_w Will''s Data'!C235,Outliers!$B$3:$B$61,0)),0)</f>
        <v>1</v>
      </c>
      <c r="AC235" s="112" t="s">
        <v>392</v>
      </c>
      <c r="AF235" s="132"/>
    </row>
    <row r="236" spans="1:32" x14ac:dyDescent="0.3">
      <c r="A236" s="2">
        <v>45078</v>
      </c>
      <c r="B236" s="3">
        <f t="shared" si="20"/>
        <v>6</v>
      </c>
      <c r="C236" s="3" t="s">
        <v>289</v>
      </c>
      <c r="D236" s="98" t="s">
        <v>529</v>
      </c>
      <c r="E236" s="3">
        <v>2458</v>
      </c>
      <c r="F236" s="3" t="s">
        <v>147</v>
      </c>
      <c r="G236" s="1">
        <v>1293.2865853658548</v>
      </c>
      <c r="K236" s="7"/>
      <c r="M236" s="21">
        <f t="shared" si="25"/>
        <v>1.7952375220782328</v>
      </c>
      <c r="N236" s="21">
        <f t="shared" si="26"/>
        <v>0</v>
      </c>
      <c r="O236" s="21">
        <f t="shared" si="27"/>
        <v>0</v>
      </c>
      <c r="P236" s="21">
        <f t="shared" si="28"/>
        <v>0</v>
      </c>
      <c r="Z236" s="211" t="b">
        <f>IFERROR(INDEX(Outliers!$X$3:$X$61,MATCH('SkYSPark Data_w Will''s Data'!C236,Outliers!$B$3:$B$61,0)),0)</f>
        <v>0</v>
      </c>
      <c r="AA236" s="1" t="b">
        <f>IFERROR(INDEX(Outliers!$AP$3:$AP$61,MATCH('SkYSPark Data_w Will''s Data'!C236,Outliers!$B$3:$B$61,0)),0)</f>
        <v>1</v>
      </c>
      <c r="AB236" s="112" t="b">
        <f>IFERROR(INDEX(Outliers!$AY$3:$AY$61,MATCH('SkYSPark Data_w Will''s Data'!C236,Outliers!$B$3:$B$61,0)),0)</f>
        <v>1</v>
      </c>
      <c r="AC236" s="112" t="s">
        <v>392</v>
      </c>
      <c r="AF236" s="132"/>
    </row>
    <row r="237" spans="1:32" x14ac:dyDescent="0.3">
      <c r="A237" s="2">
        <v>45108</v>
      </c>
      <c r="B237" s="3">
        <f t="shared" si="20"/>
        <v>7</v>
      </c>
      <c r="C237" s="3" t="s">
        <v>289</v>
      </c>
      <c r="D237" s="98" t="s">
        <v>529</v>
      </c>
      <c r="E237" s="3">
        <v>2458</v>
      </c>
      <c r="F237" s="3" t="s">
        <v>147</v>
      </c>
      <c r="G237" s="1">
        <v>1344.5884146341302</v>
      </c>
      <c r="K237" s="7"/>
      <c r="M237" s="21">
        <f t="shared" si="25"/>
        <v>1.8664506390283369</v>
      </c>
      <c r="N237" s="21">
        <f t="shared" si="26"/>
        <v>0</v>
      </c>
      <c r="O237" s="21">
        <f t="shared" si="27"/>
        <v>0</v>
      </c>
      <c r="P237" s="21">
        <f t="shared" si="28"/>
        <v>0</v>
      </c>
      <c r="Z237" s="211" t="b">
        <f>IFERROR(INDEX(Outliers!$X$3:$X$61,MATCH('SkYSPark Data_w Will''s Data'!C237,Outliers!$B$3:$B$61,0)),0)</f>
        <v>0</v>
      </c>
      <c r="AA237" s="1" t="b">
        <f>IFERROR(INDEX(Outliers!$AP$3:$AP$61,MATCH('SkYSPark Data_w Will''s Data'!C237,Outliers!$B$3:$B$61,0)),0)</f>
        <v>1</v>
      </c>
      <c r="AB237" s="112" t="b">
        <f>IFERROR(INDEX(Outliers!$AY$3:$AY$61,MATCH('SkYSPark Data_w Will''s Data'!C237,Outliers!$B$3:$B$61,0)),0)</f>
        <v>1</v>
      </c>
      <c r="AC237" s="112" t="s">
        <v>392</v>
      </c>
      <c r="AF237" s="132"/>
    </row>
    <row r="238" spans="1:32" x14ac:dyDescent="0.3">
      <c r="A238" s="2">
        <v>45139</v>
      </c>
      <c r="B238" s="3">
        <f t="shared" si="20"/>
        <v>8</v>
      </c>
      <c r="C238" s="3" t="s">
        <v>289</v>
      </c>
      <c r="D238" s="98" t="s">
        <v>529</v>
      </c>
      <c r="E238" s="3">
        <v>2458</v>
      </c>
      <c r="F238" s="3" t="s">
        <v>147</v>
      </c>
      <c r="G238" s="1">
        <v>1198.4821428571399</v>
      </c>
      <c r="K238" s="7"/>
      <c r="M238" s="21">
        <f t="shared" si="25"/>
        <v>1.663637539230497</v>
      </c>
      <c r="N238" s="21">
        <f t="shared" si="26"/>
        <v>0</v>
      </c>
      <c r="O238" s="21">
        <f t="shared" si="27"/>
        <v>0</v>
      </c>
      <c r="P238" s="21">
        <f t="shared" si="28"/>
        <v>0</v>
      </c>
      <c r="Z238" s="211" t="b">
        <f>IFERROR(INDEX(Outliers!$X$3:$X$61,MATCH('SkYSPark Data_w Will''s Data'!C238,Outliers!$B$3:$B$61,0)),0)</f>
        <v>0</v>
      </c>
      <c r="AA238" s="1" t="b">
        <f>IFERROR(INDEX(Outliers!$AP$3:$AP$61,MATCH('SkYSPark Data_w Will''s Data'!C238,Outliers!$B$3:$B$61,0)),0)</f>
        <v>1</v>
      </c>
      <c r="AB238" s="112" t="b">
        <f>IFERROR(INDEX(Outliers!$AY$3:$AY$61,MATCH('SkYSPark Data_w Will''s Data'!C238,Outliers!$B$3:$B$61,0)),0)</f>
        <v>1</v>
      </c>
      <c r="AC238" s="112" t="s">
        <v>392</v>
      </c>
      <c r="AF238" s="132"/>
    </row>
    <row r="239" spans="1:32" x14ac:dyDescent="0.3">
      <c r="A239" s="2">
        <v>45170</v>
      </c>
      <c r="B239" s="3">
        <f t="shared" si="20"/>
        <v>9</v>
      </c>
      <c r="C239" s="3" t="s">
        <v>289</v>
      </c>
      <c r="D239" s="98" t="s">
        <v>529</v>
      </c>
      <c r="E239" s="3">
        <v>2458</v>
      </c>
      <c r="F239" s="3" t="s">
        <v>147</v>
      </c>
      <c r="G239" s="1">
        <v>1659.1521164021401</v>
      </c>
      <c r="K239" s="7"/>
      <c r="M239" s="21">
        <f t="shared" si="25"/>
        <v>2.3031029378210341</v>
      </c>
      <c r="N239" s="21">
        <f t="shared" si="26"/>
        <v>0</v>
      </c>
      <c r="O239" s="21">
        <f t="shared" si="27"/>
        <v>0</v>
      </c>
      <c r="P239" s="21">
        <f t="shared" si="28"/>
        <v>0</v>
      </c>
      <c r="Z239" s="211" t="b">
        <f>IFERROR(INDEX(Outliers!$X$3:$X$61,MATCH('SkYSPark Data_w Will''s Data'!C239,Outliers!$B$3:$B$61,0)),0)</f>
        <v>0</v>
      </c>
      <c r="AA239" s="1" t="b">
        <f>IFERROR(INDEX(Outliers!$AP$3:$AP$61,MATCH('SkYSPark Data_w Will''s Data'!C239,Outliers!$B$3:$B$61,0)),0)</f>
        <v>1</v>
      </c>
      <c r="AB239" s="112" t="b">
        <f>IFERROR(INDEX(Outliers!$AY$3:$AY$61,MATCH('SkYSPark Data_w Will''s Data'!C239,Outliers!$B$3:$B$61,0)),0)</f>
        <v>1</v>
      </c>
      <c r="AC239" s="112" t="s">
        <v>392</v>
      </c>
      <c r="AF239" s="132"/>
    </row>
    <row r="240" spans="1:32" x14ac:dyDescent="0.3">
      <c r="A240" s="2">
        <v>45200</v>
      </c>
      <c r="B240" s="3">
        <f t="shared" si="20"/>
        <v>10</v>
      </c>
      <c r="C240" s="3" t="s">
        <v>289</v>
      </c>
      <c r="D240" s="98" t="s">
        <v>529</v>
      </c>
      <c r="E240" s="3">
        <v>2458</v>
      </c>
      <c r="F240" s="3" t="s">
        <v>147</v>
      </c>
      <c r="G240" s="1">
        <v>1868.2407407407213</v>
      </c>
      <c r="K240" s="7"/>
      <c r="M240" s="21">
        <f t="shared" si="25"/>
        <v>2.5933431275050207</v>
      </c>
      <c r="N240" s="21">
        <f t="shared" si="26"/>
        <v>0</v>
      </c>
      <c r="O240" s="21">
        <f t="shared" si="27"/>
        <v>0</v>
      </c>
      <c r="P240" s="21">
        <f t="shared" si="28"/>
        <v>0</v>
      </c>
      <c r="Z240" s="211" t="b">
        <f>IFERROR(INDEX(Outliers!$X$3:$X$61,MATCH('SkYSPark Data_w Will''s Data'!C240,Outliers!$B$3:$B$61,0)),0)</f>
        <v>0</v>
      </c>
      <c r="AA240" s="1" t="b">
        <f>IFERROR(INDEX(Outliers!$AP$3:$AP$61,MATCH('SkYSPark Data_w Will''s Data'!C240,Outliers!$B$3:$B$61,0)),0)</f>
        <v>1</v>
      </c>
      <c r="AB240" s="112" t="b">
        <f>IFERROR(INDEX(Outliers!$AY$3:$AY$61,MATCH('SkYSPark Data_w Will''s Data'!C240,Outliers!$B$3:$B$61,0)),0)</f>
        <v>1</v>
      </c>
      <c r="AC240" s="112" t="s">
        <v>392</v>
      </c>
      <c r="AF240" s="132"/>
    </row>
    <row r="241" spans="1:59" x14ac:dyDescent="0.3">
      <c r="A241" s="2">
        <v>45231</v>
      </c>
      <c r="B241" s="3">
        <f t="shared" si="20"/>
        <v>11</v>
      </c>
      <c r="C241" s="3" t="s">
        <v>289</v>
      </c>
      <c r="D241" s="98" t="s">
        <v>529</v>
      </c>
      <c r="E241" s="3">
        <v>2458</v>
      </c>
      <c r="F241" s="3" t="s">
        <v>147</v>
      </c>
      <c r="G241" s="1">
        <v>2136.0647856241899</v>
      </c>
      <c r="K241" s="7"/>
      <c r="M241" s="21">
        <f t="shared" si="25"/>
        <v>2.9651151540072154</v>
      </c>
      <c r="N241" s="21">
        <f t="shared" si="26"/>
        <v>0</v>
      </c>
      <c r="O241" s="21">
        <f t="shared" si="27"/>
        <v>0</v>
      </c>
      <c r="P241" s="21">
        <f t="shared" si="28"/>
        <v>0</v>
      </c>
      <c r="Z241" s="211" t="b">
        <f>IFERROR(INDEX(Outliers!$X$3:$X$61,MATCH('SkYSPark Data_w Will''s Data'!C241,Outliers!$B$3:$B$61,0)),0)</f>
        <v>0</v>
      </c>
      <c r="AA241" s="1" t="b">
        <f>IFERROR(INDEX(Outliers!$AP$3:$AP$61,MATCH('SkYSPark Data_w Will''s Data'!C241,Outliers!$B$3:$B$61,0)),0)</f>
        <v>1</v>
      </c>
      <c r="AB241" s="112" t="b">
        <f>IFERROR(INDEX(Outliers!$AY$3:$AY$61,MATCH('SkYSPark Data_w Will''s Data'!C241,Outliers!$B$3:$B$61,0)),0)</f>
        <v>1</v>
      </c>
      <c r="AC241" s="112" t="s">
        <v>392</v>
      </c>
      <c r="AF241" s="132"/>
    </row>
    <row r="242" spans="1:59" x14ac:dyDescent="0.3">
      <c r="A242" s="2">
        <v>45261</v>
      </c>
      <c r="B242" s="3">
        <f t="shared" si="20"/>
        <v>12</v>
      </c>
      <c r="C242" s="3" t="s">
        <v>289</v>
      </c>
      <c r="D242" s="98" t="s">
        <v>529</v>
      </c>
      <c r="E242" s="3">
        <v>2458</v>
      </c>
      <c r="F242" s="3" t="s">
        <v>147</v>
      </c>
      <c r="G242" s="1">
        <v>2065.5343523067886</v>
      </c>
      <c r="K242" s="7"/>
      <c r="M242" s="21">
        <f t="shared" si="25"/>
        <v>2.8672104190686585</v>
      </c>
      <c r="N242" s="21">
        <f t="shared" si="26"/>
        <v>0</v>
      </c>
      <c r="O242" s="21">
        <f t="shared" si="27"/>
        <v>0</v>
      </c>
      <c r="P242" s="21">
        <f t="shared" si="28"/>
        <v>0</v>
      </c>
      <c r="Z242" s="211" t="b">
        <f>IFERROR(INDEX(Outliers!$X$3:$X$61,MATCH('SkYSPark Data_w Will''s Data'!C242,Outliers!$B$3:$B$61,0)),0)</f>
        <v>0</v>
      </c>
      <c r="AA242" s="1" t="b">
        <f>IFERROR(INDEX(Outliers!$AP$3:$AP$61,MATCH('SkYSPark Data_w Will''s Data'!C242,Outliers!$B$3:$B$61,0)),0)</f>
        <v>1</v>
      </c>
      <c r="AB242" s="112" t="b">
        <f>IFERROR(INDEX(Outliers!$AY$3:$AY$61,MATCH('SkYSPark Data_w Will''s Data'!C242,Outliers!$B$3:$B$61,0)),0)</f>
        <v>1</v>
      </c>
      <c r="AC242" s="112" t="s">
        <v>392</v>
      </c>
      <c r="AF242" s="132"/>
    </row>
    <row r="243" spans="1:59" s="15" customFormat="1" x14ac:dyDescent="0.3">
      <c r="A243" s="38">
        <v>44927</v>
      </c>
      <c r="B243" s="3">
        <f t="shared" si="20"/>
        <v>1</v>
      </c>
      <c r="C243" s="22" t="s">
        <v>451</v>
      </c>
      <c r="D243" s="98" t="s">
        <v>529</v>
      </c>
      <c r="E243" s="98">
        <v>77536</v>
      </c>
      <c r="F243" s="3" t="s">
        <v>127</v>
      </c>
      <c r="G243" s="21">
        <v>34186.75</v>
      </c>
      <c r="H243" s="21"/>
      <c r="I243" s="21"/>
      <c r="J243" s="21">
        <v>2894.3399999999929</v>
      </c>
      <c r="K243" s="193">
        <f>'Climate Normalization'!D130</f>
        <v>0</v>
      </c>
      <c r="L243" s="20"/>
      <c r="M243" s="21">
        <f t="shared" si="25"/>
        <v>1.5044004204498553</v>
      </c>
      <c r="N243" s="21">
        <f t="shared" si="26"/>
        <v>0</v>
      </c>
      <c r="O243" s="21">
        <f t="shared" si="27"/>
        <v>3.7328982666116293</v>
      </c>
      <c r="P243" s="21">
        <f t="shared" si="28"/>
        <v>0</v>
      </c>
      <c r="Q243" s="21">
        <f>(SUM(G243:G254)*3.412)/E243</f>
        <v>15.063850624226166</v>
      </c>
      <c r="R243" s="21">
        <f>(SUM(I243:I254)*100)/E243</f>
        <v>0</v>
      </c>
      <c r="S243" s="21">
        <f>(SUM(J243:J254)*100)/E243</f>
        <v>21.980950784151883</v>
      </c>
      <c r="T243" s="21">
        <f>(SUM(K243:K254)*12)/E243</f>
        <v>4.113006300635714</v>
      </c>
      <c r="U243" s="21"/>
      <c r="V243" s="34"/>
      <c r="W243" s="19" t="s">
        <v>676</v>
      </c>
      <c r="X243" s="20"/>
      <c r="Y243" s="21" t="s">
        <v>452</v>
      </c>
      <c r="Z243" s="211" t="b">
        <f>IFERROR(INDEX(Outliers!$X$3:$X$61,MATCH('SkYSPark Data_w Will''s Data'!C243,Outliers!$B$3:$B$61,0)),0)</f>
        <v>0</v>
      </c>
      <c r="AA243" s="1" t="b">
        <f>IFERROR(INDEX(Outliers!$AP$3:$AP$61,MATCH('SkYSPark Data_w Will''s Data'!C243,Outliers!$B$3:$B$61,0)),0)</f>
        <v>0</v>
      </c>
      <c r="AB243" s="112" t="b">
        <f>IFERROR(INDEX(Outliers!$AY$3:$AY$61,MATCH('SkYSPark Data_w Will''s Data'!C243,Outliers!$B$3:$B$61,0)),0)</f>
        <v>0</v>
      </c>
      <c r="AC243" s="112" t="s">
        <v>392</v>
      </c>
      <c r="AD243" s="138"/>
      <c r="AE243" s="136" t="s">
        <v>392</v>
      </c>
      <c r="AF243" s="137"/>
    </row>
    <row r="244" spans="1:59" x14ac:dyDescent="0.3">
      <c r="A244" s="2">
        <v>44958</v>
      </c>
      <c r="B244" s="3">
        <f t="shared" si="20"/>
        <v>2</v>
      </c>
      <c r="C244" s="3" t="s">
        <v>451</v>
      </c>
      <c r="D244" s="98" t="s">
        <v>529</v>
      </c>
      <c r="E244" s="98">
        <v>77536</v>
      </c>
      <c r="F244" s="3" t="s">
        <v>127</v>
      </c>
      <c r="G244" s="1">
        <v>23741.75</v>
      </c>
      <c r="J244" s="1">
        <v>1527.3700000000008</v>
      </c>
      <c r="K244" s="193">
        <f>'Climate Normalization'!D131</f>
        <v>352.35991516112847</v>
      </c>
      <c r="M244" s="21">
        <f t="shared" si="25"/>
        <v>1.0447643804168385</v>
      </c>
      <c r="N244" s="21">
        <f t="shared" si="26"/>
        <v>0</v>
      </c>
      <c r="O244" s="21">
        <f t="shared" si="27"/>
        <v>1.9698849566652921</v>
      </c>
      <c r="P244" s="21">
        <f t="shared" si="28"/>
        <v>5.4533622858201895E-2</v>
      </c>
      <c r="W244" s="1" t="s">
        <v>677</v>
      </c>
      <c r="Z244" s="211" t="b">
        <f>IFERROR(INDEX(Outliers!$X$3:$X$61,MATCH('SkYSPark Data_w Will''s Data'!C244,Outliers!$B$3:$B$61,0)),0)</f>
        <v>0</v>
      </c>
      <c r="AA244" s="1" t="b">
        <f>IFERROR(INDEX(Outliers!$AP$3:$AP$61,MATCH('SkYSPark Data_w Will''s Data'!C244,Outliers!$B$3:$B$61,0)),0)</f>
        <v>0</v>
      </c>
      <c r="AB244" s="112" t="b">
        <f>IFERROR(INDEX(Outliers!$AY$3:$AY$61,MATCH('SkYSPark Data_w Will''s Data'!C244,Outliers!$B$3:$B$61,0)),0)</f>
        <v>0</v>
      </c>
      <c r="AC244" s="112" t="s">
        <v>392</v>
      </c>
      <c r="AF244" s="132"/>
    </row>
    <row r="245" spans="1:59" x14ac:dyDescent="0.3">
      <c r="A245" s="2">
        <v>44986</v>
      </c>
      <c r="B245" s="3">
        <f t="shared" si="20"/>
        <v>3</v>
      </c>
      <c r="C245" s="3" t="s">
        <v>451</v>
      </c>
      <c r="D245" s="98" t="s">
        <v>529</v>
      </c>
      <c r="E245" s="98">
        <v>77536</v>
      </c>
      <c r="F245" s="3" t="s">
        <v>127</v>
      </c>
      <c r="G245" s="1">
        <v>23741.75</v>
      </c>
      <c r="J245" s="1">
        <v>1527.3700000000008</v>
      </c>
      <c r="K245" s="193">
        <f>'Climate Normalization'!D132</f>
        <v>45.824319646608856</v>
      </c>
      <c r="M245" s="21">
        <f t="shared" si="25"/>
        <v>1.0447643804168385</v>
      </c>
      <c r="N245" s="21">
        <f t="shared" si="26"/>
        <v>0</v>
      </c>
      <c r="O245" s="21">
        <f t="shared" si="27"/>
        <v>1.9698849566652921</v>
      </c>
      <c r="P245" s="21">
        <f t="shared" si="28"/>
        <v>7.0920841384557671E-3</v>
      </c>
      <c r="Z245" s="211" t="b">
        <f>IFERROR(INDEX(Outliers!$X$3:$X$61,MATCH('SkYSPark Data_w Will''s Data'!C245,Outliers!$B$3:$B$61,0)),0)</f>
        <v>0</v>
      </c>
      <c r="AA245" s="1" t="b">
        <f>IFERROR(INDEX(Outliers!$AP$3:$AP$61,MATCH('SkYSPark Data_w Will''s Data'!C245,Outliers!$B$3:$B$61,0)),0)</f>
        <v>0</v>
      </c>
      <c r="AB245" s="112" t="b">
        <f>IFERROR(INDEX(Outliers!$AY$3:$AY$61,MATCH('SkYSPark Data_w Will''s Data'!C245,Outliers!$B$3:$B$61,0)),0)</f>
        <v>0</v>
      </c>
      <c r="AC245" s="112" t="s">
        <v>392</v>
      </c>
      <c r="AF245" s="132"/>
    </row>
    <row r="246" spans="1:59" x14ac:dyDescent="0.3">
      <c r="A246" s="2">
        <v>45017</v>
      </c>
      <c r="B246" s="3">
        <f t="shared" si="20"/>
        <v>4</v>
      </c>
      <c r="C246" s="3" t="s">
        <v>451</v>
      </c>
      <c r="D246" s="98" t="s">
        <v>529</v>
      </c>
      <c r="E246" s="98">
        <v>77536</v>
      </c>
      <c r="F246" s="3" t="s">
        <v>127</v>
      </c>
      <c r="G246" s="1">
        <v>23741.75</v>
      </c>
      <c r="J246" s="1">
        <v>1850.7099999999991</v>
      </c>
      <c r="K246" s="193">
        <f>'Climate Normalization'!D133</f>
        <v>803.16398655236549</v>
      </c>
      <c r="M246" s="21">
        <f t="shared" si="25"/>
        <v>1.0447643804168385</v>
      </c>
      <c r="N246" s="21">
        <f t="shared" si="26"/>
        <v>0</v>
      </c>
      <c r="O246" s="21">
        <f t="shared" si="27"/>
        <v>2.3869041477507209</v>
      </c>
      <c r="P246" s="21">
        <f t="shared" si="28"/>
        <v>0.12430313452626374</v>
      </c>
      <c r="Z246" s="211" t="b">
        <f>IFERROR(INDEX(Outliers!$X$3:$X$61,MATCH('SkYSPark Data_w Will''s Data'!C246,Outliers!$B$3:$B$61,0)),0)</f>
        <v>0</v>
      </c>
      <c r="AA246" s="1" t="b">
        <f>IFERROR(INDEX(Outliers!$AP$3:$AP$61,MATCH('SkYSPark Data_w Will''s Data'!C246,Outliers!$B$3:$B$61,0)),0)</f>
        <v>0</v>
      </c>
      <c r="AB246" s="112" t="b">
        <f>IFERROR(INDEX(Outliers!$AY$3:$AY$61,MATCH('SkYSPark Data_w Will''s Data'!C246,Outliers!$B$3:$B$61,0)),0)</f>
        <v>0</v>
      </c>
      <c r="AC246" s="112" t="s">
        <v>392</v>
      </c>
      <c r="AF246" s="132"/>
    </row>
    <row r="247" spans="1:59" x14ac:dyDescent="0.3">
      <c r="A247" s="2">
        <v>45047</v>
      </c>
      <c r="B247" s="3">
        <f t="shared" si="20"/>
        <v>5</v>
      </c>
      <c r="C247" s="3" t="s">
        <v>451</v>
      </c>
      <c r="D247" s="98" t="s">
        <v>529</v>
      </c>
      <c r="E247" s="98">
        <v>77536</v>
      </c>
      <c r="F247" s="3" t="s">
        <v>127</v>
      </c>
      <c r="K247" s="193">
        <f>'Climate Normalization'!D134</f>
        <v>1291.6487292103311</v>
      </c>
      <c r="M247" s="21">
        <f t="shared" si="25"/>
        <v>0</v>
      </c>
      <c r="N247" s="21">
        <f t="shared" si="26"/>
        <v>0</v>
      </c>
      <c r="O247" s="21">
        <f t="shared" si="27"/>
        <v>0</v>
      </c>
      <c r="P247" s="21">
        <f t="shared" si="28"/>
        <v>0.1999043637861635</v>
      </c>
      <c r="Z247" s="211" t="b">
        <f>IFERROR(INDEX(Outliers!$X$3:$X$61,MATCH('SkYSPark Data_w Will''s Data'!C247,Outliers!$B$3:$B$61,0)),0)</f>
        <v>0</v>
      </c>
      <c r="AA247" s="1" t="b">
        <f>IFERROR(INDEX(Outliers!$AP$3:$AP$61,MATCH('SkYSPark Data_w Will''s Data'!C247,Outliers!$B$3:$B$61,0)),0)</f>
        <v>0</v>
      </c>
      <c r="AB247" s="112" t="b">
        <f>IFERROR(INDEX(Outliers!$AY$3:$AY$61,MATCH('SkYSPark Data_w Will''s Data'!C247,Outliers!$B$3:$B$61,0)),0)</f>
        <v>0</v>
      </c>
      <c r="AC247" s="112" t="s">
        <v>392</v>
      </c>
      <c r="AF247" s="132"/>
    </row>
    <row r="248" spans="1:59" x14ac:dyDescent="0.3">
      <c r="A248" s="2">
        <v>45078</v>
      </c>
      <c r="B248" s="3">
        <f t="shared" si="20"/>
        <v>6</v>
      </c>
      <c r="C248" s="3" t="s">
        <v>451</v>
      </c>
      <c r="D248" s="98" t="s">
        <v>529</v>
      </c>
      <c r="E248" s="98">
        <v>77536</v>
      </c>
      <c r="F248" s="3" t="s">
        <v>127</v>
      </c>
      <c r="G248" s="1">
        <v>19481.75</v>
      </c>
      <c r="J248" s="1">
        <v>41.710000000002765</v>
      </c>
      <c r="K248" s="193">
        <f>'Climate Normalization'!D135</f>
        <v>1776.2885171133084</v>
      </c>
      <c r="M248" s="21">
        <f t="shared" si="25"/>
        <v>0.85730152445315722</v>
      </c>
      <c r="N248" s="21">
        <f t="shared" si="26"/>
        <v>0</v>
      </c>
      <c r="O248" s="21">
        <f t="shared" si="27"/>
        <v>5.3794366487828579E-2</v>
      </c>
      <c r="P248" s="21">
        <f t="shared" si="28"/>
        <v>0.27491052163330199</v>
      </c>
      <c r="Z248" s="211" t="b">
        <f>IFERROR(INDEX(Outliers!$X$3:$X$61,MATCH('SkYSPark Data_w Will''s Data'!C248,Outliers!$B$3:$B$61,0)),0)</f>
        <v>0</v>
      </c>
      <c r="AA248" s="1" t="b">
        <f>IFERROR(INDEX(Outliers!$AP$3:$AP$61,MATCH('SkYSPark Data_w Will''s Data'!C248,Outliers!$B$3:$B$61,0)),0)</f>
        <v>0</v>
      </c>
      <c r="AB248" s="112" t="b">
        <f>IFERROR(INDEX(Outliers!$AY$3:$AY$61,MATCH('SkYSPark Data_w Will''s Data'!C248,Outliers!$B$3:$B$61,0)),0)</f>
        <v>0</v>
      </c>
      <c r="AC248" s="112" t="s">
        <v>392</v>
      </c>
      <c r="AF248" s="132"/>
    </row>
    <row r="249" spans="1:59" x14ac:dyDescent="0.3">
      <c r="A249" s="2">
        <v>45108</v>
      </c>
      <c r="B249" s="3">
        <f t="shared" si="20"/>
        <v>7</v>
      </c>
      <c r="C249" s="3" t="s">
        <v>451</v>
      </c>
      <c r="D249" s="98" t="s">
        <v>529</v>
      </c>
      <c r="E249" s="98">
        <v>77536</v>
      </c>
      <c r="F249" s="3" t="s">
        <v>127</v>
      </c>
      <c r="G249" s="1">
        <v>38486</v>
      </c>
      <c r="J249" s="1">
        <v>63.260000000009313</v>
      </c>
      <c r="K249" s="193">
        <f>'Climate Normalization'!D136</f>
        <v>4120.9546346429252</v>
      </c>
      <c r="M249" s="21">
        <f t="shared" si="25"/>
        <v>1.6935904869995873</v>
      </c>
      <c r="N249" s="21">
        <f t="shared" si="26"/>
        <v>0</v>
      </c>
      <c r="O249" s="21">
        <f t="shared" si="27"/>
        <v>8.1587907552632732E-2</v>
      </c>
      <c r="P249" s="21">
        <f t="shared" si="28"/>
        <v>0.63778703590222741</v>
      </c>
      <c r="Z249" s="211" t="b">
        <f>IFERROR(INDEX(Outliers!$X$3:$X$61,MATCH('SkYSPark Data_w Will''s Data'!C249,Outliers!$B$3:$B$61,0)),0)</f>
        <v>0</v>
      </c>
      <c r="AA249" s="1" t="b">
        <f>IFERROR(INDEX(Outliers!$AP$3:$AP$61,MATCH('SkYSPark Data_w Will''s Data'!C249,Outliers!$B$3:$B$61,0)),0)</f>
        <v>0</v>
      </c>
      <c r="AB249" s="112" t="b">
        <f>IFERROR(INDEX(Outliers!$AY$3:$AY$61,MATCH('SkYSPark Data_w Will''s Data'!C249,Outliers!$B$3:$B$61,0)),0)</f>
        <v>0</v>
      </c>
      <c r="AC249" s="112" t="s">
        <v>392</v>
      </c>
      <c r="AF249" s="132"/>
    </row>
    <row r="250" spans="1:59" x14ac:dyDescent="0.3">
      <c r="A250" s="2">
        <v>45139</v>
      </c>
      <c r="B250" s="3">
        <f t="shared" si="20"/>
        <v>8</v>
      </c>
      <c r="C250" s="3" t="s">
        <v>451</v>
      </c>
      <c r="D250" s="98" t="s">
        <v>529</v>
      </c>
      <c r="E250" s="98">
        <v>77536</v>
      </c>
      <c r="F250" s="3" t="s">
        <v>127</v>
      </c>
      <c r="G250" s="1">
        <v>31514.25</v>
      </c>
      <c r="J250" s="1">
        <v>323.58000000000175</v>
      </c>
      <c r="K250" s="193">
        <f>'Climate Normalization'!D137</f>
        <v>9675.4469953175685</v>
      </c>
      <c r="M250" s="21">
        <f t="shared" si="25"/>
        <v>1.3867960818200578</v>
      </c>
      <c r="N250" s="21">
        <f t="shared" si="26"/>
        <v>0</v>
      </c>
      <c r="O250" s="21">
        <f t="shared" si="27"/>
        <v>0.41732872472142196</v>
      </c>
      <c r="P250" s="21">
        <f t="shared" si="28"/>
        <v>1.4974381441370566</v>
      </c>
      <c r="Z250" s="211" t="b">
        <f>IFERROR(INDEX(Outliers!$X$3:$X$61,MATCH('SkYSPark Data_w Will''s Data'!C250,Outliers!$B$3:$B$61,0)),0)</f>
        <v>0</v>
      </c>
      <c r="AA250" s="1" t="b">
        <f>IFERROR(INDEX(Outliers!$AP$3:$AP$61,MATCH('SkYSPark Data_w Will''s Data'!C250,Outliers!$B$3:$B$61,0)),0)</f>
        <v>0</v>
      </c>
      <c r="AB250" s="112" t="b">
        <f>IFERROR(INDEX(Outliers!$AY$3:$AY$61,MATCH('SkYSPark Data_w Will''s Data'!C250,Outliers!$B$3:$B$61,0)),0)</f>
        <v>0</v>
      </c>
      <c r="AC250" s="112" t="s">
        <v>392</v>
      </c>
      <c r="AF250" s="132"/>
    </row>
    <row r="251" spans="1:59" x14ac:dyDescent="0.3">
      <c r="A251" s="2">
        <v>45170</v>
      </c>
      <c r="B251" s="3">
        <f t="shared" si="20"/>
        <v>9</v>
      </c>
      <c r="C251" s="3" t="s">
        <v>451</v>
      </c>
      <c r="D251" s="98" t="s">
        <v>529</v>
      </c>
      <c r="E251" s="98">
        <v>77536</v>
      </c>
      <c r="F251" s="3" t="s">
        <v>127</v>
      </c>
      <c r="G251" s="1">
        <v>35742</v>
      </c>
      <c r="J251" s="1">
        <v>689.14999999999054</v>
      </c>
      <c r="K251" s="193">
        <f>'Climate Normalization'!D138</f>
        <v>3793.8857024219806</v>
      </c>
      <c r="M251" s="21">
        <f t="shared" si="25"/>
        <v>1.5728397647544365</v>
      </c>
      <c r="N251" s="21">
        <f t="shared" si="26"/>
        <v>0</v>
      </c>
      <c r="O251" s="21">
        <f t="shared" si="27"/>
        <v>0.88881293850597209</v>
      </c>
      <c r="P251" s="21">
        <f t="shared" si="28"/>
        <v>0.58716761799762396</v>
      </c>
      <c r="Z251" s="211" t="b">
        <f>IFERROR(INDEX(Outliers!$X$3:$X$61,MATCH('SkYSPark Data_w Will''s Data'!C251,Outliers!$B$3:$B$61,0)),0)</f>
        <v>0</v>
      </c>
      <c r="AA251" s="1" t="b">
        <f>IFERROR(INDEX(Outliers!$AP$3:$AP$61,MATCH('SkYSPark Data_w Will''s Data'!C251,Outliers!$B$3:$B$61,0)),0)</f>
        <v>0</v>
      </c>
      <c r="AB251" s="112" t="b">
        <f>IFERROR(INDEX(Outliers!$AY$3:$AY$61,MATCH('SkYSPark Data_w Will''s Data'!C251,Outliers!$B$3:$B$61,0)),0)</f>
        <v>0</v>
      </c>
      <c r="AC251" s="112" t="s">
        <v>392</v>
      </c>
      <c r="AF251" s="132"/>
    </row>
    <row r="252" spans="1:59" x14ac:dyDescent="0.3">
      <c r="A252" s="2">
        <v>45200</v>
      </c>
      <c r="B252" s="3">
        <f t="shared" si="20"/>
        <v>10</v>
      </c>
      <c r="C252" s="3" t="s">
        <v>451</v>
      </c>
      <c r="D252" s="98" t="s">
        <v>529</v>
      </c>
      <c r="E252" s="98">
        <v>77536</v>
      </c>
      <c r="F252" s="3" t="s">
        <v>127</v>
      </c>
      <c r="G252" s="1">
        <v>39066.75</v>
      </c>
      <c r="J252" s="1">
        <v>2555.7899999999972</v>
      </c>
      <c r="K252" s="193">
        <f>'Climate Normalization'!D139</f>
        <v>4008.5520789738084</v>
      </c>
      <c r="M252" s="21">
        <f t="shared" si="25"/>
        <v>1.7191466028683449</v>
      </c>
      <c r="N252" s="21">
        <f t="shared" si="26"/>
        <v>0</v>
      </c>
      <c r="O252" s="21">
        <f t="shared" si="27"/>
        <v>3.2962623813454357</v>
      </c>
      <c r="P252" s="21">
        <f t="shared" si="28"/>
        <v>0.62039085002689986</v>
      </c>
      <c r="Z252" s="211" t="b">
        <f>IFERROR(INDEX(Outliers!$X$3:$X$61,MATCH('SkYSPark Data_w Will''s Data'!C252,Outliers!$B$3:$B$61,0)),0)</f>
        <v>0</v>
      </c>
      <c r="AA252" s="1" t="b">
        <f>IFERROR(INDEX(Outliers!$AP$3:$AP$61,MATCH('SkYSPark Data_w Will''s Data'!C252,Outliers!$B$3:$B$61,0)),0)</f>
        <v>0</v>
      </c>
      <c r="AB252" s="112" t="b">
        <f>IFERROR(INDEX(Outliers!$AY$3:$AY$61,MATCH('SkYSPark Data_w Will''s Data'!C252,Outliers!$B$3:$B$61,0)),0)</f>
        <v>0</v>
      </c>
      <c r="AC252" s="112" t="s">
        <v>392</v>
      </c>
      <c r="AF252" s="132"/>
    </row>
    <row r="253" spans="1:59" x14ac:dyDescent="0.3">
      <c r="A253" s="2">
        <v>45231</v>
      </c>
      <c r="B253" s="3">
        <f t="shared" si="20"/>
        <v>11</v>
      </c>
      <c r="C253" s="3" t="s">
        <v>451</v>
      </c>
      <c r="D253" s="98" t="s">
        <v>529</v>
      </c>
      <c r="E253" s="98">
        <v>77536</v>
      </c>
      <c r="F253" s="3" t="s">
        <v>127</v>
      </c>
      <c r="G253" s="1">
        <v>37266.25</v>
      </c>
      <c r="J253" s="1">
        <v>2913.7300000000141</v>
      </c>
      <c r="K253" s="193">
        <f>'Climate Normalization'!D140</f>
        <v>707.3798314675339</v>
      </c>
      <c r="M253" s="21">
        <f t="shared" si="25"/>
        <v>1.6399149427362771</v>
      </c>
      <c r="N253" s="21">
        <f t="shared" si="26"/>
        <v>0</v>
      </c>
      <c r="O253" s="21">
        <f t="shared" si="27"/>
        <v>3.7579060049525563</v>
      </c>
      <c r="P253" s="21">
        <f t="shared" si="28"/>
        <v>0.10947892562951926</v>
      </c>
      <c r="Z253" s="211" t="b">
        <f>IFERROR(INDEX(Outliers!$X$3:$X$61,MATCH('SkYSPark Data_w Will''s Data'!C253,Outliers!$B$3:$B$61,0)),0)</f>
        <v>0</v>
      </c>
      <c r="AA253" s="1" t="b">
        <f>IFERROR(INDEX(Outliers!$AP$3:$AP$61,MATCH('SkYSPark Data_w Will''s Data'!C253,Outliers!$B$3:$B$61,0)),0)</f>
        <v>0</v>
      </c>
      <c r="AB253" s="112" t="b">
        <f>IFERROR(INDEX(Outliers!$AY$3:$AY$61,MATCH('SkYSPark Data_w Will''s Data'!C253,Outliers!$B$3:$B$61,0)),0)</f>
        <v>0</v>
      </c>
      <c r="AC253" s="112" t="s">
        <v>392</v>
      </c>
      <c r="AF253" s="132"/>
    </row>
    <row r="254" spans="1:59" x14ac:dyDescent="0.3">
      <c r="A254" s="2">
        <v>45261</v>
      </c>
      <c r="B254" s="3">
        <f t="shared" si="20"/>
        <v>12</v>
      </c>
      <c r="C254" s="3" t="s">
        <v>451</v>
      </c>
      <c r="D254" s="98" t="s">
        <v>529</v>
      </c>
      <c r="E254" s="98">
        <v>77536</v>
      </c>
      <c r="F254" s="3" t="s">
        <v>127</v>
      </c>
      <c r="G254" s="1">
        <v>35349.5</v>
      </c>
      <c r="J254" s="1">
        <v>2656.1399999999958</v>
      </c>
      <c r="K254" s="193">
        <f>'Climate Normalization'!D141</f>
        <v>0</v>
      </c>
      <c r="M254" s="21">
        <f t="shared" si="25"/>
        <v>1.5555676588939331</v>
      </c>
      <c r="N254" s="21">
        <f t="shared" si="26"/>
        <v>0</v>
      </c>
      <c r="O254" s="21">
        <f t="shared" si="27"/>
        <v>3.4256861328931025</v>
      </c>
      <c r="P254" s="21">
        <f t="shared" si="28"/>
        <v>0</v>
      </c>
      <c r="Z254" s="211" t="b">
        <f>IFERROR(INDEX(Outliers!$X$3:$X$61,MATCH('SkYSPark Data_w Will''s Data'!C254,Outliers!$B$3:$B$61,0)),0)</f>
        <v>0</v>
      </c>
      <c r="AA254" s="1" t="b">
        <f>IFERROR(INDEX(Outliers!$AP$3:$AP$61,MATCH('SkYSPark Data_w Will''s Data'!C254,Outliers!$B$3:$B$61,0)),0)</f>
        <v>0</v>
      </c>
      <c r="AB254" s="112" t="b">
        <f>IFERROR(INDEX(Outliers!$AY$3:$AY$61,MATCH('SkYSPark Data_w Will''s Data'!C254,Outliers!$B$3:$B$61,0)),0)</f>
        <v>0</v>
      </c>
      <c r="AC254" s="112" t="s">
        <v>392</v>
      </c>
      <c r="AF254" s="132"/>
    </row>
    <row r="255" spans="1:59" s="15" customFormat="1" x14ac:dyDescent="0.3">
      <c r="A255" s="38">
        <v>44927</v>
      </c>
      <c r="B255" s="3">
        <f t="shared" si="20"/>
        <v>1</v>
      </c>
      <c r="C255" s="22" t="s">
        <v>148</v>
      </c>
      <c r="D255" s="3" t="str">
        <f>VLOOKUP(C255,'Data availability'!$A$2:$B$91,2,FALSE)</f>
        <v>Main campus</v>
      </c>
      <c r="E255" s="22">
        <v>345715</v>
      </c>
      <c r="F255" s="3" t="str">
        <f>VLOOKUP(C255,'Data availability'!$A$2:$H$91,8,FALSE)</f>
        <v xml:space="preserve">Lab </v>
      </c>
      <c r="G255" s="21">
        <v>253251.36849468711</v>
      </c>
      <c r="H255" s="21"/>
      <c r="I255" s="21">
        <v>10.00163471698761</v>
      </c>
      <c r="J255" s="21">
        <v>30776.551724137898</v>
      </c>
      <c r="K255" s="1">
        <v>33783.131379309947</v>
      </c>
      <c r="L255" s="20"/>
      <c r="M255" s="21">
        <f t="shared" si="25"/>
        <v>2.4994393338555527</v>
      </c>
      <c r="N255" s="21">
        <f t="shared" si="26"/>
        <v>2.8930288581599322E-3</v>
      </c>
      <c r="O255" s="21">
        <f t="shared" si="27"/>
        <v>8.9022899567961744</v>
      </c>
      <c r="P255" s="21">
        <f t="shared" si="28"/>
        <v>1.1726351953248177</v>
      </c>
      <c r="Q255" s="21">
        <f>(SUM(G255:G266)*3.412)/E255</f>
        <v>29.865089067225885</v>
      </c>
      <c r="R255" s="21">
        <f>(SUM(I255:I266)*100)/E255</f>
        <v>7.5595472770094957E-2</v>
      </c>
      <c r="S255" s="21">
        <f>(SUM(J255:J266)*100)/E255</f>
        <v>69.754309160375755</v>
      </c>
      <c r="T255" s="21">
        <f>(SUM(K255:K266)*12)/E255</f>
        <v>23.730692977996267</v>
      </c>
      <c r="U255" s="21"/>
      <c r="V255" s="34">
        <f>SUM(Q255:T255)</f>
        <v>123.42568667836801</v>
      </c>
      <c r="W255" s="19" t="s">
        <v>575</v>
      </c>
      <c r="X255" s="20" t="s">
        <v>554</v>
      </c>
      <c r="Y255" s="21"/>
      <c r="Z255" s="211" t="b">
        <f>IFERROR(INDEX(Outliers!$X$3:$X$61,MATCH('SkYSPark Data_w Will''s Data'!C255,Outliers!$B$3:$B$61,0)),0)</f>
        <v>0</v>
      </c>
      <c r="AA255" s="1" t="b">
        <f>IFERROR(INDEX(Outliers!$AP$3:$AP$61,MATCH('SkYSPark Data_w Will''s Data'!C255,Outliers!$B$3:$B$61,0)),0)</f>
        <v>0</v>
      </c>
      <c r="AB255" s="112" t="b">
        <f>IFERROR(INDEX(Outliers!$AY$3:$AY$61,MATCH('SkYSPark Data_w Will''s Data'!C255,Outliers!$B$3:$B$61,0)),0)</f>
        <v>0</v>
      </c>
      <c r="AC255" s="112" t="s">
        <v>392</v>
      </c>
      <c r="AD255" s="138"/>
      <c r="AE255" s="138"/>
      <c r="AF255" s="137"/>
      <c r="BF255" s="15">
        <v>1086606.90625</v>
      </c>
      <c r="BG255" s="15">
        <v>153413.44372979531</v>
      </c>
    </row>
    <row r="256" spans="1:59" x14ac:dyDescent="0.3">
      <c r="A256" s="2">
        <v>44958</v>
      </c>
      <c r="B256" s="3">
        <f t="shared" si="20"/>
        <v>2</v>
      </c>
      <c r="C256" s="3" t="s">
        <v>148</v>
      </c>
      <c r="D256" s="3" t="str">
        <f>VLOOKUP(C256,'Data availability'!$A$2:$B$91,2,FALSE)</f>
        <v>Main campus</v>
      </c>
      <c r="E256" s="3">
        <v>345715</v>
      </c>
      <c r="F256" s="3" t="str">
        <f>VLOOKUP(C256,'Data availability'!$A$2:$H$91,8,FALSE)</f>
        <v xml:space="preserve">Lab </v>
      </c>
      <c r="G256" s="1">
        <v>252565.6866455072</v>
      </c>
      <c r="I256" s="1">
        <v>31.060229539871219</v>
      </c>
      <c r="J256" s="1">
        <v>30749.9999999998</v>
      </c>
      <c r="K256" s="1">
        <v>30563.230546874838</v>
      </c>
      <c r="M256" s="21">
        <f t="shared" si="25"/>
        <v>2.4926720646615581</v>
      </c>
      <c r="N256" s="21">
        <f t="shared" si="26"/>
        <v>8.9843453537946632E-3</v>
      </c>
      <c r="O256" s="21">
        <f t="shared" si="27"/>
        <v>8.8946097218806823</v>
      </c>
      <c r="P256" s="21">
        <f t="shared" si="28"/>
        <v>1.060870273382694</v>
      </c>
      <c r="W256" s="25" t="s">
        <v>35</v>
      </c>
      <c r="Z256" s="211" t="b">
        <f>IFERROR(INDEX(Outliers!$X$3:$X$61,MATCH('SkYSPark Data_w Will''s Data'!C256,Outliers!$B$3:$B$61,0)),0)</f>
        <v>0</v>
      </c>
      <c r="AA256" s="1" t="b">
        <f>IFERROR(INDEX(Outliers!$AP$3:$AP$61,MATCH('SkYSPark Data_w Will''s Data'!C256,Outliers!$B$3:$B$61,0)),0)</f>
        <v>0</v>
      </c>
      <c r="AB256" s="112" t="b">
        <f>IFERROR(INDEX(Outliers!$AY$3:$AY$61,MATCH('SkYSPark Data_w Will''s Data'!C256,Outliers!$B$3:$B$61,0)),0)</f>
        <v>0</v>
      </c>
      <c r="AC256" s="112" t="s">
        <v>392</v>
      </c>
      <c r="AF256" s="132"/>
      <c r="BF256">
        <v>1040767.01953125</v>
      </c>
      <c r="BG256">
        <v>155000.6866455081</v>
      </c>
    </row>
    <row r="257" spans="1:59" x14ac:dyDescent="0.3">
      <c r="A257" s="2">
        <v>44986</v>
      </c>
      <c r="B257" s="3">
        <f t="shared" si="20"/>
        <v>3</v>
      </c>
      <c r="C257" s="3" t="s">
        <v>148</v>
      </c>
      <c r="D257" s="3" t="str">
        <f>VLOOKUP(C257,'Data availability'!$A$2:$B$91,2,FALSE)</f>
        <v>Main campus</v>
      </c>
      <c r="E257" s="3">
        <v>345715</v>
      </c>
      <c r="F257" s="3" t="str">
        <f>VLOOKUP(C257,'Data availability'!$A$2:$H$91,8,FALSE)</f>
        <v xml:space="preserve">Lab </v>
      </c>
      <c r="G257" s="1">
        <v>271737.5885890178</v>
      </c>
      <c r="I257" s="1">
        <v>16.497585535049438</v>
      </c>
      <c r="J257" s="1">
        <v>32716.42225031586</v>
      </c>
      <c r="K257" s="1">
        <v>36002.666089700397</v>
      </c>
      <c r="M257" s="21">
        <f t="shared" si="25"/>
        <v>2.6818872547205896</v>
      </c>
      <c r="N257" s="21">
        <f t="shared" si="26"/>
        <v>4.7720190142312132E-3</v>
      </c>
      <c r="O257" s="21">
        <f t="shared" si="27"/>
        <v>9.4634083711484482</v>
      </c>
      <c r="P257" s="21">
        <f t="shared" si="28"/>
        <v>1.249676736839318</v>
      </c>
      <c r="W257" s="25" t="s">
        <v>293</v>
      </c>
      <c r="Z257" s="211" t="b">
        <f>IFERROR(INDEX(Outliers!$X$3:$X$61,MATCH('SkYSPark Data_w Will''s Data'!C257,Outliers!$B$3:$B$61,0)),0)</f>
        <v>0</v>
      </c>
      <c r="AA257" s="1" t="b">
        <f>IFERROR(INDEX(Outliers!$AP$3:$AP$61,MATCH('SkYSPark Data_w Will''s Data'!C257,Outliers!$B$3:$B$61,0)),0)</f>
        <v>0</v>
      </c>
      <c r="AB257" s="112" t="b">
        <f>IFERROR(INDEX(Outliers!$AY$3:$AY$61,MATCH('SkYSPark Data_w Will''s Data'!C257,Outliers!$B$3:$B$61,0)),0)</f>
        <v>0</v>
      </c>
      <c r="AC257" s="112" t="s">
        <v>392</v>
      </c>
      <c r="AF257" s="132"/>
      <c r="BF257">
        <v>1144308.206542969</v>
      </c>
      <c r="BG257">
        <v>165319.51147144649</v>
      </c>
    </row>
    <row r="258" spans="1:59" x14ac:dyDescent="0.3">
      <c r="A258" s="2">
        <v>45017</v>
      </c>
      <c r="B258" s="3">
        <f t="shared" si="20"/>
        <v>4</v>
      </c>
      <c r="C258" s="3" t="s">
        <v>148</v>
      </c>
      <c r="D258" s="3" t="str">
        <f>VLOOKUP(C258,'Data availability'!$A$2:$B$91,2,FALSE)</f>
        <v>Main campus</v>
      </c>
      <c r="E258" s="3">
        <v>345715</v>
      </c>
      <c r="F258" s="3" t="str">
        <f>VLOOKUP(C258,'Data availability'!$A$2:$H$91,8,FALSE)</f>
        <v xml:space="preserve">Lab </v>
      </c>
      <c r="G258" s="1">
        <v>265099.57571762131</v>
      </c>
      <c r="I258" s="1">
        <v>14.22719776630402</v>
      </c>
      <c r="J258" s="1">
        <v>25953.89024968438</v>
      </c>
      <c r="K258" s="1">
        <v>53678.642347800269</v>
      </c>
      <c r="M258" s="21">
        <f t="shared" si="25"/>
        <v>2.6163740432105174</v>
      </c>
      <c r="N258" s="21">
        <f t="shared" si="26"/>
        <v>4.1152966363345589E-3</v>
      </c>
      <c r="O258" s="21">
        <f t="shared" si="27"/>
        <v>7.5073081149745828</v>
      </c>
      <c r="P258" s="21">
        <f t="shared" si="28"/>
        <v>1.8632217525233308</v>
      </c>
      <c r="W258" s="25" t="s">
        <v>294</v>
      </c>
      <c r="Z258" s="211" t="b">
        <f>IFERROR(INDEX(Outliers!$X$3:$X$61,MATCH('SkYSPark Data_w Will''s Data'!C258,Outliers!$B$3:$B$61,0)),0)</f>
        <v>0</v>
      </c>
      <c r="AA258" s="1" t="b">
        <f>IFERROR(INDEX(Outliers!$AP$3:$AP$61,MATCH('SkYSPark Data_w Will''s Data'!C258,Outliers!$B$3:$B$61,0)),0)</f>
        <v>0</v>
      </c>
      <c r="AB258" s="112" t="b">
        <f>IFERROR(INDEX(Outliers!$AY$3:$AY$61,MATCH('SkYSPark Data_w Will''s Data'!C258,Outliers!$B$3:$B$61,0)),0)</f>
        <v>0</v>
      </c>
      <c r="AC258" s="112" t="s">
        <v>392</v>
      </c>
      <c r="AF258" s="132"/>
      <c r="BF258">
        <v>1095087.269042969</v>
      </c>
      <c r="BG258">
        <v>161680.15283519289</v>
      </c>
    </row>
    <row r="259" spans="1:59" x14ac:dyDescent="0.3">
      <c r="A259" s="2">
        <v>45047</v>
      </c>
      <c r="B259" s="3">
        <f t="shared" si="20"/>
        <v>5</v>
      </c>
      <c r="C259" s="3" t="s">
        <v>148</v>
      </c>
      <c r="D259" s="3" t="str">
        <f>VLOOKUP(C259,'Data availability'!$A$2:$B$91,2,FALSE)</f>
        <v>Main campus</v>
      </c>
      <c r="E259" s="3">
        <v>345715</v>
      </c>
      <c r="F259" s="3" t="str">
        <f>VLOOKUP(C259,'Data availability'!$A$2:$H$91,8,FALSE)</f>
        <v xml:space="preserve">Lab </v>
      </c>
      <c r="G259" s="1">
        <v>249774.10681152254</v>
      </c>
      <c r="I259" s="1">
        <v>9.896208643913269</v>
      </c>
      <c r="J259" s="1">
        <v>14236.250000000009</v>
      </c>
      <c r="K259" s="1">
        <v>41924.104218749613</v>
      </c>
      <c r="M259" s="21">
        <f t="shared" si="25"/>
        <v>2.4651208435876804</v>
      </c>
      <c r="N259" s="21">
        <f t="shared" si="26"/>
        <v>2.862533776062152E-3</v>
      </c>
      <c r="O259" s="21">
        <f t="shared" si="27"/>
        <v>4.1179150456300739</v>
      </c>
      <c r="P259" s="21">
        <f t="shared" si="28"/>
        <v>1.45521383401066</v>
      </c>
      <c r="W259" s="25" t="s">
        <v>295</v>
      </c>
      <c r="Z259" s="211" t="b">
        <f>IFERROR(INDEX(Outliers!$X$3:$X$61,MATCH('SkYSPark Data_w Will''s Data'!C259,Outliers!$B$3:$B$61,0)),0)</f>
        <v>0</v>
      </c>
      <c r="AA259" s="1" t="b">
        <f>IFERROR(INDEX(Outliers!$AP$3:$AP$61,MATCH('SkYSPark Data_w Will''s Data'!C259,Outliers!$B$3:$B$61,0)),0)</f>
        <v>0</v>
      </c>
      <c r="AB259" s="112" t="b">
        <f>IFERROR(INDEX(Outliers!$AY$3:$AY$61,MATCH('SkYSPark Data_w Will''s Data'!C259,Outliers!$B$3:$B$61,0)),0)</f>
        <v>0</v>
      </c>
      <c r="AC259" s="112" t="s">
        <v>392</v>
      </c>
      <c r="AF259" s="132"/>
      <c r="BF259">
        <v>962386.0302734375</v>
      </c>
      <c r="BG259">
        <v>163000.10681152431</v>
      </c>
    </row>
    <row r="260" spans="1:59" x14ac:dyDescent="0.3">
      <c r="A260" s="2">
        <v>45078</v>
      </c>
      <c r="B260" s="3">
        <f t="shared" si="20"/>
        <v>6</v>
      </c>
      <c r="C260" s="3" t="s">
        <v>148</v>
      </c>
      <c r="D260" s="3" t="str">
        <f>VLOOKUP(C260,'Data availability'!$A$2:$B$91,2,FALSE)</f>
        <v>Main campus</v>
      </c>
      <c r="E260" s="3">
        <v>345715</v>
      </c>
      <c r="F260" s="3" t="str">
        <f>VLOOKUP(C260,'Data availability'!$A$2:$H$91,8,FALSE)</f>
        <v xml:space="preserve">Lab </v>
      </c>
      <c r="G260" s="1">
        <v>230638.97586495784</v>
      </c>
      <c r="I260" s="1">
        <v>12.05052161216736</v>
      </c>
      <c r="J260" s="1">
        <v>11494.553571428671</v>
      </c>
      <c r="K260" s="1">
        <v>58037.298950892313</v>
      </c>
      <c r="M260" s="21">
        <f t="shared" si="25"/>
        <v>2.2762685612462175</v>
      </c>
      <c r="N260" s="21">
        <f t="shared" si="26"/>
        <v>3.4856808678152122E-3</v>
      </c>
      <c r="O260" s="21">
        <f t="shared" si="27"/>
        <v>3.3248639982149082</v>
      </c>
      <c r="P260" s="21">
        <f t="shared" si="28"/>
        <v>2.0145136526060705</v>
      </c>
      <c r="Z260" s="211" t="b">
        <f>IFERROR(INDEX(Outliers!$X$3:$X$61,MATCH('SkYSPark Data_w Will''s Data'!C260,Outliers!$B$3:$B$61,0)),0)</f>
        <v>0</v>
      </c>
      <c r="AA260" s="1" t="b">
        <f>IFERROR(INDEX(Outliers!$AP$3:$AP$61,MATCH('SkYSPark Data_w Will''s Data'!C260,Outliers!$B$3:$B$61,0)),0)</f>
        <v>0</v>
      </c>
      <c r="AB260" s="112" t="b">
        <f>IFERROR(INDEX(Outliers!$AY$3:$AY$61,MATCH('SkYSPark Data_w Will''s Data'!C260,Outliers!$B$3:$B$61,0)),0)</f>
        <v>0</v>
      </c>
      <c r="AC260" s="112" t="s">
        <v>392</v>
      </c>
      <c r="AF260" s="132"/>
      <c r="BF260">
        <v>825196.11352539063</v>
      </c>
      <c r="BG260">
        <v>154285.97586495811</v>
      </c>
    </row>
    <row r="261" spans="1:59" x14ac:dyDescent="0.3">
      <c r="A261" s="2">
        <v>45108</v>
      </c>
      <c r="B261" s="3">
        <f t="shared" si="20"/>
        <v>7</v>
      </c>
      <c r="C261" s="3" t="s">
        <v>148</v>
      </c>
      <c r="D261" s="3" t="str">
        <f>VLOOKUP(C261,'Data availability'!$A$2:$B$91,2,FALSE)</f>
        <v>Main campus</v>
      </c>
      <c r="E261" s="3">
        <v>345715</v>
      </c>
      <c r="F261" s="3" t="str">
        <f>VLOOKUP(C261,'Data availability'!$A$2:$H$91,8,FALSE)</f>
        <v xml:space="preserve">Lab </v>
      </c>
      <c r="G261" s="1">
        <v>230248.27999442097</v>
      </c>
      <c r="I261" s="1">
        <v>3.30228579044342</v>
      </c>
      <c r="J261" s="1">
        <v>10124.508928571429</v>
      </c>
      <c r="K261" s="1">
        <v>80692.177689732634</v>
      </c>
      <c r="M261" s="21">
        <f t="shared" si="25"/>
        <v>2.2724126269932294</v>
      </c>
      <c r="N261" s="21">
        <f t="shared" si="26"/>
        <v>9.5520466003598916E-4</v>
      </c>
      <c r="O261" s="21">
        <f t="shared" si="27"/>
        <v>2.9285709120435706</v>
      </c>
      <c r="P261" s="21">
        <f t="shared" si="28"/>
        <v>2.8008797196441915</v>
      </c>
      <c r="Z261" s="211" t="b">
        <f>IFERROR(INDEX(Outliers!$X$3:$X$61,MATCH('SkYSPark Data_w Will''s Data'!C261,Outliers!$B$3:$B$61,0)),0)</f>
        <v>0</v>
      </c>
      <c r="AA261" s="1" t="b">
        <f>IFERROR(INDEX(Outliers!$AP$3:$AP$61,MATCH('SkYSPark Data_w Will''s Data'!C261,Outliers!$B$3:$B$61,0)),0)</f>
        <v>0</v>
      </c>
      <c r="AB261" s="112" t="b">
        <f>IFERROR(INDEX(Outliers!$AY$3:$AY$61,MATCH('SkYSPark Data_w Will''s Data'!C261,Outliers!$B$3:$B$61,0)),0)</f>
        <v>0</v>
      </c>
      <c r="AC261" s="112" t="s">
        <v>392</v>
      </c>
      <c r="AF261" s="132"/>
      <c r="BF261">
        <v>855515.49609375</v>
      </c>
      <c r="BG261">
        <v>151713.77999442109</v>
      </c>
    </row>
    <row r="262" spans="1:59" x14ac:dyDescent="0.3">
      <c r="A262" s="2">
        <v>45139</v>
      </c>
      <c r="B262" s="3">
        <f t="shared" si="20"/>
        <v>8</v>
      </c>
      <c r="C262" s="3" t="s">
        <v>148</v>
      </c>
      <c r="D262" s="3" t="str">
        <f>VLOOKUP(C262,'Data availability'!$A$2:$B$91,2,FALSE)</f>
        <v>Main campus</v>
      </c>
      <c r="E262" s="3">
        <v>345715</v>
      </c>
      <c r="F262" s="3" t="str">
        <f>VLOOKUP(C262,'Data availability'!$A$2:$H$91,8,FALSE)</f>
        <v xml:space="preserve">Lab </v>
      </c>
      <c r="G262" s="1">
        <v>223964.90889020392</v>
      </c>
      <c r="I262" s="1">
        <v>24.38430833816528</v>
      </c>
      <c r="J262" s="1">
        <v>8876.5178571428423</v>
      </c>
      <c r="K262" s="1">
        <v>94908.331491072386</v>
      </c>
      <c r="M262" s="21">
        <f t="shared" si="25"/>
        <v>2.2103995173289435</v>
      </c>
      <c r="N262" s="21">
        <f t="shared" si="26"/>
        <v>7.0532977562921132E-3</v>
      </c>
      <c r="O262" s="21">
        <f t="shared" si="27"/>
        <v>2.5675825049948204</v>
      </c>
      <c r="P262" s="21">
        <f t="shared" si="28"/>
        <v>3.2943319725579414</v>
      </c>
      <c r="Z262" s="211" t="b">
        <f>IFERROR(INDEX(Outliers!$X$3:$X$61,MATCH('SkYSPark Data_w Will''s Data'!C262,Outliers!$B$3:$B$61,0)),0)</f>
        <v>0</v>
      </c>
      <c r="AA262" s="1" t="b">
        <f>IFERROR(INDEX(Outliers!$AP$3:$AP$61,MATCH('SkYSPark Data_w Will''s Data'!C262,Outliers!$B$3:$B$61,0)),0)</f>
        <v>0</v>
      </c>
      <c r="AB262" s="112" t="b">
        <f>IFERROR(INDEX(Outliers!$AY$3:$AY$61,MATCH('SkYSPark Data_w Will''s Data'!C262,Outliers!$B$3:$B$61,0)),0)</f>
        <v>0</v>
      </c>
      <c r="AC262" s="112" t="s">
        <v>392</v>
      </c>
      <c r="AF262" s="132"/>
      <c r="BF262">
        <v>796085.5703125</v>
      </c>
      <c r="BG262">
        <v>144371.5231759189</v>
      </c>
    </row>
    <row r="263" spans="1:59" x14ac:dyDescent="0.3">
      <c r="A263" s="2">
        <v>45170</v>
      </c>
      <c r="B263" s="3">
        <f t="shared" si="20"/>
        <v>9</v>
      </c>
      <c r="C263" s="3" t="s">
        <v>148</v>
      </c>
      <c r="D263" s="3" t="str">
        <f>VLOOKUP(C263,'Data availability'!$A$2:$B$91,2,FALSE)</f>
        <v>Main campus</v>
      </c>
      <c r="E263" s="3">
        <v>345715</v>
      </c>
      <c r="F263" s="3" t="str">
        <f>VLOOKUP(C263,'Data availability'!$A$2:$H$91,8,FALSE)</f>
        <v xml:space="preserve">Lab </v>
      </c>
      <c r="G263" s="1">
        <v>237845.97429754399</v>
      </c>
      <c r="I263" s="1">
        <v>19.751950860023499</v>
      </c>
      <c r="J263" s="1">
        <v>10843.898809523969</v>
      </c>
      <c r="K263" s="1">
        <v>72012.749886244696</v>
      </c>
      <c r="M263" s="21">
        <f t="shared" si="25"/>
        <v>2.3473973194776625</v>
      </c>
      <c r="N263" s="21">
        <f t="shared" si="26"/>
        <v>5.7133624112414849E-3</v>
      </c>
      <c r="O263" s="21">
        <f t="shared" si="27"/>
        <v>3.1366584642043214</v>
      </c>
      <c r="P263" s="21">
        <f t="shared" si="28"/>
        <v>2.4996109472685197</v>
      </c>
      <c r="Z263" s="211" t="b">
        <f>IFERROR(INDEX(Outliers!$X$3:$X$61,MATCH('SkYSPark Data_w Will''s Data'!C263,Outliers!$B$3:$B$61,0)),0)</f>
        <v>0</v>
      </c>
      <c r="AA263" s="1" t="b">
        <f>IFERROR(INDEX(Outliers!$AP$3:$AP$61,MATCH('SkYSPark Data_w Will''s Data'!C263,Outliers!$B$3:$B$61,0)),0)</f>
        <v>0</v>
      </c>
      <c r="AB263" s="112" t="b">
        <f>IFERROR(INDEX(Outliers!$AY$3:$AY$61,MATCH('SkYSPark Data_w Will''s Data'!C263,Outliers!$B$3:$B$61,0)),0)</f>
        <v>0</v>
      </c>
      <c r="AC263" s="112" t="s">
        <v>392</v>
      </c>
      <c r="AF263" s="132"/>
      <c r="BF263">
        <v>1024787.767578125</v>
      </c>
      <c r="BG263">
        <v>142850.52667849799</v>
      </c>
    </row>
    <row r="264" spans="1:59" x14ac:dyDescent="0.3">
      <c r="A264" s="2">
        <v>45200</v>
      </c>
      <c r="B264" s="3">
        <f t="shared" si="20"/>
        <v>10</v>
      </c>
      <c r="C264" s="3" t="s">
        <v>148</v>
      </c>
      <c r="D264" s="3" t="str">
        <f>VLOOKUP(C264,'Data availability'!$A$2:$B$91,2,FALSE)</f>
        <v>Main campus</v>
      </c>
      <c r="E264" s="3">
        <v>345715</v>
      </c>
      <c r="F264" s="3" t="str">
        <f>VLOOKUP(C264,'Data availability'!$A$2:$H$91,8,FALSE)</f>
        <v xml:space="preserve">Lab </v>
      </c>
      <c r="G264" s="1">
        <v>261547.53642894639</v>
      </c>
      <c r="I264" s="1">
        <v>25.142525434494019</v>
      </c>
      <c r="J264" s="1">
        <v>15682.708333333459</v>
      </c>
      <c r="K264" s="1">
        <v>84458.185966436737</v>
      </c>
      <c r="M264" s="21">
        <f t="shared" si="25"/>
        <v>2.5813175427608437</v>
      </c>
      <c r="N264" s="21">
        <f t="shared" si="26"/>
        <v>7.2726162979604644E-3</v>
      </c>
      <c r="O264" s="21">
        <f t="shared" si="27"/>
        <v>4.5363112197426956</v>
      </c>
      <c r="P264" s="21">
        <f t="shared" si="28"/>
        <v>2.9316003980077254</v>
      </c>
      <c r="Z264" s="211" t="b">
        <f>IFERROR(INDEX(Outliers!$X$3:$X$61,MATCH('SkYSPark Data_w Will''s Data'!C264,Outliers!$B$3:$B$61,0)),0)</f>
        <v>0</v>
      </c>
      <c r="AA264" s="1" t="b">
        <f>IFERROR(INDEX(Outliers!$AP$3:$AP$61,MATCH('SkYSPark Data_w Will''s Data'!C264,Outliers!$B$3:$B$61,0)),0)</f>
        <v>0</v>
      </c>
      <c r="AB264" s="112" t="b">
        <f>IFERROR(INDEX(Outliers!$AY$3:$AY$61,MATCH('SkYSPark Data_w Will''s Data'!C264,Outliers!$B$3:$B$61,0)),0)</f>
        <v>0</v>
      </c>
      <c r="AC264" s="112" t="s">
        <v>392</v>
      </c>
      <c r="AF264" s="132"/>
      <c r="BF264">
        <v>1193448.595703125</v>
      </c>
      <c r="BG264">
        <v>147778.3697622818</v>
      </c>
    </row>
    <row r="265" spans="1:59" x14ac:dyDescent="0.3">
      <c r="A265" s="2">
        <v>45231</v>
      </c>
      <c r="B265" s="3">
        <f t="shared" ref="B265:B328" si="29">MONTH(A265)</f>
        <v>11</v>
      </c>
      <c r="C265" s="3" t="s">
        <v>148</v>
      </c>
      <c r="D265" s="3" t="str">
        <f>VLOOKUP(C265,'Data availability'!$A$2:$B$91,2,FALSE)</f>
        <v>Main campus</v>
      </c>
      <c r="E265" s="3">
        <v>345715</v>
      </c>
      <c r="F265" s="3" t="str">
        <f>VLOOKUP(C265,'Data availability'!$A$2:$H$91,8,FALSE)</f>
        <v xml:space="preserve">Lab </v>
      </c>
      <c r="G265" s="1">
        <v>268530.43747876014</v>
      </c>
      <c r="I265" s="1">
        <v>8.7418460845947266</v>
      </c>
      <c r="J265" s="1">
        <v>25116.519151954461</v>
      </c>
      <c r="K265" s="1">
        <v>56136.46162909823</v>
      </c>
      <c r="M265" s="21">
        <f t="shared" si="25"/>
        <v>2.6502345940370815</v>
      </c>
      <c r="N265" s="21">
        <f t="shared" si="26"/>
        <v>2.5286279405275229E-3</v>
      </c>
      <c r="O265" s="21">
        <f t="shared" si="27"/>
        <v>7.265093835082209</v>
      </c>
      <c r="P265" s="21">
        <f t="shared" si="28"/>
        <v>1.9485343116416087</v>
      </c>
      <c r="Z265" s="211" t="b">
        <f>IFERROR(INDEX(Outliers!$X$3:$X$61,MATCH('SkYSPark Data_w Will''s Data'!C265,Outliers!$B$3:$B$61,0)),0)</f>
        <v>0</v>
      </c>
      <c r="AA265" s="1" t="b">
        <f>IFERROR(INDEX(Outliers!$AP$3:$AP$61,MATCH('SkYSPark Data_w Will''s Data'!C265,Outliers!$B$3:$B$61,0)),0)</f>
        <v>0</v>
      </c>
      <c r="AB265" s="112" t="b">
        <f>IFERROR(INDEX(Outliers!$AY$3:$AY$61,MATCH('SkYSPark Data_w Will''s Data'!C265,Outliers!$B$3:$B$61,0)),0)</f>
        <v>0</v>
      </c>
      <c r="AC265" s="112" t="s">
        <v>392</v>
      </c>
      <c r="AF265" s="132"/>
      <c r="BF265">
        <v>1162598.015625</v>
      </c>
      <c r="BG265">
        <v>159110.2773274339</v>
      </c>
    </row>
    <row r="266" spans="1:59" x14ac:dyDescent="0.3">
      <c r="A266" s="2">
        <v>45261</v>
      </c>
      <c r="B266" s="3">
        <f t="shared" si="29"/>
        <v>12</v>
      </c>
      <c r="C266" s="3" t="s">
        <v>148</v>
      </c>
      <c r="D266" s="3" t="str">
        <f>VLOOKUP(C266,'Data availability'!$A$2:$B$91,2,FALSE)</f>
        <v>Main campus</v>
      </c>
      <c r="E266" s="3">
        <v>345715</v>
      </c>
      <c r="F266" s="3" t="str">
        <f>VLOOKUP(C266,'Data availability'!$A$2:$H$91,8,FALSE)</f>
        <v xml:space="preserve">Lab </v>
      </c>
      <c r="G266" s="1">
        <v>280824.06807754823</v>
      </c>
      <c r="I266" s="1">
        <v>86.288594365119934</v>
      </c>
      <c r="J266" s="1">
        <v>24579.289037700259</v>
      </c>
      <c r="K266" s="1">
        <v>41474.396711419438</v>
      </c>
      <c r="M266" s="21">
        <f t="shared" si="25"/>
        <v>2.7715653653460062</v>
      </c>
      <c r="N266" s="21">
        <f t="shared" si="26"/>
        <v>2.4959459197639654E-2</v>
      </c>
      <c r="O266" s="21">
        <f t="shared" si="27"/>
        <v>7.1096970156632651</v>
      </c>
      <c r="P266" s="21">
        <f t="shared" si="28"/>
        <v>1.4396041841893852</v>
      </c>
      <c r="Z266" s="211" t="b">
        <f>IFERROR(INDEX(Outliers!$X$3:$X$61,MATCH('SkYSPark Data_w Will''s Data'!C266,Outliers!$B$3:$B$61,0)),0)</f>
        <v>0</v>
      </c>
      <c r="AA266" s="1" t="b">
        <f>IFERROR(INDEX(Outliers!$AP$3:$AP$61,MATCH('SkYSPark Data_w Will''s Data'!C266,Outliers!$B$3:$B$61,0)),0)</f>
        <v>0</v>
      </c>
      <c r="AB266" s="112" t="b">
        <f>IFERROR(INDEX(Outliers!$AY$3:$AY$61,MATCH('SkYSPark Data_w Will''s Data'!C266,Outliers!$B$3:$B$61,0)),0)</f>
        <v>0</v>
      </c>
      <c r="AC266" s="112" t="s">
        <v>392</v>
      </c>
      <c r="AF266" s="132"/>
      <c r="BF266">
        <v>1192768.87890625</v>
      </c>
      <c r="BG266">
        <v>168440.67650473549</v>
      </c>
    </row>
    <row r="267" spans="1:59" s="15" customFormat="1" x14ac:dyDescent="0.3">
      <c r="A267" s="38">
        <v>44927</v>
      </c>
      <c r="B267" s="3">
        <f t="shared" si="29"/>
        <v>1</v>
      </c>
      <c r="C267" s="22" t="s">
        <v>555</v>
      </c>
      <c r="D267" s="3" t="s">
        <v>522</v>
      </c>
      <c r="E267" s="22"/>
      <c r="F267" s="3"/>
      <c r="G267" s="21">
        <v>9208.4545454544932</v>
      </c>
      <c r="H267" s="21"/>
      <c r="I267" s="21"/>
      <c r="J267" s="21"/>
      <c r="K267" s="21"/>
      <c r="L267" s="20"/>
      <c r="M267" s="21">
        <f t="shared" si="25"/>
        <v>0</v>
      </c>
      <c r="N267" s="21">
        <f t="shared" si="26"/>
        <v>0</v>
      </c>
      <c r="O267" s="21">
        <f t="shared" si="27"/>
        <v>0</v>
      </c>
      <c r="P267" s="21">
        <f t="shared" si="28"/>
        <v>0</v>
      </c>
      <c r="Q267" s="21"/>
      <c r="R267" s="21"/>
      <c r="S267" s="21"/>
      <c r="T267" s="21"/>
      <c r="U267" s="21"/>
      <c r="V267" s="34"/>
      <c r="W267" s="10" t="s">
        <v>556</v>
      </c>
      <c r="X267" s="20"/>
      <c r="Y267" s="21"/>
      <c r="Z267" s="211">
        <f>IFERROR(INDEX(Outliers!$X$3:$X$61,MATCH('SkYSPark Data_w Will''s Data'!C267,Outliers!$B$3:$B$61,0)),0)</f>
        <v>0</v>
      </c>
      <c r="AA267" s="1">
        <f>IFERROR(INDEX(Outliers!$AP$3:$AP$61,MATCH('SkYSPark Data_w Will''s Data'!C267,Outliers!$B$3:$B$61,0)),0)</f>
        <v>0</v>
      </c>
      <c r="AB267" s="112">
        <f>IFERROR(INDEX(Outliers!$AY$3:$AY$61,MATCH('SkYSPark Data_w Will''s Data'!C267,Outliers!$B$3:$B$61,0)),0)</f>
        <v>0</v>
      </c>
      <c r="AC267" s="112" t="s">
        <v>392</v>
      </c>
      <c r="AD267" s="138"/>
      <c r="AE267" s="138"/>
      <c r="AF267" s="137"/>
      <c r="BF267" s="15">
        <v>1086606.90625</v>
      </c>
      <c r="BG267" s="15">
        <v>153413.44372979531</v>
      </c>
    </row>
    <row r="268" spans="1:59" x14ac:dyDescent="0.3">
      <c r="A268" s="2">
        <v>44958</v>
      </c>
      <c r="B268" s="3">
        <f t="shared" si="29"/>
        <v>2</v>
      </c>
      <c r="C268" s="3" t="s">
        <v>555</v>
      </c>
      <c r="D268" s="3" t="s">
        <v>522</v>
      </c>
      <c r="G268" s="1">
        <v>8182.00000000008</v>
      </c>
      <c r="M268" s="21">
        <f t="shared" si="25"/>
        <v>0</v>
      </c>
      <c r="N268" s="21">
        <f t="shared" si="26"/>
        <v>0</v>
      </c>
      <c r="O268" s="21">
        <f t="shared" si="27"/>
        <v>0</v>
      </c>
      <c r="P268" s="21">
        <f t="shared" si="28"/>
        <v>0</v>
      </c>
      <c r="W268" s="25"/>
      <c r="Z268" s="211">
        <f>IFERROR(INDEX(Outliers!$X$3:$X$61,MATCH('SkYSPark Data_w Will''s Data'!C268,Outliers!$B$3:$B$61,0)),0)</f>
        <v>0</v>
      </c>
      <c r="AA268" s="1">
        <f>IFERROR(INDEX(Outliers!$AP$3:$AP$61,MATCH('SkYSPark Data_w Will''s Data'!C268,Outliers!$B$3:$B$61,0)),0)</f>
        <v>0</v>
      </c>
      <c r="AB268" s="112">
        <f>IFERROR(INDEX(Outliers!$AY$3:$AY$61,MATCH('SkYSPark Data_w Will''s Data'!C268,Outliers!$B$3:$B$61,0)),0)</f>
        <v>0</v>
      </c>
      <c r="AC268" s="112" t="s">
        <v>392</v>
      </c>
      <c r="AF268" s="132"/>
      <c r="BF268">
        <v>1040767.01953125</v>
      </c>
      <c r="BG268">
        <v>155000.6866455081</v>
      </c>
    </row>
    <row r="269" spans="1:59" x14ac:dyDescent="0.3">
      <c r="A269" s="2">
        <v>44986</v>
      </c>
      <c r="B269" s="3">
        <f t="shared" si="29"/>
        <v>3</v>
      </c>
      <c r="C269" s="3" t="s">
        <v>555</v>
      </c>
      <c r="D269" s="3" t="s">
        <v>522</v>
      </c>
      <c r="G269" s="1">
        <v>9021.203539823031</v>
      </c>
      <c r="M269" s="21">
        <f t="shared" si="25"/>
        <v>0</v>
      </c>
      <c r="N269" s="21">
        <f t="shared" si="26"/>
        <v>0</v>
      </c>
      <c r="O269" s="21">
        <f t="shared" si="27"/>
        <v>0</v>
      </c>
      <c r="P269" s="21">
        <f t="shared" si="28"/>
        <v>0</v>
      </c>
      <c r="W269" s="25"/>
      <c r="Z269" s="211">
        <f>IFERROR(INDEX(Outliers!$X$3:$X$61,MATCH('SkYSPark Data_w Will''s Data'!C269,Outliers!$B$3:$B$61,0)),0)</f>
        <v>0</v>
      </c>
      <c r="AA269" s="1">
        <f>IFERROR(INDEX(Outliers!$AP$3:$AP$61,MATCH('SkYSPark Data_w Will''s Data'!C269,Outliers!$B$3:$B$61,0)),0)</f>
        <v>0</v>
      </c>
      <c r="AB269" s="112">
        <f>IFERROR(INDEX(Outliers!$AY$3:$AY$61,MATCH('SkYSPark Data_w Will''s Data'!C269,Outliers!$B$3:$B$61,0)),0)</f>
        <v>0</v>
      </c>
      <c r="AC269" s="112" t="s">
        <v>392</v>
      </c>
      <c r="AF269" s="132"/>
      <c r="BF269">
        <v>1144308.206542969</v>
      </c>
      <c r="BG269">
        <v>165319.51147144649</v>
      </c>
    </row>
    <row r="270" spans="1:59" x14ac:dyDescent="0.3">
      <c r="A270" s="2">
        <v>45017</v>
      </c>
      <c r="B270" s="3">
        <f t="shared" si="29"/>
        <v>4</v>
      </c>
      <c r="C270" s="3" t="s">
        <v>555</v>
      </c>
      <c r="D270" s="3" t="s">
        <v>522</v>
      </c>
      <c r="G270" s="1">
        <v>8908.7964601769254</v>
      </c>
      <c r="M270" s="21">
        <f t="shared" si="25"/>
        <v>0</v>
      </c>
      <c r="N270" s="21">
        <f t="shared" si="26"/>
        <v>0</v>
      </c>
      <c r="O270" s="21">
        <f t="shared" si="27"/>
        <v>0</v>
      </c>
      <c r="P270" s="21">
        <f t="shared" si="28"/>
        <v>0</v>
      </c>
      <c r="W270" s="25"/>
      <c r="Z270" s="211">
        <f>IFERROR(INDEX(Outliers!$X$3:$X$61,MATCH('SkYSPark Data_w Will''s Data'!C270,Outliers!$B$3:$B$61,0)),0)</f>
        <v>0</v>
      </c>
      <c r="AA270" s="1">
        <f>IFERROR(INDEX(Outliers!$AP$3:$AP$61,MATCH('SkYSPark Data_w Will''s Data'!C270,Outliers!$B$3:$B$61,0)),0)</f>
        <v>0</v>
      </c>
      <c r="AB270" s="112">
        <f>IFERROR(INDEX(Outliers!$AY$3:$AY$61,MATCH('SkYSPark Data_w Will''s Data'!C270,Outliers!$B$3:$B$61,0)),0)</f>
        <v>0</v>
      </c>
      <c r="AC270" s="112" t="s">
        <v>392</v>
      </c>
      <c r="AF270" s="132"/>
      <c r="BF270">
        <v>1095087.269042969</v>
      </c>
      <c r="BG270">
        <v>161680.15283519289</v>
      </c>
    </row>
    <row r="271" spans="1:59" x14ac:dyDescent="0.3">
      <c r="A271" s="2">
        <v>45047</v>
      </c>
      <c r="B271" s="3">
        <f t="shared" si="29"/>
        <v>5</v>
      </c>
      <c r="C271" s="3" t="s">
        <v>555</v>
      </c>
      <c r="D271" s="3" t="s">
        <v>522</v>
      </c>
      <c r="G271" s="1">
        <v>9138.0000000000509</v>
      </c>
      <c r="M271" s="21">
        <f t="shared" si="25"/>
        <v>0</v>
      </c>
      <c r="N271" s="21">
        <f t="shared" si="26"/>
        <v>0</v>
      </c>
      <c r="O271" s="21">
        <f t="shared" si="27"/>
        <v>0</v>
      </c>
      <c r="P271" s="21">
        <f t="shared" si="28"/>
        <v>0</v>
      </c>
      <c r="W271" s="25"/>
      <c r="Z271" s="211">
        <f>IFERROR(INDEX(Outliers!$X$3:$X$61,MATCH('SkYSPark Data_w Will''s Data'!C271,Outliers!$B$3:$B$61,0)),0)</f>
        <v>0</v>
      </c>
      <c r="AA271" s="1">
        <f>IFERROR(INDEX(Outliers!$AP$3:$AP$61,MATCH('SkYSPark Data_w Will''s Data'!C271,Outliers!$B$3:$B$61,0)),0)</f>
        <v>0</v>
      </c>
      <c r="AB271" s="112">
        <f>IFERROR(INDEX(Outliers!$AY$3:$AY$61,MATCH('SkYSPark Data_w Will''s Data'!C271,Outliers!$B$3:$B$61,0)),0)</f>
        <v>0</v>
      </c>
      <c r="AC271" s="112" t="s">
        <v>392</v>
      </c>
      <c r="AF271" s="132"/>
      <c r="BF271">
        <v>962386.0302734375</v>
      </c>
      <c r="BG271">
        <v>163000.10681152431</v>
      </c>
    </row>
    <row r="272" spans="1:59" x14ac:dyDescent="0.3">
      <c r="A272" s="2">
        <v>45078</v>
      </c>
      <c r="B272" s="3">
        <f t="shared" si="29"/>
        <v>6</v>
      </c>
      <c r="C272" s="3" t="s">
        <v>555</v>
      </c>
      <c r="D272" s="3" t="s">
        <v>522</v>
      </c>
      <c r="G272" s="1">
        <v>8852.5714285714457</v>
      </c>
      <c r="M272" s="21">
        <f t="shared" si="25"/>
        <v>0</v>
      </c>
      <c r="N272" s="21">
        <f t="shared" si="26"/>
        <v>0</v>
      </c>
      <c r="O272" s="21">
        <f t="shared" si="27"/>
        <v>0</v>
      </c>
      <c r="P272" s="21">
        <f t="shared" si="28"/>
        <v>0</v>
      </c>
      <c r="Z272" s="211">
        <f>IFERROR(INDEX(Outliers!$X$3:$X$61,MATCH('SkYSPark Data_w Will''s Data'!C272,Outliers!$B$3:$B$61,0)),0)</f>
        <v>0</v>
      </c>
      <c r="AA272" s="1">
        <f>IFERROR(INDEX(Outliers!$AP$3:$AP$61,MATCH('SkYSPark Data_w Will''s Data'!C272,Outliers!$B$3:$B$61,0)),0)</f>
        <v>0</v>
      </c>
      <c r="AB272" s="112">
        <f>IFERROR(INDEX(Outliers!$AY$3:$AY$61,MATCH('SkYSPark Data_w Will''s Data'!C272,Outliers!$B$3:$B$61,0)),0)</f>
        <v>0</v>
      </c>
      <c r="AC272" s="112" t="s">
        <v>392</v>
      </c>
      <c r="AF272" s="132"/>
      <c r="BF272">
        <v>825196.11352539063</v>
      </c>
      <c r="BG272">
        <v>154285.97586495811</v>
      </c>
    </row>
    <row r="273" spans="1:59" x14ac:dyDescent="0.3">
      <c r="A273" s="2">
        <v>45108</v>
      </c>
      <c r="B273" s="3">
        <f t="shared" si="29"/>
        <v>7</v>
      </c>
      <c r="C273" s="3" t="s">
        <v>555</v>
      </c>
      <c r="D273" s="3" t="s">
        <v>522</v>
      </c>
      <c r="G273" s="1">
        <v>9122.4285714285998</v>
      </c>
      <c r="M273" s="21">
        <f t="shared" si="25"/>
        <v>0</v>
      </c>
      <c r="N273" s="21">
        <f t="shared" si="26"/>
        <v>0</v>
      </c>
      <c r="O273" s="21">
        <f t="shared" si="27"/>
        <v>0</v>
      </c>
      <c r="P273" s="21">
        <f t="shared" si="28"/>
        <v>0</v>
      </c>
      <c r="Z273" s="211">
        <f>IFERROR(INDEX(Outliers!$X$3:$X$61,MATCH('SkYSPark Data_w Will''s Data'!C273,Outliers!$B$3:$B$61,0)),0)</f>
        <v>0</v>
      </c>
      <c r="AA273" s="1">
        <f>IFERROR(INDEX(Outliers!$AP$3:$AP$61,MATCH('SkYSPark Data_w Will''s Data'!C273,Outliers!$B$3:$B$61,0)),0)</f>
        <v>0</v>
      </c>
      <c r="AB273" s="112">
        <f>IFERROR(INDEX(Outliers!$AY$3:$AY$61,MATCH('SkYSPark Data_w Will''s Data'!C273,Outliers!$B$3:$B$61,0)),0)</f>
        <v>0</v>
      </c>
      <c r="AC273" s="112" t="s">
        <v>392</v>
      </c>
      <c r="AF273" s="132"/>
      <c r="BF273">
        <v>855515.49609375</v>
      </c>
      <c r="BG273">
        <v>151713.77999442109</v>
      </c>
    </row>
    <row r="274" spans="1:59" x14ac:dyDescent="0.3">
      <c r="A274" s="2">
        <v>45139</v>
      </c>
      <c r="B274" s="3">
        <f t="shared" si="29"/>
        <v>8</v>
      </c>
      <c r="C274" s="3" t="s">
        <v>555</v>
      </c>
      <c r="D274" s="3" t="s">
        <v>522</v>
      </c>
      <c r="G274" s="1">
        <v>9207.8857142857032</v>
      </c>
      <c r="M274" s="21">
        <f t="shared" si="25"/>
        <v>0</v>
      </c>
      <c r="N274" s="21">
        <f t="shared" si="26"/>
        <v>0</v>
      </c>
      <c r="O274" s="21">
        <f t="shared" si="27"/>
        <v>0</v>
      </c>
      <c r="P274" s="21">
        <f t="shared" si="28"/>
        <v>0</v>
      </c>
      <c r="Z274" s="211">
        <f>IFERROR(INDEX(Outliers!$X$3:$X$61,MATCH('SkYSPark Data_w Will''s Data'!C274,Outliers!$B$3:$B$61,0)),0)</f>
        <v>0</v>
      </c>
      <c r="AA274" s="1">
        <f>IFERROR(INDEX(Outliers!$AP$3:$AP$61,MATCH('SkYSPark Data_w Will''s Data'!C274,Outliers!$B$3:$B$61,0)),0)</f>
        <v>0</v>
      </c>
      <c r="AB274" s="112">
        <f>IFERROR(INDEX(Outliers!$AY$3:$AY$61,MATCH('SkYSPark Data_w Will''s Data'!C274,Outliers!$B$3:$B$61,0)),0)</f>
        <v>0</v>
      </c>
      <c r="AC274" s="112" t="s">
        <v>392</v>
      </c>
      <c r="AF274" s="132"/>
      <c r="BF274">
        <v>796085.5703125</v>
      </c>
      <c r="BG274">
        <v>144371.5231759189</v>
      </c>
    </row>
    <row r="275" spans="1:59" x14ac:dyDescent="0.3">
      <c r="A275" s="2">
        <v>45170</v>
      </c>
      <c r="B275" s="3">
        <f t="shared" si="29"/>
        <v>9</v>
      </c>
      <c r="C275" s="3" t="s">
        <v>555</v>
      </c>
      <c r="D275" s="3" t="s">
        <v>522</v>
      </c>
      <c r="G275" s="1">
        <v>8977.5216931217146</v>
      </c>
      <c r="M275" s="21">
        <f t="shared" si="25"/>
        <v>0</v>
      </c>
      <c r="N275" s="21">
        <f t="shared" si="26"/>
        <v>0</v>
      </c>
      <c r="O275" s="21">
        <f t="shared" si="27"/>
        <v>0</v>
      </c>
      <c r="P275" s="21">
        <f t="shared" si="28"/>
        <v>0</v>
      </c>
      <c r="Z275" s="211">
        <f>IFERROR(INDEX(Outliers!$X$3:$X$61,MATCH('SkYSPark Data_w Will''s Data'!C275,Outliers!$B$3:$B$61,0)),0)</f>
        <v>0</v>
      </c>
      <c r="AA275" s="1">
        <f>IFERROR(INDEX(Outliers!$AP$3:$AP$61,MATCH('SkYSPark Data_w Will''s Data'!C275,Outliers!$B$3:$B$61,0)),0)</f>
        <v>0</v>
      </c>
      <c r="AB275" s="112">
        <f>IFERROR(INDEX(Outliers!$AY$3:$AY$61,MATCH('SkYSPark Data_w Will''s Data'!C275,Outliers!$B$3:$B$61,0)),0)</f>
        <v>0</v>
      </c>
      <c r="AC275" s="112" t="s">
        <v>392</v>
      </c>
      <c r="AF275" s="132"/>
      <c r="BF275">
        <v>1024787.767578125</v>
      </c>
      <c r="BG275">
        <v>142850.52667849799</v>
      </c>
    </row>
    <row r="276" spans="1:59" x14ac:dyDescent="0.3">
      <c r="A276" s="2">
        <v>45200</v>
      </c>
      <c r="B276" s="3">
        <f t="shared" si="29"/>
        <v>10</v>
      </c>
      <c r="C276" s="3" t="s">
        <v>555</v>
      </c>
      <c r="D276" s="3" t="s">
        <v>522</v>
      </c>
      <c r="G276" s="1">
        <v>9352.5925925925021</v>
      </c>
      <c r="M276" s="21">
        <f t="shared" si="25"/>
        <v>0</v>
      </c>
      <c r="N276" s="21">
        <f t="shared" si="26"/>
        <v>0</v>
      </c>
      <c r="O276" s="21">
        <f t="shared" si="27"/>
        <v>0</v>
      </c>
      <c r="P276" s="21">
        <f t="shared" si="28"/>
        <v>0</v>
      </c>
      <c r="Z276" s="211">
        <f>IFERROR(INDEX(Outliers!$X$3:$X$61,MATCH('SkYSPark Data_w Will''s Data'!C276,Outliers!$B$3:$B$61,0)),0)</f>
        <v>0</v>
      </c>
      <c r="AA276" s="1">
        <f>IFERROR(INDEX(Outliers!$AP$3:$AP$61,MATCH('SkYSPark Data_w Will''s Data'!C276,Outliers!$B$3:$B$61,0)),0)</f>
        <v>0</v>
      </c>
      <c r="AB276" s="112">
        <f>IFERROR(INDEX(Outliers!$AY$3:$AY$61,MATCH('SkYSPark Data_w Will''s Data'!C276,Outliers!$B$3:$B$61,0)),0)</f>
        <v>0</v>
      </c>
      <c r="AC276" s="112" t="s">
        <v>392</v>
      </c>
      <c r="AF276" s="132"/>
      <c r="BF276">
        <v>1193448.595703125</v>
      </c>
      <c r="BG276">
        <v>147778.3697622818</v>
      </c>
    </row>
    <row r="277" spans="1:59" x14ac:dyDescent="0.3">
      <c r="A277" s="2">
        <v>45231</v>
      </c>
      <c r="B277" s="3">
        <f t="shared" si="29"/>
        <v>11</v>
      </c>
      <c r="C277" s="3" t="s">
        <v>555</v>
      </c>
      <c r="D277" s="3" t="s">
        <v>522</v>
      </c>
      <c r="G277" s="1">
        <v>8772.9243379570707</v>
      </c>
      <c r="M277" s="21">
        <f t="shared" si="25"/>
        <v>0</v>
      </c>
      <c r="N277" s="21">
        <f t="shared" si="26"/>
        <v>0</v>
      </c>
      <c r="O277" s="21">
        <f t="shared" si="27"/>
        <v>0</v>
      </c>
      <c r="P277" s="21">
        <f t="shared" si="28"/>
        <v>0</v>
      </c>
      <c r="Z277" s="211">
        <f>IFERROR(INDEX(Outliers!$X$3:$X$61,MATCH('SkYSPark Data_w Will''s Data'!C277,Outliers!$B$3:$B$61,0)),0)</f>
        <v>0</v>
      </c>
      <c r="AA277" s="1">
        <f>IFERROR(INDEX(Outliers!$AP$3:$AP$61,MATCH('SkYSPark Data_w Will''s Data'!C277,Outliers!$B$3:$B$61,0)),0)</f>
        <v>0</v>
      </c>
      <c r="AB277" s="112">
        <f>IFERROR(INDEX(Outliers!$AY$3:$AY$61,MATCH('SkYSPark Data_w Will''s Data'!C277,Outliers!$B$3:$B$61,0)),0)</f>
        <v>0</v>
      </c>
      <c r="AC277" s="112" t="s">
        <v>392</v>
      </c>
      <c r="AF277" s="132"/>
      <c r="BF277">
        <v>1162598.015625</v>
      </c>
      <c r="BG277">
        <v>159110.2773274339</v>
      </c>
    </row>
    <row r="278" spans="1:59" x14ac:dyDescent="0.3">
      <c r="A278" s="2">
        <v>45261</v>
      </c>
      <c r="B278" s="3">
        <f t="shared" si="29"/>
        <v>12</v>
      </c>
      <c r="C278" s="3" t="s">
        <v>555</v>
      </c>
      <c r="D278" s="3" t="s">
        <v>522</v>
      </c>
      <c r="G278" s="1">
        <v>8856.0756620428747</v>
      </c>
      <c r="M278" s="21">
        <f t="shared" si="25"/>
        <v>0</v>
      </c>
      <c r="N278" s="21">
        <f t="shared" si="26"/>
        <v>0</v>
      </c>
      <c r="O278" s="21">
        <f t="shared" si="27"/>
        <v>0</v>
      </c>
      <c r="P278" s="21">
        <f t="shared" si="28"/>
        <v>0</v>
      </c>
      <c r="Z278" s="211">
        <f>IFERROR(INDEX(Outliers!$X$3:$X$61,MATCH('SkYSPark Data_w Will''s Data'!C278,Outliers!$B$3:$B$61,0)),0)</f>
        <v>0</v>
      </c>
      <c r="AA278" s="1">
        <f>IFERROR(INDEX(Outliers!$AP$3:$AP$61,MATCH('SkYSPark Data_w Will''s Data'!C278,Outliers!$B$3:$B$61,0)),0)</f>
        <v>0</v>
      </c>
      <c r="AB278" s="112">
        <f>IFERROR(INDEX(Outliers!$AY$3:$AY$61,MATCH('SkYSPark Data_w Will''s Data'!C278,Outliers!$B$3:$B$61,0)),0)</f>
        <v>0</v>
      </c>
      <c r="AC278" s="112" t="s">
        <v>392</v>
      </c>
      <c r="AF278" s="132"/>
      <c r="BF278">
        <v>1192768.87890625</v>
      </c>
      <c r="BG278">
        <v>168440.67650473549</v>
      </c>
    </row>
    <row r="279" spans="1:59" s="15" customFormat="1" x14ac:dyDescent="0.3">
      <c r="A279" s="38">
        <v>44927</v>
      </c>
      <c r="B279" s="3">
        <f t="shared" si="29"/>
        <v>1</v>
      </c>
      <c r="C279" s="22" t="s">
        <v>150</v>
      </c>
      <c r="D279" s="3" t="str">
        <f>VLOOKUP(C279,'Data availability'!$A$2:$B$91,2,FALSE)</f>
        <v>Main campus</v>
      </c>
      <c r="E279" s="22">
        <v>36691</v>
      </c>
      <c r="F279" s="3" t="str">
        <f>VLOOKUP(C279,'Data availability'!$A$2:$H$91,8,FALSE)</f>
        <v>Academic</v>
      </c>
      <c r="G279" s="21">
        <v>15064.655172413961</v>
      </c>
      <c r="H279" s="21"/>
      <c r="I279" s="21"/>
      <c r="J279" s="21">
        <v>3065.9758890085918</v>
      </c>
      <c r="K279" s="185">
        <f>'Climate Normalization'!D70</f>
        <v>51.645593261719142</v>
      </c>
      <c r="L279" s="20"/>
      <c r="M279" s="21">
        <f t="shared" si="25"/>
        <v>1.4009049480329354</v>
      </c>
      <c r="N279" s="21">
        <f t="shared" si="26"/>
        <v>0</v>
      </c>
      <c r="O279" s="21">
        <f t="shared" si="27"/>
        <v>8.3562069417802505</v>
      </c>
      <c r="P279" s="21">
        <f t="shared" si="28"/>
        <v>1.6890984686725074E-2</v>
      </c>
      <c r="Q279" s="21">
        <f>(SUM(G279:G290)*3.412)/E279</f>
        <v>19.063243570959273</v>
      </c>
      <c r="R279" s="21">
        <f>(SUM(I279:I290)*100)/E279</f>
        <v>0</v>
      </c>
      <c r="S279" s="21">
        <f>(SUM(J279:J290)*100)/E279</f>
        <v>40.780957555949456</v>
      </c>
      <c r="T279" s="21">
        <f>(SUM(K279:K290)*12)/E279</f>
        <v>3.9182590830938935</v>
      </c>
      <c r="U279" s="21"/>
      <c r="V279" s="34">
        <f>SUM(Q279:T279)</f>
        <v>63.762460210002622</v>
      </c>
      <c r="W279" s="19" t="s">
        <v>297</v>
      </c>
      <c r="X279" s="20" t="s">
        <v>300</v>
      </c>
      <c r="Y279" s="21"/>
      <c r="Z279" s="211" t="b">
        <f>IFERROR(INDEX(Outliers!$X$3:$X$61,MATCH('SkYSPark Data_w Will''s Data'!C279,Outliers!$B$3:$B$61,0)),0)</f>
        <v>0</v>
      </c>
      <c r="AA279" s="1" t="b">
        <f>IFERROR(INDEX(Outliers!$AP$3:$AP$61,MATCH('SkYSPark Data_w Will''s Data'!C279,Outliers!$B$3:$B$61,0)),0)</f>
        <v>0</v>
      </c>
      <c r="AB279" s="112" t="b">
        <f>IFERROR(INDEX(Outliers!$AY$3:$AY$61,MATCH('SkYSPark Data_w Will''s Data'!C279,Outliers!$B$3:$B$61,0)),0)</f>
        <v>0</v>
      </c>
      <c r="AC279" s="112" t="s">
        <v>392</v>
      </c>
      <c r="AD279" s="138"/>
      <c r="AE279" s="136" t="s">
        <v>392</v>
      </c>
      <c r="AF279" s="137"/>
    </row>
    <row r="280" spans="1:59" x14ac:dyDescent="0.3">
      <c r="A280" s="2">
        <v>44958</v>
      </c>
      <c r="B280" s="3">
        <f t="shared" si="29"/>
        <v>2</v>
      </c>
      <c r="C280" s="3" t="s">
        <v>150</v>
      </c>
      <c r="D280" s="3" t="str">
        <f>VLOOKUP(C280,'Data availability'!$A$2:$B$91,2,FALSE)</f>
        <v>Main campus</v>
      </c>
      <c r="E280" s="3">
        <v>36691</v>
      </c>
      <c r="F280" s="3" t="str">
        <f>VLOOKUP(C280,'Data availability'!$A$2:$H$91,8,FALSE)</f>
        <v>Academic</v>
      </c>
      <c r="G280" s="1">
        <v>16889.00000000016</v>
      </c>
      <c r="J280" s="1">
        <v>2823.8085937499782</v>
      </c>
      <c r="K280" s="185">
        <f>'Climate Normalization'!D71</f>
        <v>201.58966064452974</v>
      </c>
      <c r="M280" s="21">
        <f t="shared" si="25"/>
        <v>1.5705559401488252</v>
      </c>
      <c r="N280" s="21">
        <f t="shared" si="26"/>
        <v>0</v>
      </c>
      <c r="O280" s="21">
        <f t="shared" si="27"/>
        <v>7.6961886940938591</v>
      </c>
      <c r="P280" s="21">
        <f t="shared" si="28"/>
        <v>6.5931043790966634E-2</v>
      </c>
      <c r="W280" s="10" t="s">
        <v>298</v>
      </c>
      <c r="Z280" s="211" t="b">
        <f>IFERROR(INDEX(Outliers!$X$3:$X$61,MATCH('SkYSPark Data_w Will''s Data'!C280,Outliers!$B$3:$B$61,0)),0)</f>
        <v>0</v>
      </c>
      <c r="AA280" s="1" t="b">
        <f>IFERROR(INDEX(Outliers!$AP$3:$AP$61,MATCH('SkYSPark Data_w Will''s Data'!C280,Outliers!$B$3:$B$61,0)),0)</f>
        <v>0</v>
      </c>
      <c r="AB280" s="112" t="b">
        <f>IFERROR(INDEX(Outliers!$AY$3:$AY$61,MATCH('SkYSPark Data_w Will''s Data'!C280,Outliers!$B$3:$B$61,0)),0)</f>
        <v>0</v>
      </c>
      <c r="AC280" s="112" t="s">
        <v>392</v>
      </c>
      <c r="AF280" s="132"/>
    </row>
    <row r="281" spans="1:59" x14ac:dyDescent="0.3">
      <c r="A281" s="2">
        <v>44986</v>
      </c>
      <c r="B281" s="3">
        <f t="shared" si="29"/>
        <v>3</v>
      </c>
      <c r="C281" s="3" t="s">
        <v>150</v>
      </c>
      <c r="D281" s="3" t="str">
        <f>VLOOKUP(C281,'Data availability'!$A$2:$B$91,2,FALSE)</f>
        <v>Main campus</v>
      </c>
      <c r="E281" s="3">
        <v>36691</v>
      </c>
      <c r="F281" s="3" t="str">
        <f>VLOOKUP(C281,'Data availability'!$A$2:$H$91,8,FALSE)</f>
        <v>Academic</v>
      </c>
      <c r="G281" s="1">
        <v>16249.719974715499</v>
      </c>
      <c r="J281" s="1">
        <v>2383.9213120259301</v>
      </c>
      <c r="K281" s="185">
        <f>'Climate Normalization'!D72</f>
        <v>114.44346368084751</v>
      </c>
      <c r="M281" s="21">
        <f t="shared" si="25"/>
        <v>1.5111074801376163</v>
      </c>
      <c r="N281" s="21">
        <f t="shared" si="26"/>
        <v>0</v>
      </c>
      <c r="O281" s="21">
        <f t="shared" si="27"/>
        <v>6.4972917391892562</v>
      </c>
      <c r="P281" s="21">
        <f t="shared" si="28"/>
        <v>3.7429384976429378E-2</v>
      </c>
      <c r="W281" s="25" t="s">
        <v>299</v>
      </c>
      <c r="Z281" s="211" t="b">
        <f>IFERROR(INDEX(Outliers!$X$3:$X$61,MATCH('SkYSPark Data_w Will''s Data'!C281,Outliers!$B$3:$B$61,0)),0)</f>
        <v>0</v>
      </c>
      <c r="AA281" s="1" t="b">
        <f>IFERROR(INDEX(Outliers!$AP$3:$AP$61,MATCH('SkYSPark Data_w Will''s Data'!C281,Outliers!$B$3:$B$61,0)),0)</f>
        <v>0</v>
      </c>
      <c r="AB281" s="112" t="b">
        <f>IFERROR(INDEX(Outliers!$AY$3:$AY$61,MATCH('SkYSPark Data_w Will''s Data'!C281,Outliers!$B$3:$B$61,0)),0)</f>
        <v>0</v>
      </c>
      <c r="AC281" s="112" t="s">
        <v>392</v>
      </c>
      <c r="AF281" s="132"/>
    </row>
    <row r="282" spans="1:59" x14ac:dyDescent="0.3">
      <c r="A282" s="2">
        <v>45017</v>
      </c>
      <c r="B282" s="3">
        <f t="shared" si="29"/>
        <v>4</v>
      </c>
      <c r="C282" s="3" t="s">
        <v>150</v>
      </c>
      <c r="D282" s="3" t="str">
        <f>VLOOKUP(C282,'Data availability'!$A$2:$B$91,2,FALSE)</f>
        <v>Main campus</v>
      </c>
      <c r="E282" s="3">
        <v>36691</v>
      </c>
      <c r="F282" s="3" t="str">
        <f>VLOOKUP(C282,'Data availability'!$A$2:$H$91,8,FALSE)</f>
        <v>Academic</v>
      </c>
      <c r="G282" s="1">
        <v>17378.780025284399</v>
      </c>
      <c r="J282" s="1">
        <v>1413.0904067240961</v>
      </c>
      <c r="K282" s="185">
        <f>'Climate Normalization'!D73</f>
        <v>433.19810104212257</v>
      </c>
      <c r="M282" s="21">
        <f t="shared" si="25"/>
        <v>1.6161019717715617</v>
      </c>
      <c r="N282" s="21">
        <f t="shared" si="26"/>
        <v>0</v>
      </c>
      <c r="O282" s="21">
        <f t="shared" si="27"/>
        <v>3.8513270467528717</v>
      </c>
      <c r="P282" s="21">
        <f t="shared" si="28"/>
        <v>0.14167990004375652</v>
      </c>
      <c r="Z282" s="211" t="b">
        <f>IFERROR(INDEX(Outliers!$X$3:$X$61,MATCH('SkYSPark Data_w Will''s Data'!C282,Outliers!$B$3:$B$61,0)),0)</f>
        <v>0</v>
      </c>
      <c r="AA282" s="1" t="b">
        <f>IFERROR(INDEX(Outliers!$AP$3:$AP$61,MATCH('SkYSPark Data_w Will''s Data'!C282,Outliers!$B$3:$B$61,0)),0)</f>
        <v>0</v>
      </c>
      <c r="AB282" s="112" t="b">
        <f>IFERROR(INDEX(Outliers!$AY$3:$AY$61,MATCH('SkYSPark Data_w Will''s Data'!C282,Outliers!$B$3:$B$61,0)),0)</f>
        <v>0</v>
      </c>
      <c r="AC282" s="112" t="s">
        <v>392</v>
      </c>
      <c r="AF282" s="132"/>
    </row>
    <row r="283" spans="1:59" x14ac:dyDescent="0.3">
      <c r="A283" s="2">
        <v>45047</v>
      </c>
      <c r="B283" s="3">
        <f t="shared" si="29"/>
        <v>5</v>
      </c>
      <c r="C283" s="3" t="s">
        <v>150</v>
      </c>
      <c r="D283" s="3" t="str">
        <f>VLOOKUP(C283,'Data availability'!$A$2:$B$91,2,FALSE)</f>
        <v>Main campus</v>
      </c>
      <c r="E283" s="3">
        <v>36691</v>
      </c>
      <c r="F283" s="3" t="str">
        <f>VLOOKUP(C283,'Data availability'!$A$2:$H$91,8,FALSE)</f>
        <v>Academic</v>
      </c>
      <c r="G283" s="1">
        <v>16966.999999999789</v>
      </c>
      <c r="J283" s="1">
        <v>851.01562499999307</v>
      </c>
      <c r="K283" s="185">
        <f>'Climate Normalization'!D74</f>
        <v>440.43095081851334</v>
      </c>
      <c r="M283" s="21">
        <f t="shared" si="25"/>
        <v>1.5778093810471037</v>
      </c>
      <c r="N283" s="21">
        <f t="shared" si="26"/>
        <v>0</v>
      </c>
      <c r="O283" s="21">
        <f t="shared" si="27"/>
        <v>2.3194124580959716</v>
      </c>
      <c r="P283" s="21">
        <f t="shared" si="28"/>
        <v>0.14404544465460631</v>
      </c>
      <c r="Z283" s="211" t="b">
        <f>IFERROR(INDEX(Outliers!$X$3:$X$61,MATCH('SkYSPark Data_w Will''s Data'!C283,Outliers!$B$3:$B$61,0)),0)</f>
        <v>0</v>
      </c>
      <c r="AA283" s="1" t="b">
        <f>IFERROR(INDEX(Outliers!$AP$3:$AP$61,MATCH('SkYSPark Data_w Will''s Data'!C283,Outliers!$B$3:$B$61,0)),0)</f>
        <v>0</v>
      </c>
      <c r="AB283" s="112" t="b">
        <f>IFERROR(INDEX(Outliers!$AY$3:$AY$61,MATCH('SkYSPark Data_w Will''s Data'!C283,Outliers!$B$3:$B$61,0)),0)</f>
        <v>0</v>
      </c>
      <c r="AC283" s="112" t="s">
        <v>392</v>
      </c>
      <c r="AF283" s="132"/>
    </row>
    <row r="284" spans="1:59" x14ac:dyDescent="0.3">
      <c r="A284" s="2">
        <v>45078</v>
      </c>
      <c r="B284" s="3">
        <f t="shared" si="29"/>
        <v>6</v>
      </c>
      <c r="C284" s="3" t="s">
        <v>150</v>
      </c>
      <c r="D284" s="3" t="str">
        <f>VLOOKUP(C284,'Data availability'!$A$2:$B$91,2,FALSE)</f>
        <v>Main campus</v>
      </c>
      <c r="E284" s="3">
        <v>36691</v>
      </c>
      <c r="F284" s="3" t="str">
        <f>VLOOKUP(C284,'Data availability'!$A$2:$H$91,8,FALSE)</f>
        <v>Academic</v>
      </c>
      <c r="G284" s="1">
        <v>16645.28571428547</v>
      </c>
      <c r="J284" s="1">
        <v>421.95870535714602</v>
      </c>
      <c r="K284" s="185">
        <f>'Climate Normalization'!D75</f>
        <v>650.93822982589995</v>
      </c>
      <c r="M284" s="21">
        <f t="shared" si="25"/>
        <v>1.5478922585141321</v>
      </c>
      <c r="N284" s="21">
        <f t="shared" si="26"/>
        <v>0</v>
      </c>
      <c r="O284" s="21">
        <f t="shared" si="27"/>
        <v>1.1500332652616336</v>
      </c>
      <c r="P284" s="21">
        <f t="shared" si="28"/>
        <v>0.21289304619418384</v>
      </c>
      <c r="Z284" s="211" t="b">
        <f>IFERROR(INDEX(Outliers!$X$3:$X$61,MATCH('SkYSPark Data_w Will''s Data'!C284,Outliers!$B$3:$B$61,0)),0)</f>
        <v>0</v>
      </c>
      <c r="AA284" s="1" t="b">
        <f>IFERROR(INDEX(Outliers!$AP$3:$AP$61,MATCH('SkYSPark Data_w Will''s Data'!C284,Outliers!$B$3:$B$61,0)),0)</f>
        <v>0</v>
      </c>
      <c r="AB284" s="112" t="b">
        <f>IFERROR(INDEX(Outliers!$AY$3:$AY$61,MATCH('SkYSPark Data_w Will''s Data'!C284,Outliers!$B$3:$B$61,0)),0)</f>
        <v>0</v>
      </c>
      <c r="AC284" s="112" t="s">
        <v>392</v>
      </c>
      <c r="AF284" s="132"/>
    </row>
    <row r="285" spans="1:59" x14ac:dyDescent="0.3">
      <c r="A285" s="2">
        <v>45108</v>
      </c>
      <c r="B285" s="3">
        <f t="shared" si="29"/>
        <v>7</v>
      </c>
      <c r="C285" s="3" t="s">
        <v>150</v>
      </c>
      <c r="D285" s="3" t="str">
        <f>VLOOKUP(C285,'Data availability'!$A$2:$B$91,2,FALSE)</f>
        <v>Main campus</v>
      </c>
      <c r="E285" s="3">
        <v>36691</v>
      </c>
      <c r="F285" s="3" t="str">
        <f>VLOOKUP(C285,'Data availability'!$A$2:$H$91,8,FALSE)</f>
        <v>Academic</v>
      </c>
      <c r="G285" s="1">
        <v>18801.529100529209</v>
      </c>
      <c r="J285" s="1">
        <v>161.78912450396851</v>
      </c>
      <c r="K285" s="185">
        <f>'Climate Normalization'!D76</f>
        <v>1637.073522852618</v>
      </c>
      <c r="M285" s="21">
        <f t="shared" si="25"/>
        <v>1.7484074375461465</v>
      </c>
      <c r="N285" s="21">
        <f t="shared" si="26"/>
        <v>0</v>
      </c>
      <c r="O285" s="21">
        <f t="shared" si="27"/>
        <v>0.44095043608505768</v>
      </c>
      <c r="P285" s="21">
        <f t="shared" si="28"/>
        <v>0.53541419623971587</v>
      </c>
      <c r="Z285" s="211" t="b">
        <f>IFERROR(INDEX(Outliers!$X$3:$X$61,MATCH('SkYSPark Data_w Will''s Data'!C285,Outliers!$B$3:$B$61,0)),0)</f>
        <v>0</v>
      </c>
      <c r="AA285" s="1" t="b">
        <f>IFERROR(INDEX(Outliers!$AP$3:$AP$61,MATCH('SkYSPark Data_w Will''s Data'!C285,Outliers!$B$3:$B$61,0)),0)</f>
        <v>0</v>
      </c>
      <c r="AB285" s="112" t="b">
        <f>IFERROR(INDEX(Outliers!$AY$3:$AY$61,MATCH('SkYSPark Data_w Will''s Data'!C285,Outliers!$B$3:$B$61,0)),0)</f>
        <v>0</v>
      </c>
      <c r="AC285" s="112" t="s">
        <v>392</v>
      </c>
      <c r="AF285" s="132"/>
    </row>
    <row r="286" spans="1:59" x14ac:dyDescent="0.3">
      <c r="A286" s="2">
        <v>45139</v>
      </c>
      <c r="B286" s="3">
        <f t="shared" si="29"/>
        <v>8</v>
      </c>
      <c r="C286" s="3" t="s">
        <v>150</v>
      </c>
      <c r="D286" s="3" t="str">
        <f>VLOOKUP(C286,'Data availability'!$A$2:$B$91,2,FALSE)</f>
        <v>Main campus</v>
      </c>
      <c r="E286" s="3">
        <v>36691</v>
      </c>
      <c r="F286" s="3" t="str">
        <f>VLOOKUP(C286,'Data availability'!$A$2:$H$91,8,FALSE)</f>
        <v>Academic</v>
      </c>
      <c r="G286" s="1">
        <v>20676.729302832071</v>
      </c>
      <c r="J286" s="1">
        <v>3.5177951388888888</v>
      </c>
      <c r="K286" s="185">
        <f>'Climate Normalization'!D77</f>
        <v>4210.135059295224</v>
      </c>
      <c r="M286" s="21">
        <f t="shared" si="25"/>
        <v>1.922787614980868</v>
      </c>
      <c r="N286" s="21">
        <f t="shared" si="26"/>
        <v>0</v>
      </c>
      <c r="O286" s="21">
        <f t="shared" si="27"/>
        <v>9.5876240464661325E-3</v>
      </c>
      <c r="P286" s="21">
        <f t="shared" si="28"/>
        <v>1.3769485898869664</v>
      </c>
      <c r="Z286" s="211" t="b">
        <f>IFERROR(INDEX(Outliers!$X$3:$X$61,MATCH('SkYSPark Data_w Will''s Data'!C286,Outliers!$B$3:$B$61,0)),0)</f>
        <v>0</v>
      </c>
      <c r="AA286" s="1" t="b">
        <f>IFERROR(INDEX(Outliers!$AP$3:$AP$61,MATCH('SkYSPark Data_w Will''s Data'!C286,Outliers!$B$3:$B$61,0)),0)</f>
        <v>0</v>
      </c>
      <c r="AB286" s="112" t="b">
        <f>IFERROR(INDEX(Outliers!$AY$3:$AY$61,MATCH('SkYSPark Data_w Will''s Data'!C286,Outliers!$B$3:$B$61,0)),0)</f>
        <v>0</v>
      </c>
      <c r="AC286" s="112" t="s">
        <v>392</v>
      </c>
      <c r="AF286" s="132"/>
    </row>
    <row r="287" spans="1:59" x14ac:dyDescent="0.3">
      <c r="A287" s="2">
        <v>45170</v>
      </c>
      <c r="B287" s="3">
        <f t="shared" si="29"/>
        <v>9</v>
      </c>
      <c r="C287" s="3" t="s">
        <v>150</v>
      </c>
      <c r="D287" s="3" t="str">
        <f>VLOOKUP(C287,'Data availability'!$A$2:$B$91,2,FALSE)</f>
        <v>Main campus</v>
      </c>
      <c r="E287" s="3">
        <v>36691</v>
      </c>
      <c r="F287" s="3" t="str">
        <f>VLOOKUP(C287,'Data availability'!$A$2:$H$91,8,FALSE)</f>
        <v>Academic</v>
      </c>
      <c r="G287" s="1">
        <v>17616.279956427039</v>
      </c>
      <c r="J287" s="1">
        <v>0</v>
      </c>
      <c r="K287" s="185">
        <f>'Climate Normalization'!D78</f>
        <v>2162.3318242639289</v>
      </c>
      <c r="M287" s="21">
        <f t="shared" si="25"/>
        <v>1.6381877629753634</v>
      </c>
      <c r="N287" s="21">
        <f t="shared" si="26"/>
        <v>0</v>
      </c>
      <c r="O287" s="21">
        <f t="shared" si="27"/>
        <v>0</v>
      </c>
      <c r="P287" s="21">
        <f t="shared" si="28"/>
        <v>0.70720290782936268</v>
      </c>
      <c r="Z287" s="211" t="b">
        <f>IFERROR(INDEX(Outliers!$X$3:$X$61,MATCH('SkYSPark Data_w Will''s Data'!C287,Outliers!$B$3:$B$61,0)),0)</f>
        <v>0</v>
      </c>
      <c r="AA287" s="1" t="b">
        <f>IFERROR(INDEX(Outliers!$AP$3:$AP$61,MATCH('SkYSPark Data_w Will''s Data'!C287,Outliers!$B$3:$B$61,0)),0)</f>
        <v>0</v>
      </c>
      <c r="AB287" s="112" t="b">
        <f>IFERROR(INDEX(Outliers!$AY$3:$AY$61,MATCH('SkYSPark Data_w Will''s Data'!C287,Outliers!$B$3:$B$61,0)),0)</f>
        <v>0</v>
      </c>
      <c r="AC287" s="112" t="s">
        <v>392</v>
      </c>
      <c r="AF287" s="132"/>
    </row>
    <row r="288" spans="1:59" x14ac:dyDescent="0.3">
      <c r="A288" s="2">
        <v>45200</v>
      </c>
      <c r="B288" s="3">
        <f t="shared" si="29"/>
        <v>10</v>
      </c>
      <c r="C288" s="3" t="s">
        <v>150</v>
      </c>
      <c r="D288" s="3" t="str">
        <f>VLOOKUP(C288,'Data availability'!$A$2:$B$91,2,FALSE)</f>
        <v>Main campus</v>
      </c>
      <c r="E288" s="3">
        <v>36691</v>
      </c>
      <c r="F288" s="3" t="str">
        <f>VLOOKUP(C288,'Data availability'!$A$2:$H$91,8,FALSE)</f>
        <v>Academic</v>
      </c>
      <c r="G288" s="1">
        <v>18687.9259259258</v>
      </c>
      <c r="J288" s="1">
        <v>174.10156250000171</v>
      </c>
      <c r="K288" s="185">
        <f>'Climate Normalization'!D79</f>
        <v>1760.8743427609945</v>
      </c>
      <c r="M288" s="21">
        <f t="shared" si="25"/>
        <v>1.7378431566122163</v>
      </c>
      <c r="N288" s="21">
        <f t="shared" si="26"/>
        <v>0</v>
      </c>
      <c r="O288" s="21">
        <f t="shared" si="27"/>
        <v>0.47450754272165302</v>
      </c>
      <c r="P288" s="21">
        <f t="shared" si="28"/>
        <v>0.57590395773164904</v>
      </c>
      <c r="Z288" s="211" t="b">
        <f>IFERROR(INDEX(Outliers!$X$3:$X$61,MATCH('SkYSPark Data_w Will''s Data'!C288,Outliers!$B$3:$B$61,0)),0)</f>
        <v>0</v>
      </c>
      <c r="AA288" s="1" t="b">
        <f>IFERROR(INDEX(Outliers!$AP$3:$AP$61,MATCH('SkYSPark Data_w Will''s Data'!C288,Outliers!$B$3:$B$61,0)),0)</f>
        <v>0</v>
      </c>
      <c r="AB288" s="112" t="b">
        <f>IFERROR(INDEX(Outliers!$AY$3:$AY$61,MATCH('SkYSPark Data_w Will''s Data'!C288,Outliers!$B$3:$B$61,0)),0)</f>
        <v>0</v>
      </c>
      <c r="AC288" s="112" t="s">
        <v>392</v>
      </c>
      <c r="AF288" s="132"/>
    </row>
    <row r="289" spans="1:64" x14ac:dyDescent="0.3">
      <c r="A289" s="2">
        <v>45231</v>
      </c>
      <c r="B289" s="3">
        <f t="shared" si="29"/>
        <v>11</v>
      </c>
      <c r="C289" s="3" t="s">
        <v>150</v>
      </c>
      <c r="D289" s="3" t="str">
        <f>VLOOKUP(C289,'Data availability'!$A$2:$B$91,2,FALSE)</f>
        <v>Main campus</v>
      </c>
      <c r="E289" s="3">
        <v>36691</v>
      </c>
      <c r="F289" s="3" t="str">
        <f>VLOOKUP(C289,'Data availability'!$A$2:$H$91,8,FALSE)</f>
        <v>Academic</v>
      </c>
      <c r="G289" s="1">
        <v>18976.256305169882</v>
      </c>
      <c r="J289" s="1">
        <v>2543.8221646437669</v>
      </c>
      <c r="K289" s="185">
        <f>'Climate Normalization'!D80</f>
        <v>266.09732644172146</v>
      </c>
      <c r="M289" s="21">
        <f t="shared" si="25"/>
        <v>1.7646558151383074</v>
      </c>
      <c r="N289" s="21">
        <f t="shared" si="26"/>
        <v>0</v>
      </c>
      <c r="O289" s="21">
        <f t="shared" si="27"/>
        <v>6.9330957582070996</v>
      </c>
      <c r="P289" s="21">
        <f t="shared" si="28"/>
        <v>8.70286423728069E-2</v>
      </c>
      <c r="Z289" s="211" t="b">
        <f>IFERROR(INDEX(Outliers!$X$3:$X$61,MATCH('SkYSPark Data_w Will''s Data'!C289,Outliers!$B$3:$B$61,0)),0)</f>
        <v>0</v>
      </c>
      <c r="AA289" s="1" t="b">
        <f>IFERROR(INDEX(Outliers!$AP$3:$AP$61,MATCH('SkYSPark Data_w Will''s Data'!C289,Outliers!$B$3:$B$61,0)),0)</f>
        <v>0</v>
      </c>
      <c r="AB289" s="112" t="b">
        <f>IFERROR(INDEX(Outliers!$AY$3:$AY$61,MATCH('SkYSPark Data_w Will''s Data'!C289,Outliers!$B$3:$B$61,0)),0)</f>
        <v>0</v>
      </c>
      <c r="AC289" s="112" t="s">
        <v>392</v>
      </c>
      <c r="AF289" s="132"/>
    </row>
    <row r="290" spans="1:64" x14ac:dyDescent="0.3">
      <c r="A290" s="2">
        <v>45261</v>
      </c>
      <c r="B290" s="3">
        <f t="shared" si="29"/>
        <v>12</v>
      </c>
      <c r="C290" s="3" t="s">
        <v>150</v>
      </c>
      <c r="D290" s="3" t="str">
        <f>VLOOKUP(C290,'Data availability'!$A$2:$B$91,2,FALSE)</f>
        <v>Main campus</v>
      </c>
      <c r="E290" s="3">
        <v>36691</v>
      </c>
      <c r="F290" s="3" t="str">
        <f>VLOOKUP(C290,'Data availability'!$A$2:$H$91,8,FALSE)</f>
        <v>Academic</v>
      </c>
      <c r="G290" s="1">
        <v>11043.752315519499</v>
      </c>
      <c r="J290" s="1">
        <v>1119.9399582010551</v>
      </c>
      <c r="K290" s="185">
        <f>'Climate Normalization'!D81</f>
        <v>51.645593261719142</v>
      </c>
      <c r="M290" s="21">
        <f t="shared" si="25"/>
        <v>1.0269898040541967</v>
      </c>
      <c r="N290" s="21">
        <f t="shared" si="26"/>
        <v>0</v>
      </c>
      <c r="O290" s="21">
        <f t="shared" si="27"/>
        <v>3.0523560497153395</v>
      </c>
      <c r="P290" s="21">
        <f t="shared" si="28"/>
        <v>1.6890984686725074E-2</v>
      </c>
      <c r="Z290" s="211" t="b">
        <f>IFERROR(INDEX(Outliers!$X$3:$X$61,MATCH('SkYSPark Data_w Will''s Data'!C290,Outliers!$B$3:$B$61,0)),0)</f>
        <v>0</v>
      </c>
      <c r="AA290" s="1" t="b">
        <f>IFERROR(INDEX(Outliers!$AP$3:$AP$61,MATCH('SkYSPark Data_w Will''s Data'!C290,Outliers!$B$3:$B$61,0)),0)</f>
        <v>0</v>
      </c>
      <c r="AB290" s="112" t="b">
        <f>IFERROR(INDEX(Outliers!$AY$3:$AY$61,MATCH('SkYSPark Data_w Will''s Data'!C290,Outliers!$B$3:$B$61,0)),0)</f>
        <v>0</v>
      </c>
      <c r="AC290" s="112" t="s">
        <v>392</v>
      </c>
      <c r="AF290" s="132"/>
    </row>
    <row r="291" spans="1:64" s="15" customFormat="1" x14ac:dyDescent="0.3">
      <c r="A291" s="38">
        <v>44927</v>
      </c>
      <c r="B291" s="3">
        <f t="shared" si="29"/>
        <v>1</v>
      </c>
      <c r="C291" s="22" t="s">
        <v>151</v>
      </c>
      <c r="D291" s="3" t="str">
        <f>VLOOKUP(C291,'Data availability'!$A$2:$B$91,2,FALSE)</f>
        <v>Main campus</v>
      </c>
      <c r="E291" s="22">
        <v>341415</v>
      </c>
      <c r="F291" s="3" t="str">
        <f>VLOOKUP(C291,'Data availability'!$A$2:$H$91,8,FALSE)</f>
        <v>Academic</v>
      </c>
      <c r="G291" s="21">
        <v>286377.33798828127</v>
      </c>
      <c r="H291" s="21"/>
      <c r="I291" s="21"/>
      <c r="J291" s="21">
        <v>14567.230603448121</v>
      </c>
      <c r="K291" s="1">
        <v>19374.69642510793</v>
      </c>
      <c r="L291" s="20"/>
      <c r="M291" s="21">
        <f t="shared" si="25"/>
        <v>2.8619699697318972</v>
      </c>
      <c r="N291" s="21">
        <f t="shared" si="26"/>
        <v>0</v>
      </c>
      <c r="O291" s="21">
        <f t="shared" si="27"/>
        <v>4.2667224941634432</v>
      </c>
      <c r="P291" s="21">
        <f t="shared" si="28"/>
        <v>0.68097874171109984</v>
      </c>
      <c r="Q291" s="21">
        <f>(SUM(G291:G302)*3.412)/E291</f>
        <v>36.385667204187783</v>
      </c>
      <c r="R291" s="21">
        <f>(SUM(I291:I302)*100)/E291</f>
        <v>0</v>
      </c>
      <c r="S291" s="21">
        <f>(SUM(J291:J302)*100)/E291</f>
        <v>35.777473327283431</v>
      </c>
      <c r="T291" s="21">
        <f>(SUM(K291:K302)*12)/E291</f>
        <v>36.979088812590071</v>
      </c>
      <c r="U291" s="21"/>
      <c r="V291" s="34">
        <f>SUM(Q291:T291)</f>
        <v>109.14222934406129</v>
      </c>
      <c r="W291" s="19" t="s">
        <v>576</v>
      </c>
      <c r="X291" s="20"/>
      <c r="Y291" s="21"/>
      <c r="Z291" s="211" t="b">
        <f>IFERROR(INDEX(Outliers!$X$3:$X$61,MATCH('SkYSPark Data_w Will''s Data'!C291,Outliers!$B$3:$B$61,0)),0)</f>
        <v>0</v>
      </c>
      <c r="AA291" s="1" t="b">
        <f>IFERROR(INDEX(Outliers!$AP$3:$AP$61,MATCH('SkYSPark Data_w Will''s Data'!C291,Outliers!$B$3:$B$61,0)),0)</f>
        <v>0</v>
      </c>
      <c r="AB291" s="112" t="b">
        <f>IFERROR(INDEX(Outliers!$AY$3:$AY$61,MATCH('SkYSPark Data_w Will''s Data'!C291,Outliers!$B$3:$B$61,0)),0)</f>
        <v>0</v>
      </c>
      <c r="AC291" s="112" t="s">
        <v>392</v>
      </c>
      <c r="AD291" s="138"/>
      <c r="AE291" s="138"/>
      <c r="AF291" s="138"/>
      <c r="BH291" s="15">
        <v>2863773.379882812</v>
      </c>
    </row>
    <row r="292" spans="1:64" x14ac:dyDescent="0.3">
      <c r="A292" s="2">
        <v>44958</v>
      </c>
      <c r="B292" s="3">
        <f t="shared" si="29"/>
        <v>2</v>
      </c>
      <c r="C292" s="3" t="s">
        <v>151</v>
      </c>
      <c r="D292" s="3" t="str">
        <f>VLOOKUP(C292,'Data availability'!$A$2:$B$91,2,FALSE)</f>
        <v>Main campus</v>
      </c>
      <c r="E292" s="3">
        <v>341415</v>
      </c>
      <c r="F292" s="3" t="str">
        <f>VLOOKUP(C292,'Data availability'!$A$2:$H$91,8,FALSE)</f>
        <v>Academic</v>
      </c>
      <c r="G292" s="1">
        <v>278527.37412109377</v>
      </c>
      <c r="J292" s="1">
        <v>14797.499999999911</v>
      </c>
      <c r="K292" s="1">
        <v>19665.880000000081</v>
      </c>
      <c r="M292" s="21">
        <f t="shared" si="25"/>
        <v>2.7835197648057992</v>
      </c>
      <c r="N292" s="21">
        <f t="shared" si="26"/>
        <v>0</v>
      </c>
      <c r="O292" s="21">
        <f t="shared" si="27"/>
        <v>4.3341680945476657</v>
      </c>
      <c r="P292" s="21">
        <f t="shared" si="28"/>
        <v>0.69121321558807025</v>
      </c>
      <c r="W292" s="25" t="s">
        <v>302</v>
      </c>
      <c r="Z292" s="211" t="b">
        <f>IFERROR(INDEX(Outliers!$X$3:$X$61,MATCH('SkYSPark Data_w Will''s Data'!C292,Outliers!$B$3:$B$61,0)),0)</f>
        <v>0</v>
      </c>
      <c r="AA292" s="1" t="b">
        <f>IFERROR(INDEX(Outliers!$AP$3:$AP$61,MATCH('SkYSPark Data_w Will''s Data'!C292,Outliers!$B$3:$B$61,0)),0)</f>
        <v>0</v>
      </c>
      <c r="AB292" s="112" t="b">
        <f>IFERROR(INDEX(Outliers!$AY$3:$AY$61,MATCH('SkYSPark Data_w Will''s Data'!C292,Outliers!$B$3:$B$61,0)),0)</f>
        <v>0</v>
      </c>
      <c r="AC292" s="112" t="s">
        <v>392</v>
      </c>
      <c r="BH292">
        <v>2785273.741210938</v>
      </c>
    </row>
    <row r="293" spans="1:64" x14ac:dyDescent="0.3">
      <c r="A293" s="2">
        <v>44986</v>
      </c>
      <c r="B293" s="3">
        <f t="shared" si="29"/>
        <v>3</v>
      </c>
      <c r="C293" s="3" t="s">
        <v>151</v>
      </c>
      <c r="D293" s="3" t="str">
        <f>VLOOKUP(C293,'Data availability'!$A$2:$B$91,2,FALSE)</f>
        <v>Main campus</v>
      </c>
      <c r="E293" s="3">
        <v>341415</v>
      </c>
      <c r="F293" s="3" t="str">
        <f>VLOOKUP(C293,'Data availability'!$A$2:$H$91,8,FALSE)</f>
        <v>Academic</v>
      </c>
      <c r="G293" s="1">
        <v>312884.63037109375</v>
      </c>
      <c r="J293" s="1">
        <v>16078.91099083446</v>
      </c>
      <c r="K293" s="1">
        <v>22997.677559260799</v>
      </c>
      <c r="M293" s="21">
        <f t="shared" si="25"/>
        <v>3.1268759686193395</v>
      </c>
      <c r="N293" s="21">
        <f t="shared" si="26"/>
        <v>0</v>
      </c>
      <c r="O293" s="21">
        <f t="shared" si="27"/>
        <v>4.7094916716706825</v>
      </c>
      <c r="P293" s="21">
        <f t="shared" si="28"/>
        <v>0.80831870512757076</v>
      </c>
      <c r="W293" s="25" t="s">
        <v>301</v>
      </c>
      <c r="Z293" s="211" t="b">
        <f>IFERROR(INDEX(Outliers!$X$3:$X$61,MATCH('SkYSPark Data_w Will''s Data'!C293,Outliers!$B$3:$B$61,0)),0)</f>
        <v>0</v>
      </c>
      <c r="AA293" s="1" t="b">
        <f>IFERROR(INDEX(Outliers!$AP$3:$AP$61,MATCH('SkYSPark Data_w Will''s Data'!C293,Outliers!$B$3:$B$61,0)),0)</f>
        <v>0</v>
      </c>
      <c r="AB293" s="112" t="b">
        <f>IFERROR(INDEX(Outliers!$AY$3:$AY$61,MATCH('SkYSPark Data_w Will''s Data'!C293,Outliers!$B$3:$B$61,0)),0)</f>
        <v>0</v>
      </c>
      <c r="AC293" s="112" t="s">
        <v>392</v>
      </c>
      <c r="BH293">
        <v>3128846.303710938</v>
      </c>
    </row>
    <row r="294" spans="1:64" x14ac:dyDescent="0.3">
      <c r="A294" s="2">
        <v>45017</v>
      </c>
      <c r="B294" s="3">
        <f t="shared" si="29"/>
        <v>4</v>
      </c>
      <c r="C294" s="3" t="s">
        <v>151</v>
      </c>
      <c r="D294" s="3" t="str">
        <f>VLOOKUP(C294,'Data availability'!$A$2:$B$91,2,FALSE)</f>
        <v>Main campus</v>
      </c>
      <c r="E294" s="3">
        <v>341415</v>
      </c>
      <c r="F294" s="3" t="str">
        <f>VLOOKUP(C294,'Data availability'!$A$2:$H$91,8,FALSE)</f>
        <v>Academic</v>
      </c>
      <c r="G294" s="1">
        <v>314388.72756347654</v>
      </c>
      <c r="J294" s="1">
        <v>12523.58900916572</v>
      </c>
      <c r="K294" s="1">
        <v>71887.849784489328</v>
      </c>
      <c r="M294" s="21">
        <f t="shared" si="25"/>
        <v>3.1419074687596678</v>
      </c>
      <c r="N294" s="21">
        <f t="shared" si="26"/>
        <v>0</v>
      </c>
      <c r="O294" s="21">
        <f t="shared" si="27"/>
        <v>3.6681425857580128</v>
      </c>
      <c r="P294" s="21">
        <f t="shared" si="28"/>
        <v>2.5267026856285519</v>
      </c>
      <c r="Z294" s="211" t="b">
        <f>IFERROR(INDEX(Outliers!$X$3:$X$61,MATCH('SkYSPark Data_w Will''s Data'!C294,Outliers!$B$3:$B$61,0)),0)</f>
        <v>0</v>
      </c>
      <c r="AA294" s="1" t="b">
        <f>IFERROR(INDEX(Outliers!$AP$3:$AP$61,MATCH('SkYSPark Data_w Will''s Data'!C294,Outliers!$B$3:$B$61,0)),0)</f>
        <v>0</v>
      </c>
      <c r="AB294" s="112" t="b">
        <f>IFERROR(INDEX(Outliers!$AY$3:$AY$61,MATCH('SkYSPark Data_w Will''s Data'!C294,Outliers!$B$3:$B$61,0)),0)</f>
        <v>0</v>
      </c>
      <c r="AC294" s="112" t="s">
        <v>392</v>
      </c>
      <c r="BH294">
        <v>3143887.2756347661</v>
      </c>
    </row>
    <row r="295" spans="1:64" x14ac:dyDescent="0.3">
      <c r="A295" s="2">
        <v>45047</v>
      </c>
      <c r="B295" s="3">
        <f t="shared" si="29"/>
        <v>5</v>
      </c>
      <c r="C295" s="3" t="s">
        <v>151</v>
      </c>
      <c r="D295" s="3" t="str">
        <f>VLOOKUP(C295,'Data availability'!$A$2:$B$91,2,FALSE)</f>
        <v>Main campus</v>
      </c>
      <c r="E295" s="3">
        <v>341415</v>
      </c>
      <c r="F295" s="3" t="str">
        <f>VLOOKUP(C295,'Data availability'!$A$2:$H$91,8,FALSE)</f>
        <v>Academic</v>
      </c>
      <c r="G295" s="1">
        <v>320838.94467468263</v>
      </c>
      <c r="J295" s="1">
        <v>12476.562499999971</v>
      </c>
      <c r="K295" s="1">
        <v>101593.5923437489</v>
      </c>
      <c r="M295" s="21">
        <f t="shared" si="25"/>
        <v>3.206369020781211</v>
      </c>
      <c r="N295" s="21">
        <f t="shared" si="26"/>
        <v>0</v>
      </c>
      <c r="O295" s="21">
        <f t="shared" si="27"/>
        <v>3.654368583688465</v>
      </c>
      <c r="P295" s="21">
        <f t="shared" si="28"/>
        <v>3.5707953901409919</v>
      </c>
      <c r="Z295" s="211" t="b">
        <f>IFERROR(INDEX(Outliers!$X$3:$X$61,MATCH('SkYSPark Data_w Will''s Data'!C295,Outliers!$B$3:$B$61,0)),0)</f>
        <v>0</v>
      </c>
      <c r="AA295" s="1" t="b">
        <f>IFERROR(INDEX(Outliers!$AP$3:$AP$61,MATCH('SkYSPark Data_w Will''s Data'!C295,Outliers!$B$3:$B$61,0)),0)</f>
        <v>0</v>
      </c>
      <c r="AB295" s="112" t="b">
        <f>IFERROR(INDEX(Outliers!$AY$3:$AY$61,MATCH('SkYSPark Data_w Will''s Data'!C295,Outliers!$B$3:$B$61,0)),0)</f>
        <v>0</v>
      </c>
      <c r="AC295" s="112" t="s">
        <v>392</v>
      </c>
      <c r="BH295">
        <v>3208389.4467468262</v>
      </c>
    </row>
    <row r="296" spans="1:64" x14ac:dyDescent="0.3">
      <c r="A296" s="2">
        <v>45078</v>
      </c>
      <c r="B296" s="3">
        <f t="shared" si="29"/>
        <v>6</v>
      </c>
      <c r="C296" s="3" t="s">
        <v>151</v>
      </c>
      <c r="D296" s="3" t="str">
        <f>VLOOKUP(C296,'Data availability'!$A$2:$B$91,2,FALSE)</f>
        <v>Main campus</v>
      </c>
      <c r="E296" s="3">
        <v>341415</v>
      </c>
      <c r="F296" s="3" t="str">
        <f>VLOOKUP(C296,'Data availability'!$A$2:$H$91,8,FALSE)</f>
        <v>Academic</v>
      </c>
      <c r="G296" s="1">
        <v>275332.61118469236</v>
      </c>
      <c r="J296" s="1">
        <v>3432.5076219511948</v>
      </c>
      <c r="K296" s="1">
        <v>109602.6088605181</v>
      </c>
      <c r="M296" s="21">
        <f t="shared" ref="M296:M359" si="30">IFERROR((G296*3.412)/E296,0)</f>
        <v>2.7515922538909257</v>
      </c>
      <c r="N296" s="21">
        <f t="shared" ref="N296:N359" si="31">IFERROR((I296*100)/E296,0)</f>
        <v>0</v>
      </c>
      <c r="O296" s="21">
        <f t="shared" ref="O296:O359" si="32">IFERROR((J296*100)/E296,0)</f>
        <v>1.0053769230851588</v>
      </c>
      <c r="P296" s="21">
        <f t="shared" ref="P296:P359" si="33">IFERROR((K296*12)/E296,0)</f>
        <v>3.8522950260715469</v>
      </c>
      <c r="Z296" s="211" t="b">
        <f>IFERROR(INDEX(Outliers!$X$3:$X$61,MATCH('SkYSPark Data_w Will''s Data'!C296,Outliers!$B$3:$B$61,0)),0)</f>
        <v>0</v>
      </c>
      <c r="AA296" s="1" t="b">
        <f>IFERROR(INDEX(Outliers!$AP$3:$AP$61,MATCH('SkYSPark Data_w Will''s Data'!C296,Outliers!$B$3:$B$61,0)),0)</f>
        <v>0</v>
      </c>
      <c r="AB296" s="112" t="b">
        <f>IFERROR(INDEX(Outliers!$AY$3:$AY$61,MATCH('SkYSPark Data_w Will''s Data'!C296,Outliers!$B$3:$B$61,0)),0)</f>
        <v>0</v>
      </c>
      <c r="AC296" s="112" t="s">
        <v>392</v>
      </c>
      <c r="BH296">
        <v>2753326.1118469238</v>
      </c>
    </row>
    <row r="297" spans="1:64" x14ac:dyDescent="0.3">
      <c r="A297" s="2">
        <v>45108</v>
      </c>
      <c r="B297" s="3">
        <f t="shared" si="29"/>
        <v>7</v>
      </c>
      <c r="C297" s="3" t="s">
        <v>151</v>
      </c>
      <c r="D297" s="3" t="str">
        <f>VLOOKUP(C297,'Data availability'!$A$2:$B$91,2,FALSE)</f>
        <v>Main campus</v>
      </c>
      <c r="E297" s="3">
        <v>341415</v>
      </c>
      <c r="F297" s="3" t="str">
        <f>VLOOKUP(C297,'Data availability'!$A$2:$H$91,8,FALSE)</f>
        <v>Academic</v>
      </c>
      <c r="G297" s="1">
        <v>302103.00898437499</v>
      </c>
      <c r="J297" s="1">
        <v>4968.2736280487752</v>
      </c>
      <c r="K297" s="1">
        <v>148445.0115301061</v>
      </c>
      <c r="M297" s="21">
        <f t="shared" si="30"/>
        <v>3.0191276500876865</v>
      </c>
      <c r="N297" s="21">
        <f t="shared" si="31"/>
        <v>0</v>
      </c>
      <c r="O297" s="21">
        <f t="shared" si="32"/>
        <v>1.4552007463201018</v>
      </c>
      <c r="P297" s="21">
        <f t="shared" si="33"/>
        <v>5.2175216037996961</v>
      </c>
      <c r="Z297" s="211" t="b">
        <f>IFERROR(INDEX(Outliers!$X$3:$X$61,MATCH('SkYSPark Data_w Will''s Data'!C297,Outliers!$B$3:$B$61,0)),0)</f>
        <v>0</v>
      </c>
      <c r="AA297" s="1" t="b">
        <f>IFERROR(INDEX(Outliers!$AP$3:$AP$61,MATCH('SkYSPark Data_w Will''s Data'!C297,Outliers!$B$3:$B$61,0)),0)</f>
        <v>0</v>
      </c>
      <c r="AB297" s="112" t="b">
        <f>IFERROR(INDEX(Outliers!$AY$3:$AY$61,MATCH('SkYSPark Data_w Will''s Data'!C297,Outliers!$B$3:$B$61,0)),0)</f>
        <v>0</v>
      </c>
      <c r="AC297" s="112" t="s">
        <v>392</v>
      </c>
      <c r="BH297">
        <v>3021030.08984375</v>
      </c>
    </row>
    <row r="298" spans="1:64" x14ac:dyDescent="0.3">
      <c r="A298" s="2">
        <v>45139</v>
      </c>
      <c r="B298" s="3">
        <f t="shared" si="29"/>
        <v>8</v>
      </c>
      <c r="C298" s="3" t="s">
        <v>151</v>
      </c>
      <c r="D298" s="3" t="str">
        <f>VLOOKUP(C298,'Data availability'!$A$2:$B$91,2,FALSE)</f>
        <v>Main campus</v>
      </c>
      <c r="E298" s="3">
        <v>341415</v>
      </c>
      <c r="F298" s="3" t="str">
        <f>VLOOKUP(C298,'Data availability'!$A$2:$H$91,8,FALSE)</f>
        <v>Academic</v>
      </c>
      <c r="G298" s="1">
        <v>285617.07622070314</v>
      </c>
      <c r="J298" s="1">
        <v>3959.5580357142239</v>
      </c>
      <c r="K298" s="1">
        <v>170042.2679776813</v>
      </c>
      <c r="M298" s="21">
        <f t="shared" si="30"/>
        <v>2.854372139668846</v>
      </c>
      <c r="N298" s="21">
        <f t="shared" si="31"/>
        <v>0</v>
      </c>
      <c r="O298" s="21">
        <f t="shared" si="32"/>
        <v>1.1597492891976697</v>
      </c>
      <c r="P298" s="21">
        <f t="shared" si="33"/>
        <v>5.9766185309145046</v>
      </c>
      <c r="Z298" s="211" t="b">
        <f>IFERROR(INDEX(Outliers!$X$3:$X$61,MATCH('SkYSPark Data_w Will''s Data'!C298,Outliers!$B$3:$B$61,0)),0)</f>
        <v>0</v>
      </c>
      <c r="AA298" s="1" t="b">
        <f>IFERROR(INDEX(Outliers!$AP$3:$AP$61,MATCH('SkYSPark Data_w Will''s Data'!C298,Outliers!$B$3:$B$61,0)),0)</f>
        <v>0</v>
      </c>
      <c r="AB298" s="112" t="b">
        <f>IFERROR(INDEX(Outliers!$AY$3:$AY$61,MATCH('SkYSPark Data_w Will''s Data'!C298,Outliers!$B$3:$B$61,0)),0)</f>
        <v>0</v>
      </c>
      <c r="AC298" s="112" t="s">
        <v>392</v>
      </c>
      <c r="BH298">
        <v>2856170.7622070308</v>
      </c>
    </row>
    <row r="299" spans="1:64" x14ac:dyDescent="0.3">
      <c r="A299" s="2">
        <v>45170</v>
      </c>
      <c r="B299" s="3">
        <f t="shared" si="29"/>
        <v>9</v>
      </c>
      <c r="C299" s="3" t="s">
        <v>151</v>
      </c>
      <c r="D299" s="3" t="str">
        <f>VLOOKUP(C299,'Data availability'!$A$2:$B$91,2,FALSE)</f>
        <v>Main campus</v>
      </c>
      <c r="E299" s="3">
        <v>341415</v>
      </c>
      <c r="F299" s="3" t="str">
        <f>VLOOKUP(C299,'Data availability'!$A$2:$H$91,8,FALSE)</f>
        <v>Academic</v>
      </c>
      <c r="G299" s="1">
        <v>323797.34433593752</v>
      </c>
      <c r="J299" s="1">
        <v>4429.7185846560442</v>
      </c>
      <c r="K299" s="1">
        <v>130659.2451473221</v>
      </c>
      <c r="M299" s="21">
        <f t="shared" si="30"/>
        <v>3.2359343874001398</v>
      </c>
      <c r="N299" s="21">
        <f t="shared" si="31"/>
        <v>0</v>
      </c>
      <c r="O299" s="21">
        <f t="shared" si="32"/>
        <v>1.2974586894705986</v>
      </c>
      <c r="P299" s="21">
        <f t="shared" si="33"/>
        <v>4.5923903219479678</v>
      </c>
      <c r="Z299" s="211" t="b">
        <f>IFERROR(INDEX(Outliers!$X$3:$X$61,MATCH('SkYSPark Data_w Will''s Data'!C299,Outliers!$B$3:$B$61,0)),0)</f>
        <v>0</v>
      </c>
      <c r="AA299" s="1" t="b">
        <f>IFERROR(INDEX(Outliers!$AP$3:$AP$61,MATCH('SkYSPark Data_w Will''s Data'!C299,Outliers!$B$3:$B$61,0)),0)</f>
        <v>0</v>
      </c>
      <c r="AB299" s="112" t="b">
        <f>IFERROR(INDEX(Outliers!$AY$3:$AY$61,MATCH('SkYSPark Data_w Will''s Data'!C299,Outliers!$B$3:$B$61,0)),0)</f>
        <v>0</v>
      </c>
      <c r="AC299" s="112" t="s">
        <v>392</v>
      </c>
      <c r="BH299">
        <v>3237973.443359375</v>
      </c>
    </row>
    <row r="300" spans="1:64" x14ac:dyDescent="0.3">
      <c r="A300" s="2">
        <v>45200</v>
      </c>
      <c r="B300" s="3">
        <f t="shared" si="29"/>
        <v>10</v>
      </c>
      <c r="C300" s="3" t="s">
        <v>151</v>
      </c>
      <c r="D300" s="3" t="str">
        <f>VLOOKUP(C300,'Data availability'!$A$2:$B$91,2,FALSE)</f>
        <v>Main campus</v>
      </c>
      <c r="E300" s="3">
        <v>341415</v>
      </c>
      <c r="F300" s="3" t="str">
        <f>VLOOKUP(C300,'Data availability'!$A$2:$H$91,8,FALSE)</f>
        <v>Academic</v>
      </c>
      <c r="G300" s="1">
        <v>322579.45195312501</v>
      </c>
      <c r="J300" s="1">
        <v>5037.1296296296596</v>
      </c>
      <c r="K300" s="1">
        <v>117834.4791406242</v>
      </c>
      <c r="M300" s="21">
        <f t="shared" si="30"/>
        <v>3.2237631330318308</v>
      </c>
      <c r="N300" s="21">
        <f t="shared" si="31"/>
        <v>0</v>
      </c>
      <c r="O300" s="21">
        <f t="shared" si="32"/>
        <v>1.4753685777220273</v>
      </c>
      <c r="P300" s="21">
        <f t="shared" si="33"/>
        <v>4.14162749055399</v>
      </c>
      <c r="Z300" s="211" t="b">
        <f>IFERROR(INDEX(Outliers!$X$3:$X$61,MATCH('SkYSPark Data_w Will''s Data'!C300,Outliers!$B$3:$B$61,0)),0)</f>
        <v>0</v>
      </c>
      <c r="AA300" s="1" t="b">
        <f>IFERROR(INDEX(Outliers!$AP$3:$AP$61,MATCH('SkYSPark Data_w Will''s Data'!C300,Outliers!$B$3:$B$61,0)),0)</f>
        <v>0</v>
      </c>
      <c r="AB300" s="112" t="b">
        <f>IFERROR(INDEX(Outliers!$AY$3:$AY$61,MATCH('SkYSPark Data_w Will''s Data'!C300,Outliers!$B$3:$B$61,0)),0)</f>
        <v>0</v>
      </c>
      <c r="AC300" s="112" t="s">
        <v>392</v>
      </c>
      <c r="BH300">
        <v>3225794.51953125</v>
      </c>
    </row>
    <row r="301" spans="1:64" x14ac:dyDescent="0.3">
      <c r="A301" s="2">
        <v>45231</v>
      </c>
      <c r="B301" s="3">
        <f t="shared" si="29"/>
        <v>11</v>
      </c>
      <c r="C301" s="3" t="s">
        <v>151</v>
      </c>
      <c r="D301" s="3" t="str">
        <f>VLOOKUP(C301,'Data availability'!$A$2:$B$91,2,FALSE)</f>
        <v>Main campus</v>
      </c>
      <c r="E301" s="3">
        <v>341415</v>
      </c>
      <c r="F301" s="3" t="str">
        <f>VLOOKUP(C301,'Data availability'!$A$2:$H$91,8,FALSE)</f>
        <v>Academic</v>
      </c>
      <c r="G301" s="1">
        <v>306935.40078124998</v>
      </c>
      <c r="J301" s="1">
        <v>12502.002482660761</v>
      </c>
      <c r="K301" s="1">
        <v>75735.686823771015</v>
      </c>
      <c r="M301" s="21">
        <f t="shared" si="30"/>
        <v>3.0674211369319595</v>
      </c>
      <c r="N301" s="21">
        <f t="shared" si="31"/>
        <v>0</v>
      </c>
      <c r="O301" s="21">
        <f t="shared" si="32"/>
        <v>3.6618199208179956</v>
      </c>
      <c r="P301" s="21">
        <f t="shared" si="33"/>
        <v>2.6619458485574805</v>
      </c>
      <c r="Z301" s="211" t="b">
        <f>IFERROR(INDEX(Outliers!$X$3:$X$61,MATCH('SkYSPark Data_w Will''s Data'!C301,Outliers!$B$3:$B$61,0)),0)</f>
        <v>0</v>
      </c>
      <c r="AA301" s="1" t="b">
        <f>IFERROR(INDEX(Outliers!$AP$3:$AP$61,MATCH('SkYSPark Data_w Will''s Data'!C301,Outliers!$B$3:$B$61,0)),0)</f>
        <v>0</v>
      </c>
      <c r="AB301" s="112" t="b">
        <f>IFERROR(INDEX(Outliers!$AY$3:$AY$61,MATCH('SkYSPark Data_w Will''s Data'!C301,Outliers!$B$3:$B$61,0)),0)</f>
        <v>0</v>
      </c>
      <c r="AC301" s="112" t="s">
        <v>392</v>
      </c>
      <c r="BH301">
        <v>3069354.0078125</v>
      </c>
    </row>
    <row r="302" spans="1:64" x14ac:dyDescent="0.3">
      <c r="A302" s="2">
        <v>45261</v>
      </c>
      <c r="B302" s="3">
        <f t="shared" si="29"/>
        <v>12</v>
      </c>
      <c r="C302" s="3" t="s">
        <v>151</v>
      </c>
      <c r="D302" s="3" t="str">
        <f>VLOOKUP(C302,'Data availability'!$A$2:$B$91,2,FALSE)</f>
        <v>Main campus</v>
      </c>
      <c r="E302" s="3">
        <v>341415</v>
      </c>
      <c r="F302" s="3" t="str">
        <f>VLOOKUP(C302,'Data availability'!$A$2:$H$91,8,FALSE)</f>
        <v>Academic</v>
      </c>
      <c r="G302" s="1">
        <v>311477.57849121094</v>
      </c>
      <c r="J302" s="1">
        <v>17376.677474235908</v>
      </c>
      <c r="K302" s="1">
        <v>64262.304986573647</v>
      </c>
      <c r="M302" s="21">
        <f t="shared" si="30"/>
        <v>3.1128143104784844</v>
      </c>
      <c r="N302" s="21">
        <f t="shared" si="31"/>
        <v>0</v>
      </c>
      <c r="O302" s="21">
        <f t="shared" si="32"/>
        <v>5.0896057508416179</v>
      </c>
      <c r="P302" s="21">
        <f t="shared" si="33"/>
        <v>2.2586812525486102</v>
      </c>
      <c r="Z302" s="211" t="b">
        <f>IFERROR(INDEX(Outliers!$X$3:$X$61,MATCH('SkYSPark Data_w Will''s Data'!C302,Outliers!$B$3:$B$61,0)),0)</f>
        <v>0</v>
      </c>
      <c r="AA302" s="1" t="b">
        <f>IFERROR(INDEX(Outliers!$AP$3:$AP$61,MATCH('SkYSPark Data_w Will''s Data'!C302,Outliers!$B$3:$B$61,0)),0)</f>
        <v>0</v>
      </c>
      <c r="AB302" s="112" t="b">
        <f>IFERROR(INDEX(Outliers!$AY$3:$AY$61,MATCH('SkYSPark Data_w Will''s Data'!C302,Outliers!$B$3:$B$61,0)),0)</f>
        <v>0</v>
      </c>
      <c r="AC302" s="112" t="s">
        <v>392</v>
      </c>
      <c r="BH302">
        <v>3114775.7849121089</v>
      </c>
    </row>
    <row r="303" spans="1:64" s="15" customFormat="1" x14ac:dyDescent="0.3">
      <c r="A303" s="38">
        <v>44927</v>
      </c>
      <c r="B303" s="3">
        <f t="shared" si="29"/>
        <v>1</v>
      </c>
      <c r="C303" s="22" t="s">
        <v>152</v>
      </c>
      <c r="D303" s="3" t="str">
        <f>VLOOKUP(C303,'Data availability'!$A$2:$B$91,2,FALSE)</f>
        <v>South campus</v>
      </c>
      <c r="E303" s="22">
        <v>15667</v>
      </c>
      <c r="F303" s="3" t="str">
        <f>VLOOKUP(C303,'Data availability'!$A$2:$H$91,8,FALSE)</f>
        <v>Athletics</v>
      </c>
      <c r="G303" s="1" cm="1">
        <f t="array" ref="G303">_xlfn._xlws.FILTER('Split meters'!$AD$35:$AD$106,('Split meters'!$A$35:$A$106='SkYSPark Data_w Will''s Data'!B303)*('Split meters'!$B$35:$B$106='SkYSPark Data_w Will''s Data'!C303))</f>
        <v>8729.5697494863998</v>
      </c>
      <c r="H303" s="21"/>
      <c r="I303" s="239">
        <v>582.37096774193151</v>
      </c>
      <c r="J303" s="21"/>
      <c r="K303" s="21"/>
      <c r="L303" s="20"/>
      <c r="M303" s="21">
        <f t="shared" si="30"/>
        <v>1.9011484001562262</v>
      </c>
      <c r="N303" s="21">
        <f t="shared" si="31"/>
        <v>3.7171824072377069</v>
      </c>
      <c r="O303" s="21">
        <f t="shared" si="32"/>
        <v>0</v>
      </c>
      <c r="P303" s="21">
        <f t="shared" si="33"/>
        <v>0</v>
      </c>
      <c r="Q303" s="21">
        <f>(SUM(G303:G314)*3.412)/E303</f>
        <v>27.070364182635377</v>
      </c>
      <c r="R303" s="21">
        <f>(SUM(I303:I314)*100)/E303</f>
        <v>33.336950277653713</v>
      </c>
      <c r="S303" s="21">
        <f>(SUM(J303:J314)*100)/E303</f>
        <v>0</v>
      </c>
      <c r="T303" s="21">
        <f>(SUM(K303:K314)*12)/E303</f>
        <v>0</v>
      </c>
      <c r="U303" s="21"/>
      <c r="V303" s="34">
        <f>SUM(Q303:T303)</f>
        <v>60.407314460289086</v>
      </c>
      <c r="W303" s="235" t="s">
        <v>38</v>
      </c>
      <c r="X303" s="20"/>
      <c r="Y303" s="21" t="s">
        <v>446</v>
      </c>
      <c r="Z303" s="211" t="b">
        <f>IFERROR(INDEX(Outliers!$X$3:$X$61,MATCH('SkYSPark Data_w Will''s Data'!C303,Outliers!$B$3:$B$61,0)),0)</f>
        <v>0</v>
      </c>
      <c r="AA303" s="1" t="b">
        <f>IFERROR(INDEX(Outliers!$AP$3:$AP$61,MATCH('SkYSPark Data_w Will''s Data'!C303,Outliers!$B$3:$B$61,0)),0)</f>
        <v>1</v>
      </c>
      <c r="AB303" s="112" t="b">
        <f>IFERROR(INDEX(Outliers!$AY$3:$AY$61,MATCH('SkYSPark Data_w Will''s Data'!C303,Outliers!$B$3:$B$61,0)),0)</f>
        <v>1</v>
      </c>
      <c r="AC303" s="112"/>
      <c r="AD303" s="112"/>
      <c r="AE303" s="112"/>
      <c r="AF303" s="112" t="s">
        <v>553</v>
      </c>
      <c r="AG303" s="15">
        <v>3.4340097121054958E-2</v>
      </c>
      <c r="BI303" s="15">
        <v>1.599964446756863</v>
      </c>
      <c r="BJ303" s="15">
        <v>5483.2311827957737</v>
      </c>
      <c r="BK303" s="15">
        <v>3.9999999105930328E-2</v>
      </c>
      <c r="BL303" s="15">
        <v>6716.3400019407272</v>
      </c>
    </row>
    <row r="304" spans="1:64" x14ac:dyDescent="0.3">
      <c r="A304" s="2">
        <v>44958</v>
      </c>
      <c r="B304" s="3">
        <f t="shared" si="29"/>
        <v>2</v>
      </c>
      <c r="C304" s="3" t="s">
        <v>152</v>
      </c>
      <c r="D304" s="3" t="str">
        <f>VLOOKUP(C304,'Data availability'!$A$2:$B$91,2,FALSE)</f>
        <v>South campus</v>
      </c>
      <c r="E304" s="3">
        <v>15667</v>
      </c>
      <c r="F304" s="3" t="str">
        <f>VLOOKUP(C304,'Data availability'!$A$2:$H$91,8,FALSE)</f>
        <v>Athletics</v>
      </c>
      <c r="G304" s="1" cm="1">
        <f t="array" ref="G304">_xlfn._xlws.FILTER('Split meters'!$AD$35:$AD$106,('Split meters'!$A$35:$A$106='SkYSPark Data_w Will''s Data'!B304)*('Split meters'!$B$35:$B$106='SkYSPark Data_w Will''s Data'!C304))</f>
        <v>8433.9137811330111</v>
      </c>
      <c r="I304" s="239">
        <v>2035.0623655914183</v>
      </c>
      <c r="M304" s="21">
        <f t="shared" si="30"/>
        <v>1.8367596745532542</v>
      </c>
      <c r="N304" s="21">
        <f t="shared" si="31"/>
        <v>12.989483408383343</v>
      </c>
      <c r="O304" s="21">
        <f t="shared" si="32"/>
        <v>0</v>
      </c>
      <c r="P304" s="21">
        <f t="shared" si="33"/>
        <v>0</v>
      </c>
      <c r="W304" s="235" t="s">
        <v>678</v>
      </c>
      <c r="Z304" s="211" t="b">
        <f>IFERROR(INDEX(Outliers!$X$3:$X$61,MATCH('SkYSPark Data_w Will''s Data'!C304,Outliers!$B$3:$B$61,0)),0)</f>
        <v>0</v>
      </c>
      <c r="AA304" s="1" t="b">
        <f>IFERROR(INDEX(Outliers!$AP$3:$AP$61,MATCH('SkYSPark Data_w Will''s Data'!C304,Outliers!$B$3:$B$61,0)),0)</f>
        <v>1</v>
      </c>
      <c r="AB304" s="112" t="b">
        <f>IFERROR(INDEX(Outliers!$AY$3:$AY$61,MATCH('SkYSPark Data_w Will''s Data'!C304,Outliers!$B$3:$B$61,0)),0)</f>
        <v>1</v>
      </c>
      <c r="AG304">
        <v>3.4334773425498823E-2</v>
      </c>
      <c r="BI304">
        <v>1.622310691884284</v>
      </c>
      <c r="BJ304">
        <v>4382.2688172043072</v>
      </c>
      <c r="BK304">
        <v>0.15999999642372131</v>
      </c>
      <c r="BL304">
        <v>9734.3199942111969</v>
      </c>
    </row>
    <row r="305" spans="1:65" x14ac:dyDescent="0.3">
      <c r="A305" s="2">
        <v>44986</v>
      </c>
      <c r="B305" s="3">
        <f t="shared" si="29"/>
        <v>3</v>
      </c>
      <c r="C305" s="3" t="s">
        <v>152</v>
      </c>
      <c r="D305" s="3" t="str">
        <f>VLOOKUP(C305,'Data availability'!$A$2:$B$91,2,FALSE)</f>
        <v>South campus</v>
      </c>
      <c r="E305" s="3">
        <v>15667</v>
      </c>
      <c r="F305" s="3" t="str">
        <f>VLOOKUP(C305,'Data availability'!$A$2:$H$91,8,FALSE)</f>
        <v>Athletics</v>
      </c>
      <c r="G305" s="1" cm="1">
        <f t="array" ref="G305">_xlfn._xlws.FILTER('Split meters'!$AD$35:$AD$106,('Split meters'!$A$35:$A$106='SkYSPark Data_w Will''s Data'!B305)*('Split meters'!$B$35:$B$106='SkYSPark Data_w Will''s Data'!C305))</f>
        <v>9424.7612812277548</v>
      </c>
      <c r="I305" s="239">
        <v>1363.9371702637914</v>
      </c>
      <c r="M305" s="21">
        <f t="shared" si="30"/>
        <v>2.052549019694204</v>
      </c>
      <c r="N305" s="21">
        <f t="shared" si="31"/>
        <v>8.7057967081367931</v>
      </c>
      <c r="O305" s="21">
        <f t="shared" si="32"/>
        <v>0</v>
      </c>
      <c r="P305" s="21">
        <f t="shared" si="33"/>
        <v>0</v>
      </c>
      <c r="Z305" s="211" t="b">
        <f>IFERROR(INDEX(Outliers!$X$3:$X$61,MATCH('SkYSPark Data_w Will''s Data'!C305,Outliers!$B$3:$B$61,0)),0)</f>
        <v>0</v>
      </c>
      <c r="AA305" s="1" t="b">
        <f>IFERROR(INDEX(Outliers!$AP$3:$AP$61,MATCH('SkYSPark Data_w Will''s Data'!C305,Outliers!$B$3:$B$61,0)),0)</f>
        <v>1</v>
      </c>
      <c r="AB305" s="112" t="b">
        <f>IFERROR(INDEX(Outliers!$AY$3:$AY$61,MATCH('SkYSPark Data_w Will''s Data'!C305,Outliers!$B$3:$B$61,0)),0)</f>
        <v>1</v>
      </c>
      <c r="AG305">
        <v>3.4364882790940972E-2</v>
      </c>
      <c r="BI305">
        <v>1.7064885663474481</v>
      </c>
      <c r="BJ305">
        <v>3852.724220623506</v>
      </c>
      <c r="BK305">
        <v>3.9999999105930328E-2</v>
      </c>
      <c r="BL305">
        <v>12793.130375146869</v>
      </c>
    </row>
    <row r="306" spans="1:65" x14ac:dyDescent="0.3">
      <c r="A306" s="2">
        <v>45017</v>
      </c>
      <c r="B306" s="3">
        <f t="shared" si="29"/>
        <v>4</v>
      </c>
      <c r="C306" s="3" t="s">
        <v>152</v>
      </c>
      <c r="D306" s="3" t="str">
        <f>VLOOKUP(C306,'Data availability'!$A$2:$B$91,2,FALSE)</f>
        <v>South campus</v>
      </c>
      <c r="E306" s="3">
        <v>15667</v>
      </c>
      <c r="F306" s="3" t="str">
        <f>VLOOKUP(C306,'Data availability'!$A$2:$H$91,8,FALSE)</f>
        <v>Athletics</v>
      </c>
      <c r="G306" s="1" cm="1">
        <f t="array" ref="G306">_xlfn._xlws.FILTER('Split meters'!$AD$35:$AD$106,('Split meters'!$A$35:$A$106='SkYSPark Data_w Will''s Data'!B306)*('Split meters'!$B$35:$B$106='SkYSPark Data_w Will''s Data'!C306))</f>
        <v>8591.9994595346252</v>
      </c>
      <c r="I306" s="239">
        <v>355.09824640287474</v>
      </c>
      <c r="M306" s="21">
        <f t="shared" si="30"/>
        <v>1.8711879846768456</v>
      </c>
      <c r="N306" s="21">
        <f t="shared" si="31"/>
        <v>2.2665363273305337</v>
      </c>
      <c r="O306" s="21">
        <f t="shared" si="32"/>
        <v>0</v>
      </c>
      <c r="P306" s="21">
        <f t="shared" si="33"/>
        <v>0</v>
      </c>
      <c r="Z306" s="211" t="b">
        <f>IFERROR(INDEX(Outliers!$X$3:$X$61,MATCH('SkYSPark Data_w Will''s Data'!C306,Outliers!$B$3:$B$61,0)),0)</f>
        <v>0</v>
      </c>
      <c r="AA306" s="1" t="b">
        <f>IFERROR(INDEX(Outliers!$AP$3:$AP$61,MATCH('SkYSPark Data_w Will''s Data'!C306,Outliers!$B$3:$B$61,0)),0)</f>
        <v>1</v>
      </c>
      <c r="AB306" s="112" t="b">
        <f>IFERROR(INDEX(Outliers!$AY$3:$AY$61,MATCH('SkYSPark Data_w Will''s Data'!C306,Outliers!$B$3:$B$61,0)),0)</f>
        <v>1</v>
      </c>
      <c r="AG306">
        <v>3.4396551508792769E-2</v>
      </c>
      <c r="BI306">
        <v>1.391182082459022</v>
      </c>
      <c r="BJ306">
        <v>83.942446043166782</v>
      </c>
      <c r="BK306">
        <v>0.2799999937415123</v>
      </c>
      <c r="BL306">
        <v>11862.879966259001</v>
      </c>
    </row>
    <row r="307" spans="1:65" x14ac:dyDescent="0.3">
      <c r="A307" s="2">
        <v>45047</v>
      </c>
      <c r="B307" s="3">
        <f t="shared" si="29"/>
        <v>5</v>
      </c>
      <c r="C307" s="3" t="s">
        <v>152</v>
      </c>
      <c r="D307" s="3" t="str">
        <f>VLOOKUP(C307,'Data availability'!$A$2:$B$91,2,FALSE)</f>
        <v>South campus</v>
      </c>
      <c r="E307" s="3">
        <v>15667</v>
      </c>
      <c r="F307" s="3" t="str">
        <f>VLOOKUP(C307,'Data availability'!$A$2:$H$91,8,FALSE)</f>
        <v>Athletics</v>
      </c>
      <c r="G307" s="1" cm="1">
        <f t="array" ref="G307">_xlfn._xlws.FILTER('Split meters'!$AD$35:$AD$106,('Split meters'!$A$35:$A$106='SkYSPark Data_w Will''s Data'!B307)*('Split meters'!$B$35:$B$106='SkYSPark Data_w Will''s Data'!C307))</f>
        <v>8698.2222893617272</v>
      </c>
      <c r="I307" s="239">
        <v>156.43124999999975</v>
      </c>
      <c r="M307" s="21">
        <f t="shared" si="30"/>
        <v>1.8943214687752736</v>
      </c>
      <c r="N307" s="21">
        <f t="shared" si="31"/>
        <v>0.99847609625326961</v>
      </c>
      <c r="O307" s="21">
        <f t="shared" si="32"/>
        <v>0</v>
      </c>
      <c r="P307" s="21">
        <f t="shared" si="33"/>
        <v>0</v>
      </c>
      <c r="Z307" s="211" t="b">
        <f>IFERROR(INDEX(Outliers!$X$3:$X$61,MATCH('SkYSPark Data_w Will''s Data'!C307,Outliers!$B$3:$B$61,0)),0)</f>
        <v>0</v>
      </c>
      <c r="AA307" s="1" t="b">
        <f>IFERROR(INDEX(Outliers!$AP$3:$AP$61,MATCH('SkYSPark Data_w Will''s Data'!C307,Outliers!$B$3:$B$61,0)),0)</f>
        <v>1</v>
      </c>
      <c r="AB307" s="112" t="b">
        <f>IFERROR(INDEX(Outliers!$AY$3:$AY$61,MATCH('SkYSPark Data_w Will''s Data'!C307,Outliers!$B$3:$B$61,0)),0)</f>
        <v>1</v>
      </c>
      <c r="AG307">
        <v>3.3564022936178127E-2</v>
      </c>
      <c r="BI307">
        <v>1.0288488743279629</v>
      </c>
      <c r="BJ307">
        <v>-4073.600000000059</v>
      </c>
      <c r="BK307">
        <v>0.39999999105930328</v>
      </c>
      <c r="BL307">
        <v>11256.23999106884</v>
      </c>
    </row>
    <row r="308" spans="1:65" x14ac:dyDescent="0.3">
      <c r="A308" s="2">
        <v>45078</v>
      </c>
      <c r="B308" s="3">
        <f t="shared" si="29"/>
        <v>6</v>
      </c>
      <c r="C308" s="3" t="s">
        <v>152</v>
      </c>
      <c r="D308" s="3" t="str">
        <f>VLOOKUP(C308,'Data availability'!$A$2:$B$91,2,FALSE)</f>
        <v>South campus</v>
      </c>
      <c r="E308" s="3">
        <v>15667</v>
      </c>
      <c r="F308" s="3" t="str">
        <f>VLOOKUP(C308,'Data availability'!$A$2:$H$91,8,FALSE)</f>
        <v>Athletics</v>
      </c>
      <c r="G308" s="1" cm="1">
        <f t="array" ref="G308">_xlfn._xlws.FILTER('Split meters'!$AD$35:$AD$106,('Split meters'!$A$35:$A$106='SkYSPark Data_w Will''s Data'!B308)*('Split meters'!$B$35:$B$106='SkYSPark Data_w Will''s Data'!C308))</f>
        <v>9406.7972167929638</v>
      </c>
      <c r="I308" s="239">
        <v>72.051612903224708</v>
      </c>
      <c r="M308" s="21">
        <f t="shared" si="30"/>
        <v>2.0486367590283776</v>
      </c>
      <c r="N308" s="21">
        <f t="shared" si="31"/>
        <v>0.45989412716681372</v>
      </c>
      <c r="O308" s="21">
        <f t="shared" si="32"/>
        <v>0</v>
      </c>
      <c r="P308" s="21">
        <f t="shared" si="33"/>
        <v>0</v>
      </c>
      <c r="Z308" s="211" t="b">
        <f>IFERROR(INDEX(Outliers!$X$3:$X$61,MATCH('SkYSPark Data_w Will''s Data'!C308,Outliers!$B$3:$B$61,0)),0)</f>
        <v>0</v>
      </c>
      <c r="AA308" s="1" t="b">
        <f>IFERROR(INDEX(Outliers!$AP$3:$AP$61,MATCH('SkYSPark Data_w Will''s Data'!C308,Outliers!$B$3:$B$61,0)),0)</f>
        <v>1</v>
      </c>
      <c r="AB308" s="112" t="b">
        <f>IFERROR(INDEX(Outliers!$AY$3:$AY$61,MATCH('SkYSPark Data_w Will''s Data'!C308,Outliers!$B$3:$B$61,0)),0)</f>
        <v>1</v>
      </c>
      <c r="AG308">
        <v>3.4268565188171743E-2</v>
      </c>
      <c r="BI308">
        <v>0.79204393939393691</v>
      </c>
      <c r="BJ308">
        <v>-5268.4909090909387</v>
      </c>
      <c r="BK308">
        <v>0.91999997943639755</v>
      </c>
      <c r="BL308">
        <v>9906.1779887676239</v>
      </c>
    </row>
    <row r="309" spans="1:65" x14ac:dyDescent="0.3">
      <c r="A309" s="2">
        <v>45108</v>
      </c>
      <c r="B309" s="3">
        <f t="shared" si="29"/>
        <v>7</v>
      </c>
      <c r="C309" s="3" t="s">
        <v>152</v>
      </c>
      <c r="D309" s="3" t="str">
        <f>VLOOKUP(C309,'Data availability'!$A$2:$B$91,2,FALSE)</f>
        <v>South campus</v>
      </c>
      <c r="E309" s="3">
        <v>15667</v>
      </c>
      <c r="F309" s="3" t="str">
        <f>VLOOKUP(C309,'Data availability'!$A$2:$H$91,8,FALSE)</f>
        <v>Athletics</v>
      </c>
      <c r="G309" s="1" cm="1">
        <f t="array" ref="G309">_xlfn._xlws.FILTER('Split meters'!$AD$35:$AD$106,('Split meters'!$A$35:$A$106='SkYSPark Data_w Will''s Data'!B309)*('Split meters'!$B$35:$B$106='SkYSPark Data_w Will''s Data'!C309))</f>
        <v>9761.9302353145849</v>
      </c>
      <c r="I309" s="239">
        <v>59.999999999999417</v>
      </c>
      <c r="M309" s="21">
        <f t="shared" si="30"/>
        <v>2.1259785512793363</v>
      </c>
      <c r="N309" s="21">
        <f t="shared" si="31"/>
        <v>0.38297057509414323</v>
      </c>
      <c r="O309" s="21">
        <f t="shared" si="32"/>
        <v>0</v>
      </c>
      <c r="P309" s="21">
        <f t="shared" si="33"/>
        <v>0</v>
      </c>
      <c r="Z309" s="211" t="b">
        <f>IFERROR(INDEX(Outliers!$X$3:$X$61,MATCH('SkYSPark Data_w Will''s Data'!C309,Outliers!$B$3:$B$61,0)),0)</f>
        <v>0</v>
      </c>
      <c r="AA309" s="1" t="b">
        <f>IFERROR(INDEX(Outliers!$AP$3:$AP$61,MATCH('SkYSPark Data_w Will''s Data'!C309,Outliers!$B$3:$B$61,0)),0)</f>
        <v>1</v>
      </c>
      <c r="AB309" s="112" t="b">
        <f>IFERROR(INDEX(Outliers!$AY$3:$AY$61,MATCH('SkYSPark Data_w Will''s Data'!C309,Outliers!$B$3:$B$61,0)),0)</f>
        <v>1</v>
      </c>
      <c r="AG309">
        <v>3.4555379820170221E-2</v>
      </c>
      <c r="BI309">
        <v>1.188019769440803</v>
      </c>
      <c r="BJ309">
        <v>-3851.6677115988091</v>
      </c>
      <c r="BK309">
        <v>0.91999997943639755</v>
      </c>
      <c r="BL309">
        <v>11028.485577344891</v>
      </c>
    </row>
    <row r="310" spans="1:65" x14ac:dyDescent="0.3">
      <c r="A310" s="2">
        <v>45139</v>
      </c>
      <c r="B310" s="3">
        <f t="shared" si="29"/>
        <v>8</v>
      </c>
      <c r="C310" s="3" t="s">
        <v>152</v>
      </c>
      <c r="D310" s="3" t="str">
        <f>VLOOKUP(C310,'Data availability'!$A$2:$B$91,2,FALSE)</f>
        <v>South campus</v>
      </c>
      <c r="E310" s="3">
        <v>15667</v>
      </c>
      <c r="F310" s="3" t="str">
        <f>VLOOKUP(C310,'Data availability'!$A$2:$H$91,8,FALSE)</f>
        <v>Athletics</v>
      </c>
      <c r="G310" s="1" cm="1">
        <f t="array" ref="G310">_xlfn._xlws.FILTER('Split meters'!$AD$35:$AD$106,('Split meters'!$A$35:$A$106='SkYSPark Data_w Will''s Data'!B310)*('Split meters'!$B$35:$B$106='SkYSPark Data_w Will''s Data'!C310))</f>
        <v>13076.258163412065</v>
      </c>
      <c r="I310" s="239">
        <v>38.34838709677355</v>
      </c>
      <c r="M310" s="21">
        <f t="shared" si="30"/>
        <v>2.8477815059399991</v>
      </c>
      <c r="N310" s="21">
        <f t="shared" si="31"/>
        <v>0.24477173100640551</v>
      </c>
      <c r="O310" s="21">
        <f t="shared" si="32"/>
        <v>0</v>
      </c>
      <c r="P310" s="21">
        <f t="shared" si="33"/>
        <v>0</v>
      </c>
      <c r="Z310" s="211" t="b">
        <f>IFERROR(INDEX(Outliers!$X$3:$X$61,MATCH('SkYSPark Data_w Will''s Data'!C310,Outliers!$B$3:$B$61,0)),0)</f>
        <v>0</v>
      </c>
      <c r="AA310" s="1" t="b">
        <f>IFERROR(INDEX(Outliers!$AP$3:$AP$61,MATCH('SkYSPark Data_w Will''s Data'!C310,Outliers!$B$3:$B$61,0)),0)</f>
        <v>1</v>
      </c>
      <c r="AB310" s="112" t="b">
        <f>IFERROR(INDEX(Outliers!$AY$3:$AY$61,MATCH('SkYSPark Data_w Will''s Data'!C310,Outliers!$B$3:$B$61,0)),0)</f>
        <v>1</v>
      </c>
      <c r="AG310">
        <v>3.4576844642195327E-2</v>
      </c>
      <c r="BI310">
        <v>1.9323113644790679</v>
      </c>
      <c r="BJ310">
        <v>5290.558620689706</v>
      </c>
      <c r="BK310">
        <v>0.95999997854232788</v>
      </c>
      <c r="BL310">
        <v>10664.334800720209</v>
      </c>
    </row>
    <row r="311" spans="1:65" x14ac:dyDescent="0.3">
      <c r="A311" s="2">
        <v>45170</v>
      </c>
      <c r="B311" s="3">
        <f t="shared" si="29"/>
        <v>9</v>
      </c>
      <c r="C311" s="3" t="s">
        <v>152</v>
      </c>
      <c r="D311" s="3" t="str">
        <f>VLOOKUP(C311,'Data availability'!$A$2:$B$91,2,FALSE)</f>
        <v>South campus</v>
      </c>
      <c r="E311" s="3">
        <v>15667</v>
      </c>
      <c r="F311" s="3" t="str">
        <f>VLOOKUP(C311,'Data availability'!$A$2:$H$91,8,FALSE)</f>
        <v>Athletics</v>
      </c>
      <c r="G311" s="1" cm="1">
        <f t="array" ref="G311">_xlfn._xlws.FILTER('Split meters'!$AD$35:$AD$106,('Split meters'!$A$35:$A$106='SkYSPark Data_w Will''s Data'!B311)*('Split meters'!$B$35:$B$106='SkYSPark Data_w Will''s Data'!C311))</f>
        <v>13072.974411374584</v>
      </c>
      <c r="I311" s="239">
        <v>20.599999999999863</v>
      </c>
      <c r="M311" s="21">
        <f t="shared" si="30"/>
        <v>2.8470663618823053</v>
      </c>
      <c r="N311" s="21">
        <f t="shared" si="31"/>
        <v>0.13148656411565623</v>
      </c>
      <c r="O311" s="21">
        <f t="shared" si="32"/>
        <v>0</v>
      </c>
      <c r="P311" s="21">
        <f t="shared" si="33"/>
        <v>0</v>
      </c>
      <c r="Z311" s="211" t="b">
        <f>IFERROR(INDEX(Outliers!$X$3:$X$61,MATCH('SkYSPark Data_w Will''s Data'!C311,Outliers!$B$3:$B$61,0)),0)</f>
        <v>0</v>
      </c>
      <c r="AA311" s="1" t="b">
        <f>IFERROR(INDEX(Outliers!$AP$3:$AP$61,MATCH('SkYSPark Data_w Will''s Data'!C311,Outliers!$B$3:$B$61,0)),0)</f>
        <v>1</v>
      </c>
      <c r="AB311" s="112" t="b">
        <f>IFERROR(INDEX(Outliers!$AY$3:$AY$61,MATCH('SkYSPark Data_w Will''s Data'!C311,Outliers!$B$3:$B$61,0)),0)</f>
        <v>1</v>
      </c>
      <c r="AG311">
        <v>-5.7499999999999279E-3</v>
      </c>
      <c r="BI311">
        <v>2.0212361111111292</v>
      </c>
      <c r="BJ311">
        <v>7645.9499999999962</v>
      </c>
      <c r="BK311">
        <v>0.5599999874830246</v>
      </c>
      <c r="BL311">
        <v>10140.93998038769</v>
      </c>
    </row>
    <row r="312" spans="1:65" x14ac:dyDescent="0.3">
      <c r="A312" s="2">
        <v>45200</v>
      </c>
      <c r="B312" s="3">
        <f t="shared" si="29"/>
        <v>10</v>
      </c>
      <c r="C312" s="3" t="s">
        <v>152</v>
      </c>
      <c r="D312" s="3" t="str">
        <f>VLOOKUP(C312,'Data availability'!$A$2:$B$91,2,FALSE)</f>
        <v>South campus</v>
      </c>
      <c r="E312" s="3">
        <v>15667</v>
      </c>
      <c r="F312" s="3" t="str">
        <f>VLOOKUP(C312,'Data availability'!$A$2:$H$91,8,FALSE)</f>
        <v>Athletics</v>
      </c>
      <c r="G312" s="1" cm="1">
        <f t="array" ref="G312">_xlfn._xlws.FILTER('Split meters'!$AD$35:$AD$106,('Split meters'!$A$35:$A$106='SkYSPark Data_w Will''s Data'!B312)*('Split meters'!$B$35:$B$106='SkYSPark Data_w Will''s Data'!C312))</f>
        <v>12980.485065015328</v>
      </c>
      <c r="I312" s="239">
        <v>64.80805369127556</v>
      </c>
      <c r="M312" s="21">
        <f t="shared" si="30"/>
        <v>2.8269237915256462</v>
      </c>
      <c r="N312" s="21">
        <f t="shared" si="31"/>
        <v>0.41365962654800259</v>
      </c>
      <c r="O312" s="21">
        <f t="shared" si="32"/>
        <v>0</v>
      </c>
      <c r="P312" s="21">
        <f t="shared" si="33"/>
        <v>0</v>
      </c>
      <c r="Z312" s="211" t="b">
        <f>IFERROR(INDEX(Outliers!$X$3:$X$61,MATCH('SkYSPark Data_w Will''s Data'!C312,Outliers!$B$3:$B$61,0)),0)</f>
        <v>0</v>
      </c>
      <c r="AA312" s="1" t="b">
        <f>IFERROR(INDEX(Outliers!$AP$3:$AP$61,MATCH('SkYSPark Data_w Will''s Data'!C312,Outliers!$B$3:$B$61,0)),0)</f>
        <v>1</v>
      </c>
      <c r="AB312" s="112" t="b">
        <f>IFERROR(INDEX(Outliers!$AY$3:$AY$61,MATCH('SkYSPark Data_w Will''s Data'!C312,Outliers!$B$3:$B$61,0)),0)</f>
        <v>1</v>
      </c>
      <c r="AG312">
        <v>2.1408031347865859E-2</v>
      </c>
      <c r="BI312">
        <v>1.9269429852979889</v>
      </c>
      <c r="BJ312">
        <v>7819.3030846483543</v>
      </c>
      <c r="BK312">
        <v>0.35999999195337301</v>
      </c>
      <c r="BL312">
        <v>10069.16001445055</v>
      </c>
    </row>
    <row r="313" spans="1:65" x14ac:dyDescent="0.3">
      <c r="A313" s="2">
        <v>45231</v>
      </c>
      <c r="B313" s="3">
        <f t="shared" si="29"/>
        <v>11</v>
      </c>
      <c r="C313" s="3" t="s">
        <v>152</v>
      </c>
      <c r="D313" s="3" t="str">
        <f>VLOOKUP(C313,'Data availability'!$A$2:$B$91,2,FALSE)</f>
        <v>South campus</v>
      </c>
      <c r="E313" s="3">
        <v>15667</v>
      </c>
      <c r="F313" s="3" t="str">
        <f>VLOOKUP(C313,'Data availability'!$A$2:$H$91,8,FALSE)</f>
        <v>Athletics</v>
      </c>
      <c r="G313" s="1" cm="1">
        <f t="array" ref="G313">_xlfn._xlws.FILTER('Split meters'!$AD$35:$AD$106,('Split meters'!$A$35:$A$106='SkYSPark Data_w Will''s Data'!B313)*('Split meters'!$B$35:$B$106='SkYSPark Data_w Will''s Data'!C313))</f>
        <v>11499.550475910328</v>
      </c>
      <c r="I313" s="239">
        <v>257.11452695388249</v>
      </c>
      <c r="M313" s="21">
        <f t="shared" si="30"/>
        <v>2.5044020057321785</v>
      </c>
      <c r="N313" s="21">
        <f t="shared" si="31"/>
        <v>1.6411216375431319</v>
      </c>
      <c r="O313" s="21">
        <f t="shared" si="32"/>
        <v>0</v>
      </c>
      <c r="P313" s="21">
        <f t="shared" si="33"/>
        <v>0</v>
      </c>
      <c r="Z313" s="211" t="b">
        <f>IFERROR(INDEX(Outliers!$X$3:$X$61,MATCH('SkYSPark Data_w Will''s Data'!C313,Outliers!$B$3:$B$61,0)),0)</f>
        <v>0</v>
      </c>
      <c r="AA313" s="1" t="b">
        <f>IFERROR(INDEX(Outliers!$AP$3:$AP$61,MATCH('SkYSPark Data_w Will''s Data'!C313,Outliers!$B$3:$B$61,0)),0)</f>
        <v>1</v>
      </c>
      <c r="AB313" s="112" t="b">
        <f>IFERROR(INDEX(Outliers!$AY$3:$AY$61,MATCH('SkYSPark Data_w Will''s Data'!C313,Outliers!$B$3:$B$61,0)),0)</f>
        <v>1</v>
      </c>
      <c r="AG313">
        <v>5.4575417878073962E-2</v>
      </c>
      <c r="BI313">
        <v>1.859430315739226</v>
      </c>
      <c r="BJ313">
        <v>7894.5275605128636</v>
      </c>
      <c r="BK313">
        <v>0.15999999642372131</v>
      </c>
      <c r="BL313">
        <v>9429.9999855160713</v>
      </c>
    </row>
    <row r="314" spans="1:65" x14ac:dyDescent="0.3">
      <c r="A314" s="2">
        <v>45261</v>
      </c>
      <c r="B314" s="3">
        <f t="shared" si="29"/>
        <v>12</v>
      </c>
      <c r="C314" s="3" t="s">
        <v>152</v>
      </c>
      <c r="D314" s="3" t="str">
        <f>VLOOKUP(C314,'Data availability'!$A$2:$B$91,2,FALSE)</f>
        <v>South campus</v>
      </c>
      <c r="E314" s="3">
        <v>15667</v>
      </c>
      <c r="F314" s="3" t="str">
        <f>VLOOKUP(C314,'Data availability'!$A$2:$H$91,8,FALSE)</f>
        <v>Athletics</v>
      </c>
      <c r="G314" s="1" cm="1">
        <f t="array" ref="G314">_xlfn._xlws.FILTER('Split meters'!$AD$35:$AD$106,('Split meters'!$A$35:$A$106='SkYSPark Data_w Will''s Data'!B314)*('Split meters'!$B$35:$B$106='SkYSPark Data_w Will''s Data'!C314))</f>
        <v>10623.477979686491</v>
      </c>
      <c r="I314" s="239">
        <v>217.07741935483665</v>
      </c>
      <c r="M314" s="21">
        <f t="shared" si="30"/>
        <v>2.3136086593917344</v>
      </c>
      <c r="N314" s="21">
        <f t="shared" si="31"/>
        <v>1.3855710688379181</v>
      </c>
      <c r="O314" s="21">
        <f t="shared" si="32"/>
        <v>0</v>
      </c>
      <c r="P314" s="21">
        <f t="shared" si="33"/>
        <v>0</v>
      </c>
      <c r="Z314" s="211" t="b">
        <f>IFERROR(INDEX(Outliers!$X$3:$X$61,MATCH('SkYSPark Data_w Will''s Data'!C314,Outliers!$B$3:$B$61,0)),0)</f>
        <v>0</v>
      </c>
      <c r="AA314" s="1" t="b">
        <f>IFERROR(INDEX(Outliers!$AP$3:$AP$61,MATCH('SkYSPark Data_w Will''s Data'!C314,Outliers!$B$3:$B$61,0)),0)</f>
        <v>1</v>
      </c>
      <c r="AB314" s="112" t="b">
        <f>IFERROR(INDEX(Outliers!$AY$3:$AY$61,MATCH('SkYSPark Data_w Will''s Data'!C314,Outliers!$B$3:$B$61,0)),0)</f>
        <v>1</v>
      </c>
      <c r="AG314">
        <v>0.12073577870274101</v>
      </c>
      <c r="BI314">
        <v>1.934689993062801</v>
      </c>
      <c r="BJ314">
        <v>7996.6774193548936</v>
      </c>
      <c r="BK314">
        <v>381.87999159935862</v>
      </c>
      <c r="BL314">
        <v>9956.6399870216846</v>
      </c>
    </row>
    <row r="315" spans="1:65" s="15" customFormat="1" x14ac:dyDescent="0.3">
      <c r="A315" s="38">
        <v>44927</v>
      </c>
      <c r="B315" s="3">
        <f t="shared" si="29"/>
        <v>1</v>
      </c>
      <c r="C315" s="22" t="s">
        <v>154</v>
      </c>
      <c r="D315" s="3"/>
      <c r="E315" s="22"/>
      <c r="F315" s="3"/>
      <c r="G315" s="16">
        <v>8213.7862526882764</v>
      </c>
      <c r="H315" s="21"/>
      <c r="I315" s="21"/>
      <c r="J315" s="21"/>
      <c r="K315" s="21"/>
      <c r="L315" s="20"/>
      <c r="M315" s="21">
        <f t="shared" si="30"/>
        <v>0</v>
      </c>
      <c r="N315" s="21">
        <f t="shared" si="31"/>
        <v>0</v>
      </c>
      <c r="O315" s="21">
        <f t="shared" si="32"/>
        <v>0</v>
      </c>
      <c r="P315" s="21">
        <f t="shared" si="33"/>
        <v>0</v>
      </c>
      <c r="Q315" s="21"/>
      <c r="R315" s="21"/>
      <c r="S315" s="21"/>
      <c r="T315" s="21"/>
      <c r="U315" s="21"/>
      <c r="V315" s="34">
        <f>SUM(Q315:T315)</f>
        <v>0</v>
      </c>
      <c r="W315" s="30" t="s">
        <v>305</v>
      </c>
      <c r="X315" s="20" t="s">
        <v>577</v>
      </c>
      <c r="Y315" s="21"/>
      <c r="Z315" s="211" t="b">
        <f>IFERROR(INDEX(Outliers!$X$3:$X$61,MATCH('SkYSPark Data_w Will''s Data'!C315,Outliers!$B$3:$B$61,0)),0)</f>
        <v>1</v>
      </c>
      <c r="AA315" s="1" t="b">
        <f>IFERROR(INDEX(Outliers!$AP$3:$AP$61,MATCH('SkYSPark Data_w Will''s Data'!C315,Outliers!$B$3:$B$61,0)),0)</f>
        <v>1</v>
      </c>
      <c r="AB315" s="112" t="b">
        <f>IFERROR(INDEX(Outliers!$AY$3:$AY$61,MATCH('SkYSPark Data_w Will''s Data'!C315,Outliers!$B$3:$B$61,0)),0)</f>
        <v>1</v>
      </c>
      <c r="AC315" s="112"/>
      <c r="AD315" s="138"/>
      <c r="AE315" s="21"/>
      <c r="AF315" s="20" t="s">
        <v>577</v>
      </c>
      <c r="AG315" s="15">
        <v>1.9061085096542709</v>
      </c>
      <c r="BM315" s="15">
        <v>5170.8409942574799</v>
      </c>
    </row>
    <row r="316" spans="1:65" x14ac:dyDescent="0.3">
      <c r="A316" s="2">
        <v>44958</v>
      </c>
      <c r="B316" s="3">
        <f t="shared" si="29"/>
        <v>2</v>
      </c>
      <c r="C316" s="3" t="s">
        <v>154</v>
      </c>
      <c r="G316" s="9">
        <v>7195.4463139783984</v>
      </c>
      <c r="M316" s="21">
        <f t="shared" si="30"/>
        <v>0</v>
      </c>
      <c r="N316" s="21">
        <f t="shared" si="31"/>
        <v>0</v>
      </c>
      <c r="O316" s="21">
        <f t="shared" si="32"/>
        <v>0</v>
      </c>
      <c r="P316" s="21">
        <f t="shared" si="33"/>
        <v>0</v>
      </c>
      <c r="Z316" s="211" t="b">
        <f>IFERROR(INDEX(Outliers!$X$3:$X$61,MATCH('SkYSPark Data_w Will''s Data'!C316,Outliers!$B$3:$B$61,0)),0)</f>
        <v>1</v>
      </c>
      <c r="AA316" s="1" t="b">
        <f>IFERROR(INDEX(Outliers!$AP$3:$AP$61,MATCH('SkYSPark Data_w Will''s Data'!C316,Outliers!$B$3:$B$61,0)),0)</f>
        <v>1</v>
      </c>
      <c r="AB316" s="112" t="b">
        <f>IFERROR(INDEX(Outliers!$AY$3:$AY$61,MATCH('SkYSPark Data_w Will''s Data'!C316,Outliers!$B$3:$B$61,0)),0)</f>
        <v>1</v>
      </c>
      <c r="AG316">
        <v>1.870505360343069</v>
      </c>
      <c r="BM316">
        <v>6856.5199689939618</v>
      </c>
    </row>
    <row r="317" spans="1:65" x14ac:dyDescent="0.3">
      <c r="A317" s="2">
        <v>44986</v>
      </c>
      <c r="B317" s="3">
        <f t="shared" si="29"/>
        <v>3</v>
      </c>
      <c r="C317" s="3" t="s">
        <v>154</v>
      </c>
      <c r="G317" s="9">
        <v>7207.3435760192724</v>
      </c>
      <c r="M317" s="21">
        <f t="shared" si="30"/>
        <v>0</v>
      </c>
      <c r="N317" s="21">
        <f t="shared" si="31"/>
        <v>0</v>
      </c>
      <c r="O317" s="21">
        <f t="shared" si="32"/>
        <v>0</v>
      </c>
      <c r="P317" s="21">
        <f t="shared" si="33"/>
        <v>0</v>
      </c>
      <c r="Z317" s="211" t="b">
        <f>IFERROR(INDEX(Outliers!$X$3:$X$61,MATCH('SkYSPark Data_w Will''s Data'!C317,Outliers!$B$3:$B$61,0)),0)</f>
        <v>1</v>
      </c>
      <c r="AA317" s="1" t="b">
        <f>IFERROR(INDEX(Outliers!$AP$3:$AP$61,MATCH('SkYSPark Data_w Will''s Data'!C317,Outliers!$B$3:$B$61,0)),0)</f>
        <v>1</v>
      </c>
      <c r="AB317" s="112" t="b">
        <f>IFERROR(INDEX(Outliers!$AY$3:$AY$61,MATCH('SkYSPark Data_w Will''s Data'!C317,Outliers!$B$3:$B$61,0)),0)</f>
        <v>1</v>
      </c>
      <c r="AG317">
        <v>1.783967430631533</v>
      </c>
      <c r="BM317">
        <v>7202.1979988142848</v>
      </c>
    </row>
    <row r="318" spans="1:65" x14ac:dyDescent="0.3">
      <c r="A318" s="2">
        <v>45017</v>
      </c>
      <c r="B318" s="3">
        <f t="shared" si="29"/>
        <v>4</v>
      </c>
      <c r="C318" s="3" t="s">
        <v>154</v>
      </c>
      <c r="G318" s="9">
        <v>5541.9066906474309</v>
      </c>
      <c r="M318" s="21">
        <f t="shared" si="30"/>
        <v>0</v>
      </c>
      <c r="N318" s="21">
        <f t="shared" si="31"/>
        <v>0</v>
      </c>
      <c r="O318" s="21">
        <f t="shared" si="32"/>
        <v>0</v>
      </c>
      <c r="P318" s="21">
        <f t="shared" si="33"/>
        <v>0</v>
      </c>
      <c r="Z318" s="211" t="b">
        <f>IFERROR(INDEX(Outliers!$X$3:$X$61,MATCH('SkYSPark Data_w Will''s Data'!C318,Outliers!$B$3:$B$61,0)),0)</f>
        <v>1</v>
      </c>
      <c r="AA318" s="1" t="b">
        <f>IFERROR(INDEX(Outliers!$AP$3:$AP$61,MATCH('SkYSPark Data_w Will''s Data'!C318,Outliers!$B$3:$B$61,0)),0)</f>
        <v>1</v>
      </c>
      <c r="AB318" s="112" t="b">
        <f>IFERROR(INDEX(Outliers!$AY$3:$AY$61,MATCH('SkYSPark Data_w Will''s Data'!C318,Outliers!$B$3:$B$61,0)),0)</f>
        <v>1</v>
      </c>
      <c r="AG318">
        <v>1.4395184477417911</v>
      </c>
      <c r="BM318">
        <v>5803.6289898194373</v>
      </c>
    </row>
    <row r="319" spans="1:65" x14ac:dyDescent="0.3">
      <c r="A319" s="2">
        <v>45047</v>
      </c>
      <c r="B319" s="3">
        <f t="shared" si="29"/>
        <v>5</v>
      </c>
      <c r="C319" s="3" t="s">
        <v>154</v>
      </c>
      <c r="G319" s="9">
        <v>4869.7212000000181</v>
      </c>
      <c r="M319" s="21">
        <f t="shared" si="30"/>
        <v>0</v>
      </c>
      <c r="N319" s="21">
        <f t="shared" si="31"/>
        <v>0</v>
      </c>
      <c r="O319" s="21">
        <f t="shared" si="32"/>
        <v>0</v>
      </c>
      <c r="P319" s="21">
        <f t="shared" si="33"/>
        <v>0</v>
      </c>
      <c r="Z319" s="211" t="b">
        <f>IFERROR(INDEX(Outliers!$X$3:$X$61,MATCH('SkYSPark Data_w Will''s Data'!C319,Outliers!$B$3:$B$61,0)),0)</f>
        <v>1</v>
      </c>
      <c r="AA319" s="1" t="b">
        <f>IFERROR(INDEX(Outliers!$AP$3:$AP$61,MATCH('SkYSPark Data_w Will''s Data'!C319,Outliers!$B$3:$B$61,0)),0)</f>
        <v>1</v>
      </c>
      <c r="AB319" s="112" t="b">
        <f>IFERROR(INDEX(Outliers!$AY$3:$AY$61,MATCH('SkYSPark Data_w Will''s Data'!C319,Outliers!$B$3:$B$61,0)),0)</f>
        <v>1</v>
      </c>
      <c r="AG319">
        <v>1.2406414650537749</v>
      </c>
      <c r="BM319">
        <v>4551.7579932026574</v>
      </c>
    </row>
    <row r="320" spans="1:65" x14ac:dyDescent="0.3">
      <c r="A320" s="2">
        <v>45078</v>
      </c>
      <c r="B320" s="3">
        <f t="shared" si="29"/>
        <v>6</v>
      </c>
      <c r="C320" s="3" t="s">
        <v>154</v>
      </c>
      <c r="G320" s="9">
        <v>4455.6500727272814</v>
      </c>
      <c r="M320" s="21">
        <f t="shared" si="30"/>
        <v>0</v>
      </c>
      <c r="N320" s="21">
        <f t="shared" si="31"/>
        <v>0</v>
      </c>
      <c r="O320" s="21">
        <f t="shared" si="32"/>
        <v>0</v>
      </c>
      <c r="P320" s="21">
        <f t="shared" si="33"/>
        <v>0</v>
      </c>
      <c r="Z320" s="211" t="b">
        <f>IFERROR(INDEX(Outliers!$X$3:$X$61,MATCH('SkYSPark Data_w Will''s Data'!C320,Outliers!$B$3:$B$61,0)),0)</f>
        <v>1</v>
      </c>
      <c r="AA320" s="1" t="b">
        <f>IFERROR(INDEX(Outliers!$AP$3:$AP$61,MATCH('SkYSPark Data_w Will''s Data'!C320,Outliers!$B$3:$B$61,0)),0)</f>
        <v>1</v>
      </c>
      <c r="AB320" s="112" t="b">
        <f>IFERROR(INDEX(Outliers!$AY$3:$AY$61,MATCH('SkYSPark Data_w Will''s Data'!C320,Outliers!$B$3:$B$61,0)),0)</f>
        <v>1</v>
      </c>
      <c r="AG320">
        <v>1.2588351010100871</v>
      </c>
      <c r="BM320">
        <v>4410.6199949607253</v>
      </c>
    </row>
    <row r="321" spans="1:73" x14ac:dyDescent="0.3">
      <c r="A321" s="2">
        <v>45108</v>
      </c>
      <c r="B321" s="3">
        <f t="shared" si="29"/>
        <v>7</v>
      </c>
      <c r="C321" s="3" t="s">
        <v>154</v>
      </c>
      <c r="G321" s="9">
        <v>5139.3361755486112</v>
      </c>
      <c r="M321" s="21">
        <f t="shared" si="30"/>
        <v>0</v>
      </c>
      <c r="N321" s="21">
        <f t="shared" si="31"/>
        <v>0</v>
      </c>
      <c r="O321" s="21">
        <f t="shared" si="32"/>
        <v>0</v>
      </c>
      <c r="P321" s="21">
        <f t="shared" si="33"/>
        <v>0</v>
      </c>
      <c r="Z321" s="211" t="b">
        <f>IFERROR(INDEX(Outliers!$X$3:$X$61,MATCH('SkYSPark Data_w Will''s Data'!C321,Outliers!$B$3:$B$61,0)),0)</f>
        <v>1</v>
      </c>
      <c r="AA321" s="1" t="b">
        <f>IFERROR(INDEX(Outliers!$AP$3:$AP$61,MATCH('SkYSPark Data_w Will''s Data'!C321,Outliers!$B$3:$B$61,0)),0)</f>
        <v>1</v>
      </c>
      <c r="AB321" s="112" t="b">
        <f>IFERROR(INDEX(Outliers!$AY$3:$AY$61,MATCH('SkYSPark Data_w Will''s Data'!C321,Outliers!$B$3:$B$61,0)),0)</f>
        <v>1</v>
      </c>
      <c r="AG321">
        <v>1.495335979371023</v>
      </c>
      <c r="BM321">
        <v>5259.8759885430336</v>
      </c>
    </row>
    <row r="322" spans="1:73" x14ac:dyDescent="0.3">
      <c r="A322" s="2">
        <v>45139</v>
      </c>
      <c r="B322" s="3">
        <f t="shared" si="29"/>
        <v>8</v>
      </c>
      <c r="C322" s="3" t="s">
        <v>154</v>
      </c>
      <c r="G322" s="9">
        <v>5119.5483517240527</v>
      </c>
      <c r="M322" s="21">
        <f t="shared" si="30"/>
        <v>0</v>
      </c>
      <c r="N322" s="21">
        <f t="shared" si="31"/>
        <v>0</v>
      </c>
      <c r="O322" s="21">
        <f t="shared" si="32"/>
        <v>0</v>
      </c>
      <c r="P322" s="21">
        <f t="shared" si="33"/>
        <v>0</v>
      </c>
      <c r="Z322" s="211" t="b">
        <f>IFERROR(INDEX(Outliers!$X$3:$X$61,MATCH('SkYSPark Data_w Will''s Data'!C322,Outliers!$B$3:$B$61,0)),0)</f>
        <v>1</v>
      </c>
      <c r="AA322" s="1" t="b">
        <f>IFERROR(INDEX(Outliers!$AP$3:$AP$61,MATCH('SkYSPark Data_w Will''s Data'!C322,Outliers!$B$3:$B$61,0)),0)</f>
        <v>1</v>
      </c>
      <c r="AB322" s="112" t="b">
        <f>IFERROR(INDEX(Outliers!$AY$3:$AY$61,MATCH('SkYSPark Data_w Will''s Data'!C322,Outliers!$B$3:$B$61,0)),0)</f>
        <v>1</v>
      </c>
      <c r="AG322">
        <v>1.520218761586944</v>
      </c>
      <c r="BM322">
        <v>5010.7743678689003</v>
      </c>
    </row>
    <row r="323" spans="1:73" x14ac:dyDescent="0.3">
      <c r="A323" s="2">
        <v>45170</v>
      </c>
      <c r="B323" s="3">
        <f t="shared" si="29"/>
        <v>9</v>
      </c>
      <c r="C323" s="3" t="s">
        <v>154</v>
      </c>
      <c r="G323" s="9">
        <v>5700.5024499999599</v>
      </c>
      <c r="M323" s="21">
        <f t="shared" si="30"/>
        <v>0</v>
      </c>
      <c r="N323" s="21">
        <f t="shared" si="31"/>
        <v>0</v>
      </c>
      <c r="O323" s="21">
        <f t="shared" si="32"/>
        <v>0</v>
      </c>
      <c r="P323" s="21">
        <f t="shared" si="33"/>
        <v>0</v>
      </c>
      <c r="Z323" s="211" t="b">
        <f>IFERROR(INDEX(Outliers!$X$3:$X$61,MATCH('SkYSPark Data_w Will''s Data'!C323,Outliers!$B$3:$B$61,0)),0)</f>
        <v>1</v>
      </c>
      <c r="AA323" s="1" t="b">
        <f>IFERROR(INDEX(Outliers!$AP$3:$AP$61,MATCH('SkYSPark Data_w Will''s Data'!C323,Outliers!$B$3:$B$61,0)),0)</f>
        <v>1</v>
      </c>
      <c r="AB323" s="112" t="b">
        <f>IFERROR(INDEX(Outliers!$AY$3:$AY$61,MATCH('SkYSPark Data_w Will''s Data'!C323,Outliers!$B$3:$B$61,0)),0)</f>
        <v>1</v>
      </c>
      <c r="AG323">
        <v>1.7406006944444239</v>
      </c>
      <c r="BM323">
        <v>5584.6539909988642</v>
      </c>
    </row>
    <row r="324" spans="1:73" x14ac:dyDescent="0.3">
      <c r="A324" s="2">
        <v>45200</v>
      </c>
      <c r="B324" s="3">
        <f t="shared" si="29"/>
        <v>10</v>
      </c>
      <c r="C324" s="3" t="s">
        <v>154</v>
      </c>
      <c r="G324" s="9">
        <v>7119.998483141937</v>
      </c>
      <c r="M324" s="21">
        <f t="shared" si="30"/>
        <v>0</v>
      </c>
      <c r="N324" s="21">
        <f t="shared" si="31"/>
        <v>0</v>
      </c>
      <c r="O324" s="21">
        <f t="shared" si="32"/>
        <v>0</v>
      </c>
      <c r="P324" s="21">
        <f t="shared" si="33"/>
        <v>0</v>
      </c>
      <c r="Z324" s="211" t="b">
        <f>IFERROR(INDEX(Outliers!$X$3:$X$61,MATCH('SkYSPark Data_w Will''s Data'!C324,Outliers!$B$3:$B$61,0)),0)</f>
        <v>1</v>
      </c>
      <c r="AA324" s="1" t="b">
        <f>IFERROR(INDEX(Outliers!$AP$3:$AP$61,MATCH('SkYSPark Data_w Will''s Data'!C324,Outliers!$B$3:$B$61,0)),0)</f>
        <v>1</v>
      </c>
      <c r="AB324" s="112" t="b">
        <f>IFERROR(INDEX(Outliers!$AY$3:$AY$61,MATCH('SkYSPark Data_w Will''s Data'!C324,Outliers!$B$3:$B$61,0)),0)</f>
        <v>1</v>
      </c>
      <c r="AG324">
        <v>1.991096939070637</v>
      </c>
      <c r="BM324">
        <v>7268.8409738987684</v>
      </c>
    </row>
    <row r="325" spans="1:73" x14ac:dyDescent="0.3">
      <c r="A325" s="2">
        <v>45231</v>
      </c>
      <c r="B325" s="3">
        <f t="shared" si="29"/>
        <v>11</v>
      </c>
      <c r="C325" s="3" t="s">
        <v>154</v>
      </c>
      <c r="G325" s="9">
        <v>8211.0746216968128</v>
      </c>
      <c r="M325" s="21">
        <f t="shared" si="30"/>
        <v>0</v>
      </c>
      <c r="N325" s="21">
        <f t="shared" si="31"/>
        <v>0</v>
      </c>
      <c r="O325" s="21">
        <f t="shared" si="32"/>
        <v>0</v>
      </c>
      <c r="P325" s="21">
        <f t="shared" si="33"/>
        <v>0</v>
      </c>
      <c r="Z325" s="211" t="b">
        <f>IFERROR(INDEX(Outliers!$X$3:$X$61,MATCH('SkYSPark Data_w Will''s Data'!C325,Outliers!$B$3:$B$61,0)),0)</f>
        <v>1</v>
      </c>
      <c r="AA325" s="1" t="b">
        <f>IFERROR(INDEX(Outliers!$AP$3:$AP$61,MATCH('SkYSPark Data_w Will''s Data'!C325,Outliers!$B$3:$B$61,0)),0)</f>
        <v>1</v>
      </c>
      <c r="AB325" s="112" t="b">
        <f>IFERROR(INDEX(Outliers!$AY$3:$AY$61,MATCH('SkYSPark Data_w Will''s Data'!C325,Outliers!$B$3:$B$61,0)),0)</f>
        <v>1</v>
      </c>
      <c r="AG325">
        <v>2.330485557571174</v>
      </c>
      <c r="BM325">
        <v>8253.6269451826811</v>
      </c>
    </row>
    <row r="326" spans="1:73" x14ac:dyDescent="0.3">
      <c r="A326" s="2">
        <v>45261</v>
      </c>
      <c r="B326" s="3">
        <f t="shared" si="29"/>
        <v>12</v>
      </c>
      <c r="C326" s="3" t="s">
        <v>154</v>
      </c>
      <c r="G326" s="9">
        <v>8718.053129032136</v>
      </c>
      <c r="M326" s="21">
        <f t="shared" si="30"/>
        <v>0</v>
      </c>
      <c r="N326" s="21">
        <f t="shared" si="31"/>
        <v>0</v>
      </c>
      <c r="O326" s="21">
        <f t="shared" si="32"/>
        <v>0</v>
      </c>
      <c r="P326" s="21">
        <f t="shared" si="33"/>
        <v>0</v>
      </c>
      <c r="Z326" s="211" t="b">
        <f>IFERROR(INDEX(Outliers!$X$3:$X$61,MATCH('SkYSPark Data_w Will''s Data'!C326,Outliers!$B$3:$B$61,0)),0)</f>
        <v>1</v>
      </c>
      <c r="AA326" s="1" t="b">
        <f>IFERROR(INDEX(Outliers!$AP$3:$AP$61,MATCH('SkYSPark Data_w Will''s Data'!C326,Outliers!$B$3:$B$61,0)),0)</f>
        <v>1</v>
      </c>
      <c r="AB326" s="112" t="b">
        <f>IFERROR(INDEX(Outliers!$AY$3:$AY$61,MATCH('SkYSPark Data_w Will''s Data'!C326,Outliers!$B$3:$B$61,0)),0)</f>
        <v>1</v>
      </c>
      <c r="AG326">
        <v>2.5263514568158389</v>
      </c>
      <c r="BM326">
        <v>8815.9839423298836</v>
      </c>
    </row>
    <row r="327" spans="1:73" s="15" customFormat="1" x14ac:dyDescent="0.3">
      <c r="A327" s="38">
        <v>44927</v>
      </c>
      <c r="B327" s="3">
        <f t="shared" si="29"/>
        <v>1</v>
      </c>
      <c r="C327" s="22" t="s">
        <v>155</v>
      </c>
      <c r="D327" s="3" t="str">
        <f>VLOOKUP(C327,'Data availability'!$A$2:$B$91,2,FALSE)</f>
        <v>Off Campus 3rd Street</v>
      </c>
      <c r="E327" s="22">
        <v>52851</v>
      </c>
      <c r="F327" s="3" t="str">
        <f>VLOOKUP(C327,'Data availability'!$A$2:$H$91,8,FALSE)</f>
        <v>Theater</v>
      </c>
      <c r="G327" s="39">
        <v>72853.939799999469</v>
      </c>
      <c r="H327" s="21"/>
      <c r="I327" s="21">
        <v>1539.5393939394</v>
      </c>
      <c r="J327" s="21"/>
      <c r="K327" s="21"/>
      <c r="L327" s="20"/>
      <c r="M327" s="21">
        <f t="shared" si="30"/>
        <v>4.7033668728614062</v>
      </c>
      <c r="N327" s="21">
        <f t="shared" si="31"/>
        <v>2.9129806322290968</v>
      </c>
      <c r="O327" s="21">
        <f t="shared" si="32"/>
        <v>0</v>
      </c>
      <c r="P327" s="21">
        <f t="shared" si="33"/>
        <v>0</v>
      </c>
      <c r="Q327" s="21">
        <f>(SUM(G327:G338)*3.412)/E327</f>
        <v>68.143473120970597</v>
      </c>
      <c r="R327" s="21">
        <f>(SUM(I327:I338)*100)/E327</f>
        <v>18.548314501087454</v>
      </c>
      <c r="S327" s="21">
        <f>(SUM(J327:J338)*100)/E327</f>
        <v>0</v>
      </c>
      <c r="T327" s="21">
        <f>(SUM(K327:K338)*12)/E327</f>
        <v>0</v>
      </c>
      <c r="U327" s="21"/>
      <c r="V327" s="34">
        <f>SUM(Q327:T327)</f>
        <v>86.691787622058058</v>
      </c>
      <c r="W327" s="30" t="s">
        <v>47</v>
      </c>
      <c r="X327" s="59"/>
      <c r="Y327" s="28"/>
      <c r="Z327" s="211" t="b">
        <f>IFERROR(INDEX(Outliers!$X$3:$X$61,MATCH('SkYSPark Data_w Will''s Data'!C327,Outliers!$B$3:$B$61,0)),0)</f>
        <v>0</v>
      </c>
      <c r="AA327" s="1" t="b">
        <f>IFERROR(INDEX(Outliers!$AP$3:$AP$61,MATCH('SkYSPark Data_w Will''s Data'!C327,Outliers!$B$3:$B$61,0)),0)</f>
        <v>1</v>
      </c>
      <c r="AB327" s="112" t="b">
        <f>IFERROR(INDEX(Outliers!$AY$3:$AY$61,MATCH('SkYSPark Data_w Will''s Data'!C327,Outliers!$B$3:$B$61,0)),0)</f>
        <v>1</v>
      </c>
      <c r="AC327" s="112"/>
      <c r="AD327" s="199"/>
      <c r="AE327" s="199"/>
      <c r="AF327" s="139"/>
      <c r="AH327" s="15">
        <v>5.0938011567284978</v>
      </c>
      <c r="BN327" s="15">
        <v>2.0110663082437551E-2</v>
      </c>
      <c r="BO327" s="15">
        <v>5.7448000000000041</v>
      </c>
      <c r="BP327" s="15">
        <v>27.050365143369209</v>
      </c>
      <c r="BQ327" s="15">
        <v>72853.939799999469</v>
      </c>
      <c r="BR327" s="15">
        <v>11.58180017921133</v>
      </c>
      <c r="BS327" s="15">
        <v>72848.195000000924</v>
      </c>
      <c r="BT327" s="15">
        <v>1198.0772399902339</v>
      </c>
      <c r="BU327" s="15">
        <v>70363.050031661987</v>
      </c>
    </row>
    <row r="328" spans="1:73" x14ac:dyDescent="0.3">
      <c r="A328" s="2">
        <v>44958</v>
      </c>
      <c r="B328" s="3">
        <f t="shared" si="29"/>
        <v>2</v>
      </c>
      <c r="C328" s="3" t="s">
        <v>155</v>
      </c>
      <c r="D328" s="3" t="str">
        <f>VLOOKUP(C328,'Data availability'!$A$2:$B$91,2,FALSE)</f>
        <v>Off Campus 3rd Street</v>
      </c>
      <c r="E328" s="3">
        <v>52851</v>
      </c>
      <c r="F328" s="3" t="str">
        <f>VLOOKUP(C328,'Data availability'!$A$2:$H$91,8,FALSE)</f>
        <v>Theater</v>
      </c>
      <c r="G328" s="11">
        <v>67513.498392230424</v>
      </c>
      <c r="I328" s="1">
        <v>1948.6292565947381</v>
      </c>
      <c r="M328" s="21">
        <f t="shared" si="30"/>
        <v>4.3585940949895026</v>
      </c>
      <c r="N328" s="21">
        <f t="shared" si="31"/>
        <v>3.6870243828777851</v>
      </c>
      <c r="O328" s="21">
        <f t="shared" si="32"/>
        <v>0</v>
      </c>
      <c r="P328" s="21">
        <f t="shared" si="33"/>
        <v>0</v>
      </c>
      <c r="W328" s="25" t="s">
        <v>307</v>
      </c>
      <c r="Z328" s="211" t="b">
        <f>IFERROR(INDEX(Outliers!$X$3:$X$61,MATCH('SkYSPark Data_w Will''s Data'!C328,Outliers!$B$3:$B$61,0)),0)</f>
        <v>0</v>
      </c>
      <c r="AA328" s="1" t="b">
        <f>IFERROR(INDEX(Outliers!$AP$3:$AP$61,MATCH('SkYSPark Data_w Will''s Data'!C328,Outliers!$B$3:$B$61,0)),0)</f>
        <v>1</v>
      </c>
      <c r="AB328" s="112" t="b">
        <f>IFERROR(INDEX(Outliers!$AY$3:$AY$61,MATCH('SkYSPark Data_w Will''s Data'!C328,Outliers!$B$3:$B$61,0)),0)</f>
        <v>1</v>
      </c>
      <c r="AF328" s="132"/>
      <c r="AH328">
        <v>7.1020332876555514</v>
      </c>
      <c r="BN328">
        <v>-1.7834982014387211E-3</v>
      </c>
      <c r="BO328">
        <v>15.09821237410068</v>
      </c>
      <c r="BP328">
        <v>26.53860182211363</v>
      </c>
      <c r="BQ328">
        <v>67513.498392230424</v>
      </c>
      <c r="BR328">
        <v>12.82471567745802</v>
      </c>
      <c r="BS328">
        <v>67498.400179856442</v>
      </c>
      <c r="BT328">
        <v>2308.3687267303471</v>
      </c>
      <c r="BU328">
        <v>70710.75008392334</v>
      </c>
    </row>
    <row r="329" spans="1:73" x14ac:dyDescent="0.3">
      <c r="A329" s="2">
        <v>44986</v>
      </c>
      <c r="B329" s="3">
        <f t="shared" ref="B329:B392" si="34">MONTH(A329)</f>
        <v>3</v>
      </c>
      <c r="C329" s="3" t="s">
        <v>155</v>
      </c>
      <c r="D329" s="3" t="str">
        <f>VLOOKUP(C329,'Data availability'!$A$2:$B$91,2,FALSE)</f>
        <v>Off Campus 3rd Street</v>
      </c>
      <c r="E329" s="3">
        <v>52851</v>
      </c>
      <c r="F329" s="3" t="str">
        <f>VLOOKUP(C329,'Data availability'!$A$2:$H$91,8,FALSE)</f>
        <v>Theater</v>
      </c>
      <c r="G329" s="11">
        <v>81000.505907769446</v>
      </c>
      <c r="I329" s="1">
        <v>1661.9374100719649</v>
      </c>
      <c r="M329" s="21">
        <f t="shared" si="30"/>
        <v>5.229299845931191</v>
      </c>
      <c r="N329" s="21">
        <f t="shared" si="31"/>
        <v>3.1445713611321731</v>
      </c>
      <c r="O329" s="21">
        <f t="shared" si="32"/>
        <v>0</v>
      </c>
      <c r="P329" s="21">
        <f t="shared" si="33"/>
        <v>0</v>
      </c>
      <c r="Z329" s="211" t="b">
        <f>IFERROR(INDEX(Outliers!$X$3:$X$61,MATCH('SkYSPark Data_w Will''s Data'!C329,Outliers!$B$3:$B$61,0)),0)</f>
        <v>0</v>
      </c>
      <c r="AA329" s="1" t="b">
        <f>IFERROR(INDEX(Outliers!$AP$3:$AP$61,MATCH('SkYSPark Data_w Will''s Data'!C329,Outliers!$B$3:$B$61,0)),0)</f>
        <v>1</v>
      </c>
      <c r="AB329" s="112" t="b">
        <f>IFERROR(INDEX(Outliers!$AY$3:$AY$61,MATCH('SkYSPark Data_w Will''s Data'!C329,Outliers!$B$3:$B$61,0)),0)</f>
        <v>1</v>
      </c>
      <c r="AF329" s="132"/>
      <c r="AH329">
        <v>4.329902374197518</v>
      </c>
      <c r="BN329">
        <v>4.6728396085285069E-2</v>
      </c>
      <c r="BO329">
        <v>50.926087625899832</v>
      </c>
      <c r="BP329">
        <v>27.951858025624819</v>
      </c>
      <c r="BQ329">
        <v>81000.505907769446</v>
      </c>
      <c r="BR329">
        <v>14.63452397678113</v>
      </c>
      <c r="BS329">
        <v>80949.579820144107</v>
      </c>
      <c r="BT329">
        <v>1604.7857685089109</v>
      </c>
      <c r="BU329">
        <v>74742.000028610229</v>
      </c>
    </row>
    <row r="330" spans="1:73" x14ac:dyDescent="0.3">
      <c r="A330" s="2">
        <v>45017</v>
      </c>
      <c r="B330" s="3">
        <f t="shared" si="34"/>
        <v>4</v>
      </c>
      <c r="C330" s="3" t="s">
        <v>155</v>
      </c>
      <c r="D330" s="3" t="str">
        <f>VLOOKUP(C330,'Data availability'!$A$2:$B$91,2,FALSE)</f>
        <v>Off Campus 3rd Street</v>
      </c>
      <c r="E330" s="3">
        <v>52851</v>
      </c>
      <c r="F330" s="3" t="str">
        <f>VLOOKUP(C330,'Data availability'!$A$2:$H$91,8,FALSE)</f>
        <v>Theater</v>
      </c>
      <c r="G330" s="11">
        <v>88848.629375861448</v>
      </c>
      <c r="I330" s="1">
        <v>873.46551724138158</v>
      </c>
      <c r="M330" s="21">
        <f t="shared" si="30"/>
        <v>5.7359657041577119</v>
      </c>
      <c r="N330" s="21">
        <f t="shared" si="31"/>
        <v>1.6526943998058345</v>
      </c>
      <c r="O330" s="21">
        <f t="shared" si="32"/>
        <v>0</v>
      </c>
      <c r="P330" s="21">
        <f t="shared" si="33"/>
        <v>0</v>
      </c>
      <c r="Z330" s="211" t="b">
        <f>IFERROR(INDEX(Outliers!$X$3:$X$61,MATCH('SkYSPark Data_w Will''s Data'!C330,Outliers!$B$3:$B$61,0)),0)</f>
        <v>0</v>
      </c>
      <c r="AA330" s="1" t="b">
        <f>IFERROR(INDEX(Outliers!$AP$3:$AP$61,MATCH('SkYSPark Data_w Will''s Data'!C330,Outliers!$B$3:$B$61,0)),0)</f>
        <v>1</v>
      </c>
      <c r="AB330" s="112" t="b">
        <f>IFERROR(INDEX(Outliers!$AY$3:$AY$61,MATCH('SkYSPark Data_w Will''s Data'!C330,Outliers!$B$3:$B$61,0)),0)</f>
        <v>1</v>
      </c>
      <c r="AF330" s="132"/>
      <c r="AH330">
        <v>1.668721623563195</v>
      </c>
      <c r="BN330">
        <v>4.514842253352485E-2</v>
      </c>
      <c r="BO330">
        <v>42.244031034482632</v>
      </c>
      <c r="BP330">
        <v>32.60342805615376</v>
      </c>
      <c r="BQ330">
        <v>88848.629375861448</v>
      </c>
      <c r="BR330">
        <v>17.022043522509691</v>
      </c>
      <c r="BS330">
        <v>88806.385344828348</v>
      </c>
      <c r="BT330">
        <v>764.24960553646088</v>
      </c>
      <c r="BU330">
        <v>94538.099927902222</v>
      </c>
    </row>
    <row r="331" spans="1:73" x14ac:dyDescent="0.3">
      <c r="A331" s="2">
        <v>45047</v>
      </c>
      <c r="B331" s="3">
        <f t="shared" si="34"/>
        <v>5</v>
      </c>
      <c r="C331" s="3" t="s">
        <v>155</v>
      </c>
      <c r="D331" s="3" t="str">
        <f>VLOOKUP(C331,'Data availability'!$A$2:$B$91,2,FALSE)</f>
        <v>Off Campus 3rd Street</v>
      </c>
      <c r="E331" s="3">
        <v>52851</v>
      </c>
      <c r="F331" s="3" t="str">
        <f>VLOOKUP(C331,'Data availability'!$A$2:$H$91,8,FALSE)</f>
        <v>Theater</v>
      </c>
      <c r="G331" s="11">
        <v>99004.489491879998</v>
      </c>
      <c r="I331" s="1">
        <v>589.38932146829018</v>
      </c>
      <c r="M331" s="21">
        <f t="shared" si="30"/>
        <v>6.3916163960245704</v>
      </c>
      <c r="N331" s="21">
        <f t="shared" si="31"/>
        <v>1.115190481671662</v>
      </c>
      <c r="O331" s="21">
        <f t="shared" si="32"/>
        <v>0</v>
      </c>
      <c r="P331" s="21">
        <f t="shared" si="33"/>
        <v>0</v>
      </c>
      <c r="Z331" s="211" t="b">
        <f>IFERROR(INDEX(Outliers!$X$3:$X$61,MATCH('SkYSPark Data_w Will''s Data'!C331,Outliers!$B$3:$B$61,0)),0)</f>
        <v>0</v>
      </c>
      <c r="AA331" s="1" t="b">
        <f>IFERROR(INDEX(Outliers!$AP$3:$AP$61,MATCH('SkYSPark Data_w Will''s Data'!C331,Outliers!$B$3:$B$61,0)),0)</f>
        <v>1</v>
      </c>
      <c r="AB331" s="112" t="b">
        <f>IFERROR(INDEX(Outliers!$AY$3:$AY$61,MATCH('SkYSPark Data_w Will''s Data'!C331,Outliers!$B$3:$B$61,0)),0)</f>
        <v>1</v>
      </c>
      <c r="AF331" s="132"/>
      <c r="AH331">
        <v>0.97122684105397927</v>
      </c>
      <c r="BN331">
        <v>4.7115716985420067E-2</v>
      </c>
      <c r="BO331">
        <v>52.069191546162948</v>
      </c>
      <c r="BP331">
        <v>36.951601271425318</v>
      </c>
      <c r="BQ331">
        <v>99004.489491879998</v>
      </c>
      <c r="BR331">
        <v>18.686286629708061</v>
      </c>
      <c r="BS331">
        <v>98952.420300335114</v>
      </c>
      <c r="BT331">
        <v>623.17975890636444</v>
      </c>
      <c r="BU331">
        <v>96440.700084686279</v>
      </c>
    </row>
    <row r="332" spans="1:73" x14ac:dyDescent="0.3">
      <c r="A332" s="2">
        <v>45078</v>
      </c>
      <c r="B332" s="3">
        <f t="shared" si="34"/>
        <v>6</v>
      </c>
      <c r="C332" s="3" t="s">
        <v>155</v>
      </c>
      <c r="D332" s="3" t="str">
        <f>VLOOKUP(C332,'Data availability'!$A$2:$B$91,2,FALSE)</f>
        <v>Off Campus 3rd Street</v>
      </c>
      <c r="E332" s="3">
        <v>52851</v>
      </c>
      <c r="F332" s="3" t="str">
        <f>VLOOKUP(C332,'Data availability'!$A$2:$H$91,8,FALSE)</f>
        <v>Theater</v>
      </c>
      <c r="G332" s="11">
        <v>87662.431332258915</v>
      </c>
      <c r="I332" s="1">
        <v>543.41935483870486</v>
      </c>
      <c r="M332" s="21">
        <f t="shared" si="30"/>
        <v>5.6593861176830593</v>
      </c>
      <c r="N332" s="21">
        <f t="shared" si="31"/>
        <v>1.0282101660114376</v>
      </c>
      <c r="O332" s="21">
        <f t="shared" si="32"/>
        <v>0</v>
      </c>
      <c r="P332" s="21">
        <f t="shared" si="33"/>
        <v>0</v>
      </c>
      <c r="Z332" s="211" t="b">
        <f>IFERROR(INDEX(Outliers!$X$3:$X$61,MATCH('SkYSPark Data_w Will''s Data'!C332,Outliers!$B$3:$B$61,0)),0)</f>
        <v>0</v>
      </c>
      <c r="AA332" s="1" t="b">
        <f>IFERROR(INDEX(Outliers!$AP$3:$AP$61,MATCH('SkYSPark Data_w Will''s Data'!C332,Outliers!$B$3:$B$61,0)),0)</f>
        <v>1</v>
      </c>
      <c r="AB332" s="112" t="b">
        <f>IFERROR(INDEX(Outliers!$AY$3:$AY$61,MATCH('SkYSPark Data_w Will''s Data'!C332,Outliers!$B$3:$B$61,0)),0)</f>
        <v>1</v>
      </c>
      <c r="AF332" s="132"/>
      <c r="AH332">
        <v>0.94552329749102537</v>
      </c>
      <c r="BN332">
        <v>4.41518817204299E-2</v>
      </c>
      <c r="BO332">
        <v>38.749477419355117</v>
      </c>
      <c r="BP332">
        <v>34.977252800179777</v>
      </c>
      <c r="BQ332">
        <v>87662.431332258915</v>
      </c>
      <c r="BR332">
        <v>18.08183702956995</v>
      </c>
      <c r="BS332">
        <v>87623.681854837414</v>
      </c>
      <c r="BT332">
        <v>657.34682464599609</v>
      </c>
      <c r="BU332">
        <v>90105.299977302551</v>
      </c>
    </row>
    <row r="333" spans="1:73" x14ac:dyDescent="0.3">
      <c r="A333" s="2">
        <v>45108</v>
      </c>
      <c r="B333" s="3">
        <f t="shared" si="34"/>
        <v>7</v>
      </c>
      <c r="C333" s="3" t="s">
        <v>155</v>
      </c>
      <c r="D333" s="3" t="str">
        <f>VLOOKUP(C333,'Data availability'!$A$2:$B$91,2,FALSE)</f>
        <v>Off Campus 3rd Street</v>
      </c>
      <c r="E333" s="3">
        <v>52851</v>
      </c>
      <c r="F333" s="3" t="str">
        <f>VLOOKUP(C333,'Data availability'!$A$2:$H$91,8,FALSE)</f>
        <v>Theater</v>
      </c>
      <c r="G333" s="11">
        <v>96533.125258620421</v>
      </c>
      <c r="I333" s="1">
        <v>100.77753058954519</v>
      </c>
      <c r="M333" s="21">
        <f t="shared" si="30"/>
        <v>6.2320679529699126</v>
      </c>
      <c r="N333" s="21">
        <f t="shared" si="31"/>
        <v>0.19068235338885769</v>
      </c>
      <c r="O333" s="21">
        <f t="shared" si="32"/>
        <v>0</v>
      </c>
      <c r="P333" s="21">
        <f t="shared" si="33"/>
        <v>0</v>
      </c>
      <c r="Z333" s="211" t="b">
        <f>IFERROR(INDEX(Outliers!$X$3:$X$61,MATCH('SkYSPark Data_w Will''s Data'!C333,Outliers!$B$3:$B$61,0)),0)</f>
        <v>0</v>
      </c>
      <c r="AA333" s="1" t="b">
        <f>IFERROR(INDEX(Outliers!$AP$3:$AP$61,MATCH('SkYSPark Data_w Will''s Data'!C333,Outliers!$B$3:$B$61,0)),0)</f>
        <v>1</v>
      </c>
      <c r="AB333" s="112" t="b">
        <f>IFERROR(INDEX(Outliers!$AY$3:$AY$61,MATCH('SkYSPark Data_w Will''s Data'!C333,Outliers!$B$3:$B$61,0)),0)</f>
        <v>1</v>
      </c>
      <c r="AF333" s="132"/>
      <c r="AH333">
        <v>0.23492460260504719</v>
      </c>
      <c r="BN333">
        <v>4.329022988505804E-2</v>
      </c>
      <c r="BO333">
        <v>31.275689655172311</v>
      </c>
      <c r="BP333">
        <v>38.19673584074846</v>
      </c>
      <c r="BQ333">
        <v>96533.125258620421</v>
      </c>
      <c r="BR333">
        <v>20.541321954950231</v>
      </c>
      <c r="BS333">
        <v>96501.849568964826</v>
      </c>
      <c r="BT333">
        <v>33.549577236175537</v>
      </c>
      <c r="BU333">
        <v>98781.599970817566</v>
      </c>
    </row>
    <row r="334" spans="1:73" x14ac:dyDescent="0.3">
      <c r="A334" s="2">
        <v>45139</v>
      </c>
      <c r="B334" s="3">
        <f t="shared" si="34"/>
        <v>8</v>
      </c>
      <c r="C334" s="3" t="s">
        <v>155</v>
      </c>
      <c r="D334" s="3" t="str">
        <f>VLOOKUP(C334,'Data availability'!$A$2:$B$91,2,FALSE)</f>
        <v>Off Campus 3rd Street</v>
      </c>
      <c r="E334" s="3">
        <v>52851</v>
      </c>
      <c r="F334" s="3" t="str">
        <f>VLOOKUP(C334,'Data availability'!$A$2:$H$91,8,FALSE)</f>
        <v>Theater</v>
      </c>
      <c r="G334" s="11">
        <v>99021.607401380155</v>
      </c>
      <c r="I334" s="1">
        <v>35.738598442714178</v>
      </c>
      <c r="M334" s="21">
        <f t="shared" si="30"/>
        <v>6.3927215086471225</v>
      </c>
      <c r="N334" s="21">
        <f t="shared" si="31"/>
        <v>6.7621423327305405E-2</v>
      </c>
      <c r="O334" s="21">
        <f t="shared" si="32"/>
        <v>0</v>
      </c>
      <c r="P334" s="21">
        <f t="shared" si="33"/>
        <v>0</v>
      </c>
      <c r="Z334" s="211" t="b">
        <f>IFERROR(INDEX(Outliers!$X$3:$X$61,MATCH('SkYSPark Data_w Will''s Data'!C334,Outliers!$B$3:$B$61,0)),0)</f>
        <v>0</v>
      </c>
      <c r="AA334" s="1" t="b">
        <f>IFERROR(INDEX(Outliers!$AP$3:$AP$61,MATCH('SkYSPark Data_w Will''s Data'!C334,Outliers!$B$3:$B$61,0)),0)</f>
        <v>1</v>
      </c>
      <c r="AB334" s="112" t="b">
        <f>IFERROR(INDEX(Outliers!$AY$3:$AY$61,MATCH('SkYSPark Data_w Will''s Data'!C334,Outliers!$B$3:$B$61,0)),0)</f>
        <v>1</v>
      </c>
      <c r="AF334" s="132"/>
      <c r="AH334">
        <v>0.133267384907963</v>
      </c>
      <c r="BN334">
        <v>4.5985307749351383E-2</v>
      </c>
      <c r="BO334">
        <v>39.639470344827153</v>
      </c>
      <c r="BP334">
        <v>40.132908648498848</v>
      </c>
      <c r="BQ334">
        <v>99021.607401380155</v>
      </c>
      <c r="BR334">
        <v>21.663966351501799</v>
      </c>
      <c r="BS334">
        <v>98981.967931033723</v>
      </c>
      <c r="BT334">
        <v>26.319099545478821</v>
      </c>
      <c r="BU334">
        <v>100604.99999237061</v>
      </c>
    </row>
    <row r="335" spans="1:73" x14ac:dyDescent="0.3">
      <c r="A335" s="2">
        <v>45170</v>
      </c>
      <c r="B335" s="3">
        <f t="shared" si="34"/>
        <v>9</v>
      </c>
      <c r="C335" s="3" t="s">
        <v>155</v>
      </c>
      <c r="D335" s="3" t="str">
        <f>VLOOKUP(C335,'Data availability'!$A$2:$B$91,2,FALSE)</f>
        <v>Off Campus 3rd Street</v>
      </c>
      <c r="E335" s="3">
        <v>52851</v>
      </c>
      <c r="F335" s="3" t="str">
        <f>VLOOKUP(C335,'Data availability'!$A$2:$H$91,8,FALSE)</f>
        <v>Theater</v>
      </c>
      <c r="G335" s="11">
        <v>91521.54243999999</v>
      </c>
      <c r="I335" s="1">
        <v>89.459677419355501</v>
      </c>
      <c r="M335" s="21">
        <f t="shared" si="30"/>
        <v>5.9085259087865882</v>
      </c>
      <c r="N335" s="21">
        <f t="shared" si="31"/>
        <v>0.16926771001372823</v>
      </c>
      <c r="O335" s="21">
        <f t="shared" si="32"/>
        <v>0</v>
      </c>
      <c r="P335" s="21">
        <f t="shared" si="33"/>
        <v>0</v>
      </c>
      <c r="Z335" s="211" t="b">
        <f>IFERROR(INDEX(Outliers!$X$3:$X$61,MATCH('SkYSPark Data_w Will''s Data'!C335,Outliers!$B$3:$B$61,0)),0)</f>
        <v>0</v>
      </c>
      <c r="AA335" s="1" t="b">
        <f>IFERROR(INDEX(Outliers!$AP$3:$AP$61,MATCH('SkYSPark Data_w Will''s Data'!C335,Outliers!$B$3:$B$61,0)),0)</f>
        <v>1</v>
      </c>
      <c r="AB335" s="112" t="b">
        <f>IFERROR(INDEX(Outliers!$AY$3:$AY$61,MATCH('SkYSPark Data_w Will''s Data'!C335,Outliers!$B$3:$B$61,0)),0)</f>
        <v>1</v>
      </c>
      <c r="AF335" s="132"/>
      <c r="AH335">
        <v>0.25356742831541129</v>
      </c>
      <c r="BN335">
        <v>3.019175347222226E-2</v>
      </c>
      <c r="BO335">
        <v>36.047439999999987</v>
      </c>
      <c r="BP335">
        <v>35.561362152777932</v>
      </c>
      <c r="BQ335">
        <v>91521.54243999999</v>
      </c>
      <c r="BR335">
        <v>19.9384203993055</v>
      </c>
      <c r="BS335">
        <v>91485.495000000054</v>
      </c>
      <c r="BT335">
        <v>147.55811619758609</v>
      </c>
      <c r="BU335">
        <v>90392.399971008301</v>
      </c>
    </row>
    <row r="336" spans="1:73" x14ac:dyDescent="0.3">
      <c r="A336" s="2">
        <v>45200</v>
      </c>
      <c r="B336" s="3">
        <f t="shared" si="34"/>
        <v>10</v>
      </c>
      <c r="C336" s="3" t="s">
        <v>155</v>
      </c>
      <c r="D336" s="3" t="str">
        <f>VLOOKUP(C336,'Data availability'!$A$2:$B$91,2,FALSE)</f>
        <v>Off Campus 3rd Street</v>
      </c>
      <c r="E336" s="3">
        <v>52851</v>
      </c>
      <c r="F336" s="3" t="str">
        <f>VLOOKUP(C336,'Data availability'!$A$2:$H$91,8,FALSE)</f>
        <v>Theater</v>
      </c>
      <c r="G336" s="11">
        <v>97234.527413774587</v>
      </c>
      <c r="I336" s="1">
        <v>253.80236728838071</v>
      </c>
      <c r="M336" s="21">
        <f t="shared" si="30"/>
        <v>6.2773496723959603</v>
      </c>
      <c r="N336" s="21">
        <f t="shared" si="31"/>
        <v>0.48022245045198897</v>
      </c>
      <c r="O336" s="21">
        <f t="shared" si="32"/>
        <v>0</v>
      </c>
      <c r="P336" s="21">
        <f t="shared" si="33"/>
        <v>0</v>
      </c>
      <c r="Z336" s="211" t="b">
        <f>IFERROR(INDEX(Outliers!$X$3:$X$61,MATCH('SkYSPark Data_w Will''s Data'!C336,Outliers!$B$3:$B$61,0)),0)</f>
        <v>0</v>
      </c>
      <c r="AA336" s="1" t="b">
        <f>IFERROR(INDEX(Outliers!$AP$3:$AP$61,MATCH('SkYSPark Data_w Will''s Data'!C336,Outliers!$B$3:$B$61,0)),0)</f>
        <v>1</v>
      </c>
      <c r="AB336" s="112" t="b">
        <f>IFERROR(INDEX(Outliers!$AY$3:$AY$61,MATCH('SkYSPark Data_w Will''s Data'!C336,Outliers!$B$3:$B$61,0)),0)</f>
        <v>1</v>
      </c>
      <c r="AF336" s="132"/>
      <c r="AH336">
        <v>0.63973038251491854</v>
      </c>
      <c r="BN336">
        <v>7.0749900447000403E-3</v>
      </c>
      <c r="BO336">
        <v>35.523719368722602</v>
      </c>
      <c r="BP336">
        <v>36.442796733022817</v>
      </c>
      <c r="BQ336">
        <v>97234.527413774587</v>
      </c>
      <c r="BR336">
        <v>19.398530882762611</v>
      </c>
      <c r="BS336">
        <v>97199.003694402782</v>
      </c>
      <c r="BT336">
        <v>93.838030934333801</v>
      </c>
      <c r="BU336">
        <v>94773.900055885315</v>
      </c>
    </row>
    <row r="337" spans="1:73" x14ac:dyDescent="0.3">
      <c r="A337" s="2">
        <v>45231</v>
      </c>
      <c r="B337" s="3">
        <f t="shared" si="34"/>
        <v>11</v>
      </c>
      <c r="C337" s="3" t="s">
        <v>155</v>
      </c>
      <c r="D337" s="3" t="str">
        <f>VLOOKUP(C337,'Data availability'!$A$2:$B$91,2,FALSE)</f>
        <v>Off Campus 3rd Street</v>
      </c>
      <c r="E337" s="3">
        <v>52851</v>
      </c>
      <c r="F337" s="3" t="str">
        <f>VLOOKUP(C337,'Data availability'!$A$2:$H$91,8,FALSE)</f>
        <v>Theater</v>
      </c>
      <c r="G337" s="11">
        <v>88614.279386225477</v>
      </c>
      <c r="I337" s="1">
        <v>740.7142993782893</v>
      </c>
      <c r="M337" s="21">
        <f t="shared" si="30"/>
        <v>5.7208363373597715</v>
      </c>
      <c r="N337" s="21">
        <f t="shared" si="31"/>
        <v>1.401514255885961</v>
      </c>
      <c r="O337" s="21">
        <f t="shared" si="32"/>
        <v>0</v>
      </c>
      <c r="P337" s="21">
        <f t="shared" si="33"/>
        <v>0</v>
      </c>
      <c r="Z337" s="211" t="b">
        <f>IFERROR(INDEX(Outliers!$X$3:$X$61,MATCH('SkYSPark Data_w Will''s Data'!C337,Outliers!$B$3:$B$61,0)),0)</f>
        <v>0</v>
      </c>
      <c r="AA337" s="1" t="b">
        <f>IFERROR(INDEX(Outliers!$AP$3:$AP$61,MATCH('SkYSPark Data_w Will''s Data'!C337,Outliers!$B$3:$B$61,0)),0)</f>
        <v>1</v>
      </c>
      <c r="AB337" s="112" t="b">
        <f>IFERROR(INDEX(Outliers!$AY$3:$AY$61,MATCH('SkYSPark Data_w Will''s Data'!C337,Outliers!$B$3:$B$61,0)),0)</f>
        <v>1</v>
      </c>
      <c r="AF337" s="132"/>
      <c r="AH337">
        <v>2.0006337430543928</v>
      </c>
      <c r="BN337">
        <v>4.265623426732771E-2</v>
      </c>
      <c r="BO337">
        <v>29.62808063127704</v>
      </c>
      <c r="BP337">
        <v>32.664532797916891</v>
      </c>
      <c r="BQ337">
        <v>88614.279386225477</v>
      </c>
      <c r="BR337">
        <v>18.19919047950717</v>
      </c>
      <c r="BS337">
        <v>88584.651305595777</v>
      </c>
      <c r="BT337">
        <v>830.40071678161621</v>
      </c>
      <c r="BU337">
        <v>89486.400085449219</v>
      </c>
    </row>
    <row r="338" spans="1:73" x14ac:dyDescent="0.3">
      <c r="A338" s="2">
        <v>45261</v>
      </c>
      <c r="B338" s="3">
        <f t="shared" si="34"/>
        <v>12</v>
      </c>
      <c r="C338" s="3" t="s">
        <v>155</v>
      </c>
      <c r="D338" s="3" t="str">
        <f>VLOOKUP(C338,'Data availability'!$A$2:$B$91,2,FALSE)</f>
        <v>Off Campus 3rd Street</v>
      </c>
      <c r="E338" s="3">
        <v>52851</v>
      </c>
      <c r="F338" s="3" t="str">
        <f>VLOOKUP(C338,'Data availability'!$A$2:$H$91,8,FALSE)</f>
        <v>Theater</v>
      </c>
      <c r="G338" s="11">
        <v>85716.247339394933</v>
      </c>
      <c r="I338" s="1">
        <v>1426.0969696969671</v>
      </c>
      <c r="M338" s="21">
        <f t="shared" si="30"/>
        <v>5.5337427091637901</v>
      </c>
      <c r="N338" s="21">
        <f t="shared" si="31"/>
        <v>2.6983348842916257</v>
      </c>
      <c r="O338" s="21">
        <f t="shared" si="32"/>
        <v>0</v>
      </c>
      <c r="P338" s="21">
        <f t="shared" si="33"/>
        <v>0</v>
      </c>
      <c r="Z338" s="211" t="b">
        <f>IFERROR(INDEX(Outliers!$X$3:$X$61,MATCH('SkYSPark Data_w Will''s Data'!C338,Outliers!$B$3:$B$61,0)),0)</f>
        <v>0</v>
      </c>
      <c r="AA338" s="1" t="b">
        <f>IFERROR(INDEX(Outliers!$AP$3:$AP$61,MATCH('SkYSPark Data_w Will''s Data'!C338,Outliers!$B$3:$B$61,0)),0)</f>
        <v>1</v>
      </c>
      <c r="AB338" s="112" t="b">
        <f>IFERROR(INDEX(Outliers!$AY$3:$AY$61,MATCH('SkYSPark Data_w Will''s Data'!C338,Outliers!$B$3:$B$61,0)),0)</f>
        <v>1</v>
      </c>
      <c r="AF338" s="132"/>
      <c r="AH338">
        <v>3.9556543662429968</v>
      </c>
      <c r="BN338">
        <v>4.0425464320625562E-2</v>
      </c>
      <c r="BO338">
        <v>21.327339393939472</v>
      </c>
      <c r="BP338">
        <v>33.947207233626308</v>
      </c>
      <c r="BQ338">
        <v>85716.247339394933</v>
      </c>
      <c r="BR338">
        <v>17.188488758553031</v>
      </c>
      <c r="BS338">
        <v>85694.9200000001</v>
      </c>
      <c r="BT338">
        <v>1221.4325580596919</v>
      </c>
      <c r="BU338">
        <v>82120.199981689453</v>
      </c>
    </row>
    <row r="339" spans="1:73" s="15" customFormat="1" x14ac:dyDescent="0.3">
      <c r="A339" s="38">
        <v>44927</v>
      </c>
      <c r="B339" s="3">
        <f t="shared" si="34"/>
        <v>1</v>
      </c>
      <c r="C339" s="22" t="s">
        <v>157</v>
      </c>
      <c r="D339" s="3" t="str">
        <f>VLOOKUP(C339,'Data availability'!$A$2:$B$91,2,FALSE)</f>
        <v>Main campus</v>
      </c>
      <c r="E339" s="22">
        <v>42445</v>
      </c>
      <c r="F339" s="3" t="str">
        <f>VLOOKUP(C339,'Data availability'!$A$2:$H$91,8,FALSE)</f>
        <v>Academic</v>
      </c>
      <c r="G339" s="21">
        <v>28607.202990301339</v>
      </c>
      <c r="H339" s="21"/>
      <c r="I339" s="21"/>
      <c r="J339" s="21">
        <v>2920.491034482789</v>
      </c>
      <c r="K339" s="21">
        <v>3871.7983620690188</v>
      </c>
      <c r="L339" s="20"/>
      <c r="M339" s="21">
        <f t="shared" si="30"/>
        <v>2.2996295583203716</v>
      </c>
      <c r="N339" s="21">
        <f t="shared" si="31"/>
        <v>0</v>
      </c>
      <c r="O339" s="21">
        <f t="shared" si="32"/>
        <v>6.8806479785199413</v>
      </c>
      <c r="P339" s="21">
        <f t="shared" si="33"/>
        <v>1.094630235477164</v>
      </c>
      <c r="Q339" s="21">
        <f>(SUM(G339:G350)*3.412)/E339</f>
        <v>28.430750595511014</v>
      </c>
      <c r="R339" s="21">
        <f>(SUM(I339:I350)*100)/E339</f>
        <v>0</v>
      </c>
      <c r="S339" s="21">
        <f>(SUM(J339:J350)*100)/E339</f>
        <v>36.537840450725355</v>
      </c>
      <c r="T339" s="21">
        <f>(SUM(K339:K350)*12)/E339</f>
        <v>34.795783608645742</v>
      </c>
      <c r="U339" s="21"/>
      <c r="V339" s="34">
        <f>SUM(Q339:T339)</f>
        <v>99.764374654882118</v>
      </c>
      <c r="W339" s="30" t="s">
        <v>309</v>
      </c>
      <c r="X339" s="20"/>
      <c r="Y339" s="21"/>
      <c r="Z339" s="211" t="b">
        <f>IFERROR(INDEX(Outliers!$X$3:$X$61,MATCH('SkYSPark Data_w Will''s Data'!C339,Outliers!$B$3:$B$61,0)),0)</f>
        <v>0</v>
      </c>
      <c r="AA339" s="1" t="b">
        <f>IFERROR(INDEX(Outliers!$AP$3:$AP$61,MATCH('SkYSPark Data_w Will''s Data'!C339,Outliers!$B$3:$B$61,0)),0)</f>
        <v>0</v>
      </c>
      <c r="AB339" s="112" t="b">
        <f>IFERROR(INDEX(Outliers!$AY$3:$AY$61,MATCH('SkYSPark Data_w Will''s Data'!C339,Outliers!$B$3:$B$61,0)),0)</f>
        <v>0</v>
      </c>
      <c r="AC339" s="112" t="s">
        <v>392</v>
      </c>
      <c r="AD339" s="138"/>
      <c r="AE339" s="138"/>
      <c r="AF339" s="138"/>
    </row>
    <row r="340" spans="1:73" x14ac:dyDescent="0.3">
      <c r="A340" s="2">
        <v>44958</v>
      </c>
      <c r="B340" s="3">
        <f t="shared" si="34"/>
        <v>2</v>
      </c>
      <c r="C340" s="3" t="s">
        <v>157</v>
      </c>
      <c r="D340" s="3" t="str">
        <f>VLOOKUP(C340,'Data availability'!$A$2:$B$91,2,FALSE)</f>
        <v>Main campus</v>
      </c>
      <c r="E340" s="3">
        <v>42445</v>
      </c>
      <c r="F340" s="3" t="str">
        <f>VLOOKUP(C340,'Data availability'!$A$2:$H$91,8,FALSE)</f>
        <v>Academic</v>
      </c>
      <c r="G340" s="1">
        <v>27489.990234374789</v>
      </c>
      <c r="J340" s="1">
        <v>2547.239999999998</v>
      </c>
      <c r="K340" s="1">
        <v>3255.1141000000321</v>
      </c>
      <c r="M340" s="21">
        <f t="shared" si="30"/>
        <v>2.209820866525781</v>
      </c>
      <c r="N340" s="21">
        <f t="shared" si="31"/>
        <v>0</v>
      </c>
      <c r="O340" s="21">
        <f t="shared" si="32"/>
        <v>6.0012722346566099</v>
      </c>
      <c r="P340" s="21">
        <f t="shared" si="33"/>
        <v>0.92028199316763781</v>
      </c>
      <c r="W340" s="25" t="s">
        <v>310</v>
      </c>
      <c r="Z340" s="211" t="b">
        <f>IFERROR(INDEX(Outliers!$X$3:$X$61,MATCH('SkYSPark Data_w Will''s Data'!C340,Outliers!$B$3:$B$61,0)),0)</f>
        <v>0</v>
      </c>
      <c r="AA340" s="1" t="b">
        <f>IFERROR(INDEX(Outliers!$AP$3:$AP$61,MATCH('SkYSPark Data_w Will''s Data'!C340,Outliers!$B$3:$B$61,0)),0)</f>
        <v>0</v>
      </c>
      <c r="AB340" s="112" t="b">
        <f>IFERROR(INDEX(Outliers!$AY$3:$AY$61,MATCH('SkYSPark Data_w Will''s Data'!C340,Outliers!$B$3:$B$61,0)),0)</f>
        <v>0</v>
      </c>
      <c r="AC340" s="112" t="s">
        <v>392</v>
      </c>
    </row>
    <row r="341" spans="1:73" x14ac:dyDescent="0.3">
      <c r="A341" s="2">
        <v>44986</v>
      </c>
      <c r="B341" s="3">
        <f t="shared" si="34"/>
        <v>3</v>
      </c>
      <c r="C341" s="3" t="s">
        <v>157</v>
      </c>
      <c r="D341" s="3" t="str">
        <f>VLOOKUP(C341,'Data availability'!$A$2:$B$91,2,FALSE)</f>
        <v>Main campus</v>
      </c>
      <c r="E341" s="3">
        <v>42445</v>
      </c>
      <c r="F341" s="3" t="str">
        <f>VLOOKUP(C341,'Data availability'!$A$2:$H$91,8,FALSE)</f>
        <v>Academic</v>
      </c>
      <c r="G341" s="1">
        <v>29663.657013595559</v>
      </c>
      <c r="J341" s="1">
        <v>2671.672073324894</v>
      </c>
      <c r="K341" s="1">
        <v>5646.1296561947966</v>
      </c>
      <c r="M341" s="21">
        <f t="shared" si="30"/>
        <v>2.3845540754008256</v>
      </c>
      <c r="N341" s="21">
        <f t="shared" si="31"/>
        <v>0</v>
      </c>
      <c r="O341" s="21">
        <f t="shared" si="32"/>
        <v>6.2944329681349833</v>
      </c>
      <c r="P341" s="21">
        <f t="shared" si="33"/>
        <v>1.5962670720776901</v>
      </c>
      <c r="W341" s="25" t="s">
        <v>311</v>
      </c>
      <c r="Z341" s="211" t="b">
        <f>IFERROR(INDEX(Outliers!$X$3:$X$61,MATCH('SkYSPark Data_w Will''s Data'!C341,Outliers!$B$3:$B$61,0)),0)</f>
        <v>0</v>
      </c>
      <c r="AA341" s="1" t="b">
        <f>IFERROR(INDEX(Outliers!$AP$3:$AP$61,MATCH('SkYSPark Data_w Will''s Data'!C341,Outliers!$B$3:$B$61,0)),0)</f>
        <v>0</v>
      </c>
      <c r="AB341" s="112" t="b">
        <f>IFERROR(INDEX(Outliers!$AY$3:$AY$61,MATCH('SkYSPark Data_w Will''s Data'!C341,Outliers!$B$3:$B$61,0)),0)</f>
        <v>0</v>
      </c>
      <c r="AC341" s="112" t="s">
        <v>392</v>
      </c>
    </row>
    <row r="342" spans="1:73" x14ac:dyDescent="0.3">
      <c r="A342" s="2">
        <v>45017</v>
      </c>
      <c r="B342" s="3">
        <f t="shared" si="34"/>
        <v>4</v>
      </c>
      <c r="C342" s="3" t="s">
        <v>157</v>
      </c>
      <c r="D342" s="3" t="str">
        <f>VLOOKUP(C342,'Data availability'!$A$2:$B$91,2,FALSE)</f>
        <v>Main campus</v>
      </c>
      <c r="E342" s="3">
        <v>42445</v>
      </c>
      <c r="F342" s="3" t="str">
        <f>VLOOKUP(C342,'Data availability'!$A$2:$H$91,8,FALSE)</f>
        <v>Academic</v>
      </c>
      <c r="G342" s="1">
        <v>28106.362517654779</v>
      </c>
      <c r="J342" s="1">
        <v>1990.152926675102</v>
      </c>
      <c r="K342" s="1">
        <v>11236.98939380549</v>
      </c>
      <c r="M342" s="21">
        <f t="shared" si="30"/>
        <v>2.2593688045762308</v>
      </c>
      <c r="N342" s="21">
        <f t="shared" si="31"/>
        <v>0</v>
      </c>
      <c r="O342" s="21">
        <f t="shared" si="32"/>
        <v>4.6887806023680101</v>
      </c>
      <c r="P342" s="21">
        <f t="shared" si="33"/>
        <v>3.1769082984018349</v>
      </c>
      <c r="Z342" s="211" t="b">
        <f>IFERROR(INDEX(Outliers!$X$3:$X$61,MATCH('SkYSPark Data_w Will''s Data'!C342,Outliers!$B$3:$B$61,0)),0)</f>
        <v>0</v>
      </c>
      <c r="AA342" s="1" t="b">
        <f>IFERROR(INDEX(Outliers!$AP$3:$AP$61,MATCH('SkYSPark Data_w Will''s Data'!C342,Outliers!$B$3:$B$61,0)),0)</f>
        <v>0</v>
      </c>
      <c r="AB342" s="112" t="b">
        <f>IFERROR(INDEX(Outliers!$AY$3:$AY$61,MATCH('SkYSPark Data_w Will''s Data'!C342,Outliers!$B$3:$B$61,0)),0)</f>
        <v>0</v>
      </c>
      <c r="AC342" s="112" t="s">
        <v>392</v>
      </c>
    </row>
    <row r="343" spans="1:73" x14ac:dyDescent="0.3">
      <c r="A343" s="2">
        <v>45047</v>
      </c>
      <c r="B343" s="3">
        <f t="shared" si="34"/>
        <v>5</v>
      </c>
      <c r="C343" s="3" t="s">
        <v>157</v>
      </c>
      <c r="D343" s="3" t="str">
        <f>VLOOKUP(C343,'Data availability'!$A$2:$B$91,2,FALSE)</f>
        <v>Main campus</v>
      </c>
      <c r="E343" s="3">
        <v>42445</v>
      </c>
      <c r="F343" s="3" t="str">
        <f>VLOOKUP(C343,'Data availability'!$A$2:$H$91,8,FALSE)</f>
        <v>Academic</v>
      </c>
      <c r="G343" s="1">
        <v>30470.031738280672</v>
      </c>
      <c r="J343" s="1">
        <v>1572.8850000000159</v>
      </c>
      <c r="K343" s="1">
        <v>14028.76124999986</v>
      </c>
      <c r="M343" s="21">
        <f t="shared" si="30"/>
        <v>2.4493756223586676</v>
      </c>
      <c r="N343" s="21">
        <f t="shared" si="31"/>
        <v>0</v>
      </c>
      <c r="O343" s="21">
        <f t="shared" si="32"/>
        <v>3.7057014960537544</v>
      </c>
      <c r="P343" s="21">
        <f t="shared" si="33"/>
        <v>3.9661947225821255</v>
      </c>
      <c r="Z343" s="211" t="b">
        <f>IFERROR(INDEX(Outliers!$X$3:$X$61,MATCH('SkYSPark Data_w Will''s Data'!C343,Outliers!$B$3:$B$61,0)),0)</f>
        <v>0</v>
      </c>
      <c r="AA343" s="1" t="b">
        <f>IFERROR(INDEX(Outliers!$AP$3:$AP$61,MATCH('SkYSPark Data_w Will''s Data'!C343,Outliers!$B$3:$B$61,0)),0)</f>
        <v>0</v>
      </c>
      <c r="AB343" s="112" t="b">
        <f>IFERROR(INDEX(Outliers!$AY$3:$AY$61,MATCH('SkYSPark Data_w Will''s Data'!C343,Outliers!$B$3:$B$61,0)),0)</f>
        <v>0</v>
      </c>
      <c r="AC343" s="112" t="s">
        <v>392</v>
      </c>
    </row>
    <row r="344" spans="1:73" x14ac:dyDescent="0.3">
      <c r="A344" s="2">
        <v>45078</v>
      </c>
      <c r="B344" s="3">
        <f t="shared" si="34"/>
        <v>6</v>
      </c>
      <c r="C344" s="3" t="s">
        <v>157</v>
      </c>
      <c r="D344" s="3" t="str">
        <f>VLOOKUP(C344,'Data availability'!$A$2:$B$91,2,FALSE)</f>
        <v>Main campus</v>
      </c>
      <c r="E344" s="3">
        <v>42445</v>
      </c>
      <c r="F344" s="3" t="str">
        <f>VLOOKUP(C344,'Data availability'!$A$2:$H$91,8,FALSE)</f>
        <v>Academic</v>
      </c>
      <c r="G344" s="1">
        <v>29117.11774553539</v>
      </c>
      <c r="J344" s="1">
        <v>976.00714285713502</v>
      </c>
      <c r="K344" s="1">
        <v>16709.759849999758</v>
      </c>
      <c r="M344" s="21">
        <f t="shared" si="30"/>
        <v>2.340619760814389</v>
      </c>
      <c r="N344" s="21">
        <f t="shared" si="31"/>
        <v>0</v>
      </c>
      <c r="O344" s="21">
        <f t="shared" si="32"/>
        <v>2.2994631708260926</v>
      </c>
      <c r="P344" s="21">
        <f t="shared" si="33"/>
        <v>4.7241634633053859</v>
      </c>
      <c r="Z344" s="211" t="b">
        <f>IFERROR(INDEX(Outliers!$X$3:$X$61,MATCH('SkYSPark Data_w Will''s Data'!C344,Outliers!$B$3:$B$61,0)),0)</f>
        <v>0</v>
      </c>
      <c r="AA344" s="1" t="b">
        <f>IFERROR(INDEX(Outliers!$AP$3:$AP$61,MATCH('SkYSPark Data_w Will''s Data'!C344,Outliers!$B$3:$B$61,0)),0)</f>
        <v>0</v>
      </c>
      <c r="AB344" s="112" t="b">
        <f>IFERROR(INDEX(Outliers!$AY$3:$AY$61,MATCH('SkYSPark Data_w Will''s Data'!C344,Outliers!$B$3:$B$61,0)),0)</f>
        <v>0</v>
      </c>
      <c r="AC344" s="112" t="s">
        <v>392</v>
      </c>
    </row>
    <row r="345" spans="1:73" x14ac:dyDescent="0.3">
      <c r="A345" s="2">
        <v>45108</v>
      </c>
      <c r="B345" s="3">
        <f t="shared" si="34"/>
        <v>7</v>
      </c>
      <c r="C345" s="3" t="s">
        <v>157</v>
      </c>
      <c r="D345" s="3" t="str">
        <f>VLOOKUP(C345,'Data availability'!$A$2:$B$91,2,FALSE)</f>
        <v>Main campus</v>
      </c>
      <c r="E345" s="3">
        <v>42445</v>
      </c>
      <c r="F345" s="3" t="str">
        <f>VLOOKUP(C345,'Data availability'!$A$2:$H$91,8,FALSE)</f>
        <v>Academic</v>
      </c>
      <c r="G345" s="1">
        <v>29932.87004743324</v>
      </c>
      <c r="J345" s="1">
        <v>709.47035714284664</v>
      </c>
      <c r="K345" s="1">
        <v>19793.3205750001</v>
      </c>
      <c r="M345" s="21">
        <f t="shared" si="30"/>
        <v>2.406195137279826</v>
      </c>
      <c r="N345" s="21">
        <f t="shared" si="31"/>
        <v>0</v>
      </c>
      <c r="O345" s="21">
        <f t="shared" si="32"/>
        <v>1.6715051411069539</v>
      </c>
      <c r="P345" s="21">
        <f t="shared" si="33"/>
        <v>5.5959440899988504</v>
      </c>
      <c r="Z345" s="211" t="b">
        <f>IFERROR(INDEX(Outliers!$X$3:$X$61,MATCH('SkYSPark Data_w Will''s Data'!C345,Outliers!$B$3:$B$61,0)),0)</f>
        <v>0</v>
      </c>
      <c r="AA345" s="1" t="b">
        <f>IFERROR(INDEX(Outliers!$AP$3:$AP$61,MATCH('SkYSPark Data_w Will''s Data'!C345,Outliers!$B$3:$B$61,0)),0)</f>
        <v>0</v>
      </c>
      <c r="AB345" s="112" t="b">
        <f>IFERROR(INDEX(Outliers!$AY$3:$AY$61,MATCH('SkYSPark Data_w Will''s Data'!C345,Outliers!$B$3:$B$61,0)),0)</f>
        <v>0</v>
      </c>
      <c r="AC345" s="112" t="s">
        <v>392</v>
      </c>
    </row>
    <row r="346" spans="1:73" x14ac:dyDescent="0.3">
      <c r="A346" s="2">
        <v>45139</v>
      </c>
      <c r="B346" s="3">
        <f t="shared" si="34"/>
        <v>8</v>
      </c>
      <c r="C346" s="3" t="s">
        <v>157</v>
      </c>
      <c r="D346" s="3" t="str">
        <f>VLOOKUP(C346,'Data availability'!$A$2:$B$91,2,FALSE)</f>
        <v>Main campus</v>
      </c>
      <c r="E346" s="3">
        <v>42445</v>
      </c>
      <c r="F346" s="3" t="str">
        <f>VLOOKUP(C346,'Data availability'!$A$2:$H$91,8,FALSE)</f>
        <v>Academic</v>
      </c>
      <c r="G346" s="1">
        <v>26739.716448103001</v>
      </c>
      <c r="J346" s="1">
        <v>166.538642857144</v>
      </c>
      <c r="K346" s="1">
        <v>13280.898015000061</v>
      </c>
      <c r="M346" s="21">
        <f t="shared" si="30"/>
        <v>2.1495090710549518</v>
      </c>
      <c r="N346" s="21">
        <f t="shared" si="31"/>
        <v>0</v>
      </c>
      <c r="O346" s="21">
        <f t="shared" si="32"/>
        <v>0.39236339464517378</v>
      </c>
      <c r="P346" s="21">
        <f t="shared" si="33"/>
        <v>3.7547597168100069</v>
      </c>
      <c r="Z346" s="211" t="b">
        <f>IFERROR(INDEX(Outliers!$X$3:$X$61,MATCH('SkYSPark Data_w Will''s Data'!C346,Outliers!$B$3:$B$61,0)),0)</f>
        <v>0</v>
      </c>
      <c r="AA346" s="1" t="b">
        <f>IFERROR(INDEX(Outliers!$AP$3:$AP$61,MATCH('SkYSPark Data_w Will''s Data'!C346,Outliers!$B$3:$B$61,0)),0)</f>
        <v>0</v>
      </c>
      <c r="AB346" s="112" t="b">
        <f>IFERROR(INDEX(Outliers!$AY$3:$AY$61,MATCH('SkYSPark Data_w Will''s Data'!C346,Outliers!$B$3:$B$61,0)),0)</f>
        <v>0</v>
      </c>
      <c r="AC346" s="112" t="s">
        <v>392</v>
      </c>
    </row>
    <row r="347" spans="1:73" x14ac:dyDescent="0.3">
      <c r="A347" s="2">
        <v>45170</v>
      </c>
      <c r="B347" s="3">
        <f t="shared" si="34"/>
        <v>9</v>
      </c>
      <c r="C347" s="3" t="s">
        <v>157</v>
      </c>
      <c r="D347" s="3" t="str">
        <f>VLOOKUP(C347,'Data availability'!$A$2:$B$91,2,FALSE)</f>
        <v>Main campus</v>
      </c>
      <c r="E347" s="3">
        <v>42445</v>
      </c>
      <c r="F347" s="3" t="str">
        <f>VLOOKUP(C347,'Data availability'!$A$2:$H$91,8,FALSE)</f>
        <v>Academic</v>
      </c>
      <c r="G347" s="1">
        <v>30128.124999999789</v>
      </c>
      <c r="J347" s="1">
        <v>73.614214285713416</v>
      </c>
      <c r="K347" s="1">
        <v>11969.82949749991</v>
      </c>
      <c r="M347" s="21">
        <f t="shared" si="30"/>
        <v>2.4218909765578815</v>
      </c>
      <c r="N347" s="21">
        <f t="shared" si="31"/>
        <v>0</v>
      </c>
      <c r="O347" s="21">
        <f t="shared" si="32"/>
        <v>0.17343436043282698</v>
      </c>
      <c r="P347" s="21">
        <f t="shared" si="33"/>
        <v>3.3840959823300487</v>
      </c>
      <c r="Z347" s="211" t="b">
        <f>IFERROR(INDEX(Outliers!$X$3:$X$61,MATCH('SkYSPark Data_w Will''s Data'!C347,Outliers!$B$3:$B$61,0)),0)</f>
        <v>0</v>
      </c>
      <c r="AA347" s="1" t="b">
        <f>IFERROR(INDEX(Outliers!$AP$3:$AP$61,MATCH('SkYSPark Data_w Will''s Data'!C347,Outliers!$B$3:$B$61,0)),0)</f>
        <v>0</v>
      </c>
      <c r="AB347" s="112" t="b">
        <f>IFERROR(INDEX(Outliers!$AY$3:$AY$61,MATCH('SkYSPark Data_w Will''s Data'!C347,Outliers!$B$3:$B$61,0)),0)</f>
        <v>0</v>
      </c>
      <c r="AC347" s="112" t="s">
        <v>392</v>
      </c>
    </row>
    <row r="348" spans="1:73" x14ac:dyDescent="0.3">
      <c r="A348" s="2">
        <v>45200</v>
      </c>
      <c r="B348" s="3">
        <f t="shared" si="34"/>
        <v>10</v>
      </c>
      <c r="C348" s="3" t="s">
        <v>157</v>
      </c>
      <c r="D348" s="3" t="str">
        <f>VLOOKUP(C348,'Data availability'!$A$2:$B$91,2,FALSE)</f>
        <v>Main campus</v>
      </c>
      <c r="E348" s="3">
        <v>42445</v>
      </c>
      <c r="F348" s="3" t="str">
        <f>VLOOKUP(C348,'Data availability'!$A$2:$H$91,8,FALSE)</f>
        <v>Academic</v>
      </c>
      <c r="G348" s="1">
        <v>32052.141462053729</v>
      </c>
      <c r="J348" s="1">
        <v>219.08464285714109</v>
      </c>
      <c r="K348" s="1">
        <v>12346.040262500161</v>
      </c>
      <c r="M348" s="21">
        <f t="shared" si="30"/>
        <v>2.5765556995765655</v>
      </c>
      <c r="N348" s="21">
        <f t="shared" si="31"/>
        <v>0</v>
      </c>
      <c r="O348" s="21">
        <f t="shared" si="32"/>
        <v>0.51616125069417151</v>
      </c>
      <c r="P348" s="21">
        <f t="shared" si="33"/>
        <v>3.4904578430911046</v>
      </c>
      <c r="Z348" s="211" t="b">
        <f>IFERROR(INDEX(Outliers!$X$3:$X$61,MATCH('SkYSPark Data_w Will''s Data'!C348,Outliers!$B$3:$B$61,0)),0)</f>
        <v>0</v>
      </c>
      <c r="AA348" s="1" t="b">
        <f>IFERROR(INDEX(Outliers!$AP$3:$AP$61,MATCH('SkYSPark Data_w Will''s Data'!C348,Outliers!$B$3:$B$61,0)),0)</f>
        <v>0</v>
      </c>
      <c r="AB348" s="112" t="b">
        <f>IFERROR(INDEX(Outliers!$AY$3:$AY$61,MATCH('SkYSPark Data_w Will''s Data'!C348,Outliers!$B$3:$B$61,0)),0)</f>
        <v>0</v>
      </c>
      <c r="AC348" s="112" t="s">
        <v>392</v>
      </c>
    </row>
    <row r="349" spans="1:73" x14ac:dyDescent="0.3">
      <c r="A349" s="2">
        <v>45231</v>
      </c>
      <c r="B349" s="3">
        <f t="shared" si="34"/>
        <v>11</v>
      </c>
      <c r="C349" s="3" t="s">
        <v>157</v>
      </c>
      <c r="D349" s="3" t="str">
        <f>VLOOKUP(C349,'Data availability'!$A$2:$B$91,2,FALSE)</f>
        <v>Main campus</v>
      </c>
      <c r="E349" s="3">
        <v>42445</v>
      </c>
      <c r="F349" s="3" t="str">
        <f>VLOOKUP(C349,'Data availability'!$A$2:$H$91,8,FALSE)</f>
        <v>Academic</v>
      </c>
      <c r="G349" s="1">
        <v>29549.180327868511</v>
      </c>
      <c r="J349" s="1">
        <v>680.44943253467693</v>
      </c>
      <c r="K349" s="1">
        <v>7059.5806703657036</v>
      </c>
      <c r="M349" s="21">
        <f t="shared" si="30"/>
        <v>2.3753517087686973</v>
      </c>
      <c r="N349" s="21">
        <f t="shared" si="31"/>
        <v>0</v>
      </c>
      <c r="O349" s="21">
        <f t="shared" si="32"/>
        <v>1.6031321298967531</v>
      </c>
      <c r="P349" s="21">
        <f t="shared" si="33"/>
        <v>1.9958762644454811</v>
      </c>
      <c r="Z349" s="211" t="b">
        <f>IFERROR(INDEX(Outliers!$X$3:$X$61,MATCH('SkYSPark Data_w Will''s Data'!C349,Outliers!$B$3:$B$61,0)),0)</f>
        <v>0</v>
      </c>
      <c r="AA349" s="1" t="b">
        <f>IFERROR(INDEX(Outliers!$AP$3:$AP$61,MATCH('SkYSPark Data_w Will''s Data'!C349,Outliers!$B$3:$B$61,0)),0)</f>
        <v>0</v>
      </c>
      <c r="AB349" s="112" t="b">
        <f>IFERROR(INDEX(Outliers!$AY$3:$AY$61,MATCH('SkYSPark Data_w Will''s Data'!C349,Outliers!$B$3:$B$61,0)),0)</f>
        <v>0</v>
      </c>
      <c r="AC349" s="112" t="s">
        <v>392</v>
      </c>
    </row>
    <row r="350" spans="1:73" x14ac:dyDescent="0.3">
      <c r="A350" s="2">
        <v>45261</v>
      </c>
      <c r="B350" s="3">
        <f t="shared" si="34"/>
        <v>12</v>
      </c>
      <c r="C350" s="3" t="s">
        <v>157</v>
      </c>
      <c r="D350" s="3" t="str">
        <f>VLOOKUP(C350,'Data availability'!$A$2:$B$91,2,FALSE)</f>
        <v>Main campus</v>
      </c>
      <c r="E350" s="3">
        <v>42445</v>
      </c>
      <c r="F350" s="3" t="str">
        <f>VLOOKUP(C350,'Data availability'!$A$2:$H$91,8,FALSE)</f>
        <v>Academic</v>
      </c>
      <c r="G350" s="1">
        <v>31819.80876157089</v>
      </c>
      <c r="J350" s="1">
        <v>980.88091229291877</v>
      </c>
      <c r="K350" s="1">
        <v>3877.3646399791551</v>
      </c>
      <c r="M350" s="21">
        <f t="shared" si="30"/>
        <v>2.5578793142768261</v>
      </c>
      <c r="N350" s="21">
        <f t="shared" si="31"/>
        <v>0</v>
      </c>
      <c r="O350" s="21">
        <f t="shared" si="32"/>
        <v>2.3109457233900783</v>
      </c>
      <c r="P350" s="21">
        <f t="shared" si="33"/>
        <v>1.0962039269584136</v>
      </c>
      <c r="Z350" s="211" t="b">
        <f>IFERROR(INDEX(Outliers!$X$3:$X$61,MATCH('SkYSPark Data_w Will''s Data'!C350,Outliers!$B$3:$B$61,0)),0)</f>
        <v>0</v>
      </c>
      <c r="AA350" s="1" t="b">
        <f>IFERROR(INDEX(Outliers!$AP$3:$AP$61,MATCH('SkYSPark Data_w Will''s Data'!C350,Outliers!$B$3:$B$61,0)),0)</f>
        <v>0</v>
      </c>
      <c r="AB350" s="112" t="b">
        <f>IFERROR(INDEX(Outliers!$AY$3:$AY$61,MATCH('SkYSPark Data_w Will''s Data'!C350,Outliers!$B$3:$B$61,0)),0)</f>
        <v>0</v>
      </c>
      <c r="AC350" s="112" t="s">
        <v>392</v>
      </c>
    </row>
    <row r="351" spans="1:73" s="15" customFormat="1" x14ac:dyDescent="0.3">
      <c r="A351" s="38">
        <v>44927</v>
      </c>
      <c r="B351" s="3">
        <f t="shared" si="34"/>
        <v>1</v>
      </c>
      <c r="C351" s="22" t="s">
        <v>158</v>
      </c>
      <c r="D351" s="3" t="str">
        <f>VLOOKUP(C351,'Data availability'!$A$2:$B$91,2,FALSE)</f>
        <v>Main campus</v>
      </c>
      <c r="E351" s="22">
        <v>73315</v>
      </c>
      <c r="F351" s="3" t="str">
        <f>VLOOKUP(C351,'Data availability'!$A$2:$H$91,8,FALSE)</f>
        <v>Academic</v>
      </c>
      <c r="G351" s="21">
        <v>41521.352833714918</v>
      </c>
      <c r="H351" s="21"/>
      <c r="I351" s="21"/>
      <c r="J351" s="16"/>
      <c r="K351" s="21">
        <v>4237.287165517153</v>
      </c>
      <c r="L351" s="20"/>
      <c r="M351" s="21">
        <f t="shared" si="30"/>
        <v>1.932358396898797</v>
      </c>
      <c r="N351" s="21">
        <f t="shared" si="31"/>
        <v>0</v>
      </c>
      <c r="O351" s="21">
        <f t="shared" si="32"/>
        <v>0</v>
      </c>
      <c r="P351" s="21">
        <f t="shared" si="33"/>
        <v>0.69354765036085164</v>
      </c>
      <c r="Q351" s="21">
        <f>(SUM(G351:G362)*3.412)/E351</f>
        <v>27.031274631834517</v>
      </c>
      <c r="R351" s="21">
        <f>(SUM(I351:I362)*100)/E351</f>
        <v>0</v>
      </c>
      <c r="S351" s="21">
        <f>(SUM(J351:J362)*100)/E351</f>
        <v>0</v>
      </c>
      <c r="T351" s="21">
        <f>(SUM(K351:K362)*12)/E351</f>
        <v>16.250115700037863</v>
      </c>
      <c r="U351" s="21"/>
      <c r="V351" s="34">
        <f>SUM(Q351:T351)</f>
        <v>43.28139033187238</v>
      </c>
      <c r="W351" s="30" t="s">
        <v>312</v>
      </c>
      <c r="X351" s="20"/>
      <c r="Y351" s="21" t="s">
        <v>657</v>
      </c>
      <c r="Z351" s="211" t="b">
        <f>IFERROR(INDEX(Outliers!$X$3:$X$61,MATCH('SkYSPark Data_w Will''s Data'!C351,Outliers!$B$3:$B$61,0)),0)</f>
        <v>0</v>
      </c>
      <c r="AA351" s="1" t="b">
        <f>IFERROR(INDEX(Outliers!$AP$3:$AP$61,MATCH('SkYSPark Data_w Will''s Data'!C351,Outliers!$B$3:$B$61,0)),0)</f>
        <v>1</v>
      </c>
      <c r="AB351" s="112" t="b">
        <f>IFERROR(INDEX(Outliers!$AY$3:$AY$61,MATCH('SkYSPark Data_w Will''s Data'!C351,Outliers!$B$3:$B$61,0)),0)</f>
        <v>0</v>
      </c>
      <c r="AC351" s="112" t="s">
        <v>392</v>
      </c>
      <c r="AD351" s="138"/>
      <c r="AE351" s="138"/>
      <c r="AF351" s="137"/>
    </row>
    <row r="352" spans="1:73" x14ac:dyDescent="0.3">
      <c r="A352" s="2">
        <v>44958</v>
      </c>
      <c r="B352" s="3">
        <f t="shared" si="34"/>
        <v>2</v>
      </c>
      <c r="C352" s="3" t="s">
        <v>158</v>
      </c>
      <c r="D352" s="3" t="str">
        <f>VLOOKUP(C352,'Data availability'!$A$2:$B$91,2,FALSE)</f>
        <v>Main campus</v>
      </c>
      <c r="E352" s="3">
        <v>73315</v>
      </c>
      <c r="F352" s="3" t="str">
        <f>VLOOKUP(C352,'Data availability'!$A$2:$H$91,8,FALSE)</f>
        <v>Academic</v>
      </c>
      <c r="G352" s="1">
        <v>41570.007324219296</v>
      </c>
      <c r="J352" s="9"/>
      <c r="K352" s="1">
        <v>5228.9075999999386</v>
      </c>
      <c r="M352" s="21">
        <f t="shared" si="30"/>
        <v>1.9346227237296083</v>
      </c>
      <c r="N352" s="21">
        <f t="shared" si="31"/>
        <v>0</v>
      </c>
      <c r="O352" s="21">
        <f t="shared" si="32"/>
        <v>0</v>
      </c>
      <c r="P352" s="21">
        <f t="shared" si="33"/>
        <v>0.85585338880173589</v>
      </c>
      <c r="W352" s="25" t="s">
        <v>313</v>
      </c>
      <c r="Z352" s="211" t="b">
        <f>IFERROR(INDEX(Outliers!$X$3:$X$61,MATCH('SkYSPark Data_w Will''s Data'!C352,Outliers!$B$3:$B$61,0)),0)</f>
        <v>0</v>
      </c>
      <c r="AA352" s="1" t="b">
        <f>IFERROR(INDEX(Outliers!$AP$3:$AP$61,MATCH('SkYSPark Data_w Will''s Data'!C352,Outliers!$B$3:$B$61,0)),0)</f>
        <v>1</v>
      </c>
      <c r="AB352" s="112" t="b">
        <f>IFERROR(INDEX(Outliers!$AY$3:$AY$61,MATCH('SkYSPark Data_w Will''s Data'!C352,Outliers!$B$3:$B$61,0)),0)</f>
        <v>0</v>
      </c>
      <c r="AC352" s="112" t="s">
        <v>392</v>
      </c>
      <c r="AF352" s="132"/>
    </row>
    <row r="353" spans="1:32" x14ac:dyDescent="0.3">
      <c r="A353" s="2">
        <v>44986</v>
      </c>
      <c r="B353" s="3">
        <f t="shared" si="34"/>
        <v>3</v>
      </c>
      <c r="C353" s="3" t="s">
        <v>158</v>
      </c>
      <c r="D353" s="3" t="str">
        <f>VLOOKUP(C353,'Data availability'!$A$2:$B$91,2,FALSE)</f>
        <v>Main campus</v>
      </c>
      <c r="E353" s="3">
        <v>73315</v>
      </c>
      <c r="F353" s="3" t="str">
        <f>VLOOKUP(C353,'Data availability'!$A$2:$H$91,8,FALSE)</f>
        <v>Academic</v>
      </c>
      <c r="G353" s="1">
        <v>47980.287419257802</v>
      </c>
      <c r="J353" s="9"/>
      <c r="K353" s="1">
        <v>7140.0639756638011</v>
      </c>
      <c r="M353" s="21">
        <f t="shared" si="30"/>
        <v>2.2329501558276972</v>
      </c>
      <c r="N353" s="21">
        <f t="shared" si="31"/>
        <v>0</v>
      </c>
      <c r="O353" s="21">
        <f t="shared" si="32"/>
        <v>0</v>
      </c>
      <c r="P353" s="21">
        <f t="shared" si="33"/>
        <v>1.168666271676541</v>
      </c>
      <c r="W353" s="1" t="s">
        <v>717</v>
      </c>
      <c r="X353" s="23" t="s">
        <v>656</v>
      </c>
      <c r="Z353" s="211" t="b">
        <f>IFERROR(INDEX(Outliers!$X$3:$X$61,MATCH('SkYSPark Data_w Will''s Data'!C353,Outliers!$B$3:$B$61,0)),0)</f>
        <v>0</v>
      </c>
      <c r="AA353" s="1" t="b">
        <f>IFERROR(INDEX(Outliers!$AP$3:$AP$61,MATCH('SkYSPark Data_w Will''s Data'!C353,Outliers!$B$3:$B$61,0)),0)</f>
        <v>1</v>
      </c>
      <c r="AB353" s="112" t="b">
        <f>IFERROR(INDEX(Outliers!$AY$3:$AY$61,MATCH('SkYSPark Data_w Will''s Data'!C353,Outliers!$B$3:$B$61,0)),0)</f>
        <v>0</v>
      </c>
      <c r="AC353" s="112" t="s">
        <v>392</v>
      </c>
      <c r="AF353" s="132"/>
    </row>
    <row r="354" spans="1:32" x14ac:dyDescent="0.3">
      <c r="A354" s="2">
        <v>45017</v>
      </c>
      <c r="B354" s="3">
        <f t="shared" si="34"/>
        <v>4</v>
      </c>
      <c r="C354" s="3" t="s">
        <v>158</v>
      </c>
      <c r="D354" s="3" t="str">
        <f>VLOOKUP(C354,'Data availability'!$A$2:$B$91,2,FALSE)</f>
        <v>Main campus</v>
      </c>
      <c r="E354" s="3">
        <v>73315</v>
      </c>
      <c r="F354" s="3" t="str">
        <f>VLOOKUP(C354,'Data availability'!$A$2:$H$91,8,FALSE)</f>
        <v>Academic</v>
      </c>
      <c r="G354" s="1">
        <v>45639.707697929654</v>
      </c>
      <c r="J354" s="9"/>
      <c r="K354" s="1">
        <v>7214.275324336234</v>
      </c>
      <c r="M354" s="21">
        <f t="shared" si="30"/>
        <v>2.1240221327877786</v>
      </c>
      <c r="N354" s="21">
        <f t="shared" si="31"/>
        <v>0</v>
      </c>
      <c r="O354" s="21">
        <f t="shared" si="32"/>
        <v>0</v>
      </c>
      <c r="P354" s="21">
        <f t="shared" si="33"/>
        <v>1.1808129835918271</v>
      </c>
      <c r="W354" s="25" t="s">
        <v>315</v>
      </c>
      <c r="Z354" s="211" t="b">
        <f>IFERROR(INDEX(Outliers!$X$3:$X$61,MATCH('SkYSPark Data_w Will''s Data'!C354,Outliers!$B$3:$B$61,0)),0)</f>
        <v>0</v>
      </c>
      <c r="AA354" s="1" t="b">
        <f>IFERROR(INDEX(Outliers!$AP$3:$AP$61,MATCH('SkYSPark Data_w Will''s Data'!C354,Outliers!$B$3:$B$61,0)),0)</f>
        <v>1</v>
      </c>
      <c r="AB354" s="112" t="b">
        <f>IFERROR(INDEX(Outliers!$AY$3:$AY$61,MATCH('SkYSPark Data_w Will''s Data'!C354,Outliers!$B$3:$B$61,0)),0)</f>
        <v>0</v>
      </c>
      <c r="AC354" s="112" t="s">
        <v>392</v>
      </c>
      <c r="AF354" s="132"/>
    </row>
    <row r="355" spans="1:32" x14ac:dyDescent="0.3">
      <c r="A355" s="2">
        <v>45047</v>
      </c>
      <c r="B355" s="3">
        <f t="shared" si="34"/>
        <v>5</v>
      </c>
      <c r="C355" s="3" t="s">
        <v>158</v>
      </c>
      <c r="D355" s="3" t="str">
        <f>VLOOKUP(C355,'Data availability'!$A$2:$B$91,2,FALSE)</f>
        <v>Main campus</v>
      </c>
      <c r="E355" s="3">
        <v>73315</v>
      </c>
      <c r="F355" s="3" t="str">
        <f>VLOOKUP(C355,'Data availability'!$A$2:$H$91,8,FALSE)</f>
        <v>Academic</v>
      </c>
      <c r="G355" s="1">
        <v>44350.03662109431</v>
      </c>
      <c r="J355" s="9"/>
      <c r="K355" s="1">
        <v>7305.4099999999771</v>
      </c>
      <c r="M355" s="21">
        <f t="shared" si="30"/>
        <v>2.0640022498966624</v>
      </c>
      <c r="N355" s="21">
        <f t="shared" si="31"/>
        <v>0</v>
      </c>
      <c r="O355" s="21">
        <f t="shared" si="32"/>
        <v>0</v>
      </c>
      <c r="P355" s="21">
        <f t="shared" si="33"/>
        <v>1.1957296596876454</v>
      </c>
      <c r="Z355" s="211" t="b">
        <f>IFERROR(INDEX(Outliers!$X$3:$X$61,MATCH('SkYSPark Data_w Will''s Data'!C355,Outliers!$B$3:$B$61,0)),0)</f>
        <v>0</v>
      </c>
      <c r="AA355" s="1" t="b">
        <f>IFERROR(INDEX(Outliers!$AP$3:$AP$61,MATCH('SkYSPark Data_w Will''s Data'!C355,Outliers!$B$3:$B$61,0)),0)</f>
        <v>1</v>
      </c>
      <c r="AB355" s="112" t="b">
        <f>IFERROR(INDEX(Outliers!$AY$3:$AY$61,MATCH('SkYSPark Data_w Will''s Data'!C355,Outliers!$B$3:$B$61,0)),0)</f>
        <v>0</v>
      </c>
      <c r="AC355" s="112" t="s">
        <v>392</v>
      </c>
      <c r="AF355" s="132"/>
    </row>
    <row r="356" spans="1:32" x14ac:dyDescent="0.3">
      <c r="A356" s="2">
        <v>45078</v>
      </c>
      <c r="B356" s="3">
        <f t="shared" si="34"/>
        <v>6</v>
      </c>
      <c r="C356" s="3" t="s">
        <v>158</v>
      </c>
      <c r="D356" s="3" t="str">
        <f>VLOOKUP(C356,'Data availability'!$A$2:$B$91,2,FALSE)</f>
        <v>Main campus</v>
      </c>
      <c r="E356" s="3">
        <v>73315</v>
      </c>
      <c r="F356" s="3" t="str">
        <f>VLOOKUP(C356,'Data availability'!$A$2:$H$91,8,FALSE)</f>
        <v>Academic</v>
      </c>
      <c r="G356" s="1">
        <v>42468.231945503197</v>
      </c>
      <c r="J356" s="9"/>
      <c r="K356" s="1">
        <v>9466.6234207316393</v>
      </c>
      <c r="M356" s="21">
        <f t="shared" si="30"/>
        <v>1.9764251162525666</v>
      </c>
      <c r="N356" s="21">
        <f t="shared" si="31"/>
        <v>0</v>
      </c>
      <c r="O356" s="21">
        <f t="shared" si="32"/>
        <v>0</v>
      </c>
      <c r="P356" s="21">
        <f t="shared" si="33"/>
        <v>1.5494712002834301</v>
      </c>
      <c r="Z356" s="211" t="b">
        <f>IFERROR(INDEX(Outliers!$X$3:$X$61,MATCH('SkYSPark Data_w Will''s Data'!C356,Outliers!$B$3:$B$61,0)),0)</f>
        <v>0</v>
      </c>
      <c r="AA356" s="1" t="b">
        <f>IFERROR(INDEX(Outliers!$AP$3:$AP$61,MATCH('SkYSPark Data_w Will''s Data'!C356,Outliers!$B$3:$B$61,0)),0)</f>
        <v>1</v>
      </c>
      <c r="AB356" s="112" t="b">
        <f>IFERROR(INDEX(Outliers!$AY$3:$AY$61,MATCH('SkYSPark Data_w Will''s Data'!C356,Outliers!$B$3:$B$61,0)),0)</f>
        <v>0</v>
      </c>
      <c r="AC356" s="112" t="s">
        <v>392</v>
      </c>
      <c r="AF356" s="132"/>
    </row>
    <row r="357" spans="1:32" x14ac:dyDescent="0.3">
      <c r="A357" s="2">
        <v>45108</v>
      </c>
      <c r="B357" s="3">
        <f t="shared" si="34"/>
        <v>7</v>
      </c>
      <c r="C357" s="3" t="s">
        <v>158</v>
      </c>
      <c r="D357" s="3" t="str">
        <f>VLOOKUP(C357,'Data availability'!$A$2:$B$91,2,FALSE)</f>
        <v>Main campus</v>
      </c>
      <c r="E357" s="3">
        <v>73315</v>
      </c>
      <c r="F357" s="3" t="str">
        <f>VLOOKUP(C357,'Data availability'!$A$2:$H$91,8,FALSE)</f>
        <v>Academic</v>
      </c>
      <c r="G357" s="1">
        <v>44341.765613090778</v>
      </c>
      <c r="J357" s="9"/>
      <c r="K357" s="1">
        <v>11782.31110426844</v>
      </c>
      <c r="M357" s="21">
        <f t="shared" si="30"/>
        <v>2.0636173262206334</v>
      </c>
      <c r="N357" s="21">
        <f t="shared" si="31"/>
        <v>0</v>
      </c>
      <c r="O357" s="21">
        <f t="shared" si="32"/>
        <v>0</v>
      </c>
      <c r="P357" s="21">
        <f t="shared" si="33"/>
        <v>1.9284966685019611</v>
      </c>
      <c r="Z357" s="211" t="b">
        <f>IFERROR(INDEX(Outliers!$X$3:$X$61,MATCH('SkYSPark Data_w Will''s Data'!C357,Outliers!$B$3:$B$61,0)),0)</f>
        <v>0</v>
      </c>
      <c r="AA357" s="1" t="b">
        <f>IFERROR(INDEX(Outliers!$AP$3:$AP$61,MATCH('SkYSPark Data_w Will''s Data'!C357,Outliers!$B$3:$B$61,0)),0)</f>
        <v>1</v>
      </c>
      <c r="AB357" s="112" t="b">
        <f>IFERROR(INDEX(Outliers!$AY$3:$AY$61,MATCH('SkYSPark Data_w Will''s Data'!C357,Outliers!$B$3:$B$61,0)),0)</f>
        <v>0</v>
      </c>
      <c r="AC357" s="112" t="s">
        <v>392</v>
      </c>
      <c r="AF357" s="132"/>
    </row>
    <row r="358" spans="1:32" x14ac:dyDescent="0.3">
      <c r="A358" s="2">
        <v>45139</v>
      </c>
      <c r="B358" s="3">
        <f t="shared" si="34"/>
        <v>8</v>
      </c>
      <c r="C358" s="3" t="s">
        <v>158</v>
      </c>
      <c r="D358" s="3" t="str">
        <f>VLOOKUP(C358,'Data availability'!$A$2:$B$91,2,FALSE)</f>
        <v>Main campus</v>
      </c>
      <c r="E358" s="3">
        <v>73315</v>
      </c>
      <c r="F358" s="3" t="str">
        <f>VLOOKUP(C358,'Data availability'!$A$2:$H$91,8,FALSE)</f>
        <v>Academic</v>
      </c>
      <c r="G358" s="1">
        <v>48935.687255858698</v>
      </c>
      <c r="K358" s="1">
        <v>13633.455744999799</v>
      </c>
      <c r="M358" s="21">
        <f t="shared" si="30"/>
        <v>2.2774134204049634</v>
      </c>
      <c r="N358" s="21">
        <f t="shared" si="31"/>
        <v>0</v>
      </c>
      <c r="O358" s="21">
        <f t="shared" si="32"/>
        <v>0</v>
      </c>
      <c r="P358" s="21">
        <f t="shared" si="33"/>
        <v>2.2314869936574726</v>
      </c>
      <c r="Z358" s="211" t="b">
        <f>IFERROR(INDEX(Outliers!$X$3:$X$61,MATCH('SkYSPark Data_w Will''s Data'!C358,Outliers!$B$3:$B$61,0)),0)</f>
        <v>0</v>
      </c>
      <c r="AA358" s="1" t="b">
        <f>IFERROR(INDEX(Outliers!$AP$3:$AP$61,MATCH('SkYSPark Data_w Will''s Data'!C358,Outliers!$B$3:$B$61,0)),0)</f>
        <v>1</v>
      </c>
      <c r="AB358" s="112" t="b">
        <f>IFERROR(INDEX(Outliers!$AY$3:$AY$61,MATCH('SkYSPark Data_w Will''s Data'!C358,Outliers!$B$3:$B$61,0)),0)</f>
        <v>0</v>
      </c>
      <c r="AC358" s="112" t="s">
        <v>392</v>
      </c>
      <c r="AF358" s="132"/>
    </row>
    <row r="359" spans="1:32" x14ac:dyDescent="0.3">
      <c r="A359" s="2">
        <v>45170</v>
      </c>
      <c r="B359" s="3">
        <f t="shared" si="34"/>
        <v>9</v>
      </c>
      <c r="C359" s="3" t="s">
        <v>158</v>
      </c>
      <c r="D359" s="3" t="str">
        <f>VLOOKUP(C359,'Data availability'!$A$2:$B$91,2,FALSE)</f>
        <v>Main campus</v>
      </c>
      <c r="E359" s="3">
        <v>73315</v>
      </c>
      <c r="F359" s="3" t="str">
        <f>VLOOKUP(C359,'Data availability'!$A$2:$H$91,8,FALSE)</f>
        <v>Academic</v>
      </c>
      <c r="G359" s="1">
        <v>54626.117621527374</v>
      </c>
      <c r="K359" s="1">
        <v>10639.797889259429</v>
      </c>
      <c r="M359" s="21">
        <f t="shared" si="30"/>
        <v>2.5422398325670241</v>
      </c>
      <c r="N359" s="21">
        <f t="shared" si="31"/>
        <v>0</v>
      </c>
      <c r="O359" s="21">
        <f t="shared" si="32"/>
        <v>0</v>
      </c>
      <c r="P359" s="21">
        <f t="shared" si="33"/>
        <v>1.741493209726702</v>
      </c>
      <c r="Z359" s="211" t="b">
        <f>IFERROR(INDEX(Outliers!$X$3:$X$61,MATCH('SkYSPark Data_w Will''s Data'!C359,Outliers!$B$3:$B$61,0)),0)</f>
        <v>0</v>
      </c>
      <c r="AA359" s="1" t="b">
        <f>IFERROR(INDEX(Outliers!$AP$3:$AP$61,MATCH('SkYSPark Data_w Will''s Data'!C359,Outliers!$B$3:$B$61,0)),0)</f>
        <v>1</v>
      </c>
      <c r="AB359" s="112" t="b">
        <f>IFERROR(INDEX(Outliers!$AY$3:$AY$61,MATCH('SkYSPark Data_w Will''s Data'!C359,Outliers!$B$3:$B$61,0)),0)</f>
        <v>0</v>
      </c>
      <c r="AC359" s="112" t="s">
        <v>392</v>
      </c>
      <c r="AF359" s="132"/>
    </row>
    <row r="360" spans="1:32" x14ac:dyDescent="0.3">
      <c r="A360" s="2">
        <v>45200</v>
      </c>
      <c r="B360" s="3">
        <f t="shared" si="34"/>
        <v>10</v>
      </c>
      <c r="C360" s="3" t="s">
        <v>158</v>
      </c>
      <c r="D360" s="3" t="str">
        <f>VLOOKUP(C360,'Data availability'!$A$2:$B$91,2,FALSE)</f>
        <v>Main campus</v>
      </c>
      <c r="E360" s="3">
        <v>73315</v>
      </c>
      <c r="F360" s="3" t="str">
        <f>VLOOKUP(C360,'Data availability'!$A$2:$H$91,8,FALSE)</f>
        <v>Academic</v>
      </c>
      <c r="G360" s="1">
        <v>59338.097466362269</v>
      </c>
      <c r="K360" s="1">
        <v>9489.2151407408255</v>
      </c>
      <c r="M360" s="21">
        <f t="shared" ref="M360:M423" si="35">IFERROR((G360*3.412)/E360,0)</f>
        <v>2.7615302264915509</v>
      </c>
      <c r="N360" s="21">
        <f t="shared" ref="N360:N423" si="36">IFERROR((I360*100)/E360,0)</f>
        <v>0</v>
      </c>
      <c r="O360" s="21">
        <f t="shared" ref="O360:O423" si="37">IFERROR((J360*100)/E360,0)</f>
        <v>0</v>
      </c>
      <c r="P360" s="21">
        <f t="shared" ref="P360:P423" si="38">IFERROR((K360*12)/E360,0)</f>
        <v>1.5531689516318614</v>
      </c>
      <c r="Z360" s="211" t="b">
        <f>IFERROR(INDEX(Outliers!$X$3:$X$61,MATCH('SkYSPark Data_w Will''s Data'!C360,Outliers!$B$3:$B$61,0)),0)</f>
        <v>0</v>
      </c>
      <c r="AA360" s="1" t="b">
        <f>IFERROR(INDEX(Outliers!$AP$3:$AP$61,MATCH('SkYSPark Data_w Will''s Data'!C360,Outliers!$B$3:$B$61,0)),0)</f>
        <v>1</v>
      </c>
      <c r="AB360" s="112" t="b">
        <f>IFERROR(INDEX(Outliers!$AY$3:$AY$61,MATCH('SkYSPark Data_w Will''s Data'!C360,Outliers!$B$3:$B$61,0)),0)</f>
        <v>0</v>
      </c>
      <c r="AC360" s="112" t="s">
        <v>392</v>
      </c>
      <c r="AF360" s="132"/>
    </row>
    <row r="361" spans="1:32" x14ac:dyDescent="0.3">
      <c r="A361" s="2">
        <v>45231</v>
      </c>
      <c r="B361" s="3">
        <f t="shared" si="34"/>
        <v>11</v>
      </c>
      <c r="C361" s="3" t="s">
        <v>158</v>
      </c>
      <c r="D361" s="3" t="str">
        <f>VLOOKUP(C361,'Data availability'!$A$2:$B$91,2,FALSE)</f>
        <v>Main campus</v>
      </c>
      <c r="E361" s="3">
        <v>73315</v>
      </c>
      <c r="F361" s="3" t="str">
        <f>VLOOKUP(C361,'Data availability'!$A$2:$H$91,8,FALSE)</f>
        <v>Academic</v>
      </c>
      <c r="G361" s="1">
        <v>53488.6057061174</v>
      </c>
      <c r="K361" s="1">
        <v>6660.0878674968944</v>
      </c>
      <c r="M361" s="21">
        <f t="shared" si="35"/>
        <v>2.4893012708077822</v>
      </c>
      <c r="N361" s="21">
        <f t="shared" si="36"/>
        <v>0</v>
      </c>
      <c r="O361" s="21">
        <f t="shared" si="37"/>
        <v>0</v>
      </c>
      <c r="P361" s="21">
        <f t="shared" si="38"/>
        <v>1.0901050864074573</v>
      </c>
      <c r="Z361" s="211" t="b">
        <f>IFERROR(INDEX(Outliers!$X$3:$X$61,MATCH('SkYSPark Data_w Will''s Data'!C361,Outliers!$B$3:$B$61,0)),0)</f>
        <v>0</v>
      </c>
      <c r="AA361" s="1" t="b">
        <f>IFERROR(INDEX(Outliers!$AP$3:$AP$61,MATCH('SkYSPark Data_w Will''s Data'!C361,Outliers!$B$3:$B$61,0)),0)</f>
        <v>1</v>
      </c>
      <c r="AB361" s="112" t="b">
        <f>IFERROR(INDEX(Outliers!$AY$3:$AY$61,MATCH('SkYSPark Data_w Will''s Data'!C361,Outliers!$B$3:$B$61,0)),0)</f>
        <v>0</v>
      </c>
      <c r="AC361" s="112" t="s">
        <v>392</v>
      </c>
      <c r="AF361" s="132"/>
    </row>
    <row r="362" spans="1:32" x14ac:dyDescent="0.3">
      <c r="A362" s="2">
        <v>45261</v>
      </c>
      <c r="B362" s="3">
        <f t="shared" si="34"/>
        <v>12</v>
      </c>
      <c r="C362" s="3" t="s">
        <v>158</v>
      </c>
      <c r="D362" s="3" t="str">
        <f>VLOOKUP(C362,'Data availability'!$A$2:$B$91,2,FALSE)</f>
        <v>Main campus</v>
      </c>
      <c r="E362" s="3">
        <v>73315</v>
      </c>
      <c r="F362" s="3" t="str">
        <f>VLOOKUP(C362,'Data availability'!$A$2:$H$91,8,FALSE)</f>
        <v>Academic</v>
      </c>
      <c r="G362" s="1">
        <v>56571.843302167108</v>
      </c>
      <c r="K362" s="1">
        <v>6484.0008126755301</v>
      </c>
      <c r="M362" s="21">
        <f t="shared" si="35"/>
        <v>2.6327917799494531</v>
      </c>
      <c r="N362" s="21">
        <f t="shared" si="36"/>
        <v>0</v>
      </c>
      <c r="O362" s="21">
        <f t="shared" si="37"/>
        <v>0</v>
      </c>
      <c r="P362" s="21">
        <f t="shared" si="38"/>
        <v>1.0612836357103779</v>
      </c>
      <c r="Z362" s="211" t="b">
        <f>IFERROR(INDEX(Outliers!$X$3:$X$61,MATCH('SkYSPark Data_w Will''s Data'!C362,Outliers!$B$3:$B$61,0)),0)</f>
        <v>0</v>
      </c>
      <c r="AA362" s="1" t="b">
        <f>IFERROR(INDEX(Outliers!$AP$3:$AP$61,MATCH('SkYSPark Data_w Will''s Data'!C362,Outliers!$B$3:$B$61,0)),0)</f>
        <v>1</v>
      </c>
      <c r="AB362" s="112" t="b">
        <f>IFERROR(INDEX(Outliers!$AY$3:$AY$61,MATCH('SkYSPark Data_w Will''s Data'!C362,Outliers!$B$3:$B$61,0)),0)</f>
        <v>0</v>
      </c>
      <c r="AC362" s="112" t="s">
        <v>392</v>
      </c>
      <c r="AF362" s="132"/>
    </row>
    <row r="363" spans="1:32" s="15" customFormat="1" x14ac:dyDescent="0.3">
      <c r="A363" s="38">
        <v>44927</v>
      </c>
      <c r="B363" s="3">
        <f t="shared" si="34"/>
        <v>1</v>
      </c>
      <c r="C363" s="22" t="s">
        <v>159</v>
      </c>
      <c r="D363" s="3" t="str">
        <f>VLOOKUP(C363,'Data availability'!$A$2:$B$91,2,FALSE)</f>
        <v>Main campus</v>
      </c>
      <c r="E363" s="22">
        <v>113302</v>
      </c>
      <c r="F363" s="3" t="str">
        <f>VLOOKUP(C363,'Data availability'!$A$2:$H$91,8,FALSE)</f>
        <v xml:space="preserve">Lab </v>
      </c>
      <c r="G363" s="21">
        <v>28101.72245420282</v>
      </c>
      <c r="H363" s="21"/>
      <c r="I363" s="21">
        <v>764.46232032775879</v>
      </c>
      <c r="J363" s="21">
        <v>230.14780172413461</v>
      </c>
      <c r="K363" s="21"/>
      <c r="L363" s="20"/>
      <c r="M363" s="21">
        <f t="shared" si="35"/>
        <v>0.84626111642989554</v>
      </c>
      <c r="N363" s="21">
        <f t="shared" si="36"/>
        <v>0.67471211481505955</v>
      </c>
      <c r="O363" s="21">
        <f t="shared" si="37"/>
        <v>0.20312774860473304</v>
      </c>
      <c r="P363" s="21">
        <f t="shared" si="38"/>
        <v>0</v>
      </c>
      <c r="Q363" s="21">
        <f>(SUM(G363:G374)*3.412)/E363</f>
        <v>11.982288961920334</v>
      </c>
      <c r="R363" s="21">
        <f>(SUM(I363:I374)*100)/E363</f>
        <v>12.481936200004153</v>
      </c>
      <c r="S363" s="21">
        <f>(SUM(J363:J374)*100)/E363</f>
        <v>2.6920602110684775</v>
      </c>
      <c r="T363" s="21">
        <f>(SUM(K363:K374)*12)/E363</f>
        <v>0</v>
      </c>
      <c r="U363" s="21"/>
      <c r="V363" s="34">
        <f>SUM(Q363:T363)</f>
        <v>27.156285372992965</v>
      </c>
      <c r="W363" s="30" t="s">
        <v>319</v>
      </c>
      <c r="X363" s="20"/>
      <c r="Y363" s="21"/>
      <c r="Z363" s="211" t="b">
        <f>IFERROR(INDEX(Outliers!$X$3:$X$61,MATCH('SkYSPark Data_w Will''s Data'!C363,Outliers!$B$3:$B$61,0)),0)</f>
        <v>1</v>
      </c>
      <c r="AA363" s="1" t="b">
        <f>IFERROR(INDEX(Outliers!$AP$3:$AP$61,MATCH('SkYSPark Data_w Will''s Data'!C363,Outliers!$B$3:$B$61,0)),0)</f>
        <v>1</v>
      </c>
      <c r="AB363" s="112" t="b">
        <f>IFERROR(INDEX(Outliers!$AY$3:$AY$61,MATCH('SkYSPark Data_w Will''s Data'!C363,Outliers!$B$3:$B$61,0)),0)</f>
        <v>1</v>
      </c>
      <c r="AC363" s="112" t="s">
        <v>392</v>
      </c>
      <c r="AD363" s="138"/>
      <c r="AE363" s="138"/>
      <c r="AF363" s="138"/>
    </row>
    <row r="364" spans="1:32" x14ac:dyDescent="0.3">
      <c r="A364" s="2">
        <v>44958</v>
      </c>
      <c r="B364" s="3">
        <f t="shared" si="34"/>
        <v>2</v>
      </c>
      <c r="C364" s="3" t="s">
        <v>159</v>
      </c>
      <c r="D364" s="3" t="str">
        <f>VLOOKUP(C364,'Data availability'!$A$2:$B$91,2,FALSE)</f>
        <v>Main campus</v>
      </c>
      <c r="E364" s="3">
        <v>113302</v>
      </c>
      <c r="F364" s="3" t="str">
        <f>VLOOKUP(C364,'Data availability'!$A$2:$H$91,8,FALSE)</f>
        <v xml:space="preserve">Lab </v>
      </c>
      <c r="G364" s="1">
        <v>33390.014648437689</v>
      </c>
      <c r="I364" s="1">
        <v>1681.5710754394529</v>
      </c>
      <c r="J364" s="1">
        <v>937.90999999999656</v>
      </c>
      <c r="M364" s="21">
        <f t="shared" si="35"/>
        <v>1.0055138477738204</v>
      </c>
      <c r="N364" s="21">
        <f t="shared" si="36"/>
        <v>1.4841495078987599</v>
      </c>
      <c r="O364" s="21">
        <f t="shared" si="37"/>
        <v>0.82779650844644981</v>
      </c>
      <c r="P364" s="21">
        <f t="shared" si="38"/>
        <v>0</v>
      </c>
      <c r="W364" s="25" t="s">
        <v>318</v>
      </c>
      <c r="Z364" s="211" t="b">
        <f>IFERROR(INDEX(Outliers!$X$3:$X$61,MATCH('SkYSPark Data_w Will''s Data'!C364,Outliers!$B$3:$B$61,0)),0)</f>
        <v>1</v>
      </c>
      <c r="AA364" s="1" t="b">
        <f>IFERROR(INDEX(Outliers!$AP$3:$AP$61,MATCH('SkYSPark Data_w Will''s Data'!C364,Outliers!$B$3:$B$61,0)),0)</f>
        <v>1</v>
      </c>
      <c r="AB364" s="112" t="b">
        <f>IFERROR(INDEX(Outliers!$AY$3:$AY$61,MATCH('SkYSPark Data_w Will''s Data'!C364,Outliers!$B$3:$B$61,0)),0)</f>
        <v>1</v>
      </c>
      <c r="AC364" s="112" t="s">
        <v>392</v>
      </c>
    </row>
    <row r="365" spans="1:32" x14ac:dyDescent="0.3">
      <c r="A365" s="2">
        <v>44986</v>
      </c>
      <c r="B365" s="3">
        <f t="shared" si="34"/>
        <v>3</v>
      </c>
      <c r="C365" s="3" t="s">
        <v>159</v>
      </c>
      <c r="D365" s="3" t="str">
        <f>VLOOKUP(C365,'Data availability'!$A$2:$B$91,2,FALSE)</f>
        <v>Main campus</v>
      </c>
      <c r="E365" s="3">
        <v>113302</v>
      </c>
      <c r="F365" s="3" t="str">
        <f>VLOOKUP(C365,'Data availability'!$A$2:$H$91,8,FALSE)</f>
        <v xml:space="preserve">Lab </v>
      </c>
      <c r="G365" s="1">
        <v>33956.286713688503</v>
      </c>
      <c r="I365" s="1">
        <v>1994.6699886322019</v>
      </c>
      <c r="J365" s="1">
        <v>1180.2856755688849</v>
      </c>
      <c r="M365" s="21">
        <f t="shared" si="35"/>
        <v>1.0225666825572821</v>
      </c>
      <c r="N365" s="21">
        <f t="shared" si="36"/>
        <v>1.7604896547564932</v>
      </c>
      <c r="O365" s="21">
        <f t="shared" si="37"/>
        <v>1.0417165412515974</v>
      </c>
      <c r="P365" s="21">
        <f t="shared" si="38"/>
        <v>0</v>
      </c>
      <c r="W365" s="25" t="s">
        <v>317</v>
      </c>
      <c r="Z365" s="211" t="b">
        <f>IFERROR(INDEX(Outliers!$X$3:$X$61,MATCH('SkYSPark Data_w Will''s Data'!C365,Outliers!$B$3:$B$61,0)),0)</f>
        <v>1</v>
      </c>
      <c r="AA365" s="1" t="b">
        <f>IFERROR(INDEX(Outliers!$AP$3:$AP$61,MATCH('SkYSPark Data_w Will''s Data'!C365,Outliers!$B$3:$B$61,0)),0)</f>
        <v>1</v>
      </c>
      <c r="AB365" s="112" t="b">
        <f>IFERROR(INDEX(Outliers!$AY$3:$AY$61,MATCH('SkYSPark Data_w Will''s Data'!C365,Outliers!$B$3:$B$61,0)),0)</f>
        <v>1</v>
      </c>
      <c r="AC365" s="112" t="s">
        <v>392</v>
      </c>
    </row>
    <row r="366" spans="1:32" x14ac:dyDescent="0.3">
      <c r="A366" s="2">
        <v>45017</v>
      </c>
      <c r="B366" s="3">
        <f t="shared" si="34"/>
        <v>4</v>
      </c>
      <c r="C366" s="3" t="s">
        <v>159</v>
      </c>
      <c r="D366" s="3" t="str">
        <f>VLOOKUP(C366,'Data availability'!$A$2:$B$91,2,FALSE)</f>
        <v>Main campus</v>
      </c>
      <c r="E366" s="3">
        <v>113302</v>
      </c>
      <c r="F366" s="3" t="str">
        <f>VLOOKUP(C366,'Data availability'!$A$2:$H$91,8,FALSE)</f>
        <v xml:space="preserve">Lab </v>
      </c>
      <c r="G366" s="1">
        <v>36440.603860799783</v>
      </c>
      <c r="I366" s="1">
        <v>1807.988876342773</v>
      </c>
      <c r="J366" s="1">
        <v>269.48012184489272</v>
      </c>
      <c r="M366" s="21">
        <f t="shared" si="35"/>
        <v>1.0973799259770247</v>
      </c>
      <c r="N366" s="21">
        <f t="shared" si="36"/>
        <v>1.5957254738157958</v>
      </c>
      <c r="O366" s="21">
        <f t="shared" si="37"/>
        <v>0.23784233450856357</v>
      </c>
      <c r="P366" s="21">
        <f t="shared" si="38"/>
        <v>0</v>
      </c>
      <c r="Z366" s="211" t="b">
        <f>IFERROR(INDEX(Outliers!$X$3:$X$61,MATCH('SkYSPark Data_w Will''s Data'!C366,Outliers!$B$3:$B$61,0)),0)</f>
        <v>1</v>
      </c>
      <c r="AA366" s="1" t="b">
        <f>IFERROR(INDEX(Outliers!$AP$3:$AP$61,MATCH('SkYSPark Data_w Will''s Data'!C366,Outliers!$B$3:$B$61,0)),0)</f>
        <v>1</v>
      </c>
      <c r="AB366" s="112" t="b">
        <f>IFERROR(INDEX(Outliers!$AY$3:$AY$61,MATCH('SkYSPark Data_w Will''s Data'!C366,Outliers!$B$3:$B$61,0)),0)</f>
        <v>1</v>
      </c>
      <c r="AC366" s="112" t="s">
        <v>392</v>
      </c>
    </row>
    <row r="367" spans="1:32" x14ac:dyDescent="0.3">
      <c r="A367" s="2">
        <v>45047</v>
      </c>
      <c r="B367" s="3">
        <f t="shared" si="34"/>
        <v>5</v>
      </c>
      <c r="C367" s="3" t="s">
        <v>159</v>
      </c>
      <c r="D367" s="3" t="str">
        <f>VLOOKUP(C367,'Data availability'!$A$2:$B$91,2,FALSE)</f>
        <v>Main campus</v>
      </c>
      <c r="E367" s="3">
        <v>113302</v>
      </c>
      <c r="F367" s="3" t="str">
        <f>VLOOKUP(C367,'Data availability'!$A$2:$H$91,8,FALSE)</f>
        <v xml:space="preserve">Lab </v>
      </c>
      <c r="G367" s="1">
        <v>34013.082570043392</v>
      </c>
      <c r="I367" s="1">
        <v>1229.109680175781</v>
      </c>
      <c r="J367" s="1">
        <v>55.47170258620578</v>
      </c>
      <c r="M367" s="21">
        <f t="shared" si="35"/>
        <v>1.0242770447916898</v>
      </c>
      <c r="N367" s="21">
        <f t="shared" si="36"/>
        <v>1.0848084589643439</v>
      </c>
      <c r="O367" s="21">
        <f t="shared" si="37"/>
        <v>4.8959155695579765E-2</v>
      </c>
      <c r="P367" s="21">
        <f t="shared" si="38"/>
        <v>0</v>
      </c>
      <c r="Z367" s="211" t="b">
        <f>IFERROR(INDEX(Outliers!$X$3:$X$61,MATCH('SkYSPark Data_w Will''s Data'!C367,Outliers!$B$3:$B$61,0)),0)</f>
        <v>1</v>
      </c>
      <c r="AA367" s="1" t="b">
        <f>IFERROR(INDEX(Outliers!$AP$3:$AP$61,MATCH('SkYSPark Data_w Will''s Data'!C367,Outliers!$B$3:$B$61,0)),0)</f>
        <v>1</v>
      </c>
      <c r="AB367" s="112" t="b">
        <f>IFERROR(INDEX(Outliers!$AY$3:$AY$61,MATCH('SkYSPark Data_w Will''s Data'!C367,Outliers!$B$3:$B$61,0)),0)</f>
        <v>1</v>
      </c>
      <c r="AC367" s="112" t="s">
        <v>392</v>
      </c>
    </row>
    <row r="368" spans="1:32" x14ac:dyDescent="0.3">
      <c r="A368" s="2">
        <v>45078</v>
      </c>
      <c r="B368" s="3">
        <f t="shared" si="34"/>
        <v>6</v>
      </c>
      <c r="C368" s="3" t="s">
        <v>159</v>
      </c>
      <c r="D368" s="3" t="str">
        <f>VLOOKUP(C368,'Data availability'!$A$2:$B$91,2,FALSE)</f>
        <v>Main campus</v>
      </c>
      <c r="E368" s="3">
        <v>113302</v>
      </c>
      <c r="F368" s="3" t="str">
        <f>VLOOKUP(C368,'Data availability'!$A$2:$H$91,8,FALSE)</f>
        <v xml:space="preserve">Lab </v>
      </c>
      <c r="G368" s="1">
        <v>23341.436618711919</v>
      </c>
      <c r="I368" s="1">
        <v>244.41685247421259</v>
      </c>
      <c r="J368" s="1">
        <v>57.364481707316187</v>
      </c>
      <c r="M368" s="21">
        <f t="shared" si="35"/>
        <v>0.70290887842266747</v>
      </c>
      <c r="N368" s="21">
        <f t="shared" si="36"/>
        <v>0.21572156932288272</v>
      </c>
      <c r="O368" s="21">
        <f t="shared" si="37"/>
        <v>5.0629716781094944E-2</v>
      </c>
      <c r="P368" s="21">
        <f t="shared" si="38"/>
        <v>0</v>
      </c>
      <c r="Z368" s="211" t="b">
        <f>IFERROR(INDEX(Outliers!$X$3:$X$61,MATCH('SkYSPark Data_w Will''s Data'!C368,Outliers!$B$3:$B$61,0)),0)</f>
        <v>1</v>
      </c>
      <c r="AA368" s="1" t="b">
        <f>IFERROR(INDEX(Outliers!$AP$3:$AP$61,MATCH('SkYSPark Data_w Will''s Data'!C368,Outliers!$B$3:$B$61,0)),0)</f>
        <v>1</v>
      </c>
      <c r="AB368" s="112" t="b">
        <f>IFERROR(INDEX(Outliers!$AY$3:$AY$61,MATCH('SkYSPark Data_w Will''s Data'!C368,Outliers!$B$3:$B$61,0)),0)</f>
        <v>1</v>
      </c>
      <c r="AC368" s="112" t="s">
        <v>392</v>
      </c>
    </row>
    <row r="369" spans="1:32" x14ac:dyDescent="0.3">
      <c r="A369" s="2">
        <v>45108</v>
      </c>
      <c r="B369" s="3">
        <f t="shared" si="34"/>
        <v>7</v>
      </c>
      <c r="C369" s="3" t="s">
        <v>159</v>
      </c>
      <c r="D369" s="3" t="str">
        <f>VLOOKUP(C369,'Data availability'!$A$2:$B$91,2,FALSE)</f>
        <v>Main campus</v>
      </c>
      <c r="E369" s="3">
        <v>113302</v>
      </c>
      <c r="F369" s="3" t="str">
        <f>VLOOKUP(C369,'Data availability'!$A$2:$H$91,8,FALSE)</f>
        <v xml:space="preserve">Lab </v>
      </c>
      <c r="G369" s="1">
        <v>28939.50239263515</v>
      </c>
      <c r="I369" s="1">
        <v>230.68647813797</v>
      </c>
      <c r="J369" s="1">
        <v>38.580071864111048</v>
      </c>
      <c r="M369" s="21">
        <f t="shared" si="35"/>
        <v>0.8714901957924055</v>
      </c>
      <c r="N369" s="21">
        <f t="shared" si="36"/>
        <v>0.20360318276638542</v>
      </c>
      <c r="O369" s="21">
        <f t="shared" si="37"/>
        <v>3.40506538844072E-2</v>
      </c>
      <c r="P369" s="21">
        <f t="shared" si="38"/>
        <v>0</v>
      </c>
      <c r="Z369" s="211" t="b">
        <f>IFERROR(INDEX(Outliers!$X$3:$X$61,MATCH('SkYSPark Data_w Will''s Data'!C369,Outliers!$B$3:$B$61,0)),0)</f>
        <v>1</v>
      </c>
      <c r="AA369" s="1" t="b">
        <f>IFERROR(INDEX(Outliers!$AP$3:$AP$61,MATCH('SkYSPark Data_w Will''s Data'!C369,Outliers!$B$3:$B$61,0)),0)</f>
        <v>1</v>
      </c>
      <c r="AB369" s="112" t="b">
        <f>IFERROR(INDEX(Outliers!$AY$3:$AY$61,MATCH('SkYSPark Data_w Will''s Data'!C369,Outliers!$B$3:$B$61,0)),0)</f>
        <v>1</v>
      </c>
      <c r="AC369" s="112" t="s">
        <v>392</v>
      </c>
    </row>
    <row r="370" spans="1:32" x14ac:dyDescent="0.3">
      <c r="A370" s="2">
        <v>45139</v>
      </c>
      <c r="B370" s="3">
        <f t="shared" si="34"/>
        <v>8</v>
      </c>
      <c r="C370" s="3" t="s">
        <v>159</v>
      </c>
      <c r="D370" s="3" t="str">
        <f>VLOOKUP(C370,'Data availability'!$A$2:$B$91,2,FALSE)</f>
        <v>Main campus</v>
      </c>
      <c r="E370" s="3">
        <v>113302</v>
      </c>
      <c r="F370" s="3" t="str">
        <f>VLOOKUP(C370,'Data availability'!$A$2:$H$91,8,FALSE)</f>
        <v xml:space="preserve">Lab </v>
      </c>
      <c r="G370" s="1">
        <v>34460.246794030019</v>
      </c>
      <c r="I370" s="1">
        <v>929.17710161209106</v>
      </c>
      <c r="J370" s="1">
        <v>0.8795273109243682</v>
      </c>
      <c r="M370" s="21">
        <f t="shared" si="35"/>
        <v>1.0377430412634412</v>
      </c>
      <c r="N370" s="21">
        <f t="shared" si="36"/>
        <v>0.82008887893602145</v>
      </c>
      <c r="O370" s="21">
        <f t="shared" si="37"/>
        <v>7.7626812494428006E-4</v>
      </c>
      <c r="P370" s="21">
        <f t="shared" si="38"/>
        <v>0</v>
      </c>
      <c r="Z370" s="211" t="b">
        <f>IFERROR(INDEX(Outliers!$X$3:$X$61,MATCH('SkYSPark Data_w Will''s Data'!C370,Outliers!$B$3:$B$61,0)),0)</f>
        <v>1</v>
      </c>
      <c r="AA370" s="1" t="b">
        <f>IFERROR(INDEX(Outliers!$AP$3:$AP$61,MATCH('SkYSPark Data_w Will''s Data'!C370,Outliers!$B$3:$B$61,0)),0)</f>
        <v>1</v>
      </c>
      <c r="AB370" s="112" t="b">
        <f>IFERROR(INDEX(Outliers!$AY$3:$AY$61,MATCH('SkYSPark Data_w Will''s Data'!C370,Outliers!$B$3:$B$61,0)),0)</f>
        <v>1</v>
      </c>
      <c r="AC370" s="112" t="s">
        <v>392</v>
      </c>
    </row>
    <row r="371" spans="1:32" x14ac:dyDescent="0.3">
      <c r="A371" s="2">
        <v>45170</v>
      </c>
      <c r="B371" s="3">
        <f t="shared" si="34"/>
        <v>9</v>
      </c>
      <c r="C371" s="3" t="s">
        <v>159</v>
      </c>
      <c r="D371" s="3" t="str">
        <f>VLOOKUP(C371,'Data availability'!$A$2:$B$91,2,FALSE)</f>
        <v>Main campus</v>
      </c>
      <c r="E371" s="3">
        <v>113302</v>
      </c>
      <c r="F371" s="3" t="str">
        <f>VLOOKUP(C371,'Data availability'!$A$2:$H$91,8,FALSE)</f>
        <v xml:space="preserve">Lab </v>
      </c>
      <c r="G371" s="1">
        <v>36044.058606515253</v>
      </c>
      <c r="I371" s="1">
        <v>1212.44359588623</v>
      </c>
      <c r="J371" s="1">
        <v>7.2730718954247804</v>
      </c>
      <c r="M371" s="21">
        <f t="shared" si="35"/>
        <v>1.085438279689944</v>
      </c>
      <c r="N371" s="21">
        <f t="shared" si="36"/>
        <v>1.0700990237473567</v>
      </c>
      <c r="O371" s="21">
        <f t="shared" si="37"/>
        <v>6.4191910958542476E-3</v>
      </c>
      <c r="P371" s="21">
        <f t="shared" si="38"/>
        <v>0</v>
      </c>
      <c r="Z371" s="211" t="b">
        <f>IFERROR(INDEX(Outliers!$X$3:$X$61,MATCH('SkYSPark Data_w Will''s Data'!C371,Outliers!$B$3:$B$61,0)),0)</f>
        <v>1</v>
      </c>
      <c r="AA371" s="1" t="b">
        <f>IFERROR(INDEX(Outliers!$AP$3:$AP$61,MATCH('SkYSPark Data_w Will''s Data'!C371,Outliers!$B$3:$B$61,0)),0)</f>
        <v>1</v>
      </c>
      <c r="AB371" s="112" t="b">
        <f>IFERROR(INDEX(Outliers!$AY$3:$AY$61,MATCH('SkYSPark Data_w Will''s Data'!C371,Outliers!$B$3:$B$61,0)),0)</f>
        <v>1</v>
      </c>
      <c r="AC371" s="112" t="s">
        <v>392</v>
      </c>
    </row>
    <row r="372" spans="1:32" x14ac:dyDescent="0.3">
      <c r="A372" s="2">
        <v>45200</v>
      </c>
      <c r="B372" s="3">
        <f t="shared" si="34"/>
        <v>10</v>
      </c>
      <c r="C372" s="3" t="s">
        <v>159</v>
      </c>
      <c r="D372" s="3" t="str">
        <f>VLOOKUP(C372,'Data availability'!$A$2:$B$91,2,FALSE)</f>
        <v>Main campus</v>
      </c>
      <c r="E372" s="3">
        <v>113302</v>
      </c>
      <c r="F372" s="3" t="str">
        <f>VLOOKUP(C372,'Data availability'!$A$2:$H$91,8,FALSE)</f>
        <v xml:space="preserve">Lab </v>
      </c>
      <c r="G372" s="1">
        <v>39814.79220920118</v>
      </c>
      <c r="I372" s="1">
        <v>1574.900089263916</v>
      </c>
      <c r="J372" s="1">
        <v>13.52409722222237</v>
      </c>
      <c r="M372" s="21">
        <f t="shared" si="35"/>
        <v>1.1989909358863429</v>
      </c>
      <c r="N372" s="21">
        <f t="shared" si="36"/>
        <v>1.3900020204973575</v>
      </c>
      <c r="O372" s="21">
        <f t="shared" si="37"/>
        <v>1.1936327004132646E-2</v>
      </c>
      <c r="P372" s="21">
        <f t="shared" si="38"/>
        <v>0</v>
      </c>
      <c r="Z372" s="211" t="b">
        <f>IFERROR(INDEX(Outliers!$X$3:$X$61,MATCH('SkYSPark Data_w Will''s Data'!C372,Outliers!$B$3:$B$61,0)),0)</f>
        <v>1</v>
      </c>
      <c r="AA372" s="1" t="b">
        <f>IFERROR(INDEX(Outliers!$AP$3:$AP$61,MATCH('SkYSPark Data_w Will''s Data'!C372,Outliers!$B$3:$B$61,0)),0)</f>
        <v>1</v>
      </c>
      <c r="AB372" s="112" t="b">
        <f>IFERROR(INDEX(Outliers!$AY$3:$AY$61,MATCH('SkYSPark Data_w Will''s Data'!C372,Outliers!$B$3:$B$61,0)),0)</f>
        <v>1</v>
      </c>
      <c r="AC372" s="112" t="s">
        <v>392</v>
      </c>
    </row>
    <row r="373" spans="1:32" x14ac:dyDescent="0.3">
      <c r="A373" s="2">
        <v>45231</v>
      </c>
      <c r="B373" s="3">
        <f t="shared" si="34"/>
        <v>11</v>
      </c>
      <c r="C373" s="3" t="s">
        <v>159</v>
      </c>
      <c r="D373" s="3" t="str">
        <f>VLOOKUP(C373,'Data availability'!$A$2:$B$91,2,FALSE)</f>
        <v>Main campus</v>
      </c>
      <c r="E373" s="3">
        <v>113302</v>
      </c>
      <c r="F373" s="3" t="str">
        <f>VLOOKUP(C373,'Data availability'!$A$2:$H$91,8,FALSE)</f>
        <v xml:space="preserve">Lab </v>
      </c>
      <c r="G373" s="1">
        <v>37459.224205450111</v>
      </c>
      <c r="I373" s="1">
        <v>1598.289367675781</v>
      </c>
      <c r="J373" s="1">
        <v>120.1162815258519</v>
      </c>
      <c r="M373" s="21">
        <f t="shared" si="35"/>
        <v>1.1280548709554621</v>
      </c>
      <c r="N373" s="21">
        <f t="shared" si="36"/>
        <v>1.4106453263629777</v>
      </c>
      <c r="O373" s="21">
        <f t="shared" si="37"/>
        <v>0.10601426411347717</v>
      </c>
      <c r="P373" s="21">
        <f t="shared" si="38"/>
        <v>0</v>
      </c>
      <c r="Z373" s="211" t="b">
        <f>IFERROR(INDEX(Outliers!$X$3:$X$61,MATCH('SkYSPark Data_w Will''s Data'!C373,Outliers!$B$3:$B$61,0)),0)</f>
        <v>1</v>
      </c>
      <c r="AA373" s="1" t="b">
        <f>IFERROR(INDEX(Outliers!$AP$3:$AP$61,MATCH('SkYSPark Data_w Will''s Data'!C373,Outliers!$B$3:$B$61,0)),0)</f>
        <v>1</v>
      </c>
      <c r="AB373" s="112" t="b">
        <f>IFERROR(INDEX(Outliers!$AY$3:$AY$61,MATCH('SkYSPark Data_w Will''s Data'!C373,Outliers!$B$3:$B$61,0)),0)</f>
        <v>1</v>
      </c>
      <c r="AC373" s="112" t="s">
        <v>392</v>
      </c>
    </row>
    <row r="374" spans="1:32" x14ac:dyDescent="0.3">
      <c r="A374" s="2">
        <v>45261</v>
      </c>
      <c r="B374" s="3">
        <f t="shared" si="34"/>
        <v>12</v>
      </c>
      <c r="C374" s="3" t="s">
        <v>159</v>
      </c>
      <c r="D374" s="3" t="str">
        <f>VLOOKUP(C374,'Data availability'!$A$2:$B$91,2,FALSE)</f>
        <v>Main campus</v>
      </c>
      <c r="E374" s="3">
        <v>113302</v>
      </c>
      <c r="F374" s="3" t="str">
        <f>VLOOKUP(C374,'Data availability'!$A$2:$H$91,8,FALSE)</f>
        <v xml:space="preserve">Lab </v>
      </c>
      <c r="G374" s="1">
        <v>31933.901131295221</v>
      </c>
      <c r="I374" s="1">
        <v>874.56792736053467</v>
      </c>
      <c r="J374" s="1">
        <v>139.1252270948404</v>
      </c>
      <c r="M374" s="21">
        <f t="shared" si="35"/>
        <v>0.96166414238035769</v>
      </c>
      <c r="N374" s="21">
        <f t="shared" si="36"/>
        <v>0.77189098812071688</v>
      </c>
      <c r="O374" s="21">
        <f t="shared" si="37"/>
        <v>0.12279150155764275</v>
      </c>
      <c r="P374" s="21">
        <f t="shared" si="38"/>
        <v>0</v>
      </c>
      <c r="Z374" s="211" t="b">
        <f>IFERROR(INDEX(Outliers!$X$3:$X$61,MATCH('SkYSPark Data_w Will''s Data'!C374,Outliers!$B$3:$B$61,0)),0)</f>
        <v>1</v>
      </c>
      <c r="AA374" s="1" t="b">
        <f>IFERROR(INDEX(Outliers!$AP$3:$AP$61,MATCH('SkYSPark Data_w Will''s Data'!C374,Outliers!$B$3:$B$61,0)),0)</f>
        <v>1</v>
      </c>
      <c r="AB374" s="112" t="b">
        <f>IFERROR(INDEX(Outliers!$AY$3:$AY$61,MATCH('SkYSPark Data_w Will''s Data'!C374,Outliers!$B$3:$B$61,0)),0)</f>
        <v>1</v>
      </c>
      <c r="AC374" s="112" t="s">
        <v>392</v>
      </c>
    </row>
    <row r="375" spans="1:32" s="15" customFormat="1" x14ac:dyDescent="0.3">
      <c r="A375" s="38">
        <v>44927</v>
      </c>
      <c r="B375" s="3">
        <f t="shared" si="34"/>
        <v>1</v>
      </c>
      <c r="C375" s="22" t="s">
        <v>160</v>
      </c>
      <c r="D375" s="3" t="str">
        <f>VLOOKUP(C375,'Data availability'!$A$2:$B$91,2,FALSE)</f>
        <v>Main campus</v>
      </c>
      <c r="E375" s="22">
        <v>163476</v>
      </c>
      <c r="F375" s="3" t="str">
        <f>VLOOKUP(C375,'Data availability'!$A$2:$H$91,8,FALSE)</f>
        <v xml:space="preserve">Lab </v>
      </c>
      <c r="G375" s="21">
        <v>55682.318485144802</v>
      </c>
      <c r="H375" s="21"/>
      <c r="I375" s="21"/>
      <c r="J375" s="177">
        <f>AVERAGE($J$386,$J$378)</f>
        <v>5226.1600918735357</v>
      </c>
      <c r="K375" s="177">
        <f>AVERAGE($K$386,$K$378)</f>
        <v>15687.952887480658</v>
      </c>
      <c r="L375" s="20"/>
      <c r="M375" s="21">
        <f t="shared" si="35"/>
        <v>1.1621771432584236</v>
      </c>
      <c r="N375" s="21">
        <f t="shared" si="36"/>
        <v>0</v>
      </c>
      <c r="O375" s="21">
        <f t="shared" si="37"/>
        <v>3.1968974601002813</v>
      </c>
      <c r="P375" s="21">
        <f t="shared" si="38"/>
        <v>1.1515784252720149</v>
      </c>
      <c r="Q375" s="21">
        <f>(SUM(G375:G386)*3.412)/E375</f>
        <v>45.125135626267713</v>
      </c>
      <c r="R375" s="21">
        <f>(SUM(I375:I386)*100)/E375</f>
        <v>0</v>
      </c>
      <c r="S375" s="21">
        <f>(SUM(J375:J386)*100)/E375</f>
        <v>51.752843603314346</v>
      </c>
      <c r="T375" s="21">
        <f>(SUM(K375:K386)*12)/E375</f>
        <v>61.593437587102898</v>
      </c>
      <c r="U375" s="21"/>
      <c r="V375" s="34">
        <f>SUM(Q375:T375)</f>
        <v>158.47141681668495</v>
      </c>
      <c r="W375" s="30" t="s">
        <v>322</v>
      </c>
      <c r="X375" s="20" t="s">
        <v>323</v>
      </c>
      <c r="Y375" s="21"/>
      <c r="Z375" s="211" t="b">
        <f>IFERROR(INDEX(Outliers!$X$3:$X$61,MATCH('SkYSPark Data_w Will''s Data'!C375,Outliers!$B$3:$B$61,0)),0)</f>
        <v>0</v>
      </c>
      <c r="AA375" s="1" t="b">
        <f>IFERROR(INDEX(Outliers!$AP$3:$AP$61,MATCH('SkYSPark Data_w Will''s Data'!C375,Outliers!$B$3:$B$61,0)),0)</f>
        <v>0</v>
      </c>
      <c r="AB375" s="112" t="b">
        <f>IFERROR(INDEX(Outliers!$AY$3:$AY$61,MATCH('SkYSPark Data_w Will''s Data'!C375,Outliers!$B$3:$B$61,0)),0)</f>
        <v>0</v>
      </c>
      <c r="AC375" s="112" t="s">
        <v>392</v>
      </c>
      <c r="AD375" s="138"/>
      <c r="AE375" s="138"/>
      <c r="AF375" s="138"/>
    </row>
    <row r="376" spans="1:32" x14ac:dyDescent="0.3">
      <c r="A376" s="2">
        <v>44958</v>
      </c>
      <c r="B376" s="3">
        <f t="shared" si="34"/>
        <v>2</v>
      </c>
      <c r="C376" s="3" t="s">
        <v>160</v>
      </c>
      <c r="D376" s="3" t="str">
        <f>VLOOKUP(C376,'Data availability'!$A$2:$B$91,2,FALSE)</f>
        <v>Main campus</v>
      </c>
      <c r="E376" s="3">
        <v>163476</v>
      </c>
      <c r="F376" s="3" t="str">
        <f>VLOOKUP(C376,'Data availability'!$A$2:$H$91,8,FALSE)</f>
        <v xml:space="preserve">Lab </v>
      </c>
      <c r="G376" s="1">
        <v>58473.327636718219</v>
      </c>
      <c r="J376" s="177">
        <f>AVERAGE($J$386,$J$378)</f>
        <v>5226.1600918735357</v>
      </c>
      <c r="K376" s="177">
        <f>AVERAGE($K$386,$K$378)</f>
        <v>15687.952887480658</v>
      </c>
      <c r="M376" s="21">
        <f t="shared" si="35"/>
        <v>1.2204298728650234</v>
      </c>
      <c r="N376" s="21">
        <f t="shared" si="36"/>
        <v>0</v>
      </c>
      <c r="O376" s="21">
        <f t="shared" si="37"/>
        <v>3.1968974601002813</v>
      </c>
      <c r="P376" s="21">
        <f t="shared" si="38"/>
        <v>1.1515784252720149</v>
      </c>
      <c r="W376" s="25" t="s">
        <v>321</v>
      </c>
      <c r="Z376" s="211" t="b">
        <f>IFERROR(INDEX(Outliers!$X$3:$X$61,MATCH('SkYSPark Data_w Will''s Data'!C376,Outliers!$B$3:$B$61,0)),0)</f>
        <v>0</v>
      </c>
      <c r="AA376" s="1" t="b">
        <f>IFERROR(INDEX(Outliers!$AP$3:$AP$61,MATCH('SkYSPark Data_w Will''s Data'!C376,Outliers!$B$3:$B$61,0)),0)</f>
        <v>0</v>
      </c>
      <c r="AB376" s="112" t="b">
        <f>IFERROR(INDEX(Outliers!$AY$3:$AY$61,MATCH('SkYSPark Data_w Will''s Data'!C376,Outliers!$B$3:$B$61,0)),0)</f>
        <v>0</v>
      </c>
      <c r="AC376" s="112" t="s">
        <v>392</v>
      </c>
    </row>
    <row r="377" spans="1:32" x14ac:dyDescent="0.3">
      <c r="A377" s="2">
        <v>44986</v>
      </c>
      <c r="B377" s="3">
        <f t="shared" si="34"/>
        <v>3</v>
      </c>
      <c r="C377" s="3" t="s">
        <v>160</v>
      </c>
      <c r="D377" s="3" t="str">
        <f>VLOOKUP(C377,'Data availability'!$A$2:$B$91,2,FALSE)</f>
        <v>Main campus</v>
      </c>
      <c r="E377" s="3">
        <v>163476</v>
      </c>
      <c r="F377" s="3" t="str">
        <f>VLOOKUP(C377,'Data availability'!$A$2:$H$91,8,FALSE)</f>
        <v xml:space="preserve">Lab </v>
      </c>
      <c r="G377" s="1">
        <v>183932.668267726</v>
      </c>
      <c r="J377" s="177">
        <f>AVERAGE($J$386,$J$378)</f>
        <v>5226.1600918735357</v>
      </c>
      <c r="K377" s="177">
        <f>AVERAGE($K$386,$K$378)</f>
        <v>15687.952887480658</v>
      </c>
      <c r="M377" s="21">
        <f t="shared" si="35"/>
        <v>3.8389626864462127</v>
      </c>
      <c r="N377" s="21">
        <f t="shared" si="36"/>
        <v>0</v>
      </c>
      <c r="O377" s="21">
        <f t="shared" si="37"/>
        <v>3.1968974601002813</v>
      </c>
      <c r="P377" s="21">
        <f t="shared" si="38"/>
        <v>1.1515784252720149</v>
      </c>
      <c r="W377" s="25" t="s">
        <v>320</v>
      </c>
      <c r="Z377" s="211" t="b">
        <f>IFERROR(INDEX(Outliers!$X$3:$X$61,MATCH('SkYSPark Data_w Will''s Data'!C377,Outliers!$B$3:$B$61,0)),0)</f>
        <v>0</v>
      </c>
      <c r="AA377" s="1" t="b">
        <f>IFERROR(INDEX(Outliers!$AP$3:$AP$61,MATCH('SkYSPark Data_w Will''s Data'!C377,Outliers!$B$3:$B$61,0)),0)</f>
        <v>0</v>
      </c>
      <c r="AB377" s="112" t="b">
        <f>IFERROR(INDEX(Outliers!$AY$3:$AY$61,MATCH('SkYSPark Data_w Will''s Data'!C377,Outliers!$B$3:$B$61,0)),0)</f>
        <v>0</v>
      </c>
      <c r="AC377" s="112" t="s">
        <v>392</v>
      </c>
    </row>
    <row r="378" spans="1:32" x14ac:dyDescent="0.3">
      <c r="A378" s="2">
        <v>45017</v>
      </c>
      <c r="B378" s="3">
        <f t="shared" si="34"/>
        <v>4</v>
      </c>
      <c r="C378" s="3" t="s">
        <v>160</v>
      </c>
      <c r="D378" s="3" t="str">
        <f>VLOOKUP(C378,'Data availability'!$A$2:$B$91,2,FALSE)</f>
        <v>Main campus</v>
      </c>
      <c r="E378" s="3">
        <v>163476</v>
      </c>
      <c r="F378" s="3" t="str">
        <f>VLOOKUP(C378,'Data availability'!$A$2:$H$91,8,FALSE)</f>
        <v xml:space="preserve">Lab </v>
      </c>
      <c r="G378" s="1">
        <v>192719.17637220881</v>
      </c>
      <c r="J378" s="1">
        <v>4292.6021341463602</v>
      </c>
      <c r="K378" s="1">
        <v>22277.17550304878</v>
      </c>
      <c r="M378" s="21">
        <f t="shared" si="35"/>
        <v>4.0223508636250971</v>
      </c>
      <c r="N378" s="21">
        <f t="shared" si="36"/>
        <v>0</v>
      </c>
      <c r="O378" s="21">
        <f t="shared" si="37"/>
        <v>2.6258301733259684</v>
      </c>
      <c r="P378" s="21">
        <f t="shared" si="38"/>
        <v>1.635262093742111</v>
      </c>
      <c r="Z378" s="211" t="b">
        <f>IFERROR(INDEX(Outliers!$X$3:$X$61,MATCH('SkYSPark Data_w Will''s Data'!C378,Outliers!$B$3:$B$61,0)),0)</f>
        <v>0</v>
      </c>
      <c r="AA378" s="1" t="b">
        <f>IFERROR(INDEX(Outliers!$AP$3:$AP$61,MATCH('SkYSPark Data_w Will''s Data'!C378,Outliers!$B$3:$B$61,0)),0)</f>
        <v>0</v>
      </c>
      <c r="AB378" s="112" t="b">
        <f>IFERROR(INDEX(Outliers!$AY$3:$AY$61,MATCH('SkYSPark Data_w Will''s Data'!C378,Outliers!$B$3:$B$61,0)),0)</f>
        <v>0</v>
      </c>
      <c r="AC378" s="112" t="s">
        <v>392</v>
      </c>
    </row>
    <row r="379" spans="1:32" x14ac:dyDescent="0.3">
      <c r="A379" s="2">
        <v>45047</v>
      </c>
      <c r="B379" s="3">
        <f t="shared" si="34"/>
        <v>5</v>
      </c>
      <c r="C379" s="3" t="s">
        <v>160</v>
      </c>
      <c r="D379" s="3" t="str">
        <f>VLOOKUP(C379,'Data availability'!$A$2:$B$91,2,FALSE)</f>
        <v>Main campus</v>
      </c>
      <c r="E379" s="3">
        <v>163476</v>
      </c>
      <c r="F379" s="3" t="str">
        <f>VLOOKUP(C379,'Data availability'!$A$2:$H$91,8,FALSE)</f>
        <v xml:space="preserve">Lab </v>
      </c>
      <c r="G379" s="1">
        <v>199647.72026659449</v>
      </c>
      <c r="J379" s="1">
        <v>8595.9559015679006</v>
      </c>
      <c r="K379" s="1">
        <v>67825.853684450616</v>
      </c>
      <c r="M379" s="21">
        <f t="shared" si="35"/>
        <v>4.1669604195699703</v>
      </c>
      <c r="N379" s="21">
        <f t="shared" si="36"/>
        <v>0</v>
      </c>
      <c r="O379" s="21">
        <f t="shared" si="37"/>
        <v>5.2582372345591404</v>
      </c>
      <c r="P379" s="21">
        <f t="shared" si="38"/>
        <v>4.9787751364934758</v>
      </c>
      <c r="Z379" s="211" t="b">
        <f>IFERROR(INDEX(Outliers!$X$3:$X$61,MATCH('SkYSPark Data_w Will''s Data'!C379,Outliers!$B$3:$B$61,0)),0)</f>
        <v>0</v>
      </c>
      <c r="AA379" s="1" t="b">
        <f>IFERROR(INDEX(Outliers!$AP$3:$AP$61,MATCH('SkYSPark Data_w Will''s Data'!C379,Outliers!$B$3:$B$61,0)),0)</f>
        <v>0</v>
      </c>
      <c r="AB379" s="112" t="b">
        <f>IFERROR(INDEX(Outliers!$AY$3:$AY$61,MATCH('SkYSPark Data_w Will''s Data'!C379,Outliers!$B$3:$B$61,0)),0)</f>
        <v>0</v>
      </c>
      <c r="AC379" s="112" t="s">
        <v>392</v>
      </c>
    </row>
    <row r="380" spans="1:32" x14ac:dyDescent="0.3">
      <c r="A380" s="2">
        <v>45078</v>
      </c>
      <c r="B380" s="3">
        <f t="shared" si="34"/>
        <v>6</v>
      </c>
      <c r="C380" s="3" t="s">
        <v>160</v>
      </c>
      <c r="D380" s="3" t="str">
        <f>VLOOKUP(C380,'Data availability'!$A$2:$B$91,2,FALSE)</f>
        <v>Main campus</v>
      </c>
      <c r="E380" s="3">
        <v>163476</v>
      </c>
      <c r="F380" s="3" t="str">
        <f>VLOOKUP(C380,'Data availability'!$A$2:$H$91,8,FALSE)</f>
        <v xml:space="preserve">Lab </v>
      </c>
      <c r="G380" s="1">
        <v>191985.83548409501</v>
      </c>
      <c r="J380" s="1">
        <v>10371.750167410761</v>
      </c>
      <c r="K380" s="1">
        <v>104291.5054507798</v>
      </c>
      <c r="M380" s="21">
        <f t="shared" si="35"/>
        <v>4.007044891431967</v>
      </c>
      <c r="N380" s="21">
        <f t="shared" si="36"/>
        <v>0</v>
      </c>
      <c r="O380" s="21">
        <f t="shared" si="37"/>
        <v>6.3445093881736527</v>
      </c>
      <c r="P380" s="21">
        <f t="shared" si="38"/>
        <v>7.6555461683021218</v>
      </c>
      <c r="Z380" s="211" t="b">
        <f>IFERROR(INDEX(Outliers!$X$3:$X$61,MATCH('SkYSPark Data_w Will''s Data'!C380,Outliers!$B$3:$B$61,0)),0)</f>
        <v>0</v>
      </c>
      <c r="AA380" s="1" t="b">
        <f>IFERROR(INDEX(Outliers!$AP$3:$AP$61,MATCH('SkYSPark Data_w Will''s Data'!C380,Outliers!$B$3:$B$61,0)),0)</f>
        <v>0</v>
      </c>
      <c r="AB380" s="112" t="b">
        <f>IFERROR(INDEX(Outliers!$AY$3:$AY$61,MATCH('SkYSPark Data_w Will''s Data'!C380,Outliers!$B$3:$B$61,0)),0)</f>
        <v>0</v>
      </c>
      <c r="AC380" s="112" t="s">
        <v>392</v>
      </c>
    </row>
    <row r="381" spans="1:32" x14ac:dyDescent="0.3">
      <c r="A381" s="2">
        <v>45108</v>
      </c>
      <c r="B381" s="3">
        <f t="shared" si="34"/>
        <v>7</v>
      </c>
      <c r="C381" s="3" t="s">
        <v>160</v>
      </c>
      <c r="D381" s="3" t="str">
        <f>VLOOKUP(C381,'Data availability'!$A$2:$B$91,2,FALSE)</f>
        <v>Main campus</v>
      </c>
      <c r="E381" s="3">
        <v>163476</v>
      </c>
      <c r="F381" s="3" t="str">
        <f>VLOOKUP(C381,'Data availability'!$A$2:$H$91,8,FALSE)</f>
        <v xml:space="preserve">Lab </v>
      </c>
      <c r="G381" s="1">
        <v>198248.61078676631</v>
      </c>
      <c r="J381" s="1">
        <v>9616.2626664403251</v>
      </c>
      <c r="K381" s="1">
        <v>153533.27477910771</v>
      </c>
      <c r="M381" s="21">
        <f t="shared" si="35"/>
        <v>4.1377588147767659</v>
      </c>
      <c r="N381" s="21">
        <f t="shared" si="36"/>
        <v>0</v>
      </c>
      <c r="O381" s="21">
        <f t="shared" si="37"/>
        <v>5.882369685116057</v>
      </c>
      <c r="P381" s="21">
        <f t="shared" si="38"/>
        <v>11.270151565668922</v>
      </c>
      <c r="Z381" s="211" t="b">
        <f>IFERROR(INDEX(Outliers!$X$3:$X$61,MATCH('SkYSPark Data_w Will''s Data'!C381,Outliers!$B$3:$B$61,0)),0)</f>
        <v>0</v>
      </c>
      <c r="AA381" s="1" t="b">
        <f>IFERROR(INDEX(Outliers!$AP$3:$AP$61,MATCH('SkYSPark Data_w Will''s Data'!C381,Outliers!$B$3:$B$61,0)),0)</f>
        <v>0</v>
      </c>
      <c r="AB381" s="112" t="b">
        <f>IFERROR(INDEX(Outliers!$AY$3:$AY$61,MATCH('SkYSPark Data_w Will''s Data'!C381,Outliers!$B$3:$B$61,0)),0)</f>
        <v>0</v>
      </c>
      <c r="AC381" s="112" t="s">
        <v>392</v>
      </c>
    </row>
    <row r="382" spans="1:32" x14ac:dyDescent="0.3">
      <c r="A382" s="2">
        <v>45139</v>
      </c>
      <c r="B382" s="3">
        <f t="shared" si="34"/>
        <v>8</v>
      </c>
      <c r="C382" s="3" t="s">
        <v>160</v>
      </c>
      <c r="D382" s="3" t="str">
        <f>VLOOKUP(C382,'Data availability'!$A$2:$B$91,2,FALSE)</f>
        <v>Main campus</v>
      </c>
      <c r="E382" s="3">
        <v>163476</v>
      </c>
      <c r="F382" s="3" t="str">
        <f>VLOOKUP(C382,'Data availability'!$A$2:$H$91,8,FALSE)</f>
        <v xml:space="preserve">Lab </v>
      </c>
      <c r="G382" s="1">
        <v>190209.90287770721</v>
      </c>
      <c r="J382" s="1">
        <v>8927.2127667984569</v>
      </c>
      <c r="K382" s="1">
        <v>195080.35368412259</v>
      </c>
      <c r="M382" s="21">
        <f t="shared" si="35"/>
        <v>3.9699783981669299</v>
      </c>
      <c r="N382" s="21">
        <f t="shared" si="36"/>
        <v>0</v>
      </c>
      <c r="O382" s="21">
        <f t="shared" si="37"/>
        <v>5.4608705661983752</v>
      </c>
      <c r="P382" s="21">
        <f t="shared" si="38"/>
        <v>14.319926131110812</v>
      </c>
      <c r="Z382" s="211" t="b">
        <f>IFERROR(INDEX(Outliers!$X$3:$X$61,MATCH('SkYSPark Data_w Will''s Data'!C382,Outliers!$B$3:$B$61,0)),0)</f>
        <v>0</v>
      </c>
      <c r="AA382" s="1" t="b">
        <f>IFERROR(INDEX(Outliers!$AP$3:$AP$61,MATCH('SkYSPark Data_w Will''s Data'!C382,Outliers!$B$3:$B$61,0)),0)</f>
        <v>0</v>
      </c>
      <c r="AB382" s="112" t="b">
        <f>IFERROR(INDEX(Outliers!$AY$3:$AY$61,MATCH('SkYSPark Data_w Will''s Data'!C382,Outliers!$B$3:$B$61,0)),0)</f>
        <v>0</v>
      </c>
      <c r="AC382" s="112" t="s">
        <v>392</v>
      </c>
    </row>
    <row r="383" spans="1:32" x14ac:dyDescent="0.3">
      <c r="A383" s="2">
        <v>45170</v>
      </c>
      <c r="B383" s="3">
        <f t="shared" si="34"/>
        <v>9</v>
      </c>
      <c r="C383" s="3" t="s">
        <v>160</v>
      </c>
      <c r="D383" s="3" t="str">
        <f>VLOOKUP(C383,'Data availability'!$A$2:$B$91,2,FALSE)</f>
        <v>Main campus</v>
      </c>
      <c r="E383" s="3">
        <v>163476</v>
      </c>
      <c r="F383" s="3" t="str">
        <f>VLOOKUP(C383,'Data availability'!$A$2:$H$91,8,FALSE)</f>
        <v xml:space="preserve">Lab </v>
      </c>
      <c r="G383" s="1">
        <v>204257.98594670941</v>
      </c>
      <c r="J383" s="1">
        <v>9264.0637710438295</v>
      </c>
      <c r="K383" s="1">
        <v>131362.26319292889</v>
      </c>
      <c r="M383" s="21">
        <f t="shared" si="35"/>
        <v>4.2631838805095086</v>
      </c>
      <c r="N383" s="21">
        <f t="shared" si="36"/>
        <v>0</v>
      </c>
      <c r="O383" s="21">
        <f t="shared" si="37"/>
        <v>5.6669258919008474</v>
      </c>
      <c r="P383" s="21">
        <f t="shared" si="38"/>
        <v>9.6426824629618224</v>
      </c>
      <c r="Z383" s="211" t="b">
        <f>IFERROR(INDEX(Outliers!$X$3:$X$61,MATCH('SkYSPark Data_w Will''s Data'!C383,Outliers!$B$3:$B$61,0)),0)</f>
        <v>0</v>
      </c>
      <c r="AA383" s="1" t="b">
        <f>IFERROR(INDEX(Outliers!$AP$3:$AP$61,MATCH('SkYSPark Data_w Will''s Data'!C383,Outliers!$B$3:$B$61,0)),0)</f>
        <v>0</v>
      </c>
      <c r="AB383" s="112" t="b">
        <f>IFERROR(INDEX(Outliers!$AY$3:$AY$61,MATCH('SkYSPark Data_w Will''s Data'!C383,Outliers!$B$3:$B$61,0)),0)</f>
        <v>0</v>
      </c>
      <c r="AC383" s="112" t="s">
        <v>392</v>
      </c>
    </row>
    <row r="384" spans="1:32" x14ac:dyDescent="0.3">
      <c r="A384" s="2">
        <v>45200</v>
      </c>
      <c r="B384" s="3">
        <f t="shared" si="34"/>
        <v>10</v>
      </c>
      <c r="C384" s="3" t="s">
        <v>160</v>
      </c>
      <c r="D384" s="3" t="str">
        <f>VLOOKUP(C384,'Data availability'!$A$2:$B$91,2,FALSE)</f>
        <v>Main campus</v>
      </c>
      <c r="E384" s="3">
        <v>163476</v>
      </c>
      <c r="F384" s="3" t="str">
        <f>VLOOKUP(C384,'Data availability'!$A$2:$H$91,8,FALSE)</f>
        <v xml:space="preserve">Lab </v>
      </c>
      <c r="G384" s="1">
        <v>230914.81752749201</v>
      </c>
      <c r="J384" s="1">
        <v>6662.6025925925278</v>
      </c>
      <c r="K384" s="1">
        <v>86088.268505555796</v>
      </c>
      <c r="M384" s="21">
        <f t="shared" si="35"/>
        <v>4.8195536800741561</v>
      </c>
      <c r="N384" s="21">
        <f t="shared" si="36"/>
        <v>0</v>
      </c>
      <c r="O384" s="21">
        <f t="shared" si="37"/>
        <v>4.0755845461061737</v>
      </c>
      <c r="P384" s="21">
        <f t="shared" si="38"/>
        <v>6.3193326363910876</v>
      </c>
      <c r="Z384" s="211" t="b">
        <f>IFERROR(INDEX(Outliers!$X$3:$X$61,MATCH('SkYSPark Data_w Will''s Data'!C384,Outliers!$B$3:$B$61,0)),0)</f>
        <v>0</v>
      </c>
      <c r="AA384" s="1" t="b">
        <f>IFERROR(INDEX(Outliers!$AP$3:$AP$61,MATCH('SkYSPark Data_w Will''s Data'!C384,Outliers!$B$3:$B$61,0)),0)</f>
        <v>0</v>
      </c>
      <c r="AB384" s="112" t="b">
        <f>IFERROR(INDEX(Outliers!$AY$3:$AY$61,MATCH('SkYSPark Data_w Will''s Data'!C384,Outliers!$B$3:$B$61,0)),0)</f>
        <v>0</v>
      </c>
      <c r="AC384" s="112" t="s">
        <v>392</v>
      </c>
    </row>
    <row r="385" spans="1:34" x14ac:dyDescent="0.3">
      <c r="A385" s="2">
        <v>45231</v>
      </c>
      <c r="B385" s="3">
        <f t="shared" si="34"/>
        <v>11</v>
      </c>
      <c r="C385" s="3" t="s">
        <v>160</v>
      </c>
      <c r="D385" s="3" t="str">
        <f>VLOOKUP(C385,'Data availability'!$A$2:$B$91,2,FALSE)</f>
        <v>Main campus</v>
      </c>
      <c r="E385" s="3">
        <v>163476</v>
      </c>
      <c r="F385" s="3" t="str">
        <f>VLOOKUP(C385,'Data availability'!$A$2:$H$91,8,FALSE)</f>
        <v xml:space="preserve">Lab </v>
      </c>
      <c r="G385" s="1">
        <v>234665.81889630159</v>
      </c>
      <c r="J385" s="1">
        <v>5034.8302837326773</v>
      </c>
      <c r="K385" s="1">
        <v>22466.116514754089</v>
      </c>
      <c r="M385" s="21">
        <f t="shared" si="35"/>
        <v>4.8978429498775418</v>
      </c>
      <c r="N385" s="21">
        <f t="shared" si="36"/>
        <v>0</v>
      </c>
      <c r="O385" s="21">
        <f t="shared" si="37"/>
        <v>3.0798589907586909</v>
      </c>
      <c r="P385" s="21">
        <f t="shared" si="38"/>
        <v>1.6491313598145847</v>
      </c>
      <c r="Z385" s="211" t="b">
        <f>IFERROR(INDEX(Outliers!$X$3:$X$61,MATCH('SkYSPark Data_w Will''s Data'!C385,Outliers!$B$3:$B$61,0)),0)</f>
        <v>0</v>
      </c>
      <c r="AA385" s="1" t="b">
        <f>IFERROR(INDEX(Outliers!$AP$3:$AP$61,MATCH('SkYSPark Data_w Will''s Data'!C385,Outliers!$B$3:$B$61,0)),0)</f>
        <v>0</v>
      </c>
      <c r="AB385" s="112" t="b">
        <f>IFERROR(INDEX(Outliers!$AY$3:$AY$61,MATCH('SkYSPark Data_w Will''s Data'!C385,Outliers!$B$3:$B$61,0)),0)</f>
        <v>0</v>
      </c>
      <c r="AC385" s="112" t="s">
        <v>392</v>
      </c>
    </row>
    <row r="386" spans="1:34" x14ac:dyDescent="0.3">
      <c r="A386" s="2">
        <v>45261</v>
      </c>
      <c r="B386" s="3">
        <f t="shared" si="34"/>
        <v>12</v>
      </c>
      <c r="C386" s="3" t="s">
        <v>160</v>
      </c>
      <c r="D386" s="3" t="str">
        <f>VLOOKUP(C386,'Data availability'!$A$2:$B$91,2,FALSE)</f>
        <v>Main campus</v>
      </c>
      <c r="E386" s="3">
        <v>163476</v>
      </c>
      <c r="F386" s="3" t="str">
        <f>VLOOKUP(C386,'Data availability'!$A$2:$H$91,8,FALSE)</f>
        <v xml:space="preserve">Lab </v>
      </c>
      <c r="G386" s="1">
        <v>221300.7012859887</v>
      </c>
      <c r="J386" s="1">
        <v>6159.7180496007113</v>
      </c>
      <c r="K386" s="1">
        <v>9098.7302719125364</v>
      </c>
      <c r="M386" s="21">
        <f t="shared" si="35"/>
        <v>4.6188920256661126</v>
      </c>
      <c r="N386" s="21">
        <f t="shared" si="36"/>
        <v>0</v>
      </c>
      <c r="O386" s="21">
        <f t="shared" si="37"/>
        <v>3.7679647468745938</v>
      </c>
      <c r="P386" s="21">
        <f t="shared" si="38"/>
        <v>0.66789475680191857</v>
      </c>
      <c r="Z386" s="211" t="b">
        <f>IFERROR(INDEX(Outliers!$X$3:$X$61,MATCH('SkYSPark Data_w Will''s Data'!C386,Outliers!$B$3:$B$61,0)),0)</f>
        <v>0</v>
      </c>
      <c r="AA386" s="1" t="b">
        <f>IFERROR(INDEX(Outliers!$AP$3:$AP$61,MATCH('SkYSPark Data_w Will''s Data'!C386,Outliers!$B$3:$B$61,0)),0)</f>
        <v>0</v>
      </c>
      <c r="AB386" s="112" t="b">
        <f>IFERROR(INDEX(Outliers!$AY$3:$AY$61,MATCH('SkYSPark Data_w Will''s Data'!C386,Outliers!$B$3:$B$61,0)),0)</f>
        <v>0</v>
      </c>
      <c r="AC386" s="112" t="s">
        <v>392</v>
      </c>
    </row>
    <row r="387" spans="1:34" s="15" customFormat="1" x14ac:dyDescent="0.3">
      <c r="A387" s="38">
        <v>44927</v>
      </c>
      <c r="B387" s="3">
        <f t="shared" si="34"/>
        <v>1</v>
      </c>
      <c r="C387" s="22" t="s">
        <v>161</v>
      </c>
      <c r="D387" s="3" t="str">
        <f>VLOOKUP(C387,'Data availability'!$A$2:$B$91,2,FALSE)</f>
        <v>Off Campus 11th St</v>
      </c>
      <c r="E387" s="22">
        <v>25320</v>
      </c>
      <c r="F387" s="3" t="str">
        <f>VLOOKUP(C387,'Data availability'!$A$2:$H$91,8,FALSE)</f>
        <v>Residential</v>
      </c>
      <c r="G387" s="21">
        <v>8470.6003440859131</v>
      </c>
      <c r="H387" s="21"/>
      <c r="I387" s="21">
        <v>948.54838709676017</v>
      </c>
      <c r="J387" s="21"/>
      <c r="K387" s="21"/>
      <c r="L387" s="20"/>
      <c r="M387" s="21">
        <f t="shared" si="35"/>
        <v>1.1414568868096815</v>
      </c>
      <c r="N387" s="21">
        <f t="shared" si="36"/>
        <v>3.7462416552004743</v>
      </c>
      <c r="O387" s="21">
        <f t="shared" si="37"/>
        <v>0</v>
      </c>
      <c r="P387" s="21">
        <f t="shared" si="38"/>
        <v>0</v>
      </c>
      <c r="Q387" s="21">
        <f>(SUM(G387:G398)*3.412)/E387</f>
        <v>15.090256370784639</v>
      </c>
      <c r="R387" s="21">
        <f>(SUM(I387:I398)*100)/E387</f>
        <v>33.444707740916165</v>
      </c>
      <c r="S387" s="21">
        <f>(SUM(J387:J398)*100)/E387</f>
        <v>0</v>
      </c>
      <c r="T387" s="21">
        <f>(SUM(K387:K398)*12)/E387</f>
        <v>0</v>
      </c>
      <c r="U387" s="21"/>
      <c r="V387" s="34">
        <f>SUM(Q387:T387)</f>
        <v>48.534964111700802</v>
      </c>
      <c r="W387" s="30" t="s">
        <v>324</v>
      </c>
      <c r="X387" s="20"/>
      <c r="Y387" s="21"/>
      <c r="Z387" s="211" t="b">
        <f>IFERROR(INDEX(Outliers!$X$3:$X$61,MATCH('SkYSPark Data_w Will''s Data'!C387,Outliers!$B$3:$B$61,0)),0)</f>
        <v>0</v>
      </c>
      <c r="AA387" s="1" t="b">
        <f>IFERROR(INDEX(Outliers!$AP$3:$AP$61,MATCH('SkYSPark Data_w Will''s Data'!C387,Outliers!$B$3:$B$61,0)),0)</f>
        <v>1</v>
      </c>
      <c r="AB387" s="112" t="b">
        <f>IFERROR(INDEX(Outliers!$AY$3:$AY$61,MATCH('SkYSPark Data_w Will''s Data'!C387,Outliers!$B$3:$B$61,0)),0)</f>
        <v>1</v>
      </c>
      <c r="AC387" s="112"/>
      <c r="AD387" s="138"/>
      <c r="AE387" s="138"/>
      <c r="AF387" s="138"/>
      <c r="AG387" s="15">
        <v>3.167289166377576</v>
      </c>
      <c r="AH387" s="15">
        <v>3.3006859897097609</v>
      </c>
    </row>
    <row r="388" spans="1:34" x14ac:dyDescent="0.3">
      <c r="A388" s="2">
        <v>44958</v>
      </c>
      <c r="B388" s="3">
        <f t="shared" si="34"/>
        <v>2</v>
      </c>
      <c r="C388" s="3" t="s">
        <v>161</v>
      </c>
      <c r="D388" s="3" t="str">
        <f>VLOOKUP(C388,'Data availability'!$A$2:$B$91,2,FALSE)</f>
        <v>Off Campus 11th St</v>
      </c>
      <c r="E388" s="3">
        <v>25320</v>
      </c>
      <c r="F388" s="3" t="str">
        <f>VLOOKUP(C388,'Data availability'!$A$2:$H$91,8,FALSE)</f>
        <v>Residential</v>
      </c>
      <c r="G388" s="1">
        <v>8602.3079225807869</v>
      </c>
      <c r="I388" s="1">
        <v>1038.884946236569</v>
      </c>
      <c r="M388" s="21">
        <f t="shared" si="35"/>
        <v>1.1592051592356098</v>
      </c>
      <c r="N388" s="21">
        <f t="shared" si="36"/>
        <v>4.103021114678393</v>
      </c>
      <c r="O388" s="21">
        <f t="shared" si="37"/>
        <v>0</v>
      </c>
      <c r="P388" s="21">
        <f t="shared" si="38"/>
        <v>0</v>
      </c>
      <c r="W388" s="25" t="s">
        <v>325</v>
      </c>
      <c r="Z388" s="211" t="b">
        <f>IFERROR(INDEX(Outliers!$X$3:$X$61,MATCH('SkYSPark Data_w Will''s Data'!C388,Outliers!$B$3:$B$61,0)),0)</f>
        <v>0</v>
      </c>
      <c r="AA388" s="1" t="b">
        <f>IFERROR(INDEX(Outliers!$AP$3:$AP$61,MATCH('SkYSPark Data_w Will''s Data'!C388,Outliers!$B$3:$B$61,0)),0)</f>
        <v>1</v>
      </c>
      <c r="AB388" s="112" t="b">
        <f>IFERROR(INDEX(Outliers!$AY$3:$AY$61,MATCH('SkYSPark Data_w Will''s Data'!C388,Outliers!$B$3:$B$61,0)),0)</f>
        <v>1</v>
      </c>
      <c r="AG388">
        <v>3.3925330261137039</v>
      </c>
      <c r="AH388">
        <v>3.9060406105991352</v>
      </c>
    </row>
    <row r="389" spans="1:34" x14ac:dyDescent="0.3">
      <c r="A389" s="2">
        <v>44986</v>
      </c>
      <c r="B389" s="3">
        <f t="shared" si="34"/>
        <v>3</v>
      </c>
      <c r="C389" s="3" t="s">
        <v>161</v>
      </c>
      <c r="D389" s="3" t="str">
        <f>VLOOKUP(C389,'Data availability'!$A$2:$B$91,2,FALSE)</f>
        <v>Off Campus 11th St</v>
      </c>
      <c r="E389" s="3">
        <v>25320</v>
      </c>
      <c r="F389" s="3" t="str">
        <f>VLOOKUP(C389,'Data availability'!$A$2:$H$91,8,FALSE)</f>
        <v>Residential</v>
      </c>
      <c r="G389" s="1">
        <v>9671.6720460430515</v>
      </c>
      <c r="I389" s="1">
        <v>964.3580335731308</v>
      </c>
      <c r="M389" s="21">
        <f t="shared" si="35"/>
        <v>1.3033074652882657</v>
      </c>
      <c r="N389" s="21">
        <f t="shared" si="36"/>
        <v>3.8086810172714487</v>
      </c>
      <c r="O389" s="21">
        <f t="shared" si="37"/>
        <v>0</v>
      </c>
      <c r="P389" s="21">
        <f t="shared" si="38"/>
        <v>0</v>
      </c>
      <c r="Z389" s="211" t="b">
        <f>IFERROR(INDEX(Outliers!$X$3:$X$61,MATCH('SkYSPark Data_w Will''s Data'!C389,Outliers!$B$3:$B$61,0)),0)</f>
        <v>0</v>
      </c>
      <c r="AA389" s="1" t="b">
        <f>IFERROR(INDEX(Outliers!$AP$3:$AP$61,MATCH('SkYSPark Data_w Will''s Data'!C389,Outliers!$B$3:$B$61,0)),0)</f>
        <v>1</v>
      </c>
      <c r="AB389" s="112" t="b">
        <f>IFERROR(INDEX(Outliers!$AY$3:$AY$61,MATCH('SkYSPark Data_w Will''s Data'!C389,Outliers!$B$3:$B$61,0)),0)</f>
        <v>1</v>
      </c>
      <c r="AG389">
        <v>3.4532844486187919</v>
      </c>
      <c r="AH389">
        <v>2.654959942678464</v>
      </c>
    </row>
    <row r="390" spans="1:34" x14ac:dyDescent="0.3">
      <c r="A390" s="2">
        <v>45017</v>
      </c>
      <c r="B390" s="3">
        <f t="shared" si="34"/>
        <v>4</v>
      </c>
      <c r="C390" s="3" t="s">
        <v>161</v>
      </c>
      <c r="D390" s="3" t="str">
        <f>VLOOKUP(C390,'Data availability'!$A$2:$B$91,2,FALSE)</f>
        <v>Off Campus 11th St</v>
      </c>
      <c r="E390" s="3">
        <v>25320</v>
      </c>
      <c r="F390" s="3" t="str">
        <f>VLOOKUP(C390,'Data availability'!$A$2:$H$91,8,FALSE)</f>
        <v>Residential</v>
      </c>
      <c r="G390" s="1">
        <v>9632.5277539568287</v>
      </c>
      <c r="I390" s="1">
        <v>753.80238309352001</v>
      </c>
      <c r="M390" s="21">
        <f t="shared" si="35"/>
        <v>1.2980325709518443</v>
      </c>
      <c r="N390" s="21">
        <f t="shared" si="36"/>
        <v>2.9771026188527649</v>
      </c>
      <c r="O390" s="21">
        <f t="shared" si="37"/>
        <v>0</v>
      </c>
      <c r="P390" s="21">
        <f t="shared" si="38"/>
        <v>0</v>
      </c>
      <c r="Z390" s="211" t="b">
        <f>IFERROR(INDEX(Outliers!$X$3:$X$61,MATCH('SkYSPark Data_w Will''s Data'!C390,Outliers!$B$3:$B$61,0)),0)</f>
        <v>0</v>
      </c>
      <c r="AA390" s="1" t="b">
        <f>IFERROR(INDEX(Outliers!$AP$3:$AP$61,MATCH('SkYSPark Data_w Will''s Data'!C390,Outliers!$B$3:$B$61,0)),0)</f>
        <v>1</v>
      </c>
      <c r="AB390" s="112" t="b">
        <f>IFERROR(INDEX(Outliers!$AY$3:$AY$61,MATCH('SkYSPark Data_w Will''s Data'!C390,Outliers!$B$3:$B$61,0)),0)</f>
        <v>1</v>
      </c>
      <c r="AG390">
        <v>3.4221628884392841</v>
      </c>
      <c r="AH390">
        <v>1.447880486236014</v>
      </c>
    </row>
    <row r="391" spans="1:34" x14ac:dyDescent="0.3">
      <c r="A391" s="2">
        <v>45047</v>
      </c>
      <c r="B391" s="3">
        <f t="shared" si="34"/>
        <v>5</v>
      </c>
      <c r="C391" s="3" t="s">
        <v>161</v>
      </c>
      <c r="D391" s="3" t="str">
        <f>VLOOKUP(C391,'Data availability'!$A$2:$B$91,2,FALSE)</f>
        <v>Off Campus 11th St</v>
      </c>
      <c r="E391" s="3">
        <v>25320</v>
      </c>
      <c r="F391" s="3" t="str">
        <f>VLOOKUP(C391,'Data availability'!$A$2:$H$91,8,FALSE)</f>
        <v>Residential</v>
      </c>
      <c r="G391" s="1">
        <v>9385.8527333333222</v>
      </c>
      <c r="I391" s="1">
        <v>620.00625000000559</v>
      </c>
      <c r="M391" s="21">
        <f t="shared" si="35"/>
        <v>1.2647918454239058</v>
      </c>
      <c r="N391" s="21">
        <f t="shared" si="36"/>
        <v>2.4486818720379366</v>
      </c>
      <c r="O391" s="21">
        <f t="shared" si="37"/>
        <v>0</v>
      </c>
      <c r="P391" s="21">
        <f t="shared" si="38"/>
        <v>0</v>
      </c>
      <c r="Z391" s="211" t="b">
        <f>IFERROR(INDEX(Outliers!$X$3:$X$61,MATCH('SkYSPark Data_w Will''s Data'!C391,Outliers!$B$3:$B$61,0)),0)</f>
        <v>0</v>
      </c>
      <c r="AA391" s="1" t="b">
        <f>IFERROR(INDEX(Outliers!$AP$3:$AP$61,MATCH('SkYSPark Data_w Will''s Data'!C391,Outliers!$B$3:$B$61,0)),0)</f>
        <v>1</v>
      </c>
      <c r="AB391" s="112" t="b">
        <f>IFERROR(INDEX(Outliers!$AY$3:$AY$61,MATCH('SkYSPark Data_w Will''s Data'!C391,Outliers!$B$3:$B$61,0)),0)</f>
        <v>1</v>
      </c>
      <c r="AG391">
        <v>3.3839126904122221</v>
      </c>
      <c r="AH391">
        <v>1.0371489415322619</v>
      </c>
    </row>
    <row r="392" spans="1:34" x14ac:dyDescent="0.3">
      <c r="A392" s="2">
        <v>45078</v>
      </c>
      <c r="B392" s="3">
        <f t="shared" si="34"/>
        <v>6</v>
      </c>
      <c r="C392" s="3" t="s">
        <v>161</v>
      </c>
      <c r="D392" s="3" t="str">
        <f>VLOOKUP(C392,'Data availability'!$A$2:$B$91,2,FALSE)</f>
        <v>Off Campus 11th St</v>
      </c>
      <c r="E392" s="3">
        <v>25320</v>
      </c>
      <c r="F392" s="3" t="str">
        <f>VLOOKUP(C392,'Data availability'!$A$2:$H$91,8,FALSE)</f>
        <v>Residential</v>
      </c>
      <c r="G392" s="1">
        <v>8647.2546666666403</v>
      </c>
      <c r="I392" s="1">
        <v>471.62580645161341</v>
      </c>
      <c r="M392" s="21">
        <f t="shared" si="35"/>
        <v>1.1652619637704018</v>
      </c>
      <c r="N392" s="21">
        <f t="shared" si="36"/>
        <v>1.8626611629210639</v>
      </c>
      <c r="O392" s="21">
        <f t="shared" si="37"/>
        <v>0</v>
      </c>
      <c r="P392" s="21">
        <f t="shared" si="38"/>
        <v>0</v>
      </c>
      <c r="Z392" s="211" t="b">
        <f>IFERROR(INDEX(Outliers!$X$3:$X$61,MATCH('SkYSPark Data_w Will''s Data'!C392,Outliers!$B$3:$B$61,0)),0)</f>
        <v>0</v>
      </c>
      <c r="AA392" s="1" t="b">
        <f>IFERROR(INDEX(Outliers!$AP$3:$AP$61,MATCH('SkYSPark Data_w Will''s Data'!C392,Outliers!$B$3:$B$61,0)),0)</f>
        <v>1</v>
      </c>
      <c r="AB392" s="112" t="b">
        <f>IFERROR(INDEX(Outliers!$AY$3:$AY$61,MATCH('SkYSPark Data_w Will''s Data'!C392,Outliers!$B$3:$B$61,0)),0)</f>
        <v>1</v>
      </c>
      <c r="AG392">
        <v>4.4384804360812016</v>
      </c>
      <c r="AH392">
        <v>0.84477482078853694</v>
      </c>
    </row>
    <row r="393" spans="1:34" x14ac:dyDescent="0.3">
      <c r="A393" s="2">
        <v>45108</v>
      </c>
      <c r="B393" s="3">
        <f t="shared" ref="B393:B456" si="39">MONTH(A393)</f>
        <v>7</v>
      </c>
      <c r="C393" s="3" t="s">
        <v>161</v>
      </c>
      <c r="D393" s="3" t="str">
        <f>VLOOKUP(C393,'Data availability'!$A$2:$B$91,2,FALSE)</f>
        <v>Off Campus 11th St</v>
      </c>
      <c r="E393" s="3">
        <v>25320</v>
      </c>
      <c r="F393" s="3" t="str">
        <f>VLOOKUP(C393,'Data availability'!$A$2:$H$91,8,FALSE)</f>
        <v>Residential</v>
      </c>
      <c r="G393" s="1">
        <v>9297.2929032259217</v>
      </c>
      <c r="I393" s="1">
        <v>400.51612903225191</v>
      </c>
      <c r="M393" s="21">
        <f t="shared" si="35"/>
        <v>1.2528579536258626</v>
      </c>
      <c r="N393" s="21">
        <f t="shared" si="36"/>
        <v>1.5818172552616585</v>
      </c>
      <c r="O393" s="21">
        <f t="shared" si="37"/>
        <v>0</v>
      </c>
      <c r="P393" s="21">
        <f t="shared" si="38"/>
        <v>0</v>
      </c>
      <c r="Z393" s="211" t="b">
        <f>IFERROR(INDEX(Outliers!$X$3:$X$61,MATCH('SkYSPark Data_w Will''s Data'!C393,Outliers!$B$3:$B$61,0)),0)</f>
        <v>0</v>
      </c>
      <c r="AA393" s="1" t="b">
        <f>IFERROR(INDEX(Outliers!$AP$3:$AP$61,MATCH('SkYSPark Data_w Will''s Data'!C393,Outliers!$B$3:$B$61,0)),0)</f>
        <v>1</v>
      </c>
      <c r="AB393" s="112" t="b">
        <f>IFERROR(INDEX(Outliers!$AY$3:$AY$61,MATCH('SkYSPark Data_w Will''s Data'!C393,Outliers!$B$3:$B$61,0)),0)</f>
        <v>1</v>
      </c>
      <c r="AG393">
        <v>4.9723642906694918</v>
      </c>
      <c r="AH393">
        <v>0.73207206035380545</v>
      </c>
    </row>
    <row r="394" spans="1:34" x14ac:dyDescent="0.3">
      <c r="A394" s="2">
        <v>45139</v>
      </c>
      <c r="B394" s="3">
        <f t="shared" si="39"/>
        <v>8</v>
      </c>
      <c r="C394" s="3" t="s">
        <v>161</v>
      </c>
      <c r="D394" s="3" t="str">
        <f>VLOOKUP(C394,'Data availability'!$A$2:$B$91,2,FALSE)</f>
        <v>Off Campus 11th St</v>
      </c>
      <c r="E394" s="3">
        <v>25320</v>
      </c>
      <c r="F394" s="3" t="str">
        <f>VLOOKUP(C394,'Data availability'!$A$2:$H$91,8,FALSE)</f>
        <v>Residential</v>
      </c>
      <c r="G394" s="1">
        <v>10461.907096774219</v>
      </c>
      <c r="I394" s="1">
        <v>408.6580645161273</v>
      </c>
      <c r="M394" s="21">
        <f t="shared" si="35"/>
        <v>1.4097956956632558</v>
      </c>
      <c r="N394" s="21">
        <f t="shared" si="36"/>
        <v>1.6139733985629039</v>
      </c>
      <c r="O394" s="21">
        <f t="shared" si="37"/>
        <v>0</v>
      </c>
      <c r="P394" s="21">
        <f t="shared" si="38"/>
        <v>0</v>
      </c>
      <c r="Z394" s="211" t="b">
        <f>IFERROR(INDEX(Outliers!$X$3:$X$61,MATCH('SkYSPark Data_w Will''s Data'!C394,Outliers!$B$3:$B$61,0)),0)</f>
        <v>0</v>
      </c>
      <c r="AA394" s="1" t="b">
        <f>IFERROR(INDEX(Outliers!$AP$3:$AP$61,MATCH('SkYSPark Data_w Will''s Data'!C394,Outliers!$B$3:$B$61,0)),0)</f>
        <v>1</v>
      </c>
      <c r="AB394" s="112" t="b">
        <f>IFERROR(INDEX(Outliers!$AY$3:$AY$61,MATCH('SkYSPark Data_w Will''s Data'!C394,Outliers!$B$3:$B$61,0)),0)</f>
        <v>1</v>
      </c>
      <c r="AG394">
        <v>5.3491196959186436</v>
      </c>
      <c r="AH394">
        <v>0.75490123135622833</v>
      </c>
    </row>
    <row r="395" spans="1:34" x14ac:dyDescent="0.3">
      <c r="A395" s="2">
        <v>45170</v>
      </c>
      <c r="B395" s="3">
        <f t="shared" si="39"/>
        <v>9</v>
      </c>
      <c r="C395" s="3" t="s">
        <v>161</v>
      </c>
      <c r="D395" s="3" t="str">
        <f>VLOOKUP(C395,'Data availability'!$A$2:$B$91,2,FALSE)</f>
        <v>Off Campus 11th St</v>
      </c>
      <c r="E395" s="3">
        <v>25320</v>
      </c>
      <c r="F395" s="3" t="str">
        <f>VLOOKUP(C395,'Data availability'!$A$2:$H$91,8,FALSE)</f>
        <v>Residential</v>
      </c>
      <c r="G395" s="1">
        <v>10509.32666666671</v>
      </c>
      <c r="I395" s="1">
        <v>566.99999999999488</v>
      </c>
      <c r="M395" s="21">
        <f t="shared" si="35"/>
        <v>1.416185726171675</v>
      </c>
      <c r="N395" s="21">
        <f t="shared" si="36"/>
        <v>2.2393364928909754</v>
      </c>
      <c r="O395" s="21">
        <f t="shared" si="37"/>
        <v>0</v>
      </c>
      <c r="P395" s="21">
        <f t="shared" si="38"/>
        <v>0</v>
      </c>
      <c r="Z395" s="211" t="b">
        <f>IFERROR(INDEX(Outliers!$X$3:$X$61,MATCH('SkYSPark Data_w Will''s Data'!C395,Outliers!$B$3:$B$61,0)),0)</f>
        <v>0</v>
      </c>
      <c r="AA395" s="1" t="b">
        <f>IFERROR(INDEX(Outliers!$AP$3:$AP$61,MATCH('SkYSPark Data_w Will''s Data'!C395,Outliers!$B$3:$B$61,0)),0)</f>
        <v>1</v>
      </c>
      <c r="AB395" s="112" t="b">
        <f>IFERROR(INDEX(Outliers!$AY$3:$AY$61,MATCH('SkYSPark Data_w Will''s Data'!C395,Outliers!$B$3:$B$61,0)),0)</f>
        <v>1</v>
      </c>
      <c r="AG395">
        <v>5.3195810185185506</v>
      </c>
      <c r="AH395">
        <v>1.182486111111126</v>
      </c>
    </row>
    <row r="396" spans="1:34" x14ac:dyDescent="0.3">
      <c r="A396" s="2">
        <v>45200</v>
      </c>
      <c r="B396" s="3">
        <f t="shared" si="39"/>
        <v>10</v>
      </c>
      <c r="C396" s="3" t="s">
        <v>161</v>
      </c>
      <c r="D396" s="3" t="str">
        <f>VLOOKUP(C396,'Data availability'!$A$2:$B$91,2,FALSE)</f>
        <v>Off Campus 11th St</v>
      </c>
      <c r="E396" s="3">
        <v>25320</v>
      </c>
      <c r="F396" s="3" t="str">
        <f>VLOOKUP(C396,'Data availability'!$A$2:$H$91,8,FALSE)</f>
        <v>Residential</v>
      </c>
      <c r="G396" s="1">
        <v>10329.280119910531</v>
      </c>
      <c r="I396" s="1">
        <v>662.80805369127324</v>
      </c>
      <c r="M396" s="21">
        <f t="shared" si="35"/>
        <v>1.3919235295866799</v>
      </c>
      <c r="N396" s="21">
        <f t="shared" si="36"/>
        <v>2.6177253305342543</v>
      </c>
      <c r="O396" s="21">
        <f t="shared" si="37"/>
        <v>0</v>
      </c>
      <c r="P396" s="21">
        <f t="shared" si="38"/>
        <v>0</v>
      </c>
      <c r="Z396" s="211" t="b">
        <f>IFERROR(INDEX(Outliers!$X$3:$X$61,MATCH('SkYSPark Data_w Will''s Data'!C396,Outliers!$B$3:$B$61,0)),0)</f>
        <v>0</v>
      </c>
      <c r="AA396" s="1" t="b">
        <f>IFERROR(INDEX(Outliers!$AP$3:$AP$61,MATCH('SkYSPark Data_w Will''s Data'!C396,Outliers!$B$3:$B$61,0)),0)</f>
        <v>1</v>
      </c>
      <c r="AB396" s="112" t="b">
        <f>IFERROR(INDEX(Outliers!$AY$3:$AY$61,MATCH('SkYSPark Data_w Will''s Data'!C396,Outliers!$B$3:$B$61,0)),0)</f>
        <v>1</v>
      </c>
      <c r="AG396">
        <v>3.944080600057688</v>
      </c>
      <c r="AH396">
        <v>1.4870527711625909</v>
      </c>
    </row>
    <row r="397" spans="1:34" x14ac:dyDescent="0.3">
      <c r="A397" s="2">
        <v>45231</v>
      </c>
      <c r="B397" s="3">
        <f t="shared" si="39"/>
        <v>11</v>
      </c>
      <c r="C397" s="3" t="s">
        <v>161</v>
      </c>
      <c r="D397" s="3" t="str">
        <f>VLOOKUP(C397,'Data availability'!$A$2:$B$91,2,FALSE)</f>
        <v>Off Campus 11th St</v>
      </c>
      <c r="E397" s="3">
        <v>25320</v>
      </c>
      <c r="F397" s="3" t="str">
        <f>VLOOKUP(C397,'Data availability'!$A$2:$H$91,8,FALSE)</f>
        <v>Residential</v>
      </c>
      <c r="G397" s="1">
        <v>9081.9204392292613</v>
      </c>
      <c r="I397" s="1">
        <v>791.95323663129693</v>
      </c>
      <c r="M397" s="21">
        <f t="shared" si="35"/>
        <v>1.2238354083195198</v>
      </c>
      <c r="N397" s="21">
        <f t="shared" si="36"/>
        <v>3.1277773958582027</v>
      </c>
      <c r="O397" s="21">
        <f t="shared" si="37"/>
        <v>0</v>
      </c>
      <c r="P397" s="21">
        <f t="shared" si="38"/>
        <v>0</v>
      </c>
      <c r="Z397" s="211" t="b">
        <f>IFERROR(INDEX(Outliers!$X$3:$X$61,MATCH('SkYSPark Data_w Will''s Data'!C397,Outliers!$B$3:$B$61,0)),0)</f>
        <v>0</v>
      </c>
      <c r="AA397" s="1" t="b">
        <f>IFERROR(INDEX(Outliers!$AP$3:$AP$61,MATCH('SkYSPark Data_w Will''s Data'!C397,Outliers!$B$3:$B$61,0)),0)</f>
        <v>1</v>
      </c>
      <c r="AB397" s="112" t="b">
        <f>IFERROR(INDEX(Outliers!$AY$3:$AY$61,MATCH('SkYSPark Data_w Will''s Data'!C397,Outliers!$B$3:$B$61,0)),0)</f>
        <v>1</v>
      </c>
      <c r="AG397">
        <v>3.45677687979365</v>
      </c>
      <c r="AH397">
        <v>2.065659831144314</v>
      </c>
    </row>
    <row r="398" spans="1:34" x14ac:dyDescent="0.3">
      <c r="A398" s="2">
        <v>45261</v>
      </c>
      <c r="B398" s="3">
        <f t="shared" si="39"/>
        <v>12</v>
      </c>
      <c r="C398" s="3" t="s">
        <v>161</v>
      </c>
      <c r="D398" s="3" t="str">
        <f>VLOOKUP(C398,'Data availability'!$A$2:$B$91,2,FALSE)</f>
        <v>Off Campus 11th St</v>
      </c>
      <c r="E398" s="3">
        <v>25320</v>
      </c>
      <c r="F398" s="3" t="str">
        <f>VLOOKUP(C398,'Data availability'!$A$2:$H$91,8,FALSE)</f>
        <v>Residential</v>
      </c>
      <c r="G398" s="1">
        <v>7892.8507741936073</v>
      </c>
      <c r="I398" s="1">
        <v>840.03870967742944</v>
      </c>
      <c r="M398" s="21">
        <f t="shared" si="35"/>
        <v>1.063602165937938</v>
      </c>
      <c r="N398" s="21">
        <f t="shared" si="36"/>
        <v>3.3176884268460878</v>
      </c>
      <c r="O398" s="21">
        <f t="shared" si="37"/>
        <v>0</v>
      </c>
      <c r="P398" s="21">
        <f t="shared" si="38"/>
        <v>0</v>
      </c>
      <c r="Z398" s="211" t="b">
        <f>IFERROR(INDEX(Outliers!$X$3:$X$61,MATCH('SkYSPark Data_w Will''s Data'!C398,Outliers!$B$3:$B$61,0)),0)</f>
        <v>0</v>
      </c>
      <c r="AA398" s="1" t="b">
        <f>IFERROR(INDEX(Outliers!$AP$3:$AP$61,MATCH('SkYSPark Data_w Will''s Data'!C398,Outliers!$B$3:$B$61,0)),0)</f>
        <v>1</v>
      </c>
      <c r="AB398" s="112" t="b">
        <f>IFERROR(INDEX(Outliers!$AY$3:$AY$61,MATCH('SkYSPark Data_w Will''s Data'!C398,Outliers!$B$3:$B$61,0)),0)</f>
        <v>1</v>
      </c>
      <c r="AG398">
        <v>3.1551315903572599</v>
      </c>
      <c r="AH398">
        <v>2.3202634408601859</v>
      </c>
    </row>
    <row r="399" spans="1:34" s="15" customFormat="1" x14ac:dyDescent="0.3">
      <c r="A399" s="38">
        <v>43466</v>
      </c>
      <c r="B399" s="3">
        <f t="shared" si="39"/>
        <v>1</v>
      </c>
      <c r="C399" s="22" t="s">
        <v>162</v>
      </c>
      <c r="D399" s="3" t="str">
        <f>VLOOKUP(C399,'Data availability'!$A$2:$B$91,2,FALSE)</f>
        <v>Main campus</v>
      </c>
      <c r="E399" s="22">
        <v>130000</v>
      </c>
      <c r="F399" s="3" t="str">
        <f>VLOOKUP(C399,'Data availability'!$A$2:$H$91,8,FALSE)</f>
        <v>Residential</v>
      </c>
      <c r="G399" s="21">
        <v>49745.400012016296</v>
      </c>
      <c r="H399" s="21"/>
      <c r="I399" s="21">
        <v>4265.6994552612296</v>
      </c>
      <c r="J399" s="21"/>
      <c r="K399" s="21"/>
      <c r="L399" s="20"/>
      <c r="M399" s="21">
        <f t="shared" si="35"/>
        <v>1.305625421853843</v>
      </c>
      <c r="N399" s="21">
        <f t="shared" si="36"/>
        <v>3.2813072732778688</v>
      </c>
      <c r="O399" s="21">
        <f t="shared" si="37"/>
        <v>0</v>
      </c>
      <c r="P399" s="21">
        <f t="shared" si="38"/>
        <v>0</v>
      </c>
      <c r="Q399" s="21"/>
      <c r="R399" s="21"/>
      <c r="S399" s="21"/>
      <c r="T399" s="21"/>
      <c r="U399" s="21"/>
      <c r="V399" s="34"/>
      <c r="W399" s="30" t="s">
        <v>326</v>
      </c>
      <c r="X399" s="20"/>
      <c r="Y399" s="21"/>
      <c r="Z399" s="211" t="b">
        <f>IFERROR(INDEX(Outliers!$X$3:$X$61,MATCH('SkYSPark Data_w Will''s Data'!C399,Outliers!$B$3:$B$61,0)),0)</f>
        <v>0</v>
      </c>
      <c r="AA399" s="1" t="b">
        <f>IFERROR(INDEX(Outliers!$AP$3:$AP$61,MATCH('SkYSPark Data_w Will''s Data'!C399,Outliers!$B$3:$B$61,0)),0)</f>
        <v>1</v>
      </c>
      <c r="AB399" s="112" t="b">
        <f>IFERROR(INDEX(Outliers!$AY$3:$AY$61,MATCH('SkYSPark Data_w Will''s Data'!C399,Outliers!$B$3:$B$61,0)),0)</f>
        <v>1</v>
      </c>
      <c r="AC399" s="112" t="s">
        <v>391</v>
      </c>
      <c r="AD399" s="138"/>
      <c r="AE399" s="138"/>
      <c r="AF399" s="138"/>
    </row>
    <row r="400" spans="1:34" x14ac:dyDescent="0.3">
      <c r="A400" s="2">
        <v>43497</v>
      </c>
      <c r="B400" s="3">
        <f t="shared" si="39"/>
        <v>2</v>
      </c>
      <c r="C400" s="3" t="s">
        <v>162</v>
      </c>
      <c r="D400" s="3" t="str">
        <f>VLOOKUP(C400,'Data availability'!$A$2:$B$91,2,FALSE)</f>
        <v>Main campus</v>
      </c>
      <c r="E400" s="3">
        <v>130000</v>
      </c>
      <c r="F400" s="3" t="str">
        <f>VLOOKUP(C400,'Data availability'!$A$2:$H$91,8,FALSE)</f>
        <v>Residential</v>
      </c>
      <c r="G400" s="1">
        <v>67316.0999584198</v>
      </c>
      <c r="I400" s="1">
        <v>6382.6745300292969</v>
      </c>
      <c r="M400" s="21">
        <f t="shared" si="35"/>
        <v>1.7667887158317566</v>
      </c>
      <c r="N400" s="21">
        <f t="shared" si="36"/>
        <v>4.9097496384840742</v>
      </c>
      <c r="O400" s="21">
        <f t="shared" si="37"/>
        <v>0</v>
      </c>
      <c r="P400" s="21">
        <f t="shared" si="38"/>
        <v>0</v>
      </c>
      <c r="W400" s="25" t="s">
        <v>327</v>
      </c>
      <c r="Z400" s="211" t="b">
        <f>IFERROR(INDEX(Outliers!$X$3:$X$61,MATCH('SkYSPark Data_w Will''s Data'!C400,Outliers!$B$3:$B$61,0)),0)</f>
        <v>0</v>
      </c>
      <c r="AA400" s="1" t="b">
        <f>IFERROR(INDEX(Outliers!$AP$3:$AP$61,MATCH('SkYSPark Data_w Will''s Data'!C400,Outliers!$B$3:$B$61,0)),0)</f>
        <v>1</v>
      </c>
      <c r="AB400" s="112" t="b">
        <f>IFERROR(INDEX(Outliers!$AY$3:$AY$61,MATCH('SkYSPark Data_w Will''s Data'!C400,Outliers!$B$3:$B$61,0)),0)</f>
        <v>1</v>
      </c>
      <c r="AC400" s="112" t="s">
        <v>391</v>
      </c>
    </row>
    <row r="401" spans="1:32" x14ac:dyDescent="0.3">
      <c r="A401" s="2">
        <v>43525</v>
      </c>
      <c r="B401" s="3">
        <f t="shared" si="39"/>
        <v>3</v>
      </c>
      <c r="C401" s="3" t="s">
        <v>162</v>
      </c>
      <c r="D401" s="3" t="str">
        <f>VLOOKUP(C401,'Data availability'!$A$2:$B$91,2,FALSE)</f>
        <v>Main campus</v>
      </c>
      <c r="E401" s="3">
        <v>130000</v>
      </c>
      <c r="F401" s="3" t="str">
        <f>VLOOKUP(C401,'Data availability'!$A$2:$H$91,8,FALSE)</f>
        <v>Residential</v>
      </c>
      <c r="G401" s="1">
        <v>68645.099959373474</v>
      </c>
      <c r="I401" s="1">
        <v>5266.6689529418954</v>
      </c>
      <c r="M401" s="21">
        <f t="shared" si="35"/>
        <v>1.8016698543183252</v>
      </c>
      <c r="N401" s="21">
        <f t="shared" si="36"/>
        <v>4.0512838099553043</v>
      </c>
      <c r="O401" s="21">
        <f t="shared" si="37"/>
        <v>0</v>
      </c>
      <c r="P401" s="21">
        <f t="shared" si="38"/>
        <v>0</v>
      </c>
      <c r="Z401" s="211" t="b">
        <f>IFERROR(INDEX(Outliers!$X$3:$X$61,MATCH('SkYSPark Data_w Will''s Data'!C401,Outliers!$B$3:$B$61,0)),0)</f>
        <v>0</v>
      </c>
      <c r="AA401" s="1" t="b">
        <f>IFERROR(INDEX(Outliers!$AP$3:$AP$61,MATCH('SkYSPark Data_w Will''s Data'!C401,Outliers!$B$3:$B$61,0)),0)</f>
        <v>1</v>
      </c>
      <c r="AB401" s="112" t="b">
        <f>IFERROR(INDEX(Outliers!$AY$3:$AY$61,MATCH('SkYSPark Data_w Will''s Data'!C401,Outliers!$B$3:$B$61,0)),0)</f>
        <v>1</v>
      </c>
      <c r="AC401" s="112" t="s">
        <v>391</v>
      </c>
    </row>
    <row r="402" spans="1:32" x14ac:dyDescent="0.3">
      <c r="A402" s="2">
        <v>43556</v>
      </c>
      <c r="B402" s="3">
        <f t="shared" si="39"/>
        <v>4</v>
      </c>
      <c r="C402" s="3" t="s">
        <v>162</v>
      </c>
      <c r="D402" s="3" t="str">
        <f>VLOOKUP(C402,'Data availability'!$A$2:$B$91,2,FALSE)</f>
        <v>Main campus</v>
      </c>
      <c r="E402" s="3">
        <v>130000</v>
      </c>
      <c r="F402" s="3" t="str">
        <f>VLOOKUP(C402,'Data availability'!$A$2:$H$91,8,FALSE)</f>
        <v>Residential</v>
      </c>
      <c r="G402" s="1">
        <v>63880.499975204468</v>
      </c>
      <c r="I402" s="1">
        <v>3307.636596679688</v>
      </c>
      <c r="M402" s="21">
        <f t="shared" si="35"/>
        <v>1.6766174301184433</v>
      </c>
      <c r="N402" s="21">
        <f t="shared" si="36"/>
        <v>2.5443358435997601</v>
      </c>
      <c r="O402" s="21">
        <f t="shared" si="37"/>
        <v>0</v>
      </c>
      <c r="P402" s="21">
        <f t="shared" si="38"/>
        <v>0</v>
      </c>
      <c r="Z402" s="211" t="b">
        <f>IFERROR(INDEX(Outliers!$X$3:$X$61,MATCH('SkYSPark Data_w Will''s Data'!C402,Outliers!$B$3:$B$61,0)),0)</f>
        <v>0</v>
      </c>
      <c r="AA402" s="1" t="b">
        <f>IFERROR(INDEX(Outliers!$AP$3:$AP$61,MATCH('SkYSPark Data_w Will''s Data'!C402,Outliers!$B$3:$B$61,0)),0)</f>
        <v>1</v>
      </c>
      <c r="AB402" s="112" t="b">
        <f>IFERROR(INDEX(Outliers!$AY$3:$AY$61,MATCH('SkYSPark Data_w Will''s Data'!C402,Outliers!$B$3:$B$61,0)),0)</f>
        <v>1</v>
      </c>
      <c r="AC402" s="112" t="s">
        <v>391</v>
      </c>
    </row>
    <row r="403" spans="1:32" x14ac:dyDescent="0.3">
      <c r="A403" s="2">
        <v>43586</v>
      </c>
      <c r="B403" s="3">
        <f t="shared" si="39"/>
        <v>5</v>
      </c>
      <c r="C403" s="3" t="s">
        <v>162</v>
      </c>
      <c r="D403" s="3" t="str">
        <f>VLOOKUP(C403,'Data availability'!$A$2:$B$91,2,FALSE)</f>
        <v>Main campus</v>
      </c>
      <c r="E403" s="3">
        <v>130000</v>
      </c>
      <c r="F403" s="3" t="str">
        <f>VLOOKUP(C403,'Data availability'!$A$2:$H$91,8,FALSE)</f>
        <v>Residential</v>
      </c>
      <c r="G403" s="1">
        <v>59289.599984169014</v>
      </c>
      <c r="I403" s="1">
        <v>2967.1136226654048</v>
      </c>
      <c r="M403" s="21">
        <f t="shared" si="35"/>
        <v>1.5561239626614205</v>
      </c>
      <c r="N403" s="21">
        <f t="shared" si="36"/>
        <v>2.2823950943580038</v>
      </c>
      <c r="O403" s="21">
        <f t="shared" si="37"/>
        <v>0</v>
      </c>
      <c r="P403" s="21">
        <f t="shared" si="38"/>
        <v>0</v>
      </c>
      <c r="Z403" s="211" t="b">
        <f>IFERROR(INDEX(Outliers!$X$3:$X$61,MATCH('SkYSPark Data_w Will''s Data'!C403,Outliers!$B$3:$B$61,0)),0)</f>
        <v>0</v>
      </c>
      <c r="AA403" s="1" t="b">
        <f>IFERROR(INDEX(Outliers!$AP$3:$AP$61,MATCH('SkYSPark Data_w Will''s Data'!C403,Outliers!$B$3:$B$61,0)),0)</f>
        <v>1</v>
      </c>
      <c r="AB403" s="112" t="b">
        <f>IFERROR(INDEX(Outliers!$AY$3:$AY$61,MATCH('SkYSPark Data_w Will''s Data'!C403,Outliers!$B$3:$B$61,0)),0)</f>
        <v>1</v>
      </c>
      <c r="AC403" s="112" t="s">
        <v>391</v>
      </c>
    </row>
    <row r="404" spans="1:32" x14ac:dyDescent="0.3">
      <c r="A404" s="2">
        <v>43617</v>
      </c>
      <c r="B404" s="3">
        <f t="shared" si="39"/>
        <v>6</v>
      </c>
      <c r="C404" s="3" t="s">
        <v>162</v>
      </c>
      <c r="D404" s="3" t="str">
        <f>VLOOKUP(C404,'Data availability'!$A$2:$B$91,2,FALSE)</f>
        <v>Main campus</v>
      </c>
      <c r="E404" s="3">
        <v>130000</v>
      </c>
      <c r="F404" s="3" t="str">
        <f>VLOOKUP(C404,'Data availability'!$A$2:$H$91,8,FALSE)</f>
        <v>Residential</v>
      </c>
      <c r="G404" s="1">
        <v>39449.249979972839</v>
      </c>
      <c r="I404" s="1">
        <v>1402.440955638885</v>
      </c>
      <c r="M404" s="21">
        <f t="shared" si="35"/>
        <v>1.0353910840897487</v>
      </c>
      <c r="N404" s="21">
        <f t="shared" si="36"/>
        <v>1.0788007351068345</v>
      </c>
      <c r="O404" s="21">
        <f t="shared" si="37"/>
        <v>0</v>
      </c>
      <c r="P404" s="21">
        <f t="shared" si="38"/>
        <v>0</v>
      </c>
      <c r="Z404" s="211" t="b">
        <f>IFERROR(INDEX(Outliers!$X$3:$X$61,MATCH('SkYSPark Data_w Will''s Data'!C404,Outliers!$B$3:$B$61,0)),0)</f>
        <v>0</v>
      </c>
      <c r="AA404" s="1" t="b">
        <f>IFERROR(INDEX(Outliers!$AP$3:$AP$61,MATCH('SkYSPark Data_w Will''s Data'!C404,Outliers!$B$3:$B$61,0)),0)</f>
        <v>1</v>
      </c>
      <c r="AB404" s="112" t="b">
        <f>IFERROR(INDEX(Outliers!$AY$3:$AY$61,MATCH('SkYSPark Data_w Will''s Data'!C404,Outliers!$B$3:$B$61,0)),0)</f>
        <v>1</v>
      </c>
      <c r="AC404" s="112" t="s">
        <v>391</v>
      </c>
    </row>
    <row r="405" spans="1:32" x14ac:dyDescent="0.3">
      <c r="A405" s="2">
        <v>43647</v>
      </c>
      <c r="B405" s="3">
        <f t="shared" si="39"/>
        <v>7</v>
      </c>
      <c r="C405" s="3" t="s">
        <v>162</v>
      </c>
      <c r="D405" s="3" t="str">
        <f>VLOOKUP(C405,'Data availability'!$A$2:$B$91,2,FALSE)</f>
        <v>Main campus</v>
      </c>
      <c r="E405" s="3">
        <v>130000</v>
      </c>
      <c r="F405" s="3" t="str">
        <f>VLOOKUP(C405,'Data availability'!$A$2:$H$91,8,FALSE)</f>
        <v>Residential</v>
      </c>
      <c r="G405" s="1">
        <v>42106.499981880188</v>
      </c>
      <c r="I405" s="1">
        <v>1506.715084075928</v>
      </c>
      <c r="M405" s="21">
        <f t="shared" si="35"/>
        <v>1.1051336764475015</v>
      </c>
      <c r="N405" s="21">
        <f t="shared" si="36"/>
        <v>1.1590116031353292</v>
      </c>
      <c r="O405" s="21">
        <f t="shared" si="37"/>
        <v>0</v>
      </c>
      <c r="P405" s="21">
        <f t="shared" si="38"/>
        <v>0</v>
      </c>
      <c r="Z405" s="211" t="b">
        <f>IFERROR(INDEX(Outliers!$X$3:$X$61,MATCH('SkYSPark Data_w Will''s Data'!C405,Outliers!$B$3:$B$61,0)),0)</f>
        <v>0</v>
      </c>
      <c r="AA405" s="1" t="b">
        <f>IFERROR(INDEX(Outliers!$AP$3:$AP$61,MATCH('SkYSPark Data_w Will''s Data'!C405,Outliers!$B$3:$B$61,0)),0)</f>
        <v>1</v>
      </c>
      <c r="AB405" s="112" t="b">
        <f>IFERROR(INDEX(Outliers!$AY$3:$AY$61,MATCH('SkYSPark Data_w Will''s Data'!C405,Outliers!$B$3:$B$61,0)),0)</f>
        <v>1</v>
      </c>
      <c r="AC405" s="112" t="s">
        <v>391</v>
      </c>
    </row>
    <row r="406" spans="1:32" x14ac:dyDescent="0.3">
      <c r="A406" s="2">
        <v>43678</v>
      </c>
      <c r="B406" s="3">
        <f t="shared" si="39"/>
        <v>8</v>
      </c>
      <c r="C406" s="3" t="s">
        <v>162</v>
      </c>
      <c r="D406" s="3" t="str">
        <f>VLOOKUP(C406,'Data availability'!$A$2:$B$91,2,FALSE)</f>
        <v>Main campus</v>
      </c>
      <c r="E406" s="3">
        <v>130000</v>
      </c>
      <c r="F406" s="3" t="str">
        <f>VLOOKUP(C406,'Data availability'!$A$2:$H$91,8,FALSE)</f>
        <v>Residential</v>
      </c>
      <c r="G406" s="1">
        <v>59153.700042724609</v>
      </c>
      <c r="I406" s="1">
        <v>1522.900796890259</v>
      </c>
      <c r="M406" s="21">
        <f t="shared" si="35"/>
        <v>1.5525571118905874</v>
      </c>
      <c r="N406" s="21">
        <f t="shared" si="36"/>
        <v>1.1714621514540455</v>
      </c>
      <c r="O406" s="21">
        <f t="shared" si="37"/>
        <v>0</v>
      </c>
      <c r="P406" s="21">
        <f t="shared" si="38"/>
        <v>0</v>
      </c>
      <c r="Z406" s="211" t="b">
        <f>IFERROR(INDEX(Outliers!$X$3:$X$61,MATCH('SkYSPark Data_w Will''s Data'!C406,Outliers!$B$3:$B$61,0)),0)</f>
        <v>0</v>
      </c>
      <c r="AA406" s="1" t="b">
        <f>IFERROR(INDEX(Outliers!$AP$3:$AP$61,MATCH('SkYSPark Data_w Will''s Data'!C406,Outliers!$B$3:$B$61,0)),0)</f>
        <v>1</v>
      </c>
      <c r="AB406" s="112" t="b">
        <f>IFERROR(INDEX(Outliers!$AY$3:$AY$61,MATCH('SkYSPark Data_w Will''s Data'!C406,Outliers!$B$3:$B$61,0)),0)</f>
        <v>1</v>
      </c>
      <c r="AC406" s="112" t="s">
        <v>391</v>
      </c>
    </row>
    <row r="407" spans="1:32" x14ac:dyDescent="0.3">
      <c r="A407" s="2">
        <v>43709</v>
      </c>
      <c r="B407" s="3">
        <f t="shared" si="39"/>
        <v>9</v>
      </c>
      <c r="C407" s="3" t="s">
        <v>162</v>
      </c>
      <c r="D407" s="3" t="str">
        <f>VLOOKUP(C407,'Data availability'!$A$2:$B$91,2,FALSE)</f>
        <v>Main campus</v>
      </c>
      <c r="E407" s="3">
        <v>130000</v>
      </c>
      <c r="F407" s="3" t="str">
        <f>VLOOKUP(C407,'Data availability'!$A$2:$H$91,8,FALSE)</f>
        <v>Residential</v>
      </c>
      <c r="G407" s="1">
        <v>74686.799945831299</v>
      </c>
      <c r="I407" s="1">
        <v>2198.041633605957</v>
      </c>
      <c r="M407" s="21">
        <f t="shared" si="35"/>
        <v>1.9602412416552031</v>
      </c>
      <c r="N407" s="21">
        <f t="shared" si="36"/>
        <v>1.6908012566199671</v>
      </c>
      <c r="O407" s="21">
        <f t="shared" si="37"/>
        <v>0</v>
      </c>
      <c r="P407" s="21">
        <f t="shared" si="38"/>
        <v>0</v>
      </c>
      <c r="Z407" s="211" t="b">
        <f>IFERROR(INDEX(Outliers!$X$3:$X$61,MATCH('SkYSPark Data_w Will''s Data'!C407,Outliers!$B$3:$B$61,0)),0)</f>
        <v>0</v>
      </c>
      <c r="AA407" s="1" t="b">
        <f>IFERROR(INDEX(Outliers!$AP$3:$AP$61,MATCH('SkYSPark Data_w Will''s Data'!C407,Outliers!$B$3:$B$61,0)),0)</f>
        <v>1</v>
      </c>
      <c r="AB407" s="112" t="b">
        <f>IFERROR(INDEX(Outliers!$AY$3:$AY$61,MATCH('SkYSPark Data_w Will''s Data'!C407,Outliers!$B$3:$B$61,0)),0)</f>
        <v>1</v>
      </c>
      <c r="AC407" s="112" t="s">
        <v>391</v>
      </c>
    </row>
    <row r="408" spans="1:32" x14ac:dyDescent="0.3">
      <c r="A408" s="2">
        <v>43739</v>
      </c>
      <c r="B408" s="3">
        <f t="shared" si="39"/>
        <v>10</v>
      </c>
      <c r="C408" s="3" t="s">
        <v>162</v>
      </c>
      <c r="D408" s="3" t="str">
        <f>VLOOKUP(C408,'Data availability'!$A$2:$B$91,2,FALSE)</f>
        <v>Main campus</v>
      </c>
      <c r="E408" s="3">
        <v>130000</v>
      </c>
      <c r="F408" s="3" t="str">
        <f>VLOOKUP(C408,'Data availability'!$A$2:$H$91,8,FALSE)</f>
        <v>Residential</v>
      </c>
      <c r="G408" s="1">
        <v>70525.350023269653</v>
      </c>
      <c r="I408" s="1">
        <v>3221.429695129395</v>
      </c>
      <c r="M408" s="21">
        <f t="shared" si="35"/>
        <v>1.8510191867645851</v>
      </c>
      <c r="N408" s="21">
        <f t="shared" si="36"/>
        <v>2.4780228424072268</v>
      </c>
      <c r="O408" s="21">
        <f t="shared" si="37"/>
        <v>0</v>
      </c>
      <c r="P408" s="21">
        <f t="shared" si="38"/>
        <v>0</v>
      </c>
      <c r="Z408" s="211" t="b">
        <f>IFERROR(INDEX(Outliers!$X$3:$X$61,MATCH('SkYSPark Data_w Will''s Data'!C408,Outliers!$B$3:$B$61,0)),0)</f>
        <v>0</v>
      </c>
      <c r="AA408" s="1" t="b">
        <f>IFERROR(INDEX(Outliers!$AP$3:$AP$61,MATCH('SkYSPark Data_w Will''s Data'!C408,Outliers!$B$3:$B$61,0)),0)</f>
        <v>1</v>
      </c>
      <c r="AB408" s="112" t="b">
        <f>IFERROR(INDEX(Outliers!$AY$3:$AY$61,MATCH('SkYSPark Data_w Will''s Data'!C408,Outliers!$B$3:$B$61,0)),0)</f>
        <v>1</v>
      </c>
      <c r="AC408" s="112" t="s">
        <v>391</v>
      </c>
    </row>
    <row r="409" spans="1:32" x14ac:dyDescent="0.3">
      <c r="A409" s="2">
        <v>43770</v>
      </c>
      <c r="B409" s="3">
        <f t="shared" si="39"/>
        <v>11</v>
      </c>
      <c r="C409" s="3" t="s">
        <v>162</v>
      </c>
      <c r="D409" s="3" t="str">
        <f>VLOOKUP(C409,'Data availability'!$A$2:$B$91,2,FALSE)</f>
        <v>Main campus</v>
      </c>
      <c r="E409" s="3">
        <v>130000</v>
      </c>
      <c r="F409" s="3" t="str">
        <f>VLOOKUP(C409,'Data availability'!$A$2:$H$91,8,FALSE)</f>
        <v>Residential</v>
      </c>
      <c r="G409" s="1">
        <v>63027.750016212463</v>
      </c>
      <c r="I409" s="1">
        <v>4157.9168548583984</v>
      </c>
      <c r="M409" s="21">
        <f t="shared" si="35"/>
        <v>1.6542360235024378</v>
      </c>
      <c r="N409" s="21">
        <f t="shared" si="36"/>
        <v>3.1983975806603064</v>
      </c>
      <c r="O409" s="21">
        <f t="shared" si="37"/>
        <v>0</v>
      </c>
      <c r="P409" s="21">
        <f t="shared" si="38"/>
        <v>0</v>
      </c>
      <c r="Z409" s="211" t="b">
        <f>IFERROR(INDEX(Outliers!$X$3:$X$61,MATCH('SkYSPark Data_w Will''s Data'!C409,Outliers!$B$3:$B$61,0)),0)</f>
        <v>0</v>
      </c>
      <c r="AA409" s="1" t="b">
        <f>IFERROR(INDEX(Outliers!$AP$3:$AP$61,MATCH('SkYSPark Data_w Will''s Data'!C409,Outliers!$B$3:$B$61,0)),0)</f>
        <v>1</v>
      </c>
      <c r="AB409" s="112" t="b">
        <f>IFERROR(INDEX(Outliers!$AY$3:$AY$61,MATCH('SkYSPark Data_w Will''s Data'!C409,Outliers!$B$3:$B$61,0)),0)</f>
        <v>1</v>
      </c>
      <c r="AC409" s="112" t="s">
        <v>391</v>
      </c>
    </row>
    <row r="410" spans="1:32" s="69" customFormat="1" x14ac:dyDescent="0.3">
      <c r="A410" s="65">
        <v>43800</v>
      </c>
      <c r="B410" s="64">
        <f t="shared" si="39"/>
        <v>12</v>
      </c>
      <c r="C410" s="64" t="s">
        <v>162</v>
      </c>
      <c r="D410" s="64" t="str">
        <f>VLOOKUP(C410,'Data availability'!$A$2:$B$91,2,FALSE)</f>
        <v>Main campus</v>
      </c>
      <c r="E410" s="64">
        <v>130000</v>
      </c>
      <c r="F410" s="64" t="str">
        <f>VLOOKUP(C410,'Data availability'!$A$2:$H$91,8,FALSE)</f>
        <v>Residential</v>
      </c>
      <c r="G410" s="66">
        <v>54628.949951171882</v>
      </c>
      <c r="H410" s="66"/>
      <c r="I410" s="66">
        <v>4941.0768280029297</v>
      </c>
      <c r="J410" s="66"/>
      <c r="K410" s="66"/>
      <c r="L410" s="67"/>
      <c r="M410" s="261">
        <f t="shared" si="35"/>
        <v>1.4337998248722956</v>
      </c>
      <c r="N410" s="261">
        <f t="shared" si="36"/>
        <v>3.8008283292330227</v>
      </c>
      <c r="O410" s="261">
        <f t="shared" si="37"/>
        <v>0</v>
      </c>
      <c r="P410" s="261">
        <f t="shared" si="38"/>
        <v>0</v>
      </c>
      <c r="Q410" s="66"/>
      <c r="R410" s="66"/>
      <c r="S410" s="66"/>
      <c r="T410" s="66"/>
      <c r="U410" s="66"/>
      <c r="V410" s="68"/>
      <c r="W410" s="66"/>
      <c r="X410" s="67"/>
      <c r="Y410" s="66"/>
      <c r="Z410" s="262" t="b">
        <f>IFERROR(INDEX(Outliers!$X$3:$X$61,MATCH('SkYSPark Data_w Will''s Data'!C410,Outliers!$B$3:$B$61,0)),0)</f>
        <v>0</v>
      </c>
      <c r="AA410" s="66" t="b">
        <f>IFERROR(INDEX(Outliers!$AP$3:$AP$61,MATCH('SkYSPark Data_w Will''s Data'!C410,Outliers!$B$3:$B$61,0)),0)</f>
        <v>1</v>
      </c>
      <c r="AB410" s="134" t="b">
        <f>IFERROR(INDEX(Outliers!$AY$3:$AY$61,MATCH('SkYSPark Data_w Will''s Data'!C410,Outliers!$B$3:$B$61,0)),0)</f>
        <v>1</v>
      </c>
      <c r="AC410" s="134" t="s">
        <v>391</v>
      </c>
      <c r="AD410" s="134"/>
      <c r="AE410" s="134"/>
      <c r="AF410" s="134"/>
    </row>
    <row r="411" spans="1:32" x14ac:dyDescent="0.3">
      <c r="A411" s="2">
        <v>44927</v>
      </c>
      <c r="B411" s="3">
        <f t="shared" si="39"/>
        <v>1</v>
      </c>
      <c r="C411" s="3" t="s">
        <v>163</v>
      </c>
      <c r="D411" s="3" t="str">
        <f>VLOOKUP(C411,'Data availability'!$A$2:$B$91,2,FALSE)</f>
        <v>South campus</v>
      </c>
      <c r="E411" s="3">
        <v>15358</v>
      </c>
      <c r="F411" s="3" t="str">
        <f>VLOOKUP(C411,'Data availability'!$A$2:$H$91,8,FALSE)</f>
        <v>Athletics</v>
      </c>
      <c r="G411" s="1" cm="1">
        <f t="array" ref="G411">_xlfn._xlws.FILTER('Split meters'!$AD$35:$AD$106,('Split meters'!$A$35:$A$106='SkYSPark Data_w Will''s Data'!B411)*('Split meters'!$B$35:$B$106='SkYSPark Data_w Will''s Data'!C411))</f>
        <v>36004.670127718804</v>
      </c>
      <c r="I411" s="5">
        <v>1599.9161290322754</v>
      </c>
      <c r="M411" s="1">
        <f t="shared" si="35"/>
        <v>7.9989539312264979</v>
      </c>
      <c r="N411" s="1">
        <f t="shared" si="36"/>
        <v>10.417477074047893</v>
      </c>
      <c r="O411" s="1">
        <f t="shared" si="37"/>
        <v>0</v>
      </c>
      <c r="P411" s="1">
        <f t="shared" si="38"/>
        <v>0</v>
      </c>
      <c r="Q411" s="1">
        <f>(SUM(G411:G422)*3.412)/E411</f>
        <v>47.272623821460698</v>
      </c>
      <c r="R411" s="1">
        <f>(SUM(I411:I422)*100)/E411</f>
        <v>43.335825817373973</v>
      </c>
      <c r="S411" s="1">
        <f>(SUM(J411:J422)*100)/E411</f>
        <v>0</v>
      </c>
      <c r="T411" s="1">
        <f>(SUM(K411:K422)*12)/E411</f>
        <v>0</v>
      </c>
      <c r="V411" s="33">
        <f>SUM(Q411:T411)</f>
        <v>90.608449638834671</v>
      </c>
      <c r="W411" s="10" t="s">
        <v>679</v>
      </c>
      <c r="Y411" s="1" t="s">
        <v>446</v>
      </c>
      <c r="Z411" s="211" t="b">
        <f>IFERROR(INDEX(Outliers!$X$3:$X$61,MATCH('SkYSPark Data_w Will''s Data'!C411,Outliers!$B$3:$B$61,0)),0)</f>
        <v>0</v>
      </c>
      <c r="AA411" s="1" t="b">
        <f>IFERROR(INDEX(Outliers!$AP$3:$AP$61,MATCH('SkYSPark Data_w Will''s Data'!C411,Outliers!$B$3:$B$61,0)),0)</f>
        <v>1</v>
      </c>
      <c r="AB411" s="112" t="b">
        <f>IFERROR(INDEX(Outliers!$AY$3:$AY$61,MATCH('SkYSPark Data_w Will''s Data'!C411,Outliers!$B$3:$B$61,0)),0)</f>
        <v>1</v>
      </c>
      <c r="AF411" s="112" t="s">
        <v>552</v>
      </c>
    </row>
    <row r="412" spans="1:32" x14ac:dyDescent="0.3">
      <c r="A412" s="2">
        <v>44958</v>
      </c>
      <c r="B412" s="3">
        <f t="shared" si="39"/>
        <v>2</v>
      </c>
      <c r="C412" s="3" t="s">
        <v>163</v>
      </c>
      <c r="D412" s="3" t="str">
        <f>VLOOKUP(C412,'Data availability'!$A$2:$B$91,2,FALSE)</f>
        <v>South campus</v>
      </c>
      <c r="E412" s="3">
        <v>15358</v>
      </c>
      <c r="F412" s="3" t="str">
        <f>VLOOKUP(C412,'Data availability'!$A$2:$H$91,8,FALSE)</f>
        <v>Athletics</v>
      </c>
      <c r="G412" s="1" cm="1">
        <f t="array" ref="G412">_xlfn._xlws.FILTER('Split meters'!$AD$35:$AD$106,('Split meters'!$A$35:$A$106='SkYSPark Data_w Will''s Data'!B412)*('Split meters'!$B$35:$B$106='SkYSPark Data_w Will''s Data'!C412))</f>
        <v>17368.139964280821</v>
      </c>
      <c r="I412" s="5">
        <v>1722.8000000000181</v>
      </c>
      <c r="M412" s="21">
        <f t="shared" si="35"/>
        <v>3.8585814271471648</v>
      </c>
      <c r="N412" s="21">
        <f t="shared" si="36"/>
        <v>11.217606459174489</v>
      </c>
      <c r="O412" s="21">
        <f t="shared" si="37"/>
        <v>0</v>
      </c>
      <c r="P412" s="21">
        <f t="shared" si="38"/>
        <v>0</v>
      </c>
      <c r="W412" s="8" t="s">
        <v>193</v>
      </c>
      <c r="X412" s="60"/>
      <c r="Y412" s="8"/>
      <c r="Z412" s="211" t="b">
        <f>IFERROR(INDEX(Outliers!$X$3:$X$61,MATCH('SkYSPark Data_w Will''s Data'!C412,Outliers!$B$3:$B$61,0)),0)</f>
        <v>0</v>
      </c>
      <c r="AA412" s="1" t="b">
        <f>IFERROR(INDEX(Outliers!$AP$3:$AP$61,MATCH('SkYSPark Data_w Will''s Data'!C412,Outliers!$B$3:$B$61,0)),0)</f>
        <v>1</v>
      </c>
      <c r="AB412" s="112" t="b">
        <f>IFERROR(INDEX(Outliers!$AY$3:$AY$61,MATCH('SkYSPark Data_w Will''s Data'!C412,Outliers!$B$3:$B$61,0)),0)</f>
        <v>1</v>
      </c>
      <c r="AD412" s="140"/>
      <c r="AE412" s="140"/>
      <c r="AF412" s="140"/>
    </row>
    <row r="413" spans="1:32" x14ac:dyDescent="0.3">
      <c r="A413" s="2">
        <v>44986</v>
      </c>
      <c r="B413" s="3">
        <f t="shared" si="39"/>
        <v>3</v>
      </c>
      <c r="C413" s="3" t="s">
        <v>163</v>
      </c>
      <c r="D413" s="3" t="str">
        <f>VLOOKUP(C413,'Data availability'!$A$2:$B$91,2,FALSE)</f>
        <v>South campus</v>
      </c>
      <c r="E413" s="3">
        <v>15358</v>
      </c>
      <c r="F413" s="3" t="str">
        <f>VLOOKUP(C413,'Data availability'!$A$2:$H$91,8,FALSE)</f>
        <v>Athletics</v>
      </c>
      <c r="G413" s="1" cm="1">
        <f t="array" ref="G413">_xlfn._xlws.FILTER('Split meters'!$AD$35:$AD$106,('Split meters'!$A$35:$A$106='SkYSPark Data_w Will''s Data'!B413)*('Split meters'!$B$35:$B$106='SkYSPark Data_w Will''s Data'!C413))</f>
        <v>13117.375386141102</v>
      </c>
      <c r="I413" s="5">
        <v>1344.4172661870477</v>
      </c>
      <c r="M413" s="21">
        <f t="shared" si="35"/>
        <v>2.9142131018044952</v>
      </c>
      <c r="N413" s="21">
        <f t="shared" si="36"/>
        <v>8.7538564017909071</v>
      </c>
      <c r="O413" s="21">
        <f t="shared" si="37"/>
        <v>0</v>
      </c>
      <c r="P413" s="21">
        <f t="shared" si="38"/>
        <v>0</v>
      </c>
      <c r="Z413" s="211" t="b">
        <f>IFERROR(INDEX(Outliers!$X$3:$X$61,MATCH('SkYSPark Data_w Will''s Data'!C413,Outliers!$B$3:$B$61,0)),0)</f>
        <v>0</v>
      </c>
      <c r="AA413" s="1" t="b">
        <f>IFERROR(INDEX(Outliers!$AP$3:$AP$61,MATCH('SkYSPark Data_w Will''s Data'!C413,Outliers!$B$3:$B$61,0)),0)</f>
        <v>1</v>
      </c>
      <c r="AB413" s="112" t="b">
        <f>IFERROR(INDEX(Outliers!$AY$3:$AY$61,MATCH('SkYSPark Data_w Will''s Data'!C413,Outliers!$B$3:$B$61,0)),0)</f>
        <v>1</v>
      </c>
    </row>
    <row r="414" spans="1:32" x14ac:dyDescent="0.3">
      <c r="A414" s="2">
        <v>45017</v>
      </c>
      <c r="B414" s="3">
        <f t="shared" si="39"/>
        <v>4</v>
      </c>
      <c r="C414" s="3" t="s">
        <v>163</v>
      </c>
      <c r="D414" s="3" t="str">
        <f>VLOOKUP(C414,'Data availability'!$A$2:$B$91,2,FALSE)</f>
        <v>South campus</v>
      </c>
      <c r="E414" s="3">
        <v>15358</v>
      </c>
      <c r="F414" s="3" t="str">
        <f>VLOOKUP(C414,'Data availability'!$A$2:$H$91,8,FALSE)</f>
        <v>Athletics</v>
      </c>
      <c r="G414" s="1" cm="1">
        <f t="array" ref="G414">_xlfn._xlws.FILTER('Split meters'!$AD$35:$AD$106,('Split meters'!$A$35:$A$106='SkYSPark Data_w Will''s Data'!B414)*('Split meters'!$B$35:$B$106='SkYSPark Data_w Will''s Data'!C414))</f>
        <v>15397.671152439907</v>
      </c>
      <c r="I414" s="5">
        <v>690.88273381295016</v>
      </c>
      <c r="M414" s="21">
        <f t="shared" si="35"/>
        <v>3.4208135155700585</v>
      </c>
      <c r="N414" s="21">
        <f t="shared" si="36"/>
        <v>4.4985202097470385</v>
      </c>
      <c r="O414" s="21">
        <f t="shared" si="37"/>
        <v>0</v>
      </c>
      <c r="P414" s="21">
        <f t="shared" si="38"/>
        <v>0</v>
      </c>
      <c r="Z414" s="211" t="b">
        <f>IFERROR(INDEX(Outliers!$X$3:$X$61,MATCH('SkYSPark Data_w Will''s Data'!C414,Outliers!$B$3:$B$61,0)),0)</f>
        <v>0</v>
      </c>
      <c r="AA414" s="1" t="b">
        <f>IFERROR(INDEX(Outliers!$AP$3:$AP$61,MATCH('SkYSPark Data_w Will''s Data'!C414,Outliers!$B$3:$B$61,0)),0)</f>
        <v>1</v>
      </c>
      <c r="AB414" s="112" t="b">
        <f>IFERROR(INDEX(Outliers!$AY$3:$AY$61,MATCH('SkYSPark Data_w Will''s Data'!C414,Outliers!$B$3:$B$61,0)),0)</f>
        <v>1</v>
      </c>
    </row>
    <row r="415" spans="1:32" x14ac:dyDescent="0.3">
      <c r="A415" s="2">
        <v>45047</v>
      </c>
      <c r="B415" s="3">
        <f t="shared" si="39"/>
        <v>5</v>
      </c>
      <c r="C415" s="3" t="s">
        <v>163</v>
      </c>
      <c r="D415" s="3" t="str">
        <f>VLOOKUP(C415,'Data availability'!$A$2:$B$91,2,FALSE)</f>
        <v>South campus</v>
      </c>
      <c r="E415" s="3">
        <v>15358</v>
      </c>
      <c r="F415" s="3" t="str">
        <f>VLOOKUP(C415,'Data availability'!$A$2:$H$91,8,FALSE)</f>
        <v>Athletics</v>
      </c>
      <c r="G415" s="1" cm="1">
        <f t="array" ref="G415">_xlfn._xlws.FILTER('Split meters'!$AD$35:$AD$106,('Split meters'!$A$35:$A$106='SkYSPark Data_w Will''s Data'!B415)*('Split meters'!$B$35:$B$106='SkYSPark Data_w Will''s Data'!C415))</f>
        <v>15741.827565334206</v>
      </c>
      <c r="I415" s="5">
        <v>296.26666666666665</v>
      </c>
      <c r="M415" s="21">
        <f t="shared" si="35"/>
        <v>3.4972727993827522</v>
      </c>
      <c r="N415" s="21">
        <f t="shared" si="36"/>
        <v>1.929070625515475</v>
      </c>
      <c r="O415" s="21">
        <f t="shared" si="37"/>
        <v>0</v>
      </c>
      <c r="P415" s="21">
        <f t="shared" si="38"/>
        <v>0</v>
      </c>
      <c r="Z415" s="211" t="b">
        <f>IFERROR(INDEX(Outliers!$X$3:$X$61,MATCH('SkYSPark Data_w Will''s Data'!C415,Outliers!$B$3:$B$61,0)),0)</f>
        <v>0</v>
      </c>
      <c r="AA415" s="1" t="b">
        <f>IFERROR(INDEX(Outliers!$AP$3:$AP$61,MATCH('SkYSPark Data_w Will''s Data'!C415,Outliers!$B$3:$B$61,0)),0)</f>
        <v>1</v>
      </c>
      <c r="AB415" s="112" t="b">
        <f>IFERROR(INDEX(Outliers!$AY$3:$AY$61,MATCH('SkYSPark Data_w Will''s Data'!C415,Outliers!$B$3:$B$61,0)),0)</f>
        <v>1</v>
      </c>
    </row>
    <row r="416" spans="1:32" x14ac:dyDescent="0.3">
      <c r="A416" s="2">
        <v>45078</v>
      </c>
      <c r="B416" s="3">
        <f t="shared" si="39"/>
        <v>6</v>
      </c>
      <c r="C416" s="3" t="s">
        <v>163</v>
      </c>
      <c r="D416" s="3" t="str">
        <f>VLOOKUP(C416,'Data availability'!$A$2:$B$91,2,FALSE)</f>
        <v>South campus</v>
      </c>
      <c r="E416" s="3">
        <v>15358</v>
      </c>
      <c r="F416" s="3" t="str">
        <f>VLOOKUP(C416,'Data availability'!$A$2:$H$91,8,FALSE)</f>
        <v>Athletics</v>
      </c>
      <c r="G416" s="1" cm="1">
        <f t="array" ref="G416">_xlfn._xlws.FILTER('Split meters'!$AD$35:$AD$106,('Split meters'!$A$35:$A$106='SkYSPark Data_w Will''s Data'!B416)*('Split meters'!$B$35:$B$106='SkYSPark Data_w Will''s Data'!C416))</f>
        <v>17024.188943748715</v>
      </c>
      <c r="I416" s="5">
        <v>104.26363636363881</v>
      </c>
      <c r="M416" s="21">
        <f t="shared" si="35"/>
        <v>3.7821677741939457</v>
      </c>
      <c r="N416" s="21">
        <f t="shared" si="36"/>
        <v>0.67888811279879424</v>
      </c>
      <c r="O416" s="21">
        <f t="shared" si="37"/>
        <v>0</v>
      </c>
      <c r="P416" s="21">
        <f t="shared" si="38"/>
        <v>0</v>
      </c>
      <c r="Z416" s="211" t="b">
        <f>IFERROR(INDEX(Outliers!$X$3:$X$61,MATCH('SkYSPark Data_w Will''s Data'!C416,Outliers!$B$3:$B$61,0)),0)</f>
        <v>0</v>
      </c>
      <c r="AA416" s="1" t="b">
        <f>IFERROR(INDEX(Outliers!$AP$3:$AP$61,MATCH('SkYSPark Data_w Will''s Data'!C416,Outliers!$B$3:$B$61,0)),0)</f>
        <v>1</v>
      </c>
      <c r="AB416" s="112" t="b">
        <f>IFERROR(INDEX(Outliers!$AY$3:$AY$61,MATCH('SkYSPark Data_w Will''s Data'!C416,Outliers!$B$3:$B$61,0)),0)</f>
        <v>1</v>
      </c>
    </row>
    <row r="417" spans="1:85" x14ac:dyDescent="0.3">
      <c r="A417" s="2">
        <v>45108</v>
      </c>
      <c r="B417" s="3">
        <f t="shared" si="39"/>
        <v>7</v>
      </c>
      <c r="C417" s="3" t="s">
        <v>163</v>
      </c>
      <c r="D417" s="3" t="str">
        <f>VLOOKUP(C417,'Data availability'!$A$2:$B$91,2,FALSE)</f>
        <v>South campus</v>
      </c>
      <c r="E417" s="3">
        <v>15358</v>
      </c>
      <c r="F417" s="3" t="str">
        <f>VLOOKUP(C417,'Data availability'!$A$2:$H$91,8,FALSE)</f>
        <v>Athletics</v>
      </c>
      <c r="G417" s="1" cm="1">
        <f t="array" ref="G417">_xlfn._xlws.FILTER('Split meters'!$AD$35:$AD$106,('Split meters'!$A$35:$A$106='SkYSPark Data_w Will''s Data'!B417)*('Split meters'!$B$35:$B$106='SkYSPark Data_w Will''s Data'!C417))</f>
        <v>17666.89989713069</v>
      </c>
      <c r="I417" s="5">
        <v>71.142110762801252</v>
      </c>
      <c r="M417" s="21">
        <f t="shared" si="35"/>
        <v>3.9249552317365488</v>
      </c>
      <c r="N417" s="21">
        <f t="shared" si="36"/>
        <v>0.46322509938013573</v>
      </c>
      <c r="O417" s="21">
        <f t="shared" si="37"/>
        <v>0</v>
      </c>
      <c r="P417" s="21">
        <f t="shared" si="38"/>
        <v>0</v>
      </c>
      <c r="Z417" s="211" t="b">
        <f>IFERROR(INDEX(Outliers!$X$3:$X$61,MATCH('SkYSPark Data_w Will''s Data'!C417,Outliers!$B$3:$B$61,0)),0)</f>
        <v>0</v>
      </c>
      <c r="AA417" s="1" t="b">
        <f>IFERROR(INDEX(Outliers!$AP$3:$AP$61,MATCH('SkYSPark Data_w Will''s Data'!C417,Outliers!$B$3:$B$61,0)),0)</f>
        <v>1</v>
      </c>
      <c r="AB417" s="112" t="b">
        <f>IFERROR(INDEX(Outliers!$AY$3:$AY$61,MATCH('SkYSPark Data_w Will''s Data'!C417,Outliers!$B$3:$B$61,0)),0)</f>
        <v>1</v>
      </c>
    </row>
    <row r="418" spans="1:85" x14ac:dyDescent="0.3">
      <c r="A418" s="2">
        <v>45139</v>
      </c>
      <c r="B418" s="3">
        <f t="shared" si="39"/>
        <v>8</v>
      </c>
      <c r="C418" s="3" t="s">
        <v>163</v>
      </c>
      <c r="D418" s="3" t="str">
        <f>VLOOKUP(C418,'Data availability'!$A$2:$B$91,2,FALSE)</f>
        <v>South campus</v>
      </c>
      <c r="E418" s="3">
        <v>15358</v>
      </c>
      <c r="F418" s="3" t="str">
        <f>VLOOKUP(C418,'Data availability'!$A$2:$H$91,8,FALSE)</f>
        <v>Athletics</v>
      </c>
      <c r="G418" s="1" cm="1">
        <f t="array" ref="G418">_xlfn._xlws.FILTER('Split meters'!$AD$35:$AD$106,('Split meters'!$A$35:$A$106='SkYSPark Data_w Will''s Data'!B418)*('Split meters'!$B$35:$B$106='SkYSPark Data_w Will''s Data'!C418))</f>
        <v>21088.366467977401</v>
      </c>
      <c r="I418" s="5">
        <v>67.427586206896976</v>
      </c>
      <c r="M418" s="21">
        <f t="shared" si="35"/>
        <v>4.6850831090466789</v>
      </c>
      <c r="N418" s="21">
        <f t="shared" si="36"/>
        <v>0.43903884755109374</v>
      </c>
      <c r="O418" s="21">
        <f t="shared" si="37"/>
        <v>0</v>
      </c>
      <c r="P418" s="21">
        <f t="shared" si="38"/>
        <v>0</v>
      </c>
      <c r="Z418" s="211" t="b">
        <f>IFERROR(INDEX(Outliers!$X$3:$X$61,MATCH('SkYSPark Data_w Will''s Data'!C418,Outliers!$B$3:$B$61,0)),0)</f>
        <v>0</v>
      </c>
      <c r="AA418" s="1" t="b">
        <f>IFERROR(INDEX(Outliers!$AP$3:$AP$61,MATCH('SkYSPark Data_w Will''s Data'!C418,Outliers!$B$3:$B$61,0)),0)</f>
        <v>1</v>
      </c>
      <c r="AB418" s="112" t="b">
        <f>IFERROR(INDEX(Outliers!$AY$3:$AY$61,MATCH('SkYSPark Data_w Will''s Data'!C418,Outliers!$B$3:$B$61,0)),0)</f>
        <v>1</v>
      </c>
    </row>
    <row r="419" spans="1:85" x14ac:dyDescent="0.3">
      <c r="A419" s="2">
        <v>45170</v>
      </c>
      <c r="B419" s="3">
        <f t="shared" si="39"/>
        <v>9</v>
      </c>
      <c r="C419" s="3" t="s">
        <v>163</v>
      </c>
      <c r="D419" s="3" t="str">
        <f>VLOOKUP(C419,'Data availability'!$A$2:$B$91,2,FALSE)</f>
        <v>South campus</v>
      </c>
      <c r="E419" s="3">
        <v>15358</v>
      </c>
      <c r="F419" s="3" t="str">
        <f>VLOOKUP(C419,'Data availability'!$A$2:$H$91,8,FALSE)</f>
        <v>Athletics</v>
      </c>
      <c r="G419" s="1" cm="1">
        <f t="array" ref="G419">_xlfn._xlws.FILTER('Split meters'!$AD$35:$AD$106,('Split meters'!$A$35:$A$106='SkYSPark Data_w Will''s Data'!B419)*('Split meters'!$B$35:$B$106='SkYSPark Data_w Will''s Data'!C419))</f>
        <v>18999.694552598845</v>
      </c>
      <c r="I419" s="5">
        <v>151.96249999999992</v>
      </c>
      <c r="M419" s="21">
        <f t="shared" si="35"/>
        <v>4.2210546824760549</v>
      </c>
      <c r="N419" s="21">
        <f t="shared" si="36"/>
        <v>0.9894680296913656</v>
      </c>
      <c r="O419" s="21">
        <f t="shared" si="37"/>
        <v>0</v>
      </c>
      <c r="P419" s="21">
        <f t="shared" si="38"/>
        <v>0</v>
      </c>
      <c r="Z419" s="211" t="b">
        <f>IFERROR(INDEX(Outliers!$X$3:$X$61,MATCH('SkYSPark Data_w Will''s Data'!C419,Outliers!$B$3:$B$61,0)),0)</f>
        <v>0</v>
      </c>
      <c r="AA419" s="1" t="b">
        <f>IFERROR(INDEX(Outliers!$AP$3:$AP$61,MATCH('SkYSPark Data_w Will''s Data'!C419,Outliers!$B$3:$B$61,0)),0)</f>
        <v>1</v>
      </c>
      <c r="AB419" s="112" t="b">
        <f>IFERROR(INDEX(Outliers!$AY$3:$AY$61,MATCH('SkYSPark Data_w Will''s Data'!C419,Outliers!$B$3:$B$61,0)),0)</f>
        <v>1</v>
      </c>
    </row>
    <row r="420" spans="1:85" x14ac:dyDescent="0.3">
      <c r="A420" s="2">
        <v>45200</v>
      </c>
      <c r="B420" s="3">
        <f t="shared" si="39"/>
        <v>10</v>
      </c>
      <c r="C420" s="3" t="s">
        <v>163</v>
      </c>
      <c r="D420" s="3" t="str">
        <f>VLOOKUP(C420,'Data availability'!$A$2:$B$91,2,FALSE)</f>
        <v>South campus</v>
      </c>
      <c r="E420" s="3">
        <v>15358</v>
      </c>
      <c r="F420" s="3" t="str">
        <f>VLOOKUP(C420,'Data availability'!$A$2:$H$91,8,FALSE)</f>
        <v>Athletics</v>
      </c>
      <c r="G420" s="1" cm="1">
        <f t="array" ref="G420">_xlfn._xlws.FILTER('Split meters'!$AD$35:$AD$106,('Split meters'!$A$35:$A$106='SkYSPark Data_w Will''s Data'!B420)*('Split meters'!$B$35:$B$106='SkYSPark Data_w Will''s Data'!C420))</f>
        <v>17594.781791619724</v>
      </c>
      <c r="I420" s="5">
        <v>295.84782998565299</v>
      </c>
      <c r="M420" s="21">
        <f t="shared" si="35"/>
        <v>3.9089331601124164</v>
      </c>
      <c r="N420" s="21">
        <f t="shared" si="36"/>
        <v>1.9263434691083019</v>
      </c>
      <c r="O420" s="21">
        <f t="shared" si="37"/>
        <v>0</v>
      </c>
      <c r="P420" s="21">
        <f t="shared" si="38"/>
        <v>0</v>
      </c>
      <c r="Z420" s="211" t="b">
        <f>IFERROR(INDEX(Outliers!$X$3:$X$61,MATCH('SkYSPark Data_w Will''s Data'!C420,Outliers!$B$3:$B$61,0)),0)</f>
        <v>0</v>
      </c>
      <c r="AA420" s="1" t="b">
        <f>IFERROR(INDEX(Outliers!$AP$3:$AP$61,MATCH('SkYSPark Data_w Will''s Data'!C420,Outliers!$B$3:$B$61,0)),0)</f>
        <v>1</v>
      </c>
      <c r="AB420" s="112" t="b">
        <f>IFERROR(INDEX(Outliers!$AY$3:$AY$61,MATCH('SkYSPark Data_w Will''s Data'!C420,Outliers!$B$3:$B$61,0)),0)</f>
        <v>1</v>
      </c>
    </row>
    <row r="421" spans="1:85" x14ac:dyDescent="0.3">
      <c r="A421" s="2">
        <v>45231</v>
      </c>
      <c r="B421" s="3">
        <f t="shared" si="39"/>
        <v>11</v>
      </c>
      <c r="C421" s="3" t="s">
        <v>163</v>
      </c>
      <c r="D421" s="3" t="str">
        <f>VLOOKUP(C421,'Data availability'!$A$2:$B$91,2,FALSE)</f>
        <v>South campus</v>
      </c>
      <c r="E421" s="3">
        <v>15358</v>
      </c>
      <c r="F421" s="3" t="str">
        <f>VLOOKUP(C421,'Data availability'!$A$2:$H$91,8,FALSE)</f>
        <v>Athletics</v>
      </c>
      <c r="G421" s="1" cm="1">
        <f t="array" ref="G421">_xlfn._xlws.FILTER('Split meters'!$AD$35:$AD$106,('Split meters'!$A$35:$A$106='SkYSPark Data_w Will''s Data'!B421)*('Split meters'!$B$35:$B$106='SkYSPark Data_w Will''s Data'!C421))</f>
        <v>12940.691916587844</v>
      </c>
      <c r="I421" s="5">
        <v>165.13805711112022</v>
      </c>
      <c r="M421" s="21">
        <f t="shared" si="35"/>
        <v>2.8749603346397792</v>
      </c>
      <c r="N421" s="21">
        <f t="shared" si="36"/>
        <v>1.0752575668128677</v>
      </c>
      <c r="O421" s="21">
        <f t="shared" si="37"/>
        <v>0</v>
      </c>
      <c r="P421" s="21">
        <f t="shared" si="38"/>
        <v>0</v>
      </c>
      <c r="Z421" s="211" t="b">
        <f>IFERROR(INDEX(Outliers!$X$3:$X$61,MATCH('SkYSPark Data_w Will''s Data'!C421,Outliers!$B$3:$B$61,0)),0)</f>
        <v>0</v>
      </c>
      <c r="AA421" s="1" t="b">
        <f>IFERROR(INDEX(Outliers!$AP$3:$AP$61,MATCH('SkYSPark Data_w Will''s Data'!C421,Outliers!$B$3:$B$61,0)),0)</f>
        <v>1</v>
      </c>
      <c r="AB421" s="112" t="b">
        <f>IFERROR(INDEX(Outliers!$AY$3:$AY$61,MATCH('SkYSPark Data_w Will''s Data'!C421,Outliers!$B$3:$B$61,0)),0)</f>
        <v>1</v>
      </c>
    </row>
    <row r="422" spans="1:85" s="69" customFormat="1" x14ac:dyDescent="0.3">
      <c r="A422" s="65">
        <v>45261</v>
      </c>
      <c r="B422" s="64">
        <f t="shared" si="39"/>
        <v>12</v>
      </c>
      <c r="C422" s="64" t="s">
        <v>163</v>
      </c>
      <c r="D422" s="64" t="str">
        <f>VLOOKUP(C422,'Data availability'!$A$2:$B$91,2,FALSE)</f>
        <v>South campus</v>
      </c>
      <c r="E422" s="64">
        <v>15358</v>
      </c>
      <c r="F422" s="64" t="str">
        <f>VLOOKUP(C422,'Data availability'!$A$2:$H$91,8,FALSE)</f>
        <v>Athletics</v>
      </c>
      <c r="G422" s="66" cm="1">
        <f t="array" ref="G422">_xlfn._xlws.FILTER('Split meters'!$AD$35:$AD$106,('Split meters'!$A$35:$A$106='SkYSPark Data_w Will''s Data'!B422)*('Split meters'!$B$35:$B$106='SkYSPark Data_w Will''s Data'!C422))</f>
        <v>9837.9186851820159</v>
      </c>
      <c r="H422" s="66"/>
      <c r="I422" s="127">
        <v>145.45161290322559</v>
      </c>
      <c r="J422" s="66"/>
      <c r="K422" s="66"/>
      <c r="L422" s="67"/>
      <c r="M422" s="261">
        <f t="shared" si="35"/>
        <v>2.1856347541243024</v>
      </c>
      <c r="N422" s="261">
        <f t="shared" si="36"/>
        <v>0.94707392175560356</v>
      </c>
      <c r="O422" s="261">
        <f t="shared" si="37"/>
        <v>0</v>
      </c>
      <c r="P422" s="261">
        <f t="shared" si="38"/>
        <v>0</v>
      </c>
      <c r="Q422" s="66"/>
      <c r="R422" s="66"/>
      <c r="S422" s="66"/>
      <c r="T422" s="66"/>
      <c r="U422" s="66"/>
      <c r="V422" s="68"/>
      <c r="W422" s="66"/>
      <c r="X422" s="67"/>
      <c r="Y422" s="66"/>
      <c r="Z422" s="262" t="b">
        <f>IFERROR(INDEX(Outliers!$X$3:$X$61,MATCH('SkYSPark Data_w Will''s Data'!C422,Outliers!$B$3:$B$61,0)),0)</f>
        <v>0</v>
      </c>
      <c r="AA422" s="66" t="b">
        <f>IFERROR(INDEX(Outliers!$AP$3:$AP$61,MATCH('SkYSPark Data_w Will''s Data'!C422,Outliers!$B$3:$B$61,0)),0)</f>
        <v>1</v>
      </c>
      <c r="AB422" s="134" t="b">
        <f>IFERROR(INDEX(Outliers!$AY$3:$AY$61,MATCH('SkYSPark Data_w Will''s Data'!C422,Outliers!$B$3:$B$61,0)),0)</f>
        <v>1</v>
      </c>
      <c r="AC422" s="134"/>
      <c r="AD422" s="134"/>
      <c r="AE422" s="134"/>
      <c r="AF422" s="134"/>
    </row>
    <row r="423" spans="1:85" x14ac:dyDescent="0.3">
      <c r="A423" s="2">
        <v>44927</v>
      </c>
      <c r="B423" s="3">
        <f t="shared" si="39"/>
        <v>1</v>
      </c>
      <c r="C423" s="3" t="s">
        <v>164</v>
      </c>
      <c r="D423" s="3" t="str">
        <f>VLOOKUP(C423,'Data availability'!$A$2:$B$91,2,FALSE)</f>
        <v>Main campus</v>
      </c>
      <c r="E423" s="3">
        <v>107302</v>
      </c>
      <c r="F423" s="3" t="str">
        <f>VLOOKUP(C423,'Data availability'!$A$2:$H$91,8,FALSE)</f>
        <v>Academic</v>
      </c>
      <c r="G423" s="1">
        <v>75903.498138713752</v>
      </c>
      <c r="J423" s="1">
        <v>2243.770541487082</v>
      </c>
      <c r="K423" s="1">
        <v>24.298035762392718</v>
      </c>
      <c r="M423" s="1">
        <f t="shared" si="35"/>
        <v>2.4135872178458118</v>
      </c>
      <c r="N423" s="1">
        <f t="shared" si="36"/>
        <v>0</v>
      </c>
      <c r="O423" s="1">
        <f t="shared" si="37"/>
        <v>2.091079888060877</v>
      </c>
      <c r="P423" s="1">
        <f t="shared" si="38"/>
        <v>2.7173438439983657E-3</v>
      </c>
      <c r="Q423" s="1">
        <f>(SUM(G423:G434)*3.412)/E423</f>
        <v>30.963698241451095</v>
      </c>
      <c r="R423" s="1">
        <f>(SUM(I423:I434)*100)/E423</f>
        <v>0</v>
      </c>
      <c r="S423" s="1">
        <f>(SUM(J423:J434)*100)/E423</f>
        <v>17.908307566313894</v>
      </c>
      <c r="T423" s="1">
        <f>(SUM(K423:K434)*12)/E423</f>
        <v>8.4124794778511127</v>
      </c>
      <c r="V423" s="33">
        <f>SUM(Q423:T423)</f>
        <v>57.284485285616107</v>
      </c>
      <c r="W423" s="10" t="s">
        <v>429</v>
      </c>
      <c r="X423" s="78"/>
      <c r="Y423" s="77" t="s">
        <v>708</v>
      </c>
      <c r="Z423" s="211" t="b">
        <f>IFERROR(INDEX(Outliers!$X$3:$X$61,MATCH('SkYSPark Data_w Will''s Data'!C423,Outliers!$B$3:$B$61,0)),0)</f>
        <v>0</v>
      </c>
      <c r="AA423" s="1" t="b">
        <f>IFERROR(INDEX(Outliers!$AP$3:$AP$61,MATCH('SkYSPark Data_w Will''s Data'!C423,Outliers!$B$3:$B$61,0)),0)</f>
        <v>0</v>
      </c>
      <c r="AB423" s="112" t="b">
        <f>IFERROR(INDEX(Outliers!$AY$3:$AY$61,MATCH('SkYSPark Data_w Will''s Data'!C423,Outliers!$B$3:$B$61,0)),0)</f>
        <v>0</v>
      </c>
      <c r="AC423" s="112" t="s">
        <v>392</v>
      </c>
      <c r="AD423" s="200"/>
      <c r="AE423" s="200"/>
      <c r="AF423" s="141"/>
      <c r="BY423">
        <v>2243.770541487082</v>
      </c>
      <c r="CA423">
        <v>156.1455936316307</v>
      </c>
      <c r="CB423">
        <v>0.2421875</v>
      </c>
      <c r="CC423">
        <v>5534.8030303031246</v>
      </c>
      <c r="CD423">
        <v>23199.088068181929</v>
      </c>
      <c r="CF423">
        <v>-5534.8030303031246</v>
      </c>
      <c r="CG423">
        <v>980778.33984375</v>
      </c>
    </row>
    <row r="424" spans="1:85" x14ac:dyDescent="0.3">
      <c r="A424" s="2">
        <v>44958</v>
      </c>
      <c r="B424" s="3">
        <f t="shared" si="39"/>
        <v>2</v>
      </c>
      <c r="C424" s="3" t="s">
        <v>164</v>
      </c>
      <c r="D424" s="3" t="str">
        <f>VLOOKUP(C424,'Data availability'!$A$2:$B$91,2,FALSE)</f>
        <v>Main campus</v>
      </c>
      <c r="E424" s="3">
        <v>107302</v>
      </c>
      <c r="F424" s="3" t="str">
        <f>VLOOKUP(C424,'Data availability'!$A$2:$H$91,8,FALSE)</f>
        <v>Academic</v>
      </c>
      <c r="G424" s="1">
        <v>69008.187499999447</v>
      </c>
      <c r="J424" s="1">
        <v>2246.1425781250382</v>
      </c>
      <c r="K424" s="1">
        <v>43.536669921874847</v>
      </c>
      <c r="M424" s="21">
        <f t="shared" ref="M424:M487" si="40">IFERROR((G424*3.412)/E424,0)</f>
        <v>2.1943294230303079</v>
      </c>
      <c r="N424" s="21">
        <f t="shared" ref="N424:N487" si="41">IFERROR((I424*100)/E424,0)</f>
        <v>0</v>
      </c>
      <c r="O424" s="21">
        <f t="shared" ref="O424:O487" si="42">IFERROR((J424*100)/E424,0)</f>
        <v>2.0932905054193194</v>
      </c>
      <c r="P424" s="21">
        <f t="shared" ref="P424:P487" si="43">IFERROR((K424*12)/E424,0)</f>
        <v>4.8688751287254495E-3</v>
      </c>
      <c r="W424" s="10" t="s">
        <v>197</v>
      </c>
      <c r="Z424" s="211" t="b">
        <f>IFERROR(INDEX(Outliers!$X$3:$X$61,MATCH('SkYSPark Data_w Will''s Data'!C424,Outliers!$B$3:$B$61,0)),0)</f>
        <v>0</v>
      </c>
      <c r="AA424" s="1" t="b">
        <f>IFERROR(INDEX(Outliers!$AP$3:$AP$61,MATCH('SkYSPark Data_w Will''s Data'!C424,Outliers!$B$3:$B$61,0)),0)</f>
        <v>0</v>
      </c>
      <c r="AB424" s="112" t="b">
        <f>IFERROR(INDEX(Outliers!$AY$3:$AY$61,MATCH('SkYSPark Data_w Will''s Data'!C424,Outliers!$B$3:$B$61,0)),0)</f>
        <v>0</v>
      </c>
      <c r="AC424" s="112" t="s">
        <v>392</v>
      </c>
      <c r="AF424" s="132"/>
      <c r="BY424">
        <v>2246.1425781250382</v>
      </c>
      <c r="CA424">
        <v>148.78486328124899</v>
      </c>
      <c r="CB424">
        <v>0.5205078125</v>
      </c>
      <c r="CC424">
        <v>2129.1250000000359</v>
      </c>
      <c r="CD424">
        <v>25904.8125</v>
      </c>
      <c r="CF424">
        <v>-2129.1250000000359</v>
      </c>
      <c r="CG424">
        <v>934117.63623046875</v>
      </c>
    </row>
    <row r="425" spans="1:85" x14ac:dyDescent="0.3">
      <c r="A425" s="2">
        <v>44986</v>
      </c>
      <c r="B425" s="3">
        <f t="shared" si="39"/>
        <v>3</v>
      </c>
      <c r="C425" s="3" t="s">
        <v>164</v>
      </c>
      <c r="D425" s="3" t="str">
        <f>VLOOKUP(C425,'Data availability'!$A$2:$B$91,2,FALSE)</f>
        <v>Main campus</v>
      </c>
      <c r="E425" s="3">
        <v>107302</v>
      </c>
      <c r="F425" s="3" t="str">
        <f>VLOOKUP(C425,'Data availability'!$A$2:$H$91,8,FALSE)</f>
        <v>Academic</v>
      </c>
      <c r="G425" s="1">
        <v>74379.665850188278</v>
      </c>
      <c r="J425" s="1">
        <v>3244.68088258534</v>
      </c>
      <c r="K425" s="1">
        <v>1326.2892979243991</v>
      </c>
      <c r="M425" s="21">
        <f t="shared" si="40"/>
        <v>2.3651322424637229</v>
      </c>
      <c r="N425" s="21">
        <f t="shared" si="41"/>
        <v>0</v>
      </c>
      <c r="O425" s="21">
        <f t="shared" si="42"/>
        <v>3.0238773579107003</v>
      </c>
      <c r="P425" s="21">
        <f t="shared" si="43"/>
        <v>0.14832409065155161</v>
      </c>
      <c r="W425" s="10" t="s">
        <v>198</v>
      </c>
      <c r="Z425" s="211" t="b">
        <f>IFERROR(INDEX(Outliers!$X$3:$X$61,MATCH('SkYSPark Data_w Will''s Data'!C425,Outliers!$B$3:$B$61,0)),0)</f>
        <v>0</v>
      </c>
      <c r="AA425" s="1" t="b">
        <f>IFERROR(INDEX(Outliers!$AP$3:$AP$61,MATCH('SkYSPark Data_w Will''s Data'!C425,Outliers!$B$3:$B$61,0)),0)</f>
        <v>0</v>
      </c>
      <c r="AB425" s="112" t="b">
        <f>IFERROR(INDEX(Outliers!$AY$3:$AY$61,MATCH('SkYSPark Data_w Will''s Data'!C425,Outliers!$B$3:$B$61,0)),0)</f>
        <v>0</v>
      </c>
      <c r="AC425" s="112" t="s">
        <v>392</v>
      </c>
      <c r="AF425" s="132"/>
      <c r="BY425">
        <v>3244.68088258534</v>
      </c>
      <c r="CA425">
        <v>360.39371932037977</v>
      </c>
      <c r="CB425">
        <v>15.6650390625</v>
      </c>
      <c r="CC425">
        <v>2303.9105562578638</v>
      </c>
      <c r="CD425">
        <v>27293.919484829639</v>
      </c>
      <c r="CF425">
        <v>-2303.9105562578638</v>
      </c>
      <c r="CG425">
        <v>1000308.570922852</v>
      </c>
    </row>
    <row r="426" spans="1:85" x14ac:dyDescent="0.3">
      <c r="A426" s="2">
        <v>45017</v>
      </c>
      <c r="B426" s="3">
        <f t="shared" si="39"/>
        <v>4</v>
      </c>
      <c r="C426" s="3" t="s">
        <v>164</v>
      </c>
      <c r="D426" s="3" t="str">
        <f>VLOOKUP(C426,'Data availability'!$A$2:$B$91,2,FALSE)</f>
        <v>Main campus</v>
      </c>
      <c r="E426" s="3">
        <v>107302</v>
      </c>
      <c r="F426" s="3" t="str">
        <f>VLOOKUP(C426,'Data availability'!$A$2:$H$91,8,FALSE)</f>
        <v>Academic</v>
      </c>
      <c r="G426" s="1">
        <v>68192.646649810675</v>
      </c>
      <c r="J426" s="1">
        <v>2151.3640392896814</v>
      </c>
      <c r="K426" s="1">
        <v>5109.3256630131327</v>
      </c>
      <c r="M426" s="21">
        <f t="shared" si="40"/>
        <v>2.168396771440924</v>
      </c>
      <c r="N426" s="21">
        <f t="shared" si="41"/>
        <v>0</v>
      </c>
      <c r="O426" s="21">
        <f t="shared" si="42"/>
        <v>2.0049617335088641</v>
      </c>
      <c r="P426" s="21">
        <f t="shared" si="43"/>
        <v>0.57139576108700296</v>
      </c>
      <c r="Z426" s="211" t="b">
        <f>IFERROR(INDEX(Outliers!$X$3:$X$61,MATCH('SkYSPark Data_w Will''s Data'!C426,Outliers!$B$3:$B$61,0)),0)</f>
        <v>0</v>
      </c>
      <c r="AA426" s="1" t="b">
        <f>IFERROR(INDEX(Outliers!$AP$3:$AP$61,MATCH('SkYSPark Data_w Will''s Data'!C426,Outliers!$B$3:$B$61,0)),0)</f>
        <v>0</v>
      </c>
      <c r="AB426" s="112" t="b">
        <f>IFERROR(INDEX(Outliers!$AY$3:$AY$61,MATCH('SkYSPark Data_w Will''s Data'!C426,Outliers!$B$3:$B$61,0)),0)</f>
        <v>0</v>
      </c>
      <c r="AC426" s="112" t="s">
        <v>392</v>
      </c>
      <c r="AF426" s="132"/>
      <c r="BY426">
        <v>2151.3640392896809</v>
      </c>
      <c r="CA426">
        <v>1094.997198648382</v>
      </c>
      <c r="CB426">
        <v>48.8994140625</v>
      </c>
      <c r="CC426">
        <v>1249.964443742098</v>
      </c>
      <c r="CD426">
        <v>29053.768015170372</v>
      </c>
      <c r="CF426">
        <v>-1249.964443742098</v>
      </c>
      <c r="CG426">
        <v>951498.6640625</v>
      </c>
    </row>
    <row r="427" spans="1:85" x14ac:dyDescent="0.3">
      <c r="A427" s="2">
        <v>45047</v>
      </c>
      <c r="B427" s="3">
        <f t="shared" si="39"/>
        <v>5</v>
      </c>
      <c r="C427" s="3" t="s">
        <v>164</v>
      </c>
      <c r="D427" s="3" t="str">
        <f>VLOOKUP(C427,'Data availability'!$A$2:$B$91,2,FALSE)</f>
        <v>Main campus</v>
      </c>
      <c r="E427" s="3">
        <v>107302</v>
      </c>
      <c r="F427" s="3" t="str">
        <f>VLOOKUP(C427,'Data availability'!$A$2:$H$91,8,FALSE)</f>
        <v>Academic</v>
      </c>
      <c r="G427" s="1">
        <v>68133.49999999885</v>
      </c>
      <c r="J427" s="1">
        <v>1720.4980468750016</v>
      </c>
      <c r="K427" s="1">
        <v>5744.8873828124724</v>
      </c>
      <c r="M427" s="21">
        <f t="shared" si="40"/>
        <v>2.1665160202046194</v>
      </c>
      <c r="N427" s="21">
        <f t="shared" si="41"/>
        <v>0</v>
      </c>
      <c r="O427" s="21">
        <f t="shared" si="42"/>
        <v>1.6034165690061708</v>
      </c>
      <c r="P427" s="21">
        <f t="shared" si="43"/>
        <v>0.64247310016355408</v>
      </c>
      <c r="Z427" s="211" t="b">
        <f>IFERROR(INDEX(Outliers!$X$3:$X$61,MATCH('SkYSPark Data_w Will''s Data'!C427,Outliers!$B$3:$B$61,0)),0)</f>
        <v>0</v>
      </c>
      <c r="AA427" s="1" t="b">
        <f>IFERROR(INDEX(Outliers!$AP$3:$AP$61,MATCH('SkYSPark Data_w Will''s Data'!C427,Outliers!$B$3:$B$61,0)),0)</f>
        <v>0</v>
      </c>
      <c r="AB427" s="112" t="b">
        <f>IFERROR(INDEX(Outliers!$AY$3:$AY$61,MATCH('SkYSPark Data_w Will''s Data'!C427,Outliers!$B$3:$B$61,0)),0)</f>
        <v>0</v>
      </c>
      <c r="AC427" s="112" t="s">
        <v>392</v>
      </c>
      <c r="AF427" s="132"/>
      <c r="BY427">
        <v>1720.498046875002</v>
      </c>
      <c r="CA427">
        <v>1259.5057617187649</v>
      </c>
      <c r="CB427">
        <v>65.8486328125</v>
      </c>
      <c r="CC427">
        <v>0.62500000000000766</v>
      </c>
      <c r="CD427">
        <v>26800.500000000211</v>
      </c>
      <c r="CF427">
        <v>-0.62500000000000766</v>
      </c>
      <c r="CG427">
        <v>951998.7763671875</v>
      </c>
    </row>
    <row r="428" spans="1:85" x14ac:dyDescent="0.3">
      <c r="A428" s="2">
        <v>45078</v>
      </c>
      <c r="B428" s="3">
        <f t="shared" si="39"/>
        <v>6</v>
      </c>
      <c r="C428" s="3" t="s">
        <v>164</v>
      </c>
      <c r="D428" s="3" t="str">
        <f>VLOOKUP(C428,'Data availability'!$A$2:$B$91,2,FALSE)</f>
        <v>Main campus</v>
      </c>
      <c r="E428" s="3">
        <v>107302</v>
      </c>
      <c r="F428" s="3" t="str">
        <f>VLOOKUP(C428,'Data availability'!$A$2:$H$91,8,FALSE)</f>
        <v>Academic</v>
      </c>
      <c r="G428" s="1">
        <v>65876.517857141604</v>
      </c>
      <c r="J428" s="1">
        <v>790.82310267858077</v>
      </c>
      <c r="K428" s="1">
        <v>8364.0627455357171</v>
      </c>
      <c r="M428" s="21">
        <f t="shared" si="40"/>
        <v>2.0947482705687421</v>
      </c>
      <c r="N428" s="21">
        <f t="shared" si="41"/>
        <v>0</v>
      </c>
      <c r="O428" s="21">
        <f t="shared" si="42"/>
        <v>0.73700686164151719</v>
      </c>
      <c r="P428" s="21">
        <f t="shared" si="43"/>
        <v>0.93538566798781575</v>
      </c>
      <c r="Z428" s="211" t="b">
        <f>IFERROR(INDEX(Outliers!$X$3:$X$61,MATCH('SkYSPark Data_w Will''s Data'!C428,Outliers!$B$3:$B$61,0)),0)</f>
        <v>0</v>
      </c>
      <c r="AA428" s="1" t="b">
        <f>IFERROR(INDEX(Outliers!$AP$3:$AP$61,MATCH('SkYSPark Data_w Will''s Data'!C428,Outliers!$B$3:$B$61,0)),0)</f>
        <v>0</v>
      </c>
      <c r="AB428" s="112" t="b">
        <f>IFERROR(INDEX(Outliers!$AY$3:$AY$61,MATCH('SkYSPark Data_w Will''s Data'!C428,Outliers!$B$3:$B$61,0)),0)</f>
        <v>0</v>
      </c>
      <c r="AC428" s="112" t="s">
        <v>392</v>
      </c>
      <c r="AF428" s="132"/>
      <c r="BY428">
        <v>790.82310267858077</v>
      </c>
      <c r="CA428">
        <v>1240.574999999985</v>
      </c>
      <c r="CB428">
        <v>92.4921875</v>
      </c>
      <c r="CC428">
        <v>0</v>
      </c>
      <c r="CD428">
        <v>19164.910714285481</v>
      </c>
      <c r="CF428">
        <v>0</v>
      </c>
      <c r="CG428">
        <v>817897.0888671875</v>
      </c>
    </row>
    <row r="429" spans="1:85" x14ac:dyDescent="0.3">
      <c r="A429" s="2">
        <v>45108</v>
      </c>
      <c r="B429" s="3">
        <f t="shared" si="39"/>
        <v>7</v>
      </c>
      <c r="C429" s="3" t="s">
        <v>164</v>
      </c>
      <c r="D429" s="3" t="str">
        <f>VLOOKUP(C429,'Data availability'!$A$2:$B$91,2,FALSE)</f>
        <v>Main campus</v>
      </c>
      <c r="E429" s="3">
        <v>107302</v>
      </c>
      <c r="F429" s="3" t="str">
        <f>VLOOKUP(C429,'Data availability'!$A$2:$H$91,8,FALSE)</f>
        <v>Academic</v>
      </c>
      <c r="G429" s="1">
        <v>71457.232142858091</v>
      </c>
      <c r="J429" s="1">
        <v>465.06556919642026</v>
      </c>
      <c r="K429" s="1">
        <v>11513.80421735498</v>
      </c>
      <c r="M429" s="21">
        <f t="shared" si="40"/>
        <v>2.2722043957375613</v>
      </c>
      <c r="N429" s="21">
        <f t="shared" si="41"/>
        <v>0</v>
      </c>
      <c r="O429" s="21">
        <f t="shared" si="42"/>
        <v>0.43341742856276699</v>
      </c>
      <c r="P429" s="21">
        <f t="shared" si="43"/>
        <v>1.2876335073741383</v>
      </c>
      <c r="Z429" s="211" t="b">
        <f>IFERROR(INDEX(Outliers!$X$3:$X$61,MATCH('SkYSPark Data_w Will''s Data'!C429,Outliers!$B$3:$B$61,0)),0)</f>
        <v>0</v>
      </c>
      <c r="AA429" s="1" t="b">
        <f>IFERROR(INDEX(Outliers!$AP$3:$AP$61,MATCH('SkYSPark Data_w Will''s Data'!C429,Outliers!$B$3:$B$61,0)),0)</f>
        <v>0</v>
      </c>
      <c r="AB429" s="112" t="b">
        <f>IFERROR(INDEX(Outliers!$AY$3:$AY$61,MATCH('SkYSPark Data_w Will''s Data'!C429,Outliers!$B$3:$B$61,0)),0)</f>
        <v>0</v>
      </c>
      <c r="AC429" s="112" t="s">
        <v>392</v>
      </c>
      <c r="AF429" s="132"/>
      <c r="BY429">
        <v>465.06556919642031</v>
      </c>
      <c r="CA429">
        <v>1669.6780761718951</v>
      </c>
      <c r="CB429">
        <v>126.953125</v>
      </c>
      <c r="CC429">
        <v>0</v>
      </c>
      <c r="CD429">
        <v>20535.33928571425</v>
      </c>
      <c r="CF429">
        <v>0</v>
      </c>
      <c r="CG429">
        <v>896158.05078125</v>
      </c>
    </row>
    <row r="430" spans="1:85" x14ac:dyDescent="0.3">
      <c r="A430" s="2">
        <v>45139</v>
      </c>
      <c r="B430" s="3">
        <f t="shared" si="39"/>
        <v>8</v>
      </c>
      <c r="C430" s="3" t="s">
        <v>164</v>
      </c>
      <c r="D430" s="3" t="str">
        <f>VLOOKUP(C430,'Data availability'!$A$2:$B$91,2,FALSE)</f>
        <v>Main campus</v>
      </c>
      <c r="E430" s="3">
        <v>107302</v>
      </c>
      <c r="F430" s="3" t="str">
        <f>VLOOKUP(C430,'Data availability'!$A$2:$H$91,8,FALSE)</f>
        <v>Academic</v>
      </c>
      <c r="G430" s="1">
        <v>101125.68280421637</v>
      </c>
      <c r="J430" s="1">
        <v>339.7198660714256</v>
      </c>
      <c r="K430" s="1">
        <v>15554.08623800201</v>
      </c>
      <c r="M430" s="21">
        <f t="shared" si="40"/>
        <v>3.2156048324167887</v>
      </c>
      <c r="N430" s="21">
        <f t="shared" si="41"/>
        <v>0</v>
      </c>
      <c r="O430" s="21">
        <f t="shared" si="42"/>
        <v>0.31660161606626674</v>
      </c>
      <c r="P430" s="21">
        <f t="shared" si="43"/>
        <v>1.7394739600009703</v>
      </c>
      <c r="Z430" s="211" t="b">
        <f>IFERROR(INDEX(Outliers!$X$3:$X$61,MATCH('SkYSPark Data_w Will''s Data'!C430,Outliers!$B$3:$B$61,0)),0)</f>
        <v>0</v>
      </c>
      <c r="AA430" s="1" t="b">
        <f>IFERROR(INDEX(Outliers!$AP$3:$AP$61,MATCH('SkYSPark Data_w Will''s Data'!C430,Outliers!$B$3:$B$61,0)),0)</f>
        <v>0</v>
      </c>
      <c r="AB430" s="112" t="b">
        <f>IFERROR(INDEX(Outliers!$AY$3:$AY$61,MATCH('SkYSPark Data_w Will''s Data'!C430,Outliers!$B$3:$B$61,0)),0)</f>
        <v>0</v>
      </c>
      <c r="AC430" s="112" t="s">
        <v>392</v>
      </c>
      <c r="AF430" s="132"/>
      <c r="BY430">
        <v>339.7198660714256</v>
      </c>
      <c r="CA430">
        <v>2682.558662109353</v>
      </c>
      <c r="CB430">
        <v>185.4755859375</v>
      </c>
      <c r="CC430">
        <v>0</v>
      </c>
      <c r="CD430">
        <v>172.5743386404848</v>
      </c>
      <c r="CF430">
        <v>0</v>
      </c>
      <c r="CG430">
        <v>929779.03125</v>
      </c>
    </row>
    <row r="431" spans="1:85" x14ac:dyDescent="0.3">
      <c r="A431" s="2">
        <v>45170</v>
      </c>
      <c r="B431" s="3">
        <f t="shared" si="39"/>
        <v>9</v>
      </c>
      <c r="C431" s="3" t="s">
        <v>164</v>
      </c>
      <c r="D431" s="3" t="str">
        <f>VLOOKUP(C431,'Data availability'!$A$2:$B$91,2,FALSE)</f>
        <v>Main campus</v>
      </c>
      <c r="E431" s="3">
        <v>107302</v>
      </c>
      <c r="F431" s="3" t="str">
        <f>VLOOKUP(C431,'Data availability'!$A$2:$H$91,8,FALSE)</f>
        <v>Academic</v>
      </c>
      <c r="G431" s="1">
        <v>98261.269829231605</v>
      </c>
      <c r="J431" s="1">
        <v>719.77859933035029</v>
      </c>
      <c r="K431" s="1">
        <v>12823.70810630592</v>
      </c>
      <c r="M431" s="21">
        <f t="shared" si="40"/>
        <v>3.1245219348878699</v>
      </c>
      <c r="N431" s="21">
        <f t="shared" si="41"/>
        <v>0</v>
      </c>
      <c r="O431" s="21">
        <f t="shared" si="42"/>
        <v>0.67079700222768468</v>
      </c>
      <c r="P431" s="21">
        <f t="shared" si="43"/>
        <v>1.4341251540108391</v>
      </c>
      <c r="Z431" s="211" t="b">
        <f>IFERROR(INDEX(Outliers!$X$3:$X$61,MATCH('SkYSPark Data_w Will''s Data'!C431,Outliers!$B$3:$B$61,0)),0)</f>
        <v>0</v>
      </c>
      <c r="AA431" s="1" t="b">
        <f>IFERROR(INDEX(Outliers!$AP$3:$AP$61,MATCH('SkYSPark Data_w Will''s Data'!C431,Outliers!$B$3:$B$61,0)),0)</f>
        <v>0</v>
      </c>
      <c r="AB431" s="112" t="b">
        <f>IFERROR(INDEX(Outliers!$AY$3:$AY$61,MATCH('SkYSPark Data_w Will''s Data'!C431,Outliers!$B$3:$B$61,0)),0)</f>
        <v>0</v>
      </c>
      <c r="AC431" s="112" t="s">
        <v>392</v>
      </c>
      <c r="AF431" s="132"/>
      <c r="BY431">
        <v>719.77859933035029</v>
      </c>
      <c r="CA431">
        <v>2638.196879882777</v>
      </c>
      <c r="CB431">
        <v>140.2275390625</v>
      </c>
      <c r="CC431">
        <v>0</v>
      </c>
      <c r="CD431">
        <v>232.47302791050899</v>
      </c>
      <c r="CF431">
        <v>0</v>
      </c>
      <c r="CG431">
        <v>969288.21875</v>
      </c>
    </row>
    <row r="432" spans="1:85" x14ac:dyDescent="0.3">
      <c r="A432" s="2">
        <v>45200</v>
      </c>
      <c r="B432" s="3">
        <f t="shared" si="39"/>
        <v>10</v>
      </c>
      <c r="C432" s="3" t="s">
        <v>164</v>
      </c>
      <c r="D432" s="3" t="str">
        <f>VLOOKUP(C432,'Data availability'!$A$2:$B$91,2,FALSE)</f>
        <v>Main campus</v>
      </c>
      <c r="E432" s="3">
        <v>107302</v>
      </c>
      <c r="F432" s="3" t="str">
        <f>VLOOKUP(C432,'Data availability'!$A$2:$H$91,8,FALSE)</f>
        <v>Academic</v>
      </c>
      <c r="G432" s="1">
        <v>102981.00336020191</v>
      </c>
      <c r="J432" s="1">
        <v>971.03864397321695</v>
      </c>
      <c r="K432" s="1">
        <v>10158.343184988789</v>
      </c>
      <c r="M432" s="21">
        <f t="shared" si="40"/>
        <v>3.2746005057222503</v>
      </c>
      <c r="N432" s="21">
        <f t="shared" si="41"/>
        <v>0</v>
      </c>
      <c r="O432" s="21">
        <f t="shared" si="42"/>
        <v>0.90495856924681461</v>
      </c>
      <c r="P432" s="21">
        <f t="shared" si="43"/>
        <v>1.1360470281995254</v>
      </c>
      <c r="Z432" s="211" t="b">
        <f>IFERROR(INDEX(Outliers!$X$3:$X$61,MATCH('SkYSPark Data_w Will''s Data'!C432,Outliers!$B$3:$B$61,0)),0)</f>
        <v>0</v>
      </c>
      <c r="AA432" s="1" t="b">
        <f>IFERROR(INDEX(Outliers!$AP$3:$AP$61,MATCH('SkYSPark Data_w Will''s Data'!C432,Outliers!$B$3:$B$61,0)),0)</f>
        <v>0</v>
      </c>
      <c r="AB432" s="112" t="b">
        <f>IFERROR(INDEX(Outliers!$AY$3:$AY$61,MATCH('SkYSPark Data_w Will''s Data'!C432,Outliers!$B$3:$B$61,0)),0)</f>
        <v>0</v>
      </c>
      <c r="AC432" s="112" t="s">
        <v>392</v>
      </c>
      <c r="AF432" s="132"/>
      <c r="BY432">
        <v>971.03864397321695</v>
      </c>
      <c r="CA432">
        <v>2489.3922607421669</v>
      </c>
      <c r="CB432">
        <v>98.1669921875</v>
      </c>
      <c r="CC432">
        <v>0</v>
      </c>
      <c r="CD432">
        <v>252.99663979666289</v>
      </c>
      <c r="CF432">
        <v>0</v>
      </c>
      <c r="CG432">
        <v>996540.15625</v>
      </c>
    </row>
    <row r="433" spans="1:85" x14ac:dyDescent="0.3">
      <c r="A433" s="2">
        <v>45231</v>
      </c>
      <c r="B433" s="3">
        <f t="shared" si="39"/>
        <v>11</v>
      </c>
      <c r="C433" s="3" t="s">
        <v>164</v>
      </c>
      <c r="D433" s="3" t="str">
        <f>VLOOKUP(C433,'Data availability'!$A$2:$B$91,2,FALSE)</f>
        <v>Main campus</v>
      </c>
      <c r="E433" s="3">
        <v>107302</v>
      </c>
      <c r="F433" s="3" t="str">
        <f>VLOOKUP(C433,'Data availability'!$A$2:$H$91,8,FALSE)</f>
        <v>Academic</v>
      </c>
      <c r="G433" s="1">
        <v>93665.257284195803</v>
      </c>
      <c r="J433" s="1">
        <v>1922.9075824598096</v>
      </c>
      <c r="K433" s="1">
        <v>3231.8863090740019</v>
      </c>
      <c r="M433" s="21">
        <f t="shared" si="40"/>
        <v>2.9783774566520296</v>
      </c>
      <c r="N433" s="21">
        <f t="shared" si="41"/>
        <v>0</v>
      </c>
      <c r="O433" s="21">
        <f t="shared" si="42"/>
        <v>1.7920519491340421</v>
      </c>
      <c r="P433" s="21">
        <f t="shared" si="43"/>
        <v>0.36143441603034449</v>
      </c>
      <c r="Z433" s="211" t="b">
        <f>IFERROR(INDEX(Outliers!$X$3:$X$61,MATCH('SkYSPark Data_w Will''s Data'!C433,Outliers!$B$3:$B$61,0)),0)</f>
        <v>0</v>
      </c>
      <c r="AA433" s="1" t="b">
        <f>IFERROR(INDEX(Outliers!$AP$3:$AP$61,MATCH('SkYSPark Data_w Will''s Data'!C433,Outliers!$B$3:$B$61,0)),0)</f>
        <v>0</v>
      </c>
      <c r="AB433" s="112" t="b">
        <f>IFERROR(INDEX(Outliers!$AY$3:$AY$61,MATCH('SkYSPark Data_w Will''s Data'!C433,Outliers!$B$3:$B$61,0)),0)</f>
        <v>0</v>
      </c>
      <c r="AC433" s="112" t="s">
        <v>392</v>
      </c>
      <c r="AF433" s="132"/>
      <c r="BY433">
        <v>1922.9075824598101</v>
      </c>
      <c r="CA433">
        <v>1092.9326382457759</v>
      </c>
      <c r="CB433">
        <v>33.2314453125</v>
      </c>
      <c r="CC433">
        <v>0</v>
      </c>
      <c r="CD433">
        <v>233.85494783457159</v>
      </c>
      <c r="CF433">
        <v>0</v>
      </c>
      <c r="CG433">
        <v>921938.400390625</v>
      </c>
    </row>
    <row r="434" spans="1:85" x14ac:dyDescent="0.3">
      <c r="A434" s="2">
        <v>45261</v>
      </c>
      <c r="B434" s="3">
        <f t="shared" si="39"/>
        <v>12</v>
      </c>
      <c r="C434" s="3" t="s">
        <v>164</v>
      </c>
      <c r="D434" s="3" t="str">
        <f>VLOOKUP(C434,'Data availability'!$A$2:$B$91,2,FALSE)</f>
        <v>Main campus</v>
      </c>
      <c r="E434" s="3">
        <v>107302</v>
      </c>
      <c r="F434" s="3" t="str">
        <f>VLOOKUP(C434,'Data availability'!$A$2:$H$91,8,FALSE)</f>
        <v>Academic</v>
      </c>
      <c r="G434" s="1">
        <v>84774.843596393737</v>
      </c>
      <c r="J434" s="1">
        <v>2400.1827327341839</v>
      </c>
      <c r="K434" s="1">
        <v>1328.761560335987</v>
      </c>
      <c r="M434" s="21">
        <f t="shared" si="40"/>
        <v>2.6956791704804699</v>
      </c>
      <c r="N434" s="21">
        <f t="shared" si="41"/>
        <v>0</v>
      </c>
      <c r="O434" s="21">
        <f t="shared" si="42"/>
        <v>2.2368480855288659</v>
      </c>
      <c r="P434" s="21">
        <f t="shared" si="43"/>
        <v>0.1486005733726477</v>
      </c>
      <c r="Z434" s="211" t="b">
        <f>IFERROR(INDEX(Outliers!$X$3:$X$61,MATCH('SkYSPark Data_w Will''s Data'!C434,Outliers!$B$3:$B$61,0)),0)</f>
        <v>0</v>
      </c>
      <c r="AA434" s="1" t="b">
        <f>IFERROR(INDEX(Outliers!$AP$3:$AP$61,MATCH('SkYSPark Data_w Will''s Data'!C434,Outliers!$B$3:$B$61,0)),0)</f>
        <v>0</v>
      </c>
      <c r="AB434" s="112" t="b">
        <f>IFERROR(INDEX(Outliers!$AY$3:$AY$61,MATCH('SkYSPark Data_w Will''s Data'!C434,Outliers!$B$3:$B$61,0)),0)</f>
        <v>0</v>
      </c>
      <c r="AC434" s="112" t="s">
        <v>392</v>
      </c>
      <c r="AF434" s="132"/>
      <c r="BY434">
        <v>2400.1827327341839</v>
      </c>
      <c r="CA434">
        <v>556.08814233072826</v>
      </c>
      <c r="CB434">
        <v>13.197265625</v>
      </c>
      <c r="CC434">
        <v>0</v>
      </c>
      <c r="CD434">
        <v>194.32003364441991</v>
      </c>
      <c r="CF434">
        <v>0</v>
      </c>
      <c r="CG434">
        <v>848278.47509765625</v>
      </c>
    </row>
    <row r="435" spans="1:85" s="15" customFormat="1" x14ac:dyDescent="0.3">
      <c r="A435" s="38">
        <v>44562</v>
      </c>
      <c r="B435" s="3">
        <f t="shared" si="39"/>
        <v>1</v>
      </c>
      <c r="C435" s="22" t="s">
        <v>194</v>
      </c>
      <c r="D435" s="98" t="s">
        <v>529</v>
      </c>
      <c r="E435" s="3">
        <v>3724</v>
      </c>
      <c r="F435" s="3" t="s">
        <v>690</v>
      </c>
      <c r="G435" s="21">
        <v>22164.179450757663</v>
      </c>
      <c r="H435" s="21"/>
      <c r="I435" s="21"/>
      <c r="J435" s="21"/>
      <c r="K435" s="21"/>
      <c r="L435" s="20"/>
      <c r="M435" s="21">
        <f t="shared" si="40"/>
        <v>20.307244974754337</v>
      </c>
      <c r="N435" s="21">
        <f t="shared" si="41"/>
        <v>0</v>
      </c>
      <c r="O435" s="21">
        <f t="shared" si="42"/>
        <v>0</v>
      </c>
      <c r="P435" s="21">
        <f t="shared" si="43"/>
        <v>0</v>
      </c>
      <c r="Q435" s="21"/>
      <c r="R435" s="21"/>
      <c r="S435" s="21"/>
      <c r="T435" s="21"/>
      <c r="U435" s="21"/>
      <c r="V435" s="34">
        <f>SUM(Q435:T435)</f>
        <v>0</v>
      </c>
      <c r="W435" s="19" t="s">
        <v>428</v>
      </c>
      <c r="X435" s="19"/>
      <c r="Y435" s="19"/>
      <c r="Z435" s="211" t="b">
        <f>IFERROR(INDEX(Outliers!$X$3:$X$61,MATCH('SkYSPark Data_w Will''s Data'!C435,Outliers!$B$3:$B$61,0)),0)</f>
        <v>0</v>
      </c>
      <c r="AA435" s="1" t="b">
        <f>IFERROR(INDEX(Outliers!$AP$3:$AP$61,MATCH('SkYSPark Data_w Will''s Data'!C435,Outliers!$B$3:$B$61,0)),0)</f>
        <v>1</v>
      </c>
      <c r="AB435" s="112" t="b">
        <f>IFERROR(INDEX(Outliers!$AY$3:$AY$61,MATCH('SkYSPark Data_w Will''s Data'!C435,Outliers!$B$3:$B$61,0)),0)</f>
        <v>1</v>
      </c>
      <c r="AC435" s="112" t="s">
        <v>392</v>
      </c>
      <c r="AD435" s="201"/>
      <c r="AE435" s="201"/>
      <c r="AF435" s="142"/>
      <c r="BY435" s="15">
        <v>2243.770541487082</v>
      </c>
      <c r="CA435" s="15">
        <v>156.1455936316307</v>
      </c>
      <c r="CB435" s="15">
        <v>0.2421875</v>
      </c>
      <c r="CC435" s="15">
        <v>5534.8030303031246</v>
      </c>
      <c r="CD435" s="15">
        <v>23199.088068181929</v>
      </c>
      <c r="CF435" s="15">
        <v>-5534.8030303031246</v>
      </c>
      <c r="CG435" s="15">
        <v>980778.33984375</v>
      </c>
    </row>
    <row r="436" spans="1:85" x14ac:dyDescent="0.3">
      <c r="A436" s="2">
        <v>44593</v>
      </c>
      <c r="B436" s="3">
        <f t="shared" si="39"/>
        <v>2</v>
      </c>
      <c r="C436" s="3" t="s">
        <v>194</v>
      </c>
      <c r="D436" s="98" t="s">
        <v>529</v>
      </c>
      <c r="E436" s="3">
        <v>3724</v>
      </c>
      <c r="F436" s="3" t="s">
        <v>690</v>
      </c>
      <c r="G436" s="1">
        <v>23271.37499999996</v>
      </c>
      <c r="M436" s="21">
        <f t="shared" si="40"/>
        <v>21.321678705692765</v>
      </c>
      <c r="N436" s="21">
        <f t="shared" si="41"/>
        <v>0</v>
      </c>
      <c r="O436" s="21">
        <f t="shared" si="42"/>
        <v>0</v>
      </c>
      <c r="P436" s="21">
        <f t="shared" si="43"/>
        <v>0</v>
      </c>
      <c r="Z436" s="211" t="b">
        <f>IFERROR(INDEX(Outliers!$X$3:$X$61,MATCH('SkYSPark Data_w Will''s Data'!C436,Outliers!$B$3:$B$61,0)),0)</f>
        <v>0</v>
      </c>
      <c r="AA436" s="1" t="b">
        <f>IFERROR(INDEX(Outliers!$AP$3:$AP$61,MATCH('SkYSPark Data_w Will''s Data'!C436,Outliers!$B$3:$B$61,0)),0)</f>
        <v>1</v>
      </c>
      <c r="AB436" s="112" t="b">
        <f>IFERROR(INDEX(Outliers!$AY$3:$AY$61,MATCH('SkYSPark Data_w Will''s Data'!C436,Outliers!$B$3:$B$61,0)),0)</f>
        <v>1</v>
      </c>
      <c r="AC436" s="112" t="s">
        <v>392</v>
      </c>
      <c r="AF436" s="132"/>
      <c r="BY436">
        <v>2246.1425781250382</v>
      </c>
      <c r="CA436">
        <v>148.78486328124899</v>
      </c>
      <c r="CB436">
        <v>0.5205078125</v>
      </c>
      <c r="CC436">
        <v>2129.1250000000359</v>
      </c>
      <c r="CD436">
        <v>25904.8125</v>
      </c>
      <c r="CF436">
        <v>-2129.1250000000359</v>
      </c>
      <c r="CG436">
        <v>934117.63623046875</v>
      </c>
    </row>
    <row r="437" spans="1:85" x14ac:dyDescent="0.3">
      <c r="A437" s="2">
        <v>44621</v>
      </c>
      <c r="B437" s="3">
        <f t="shared" si="39"/>
        <v>3</v>
      </c>
      <c r="C437" s="3" t="s">
        <v>194</v>
      </c>
      <c r="D437" s="98" t="s">
        <v>529</v>
      </c>
      <c r="E437" s="3">
        <v>3724</v>
      </c>
      <c r="F437" s="3" t="s">
        <v>690</v>
      </c>
      <c r="G437" s="1">
        <v>27539.234375000025</v>
      </c>
      <c r="M437" s="21">
        <f t="shared" si="40"/>
        <v>25.231973063238474</v>
      </c>
      <c r="N437" s="21">
        <f t="shared" si="41"/>
        <v>0</v>
      </c>
      <c r="O437" s="21">
        <f t="shared" si="42"/>
        <v>0</v>
      </c>
      <c r="P437" s="21">
        <f t="shared" si="43"/>
        <v>0</v>
      </c>
      <c r="Z437" s="211" t="b">
        <f>IFERROR(INDEX(Outliers!$X$3:$X$61,MATCH('SkYSPark Data_w Will''s Data'!C437,Outliers!$B$3:$B$61,0)),0)</f>
        <v>0</v>
      </c>
      <c r="AA437" s="1" t="b">
        <f>IFERROR(INDEX(Outliers!$AP$3:$AP$61,MATCH('SkYSPark Data_w Will''s Data'!C437,Outliers!$B$3:$B$61,0)),0)</f>
        <v>1</v>
      </c>
      <c r="AB437" s="112" t="b">
        <f>IFERROR(INDEX(Outliers!$AY$3:$AY$61,MATCH('SkYSPark Data_w Will''s Data'!C437,Outliers!$B$3:$B$61,0)),0)</f>
        <v>1</v>
      </c>
      <c r="AC437" s="112" t="s">
        <v>392</v>
      </c>
      <c r="AF437" s="132"/>
      <c r="BY437">
        <v>3244.68088258534</v>
      </c>
      <c r="CA437">
        <v>360.39371932037977</v>
      </c>
      <c r="CB437">
        <v>15.6650390625</v>
      </c>
      <c r="CC437">
        <v>2303.9105562578638</v>
      </c>
      <c r="CD437">
        <v>27293.919484829639</v>
      </c>
      <c r="CF437">
        <v>-2303.9105562578638</v>
      </c>
      <c r="CG437">
        <v>1000308.570922852</v>
      </c>
    </row>
    <row r="438" spans="1:85" x14ac:dyDescent="0.3">
      <c r="A438" s="2">
        <v>44652</v>
      </c>
      <c r="B438" s="3">
        <f t="shared" si="39"/>
        <v>4</v>
      </c>
      <c r="C438" s="3" t="s">
        <v>194</v>
      </c>
      <c r="D438" s="98" t="s">
        <v>529</v>
      </c>
      <c r="E438" s="3">
        <v>3724</v>
      </c>
      <c r="F438" s="3" t="s">
        <v>690</v>
      </c>
      <c r="G438" s="1">
        <v>26522.933467741706</v>
      </c>
      <c r="M438" s="21">
        <f t="shared" si="40"/>
        <v>24.300818741121027</v>
      </c>
      <c r="N438" s="21">
        <f t="shared" si="41"/>
        <v>0</v>
      </c>
      <c r="O438" s="21">
        <f t="shared" si="42"/>
        <v>0</v>
      </c>
      <c r="P438" s="21">
        <f t="shared" si="43"/>
        <v>0</v>
      </c>
      <c r="Z438" s="211" t="b">
        <f>IFERROR(INDEX(Outliers!$X$3:$X$61,MATCH('SkYSPark Data_w Will''s Data'!C438,Outliers!$B$3:$B$61,0)),0)</f>
        <v>0</v>
      </c>
      <c r="AA438" s="1" t="b">
        <f>IFERROR(INDEX(Outliers!$AP$3:$AP$61,MATCH('SkYSPark Data_w Will''s Data'!C438,Outliers!$B$3:$B$61,0)),0)</f>
        <v>1</v>
      </c>
      <c r="AB438" s="112" t="b">
        <f>IFERROR(INDEX(Outliers!$AY$3:$AY$61,MATCH('SkYSPark Data_w Will''s Data'!C438,Outliers!$B$3:$B$61,0)),0)</f>
        <v>1</v>
      </c>
      <c r="AC438" s="112" t="s">
        <v>392</v>
      </c>
      <c r="AF438" s="132"/>
      <c r="BY438">
        <v>2151.3640392896809</v>
      </c>
      <c r="CA438">
        <v>1094.997198648382</v>
      </c>
      <c r="CB438">
        <v>48.8994140625</v>
      </c>
      <c r="CC438">
        <v>1249.964443742098</v>
      </c>
      <c r="CD438">
        <v>29053.768015170372</v>
      </c>
      <c r="CF438">
        <v>-1249.964443742098</v>
      </c>
      <c r="CG438">
        <v>951498.6640625</v>
      </c>
    </row>
    <row r="439" spans="1:85" x14ac:dyDescent="0.3">
      <c r="A439" s="2">
        <v>44682</v>
      </c>
      <c r="B439" s="3">
        <f t="shared" si="39"/>
        <v>5</v>
      </c>
      <c r="C439" s="3" t="s">
        <v>194</v>
      </c>
      <c r="D439" s="98" t="s">
        <v>529</v>
      </c>
      <c r="E439" s="3">
        <v>3724</v>
      </c>
      <c r="F439" s="3" t="s">
        <v>690</v>
      </c>
      <c r="G439" s="1">
        <v>24931.285282257817</v>
      </c>
      <c r="M439" s="21">
        <f t="shared" si="40"/>
        <v>22.842520242498299</v>
      </c>
      <c r="N439" s="21">
        <f t="shared" si="41"/>
        <v>0</v>
      </c>
      <c r="O439" s="21">
        <f t="shared" si="42"/>
        <v>0</v>
      </c>
      <c r="P439" s="21">
        <f t="shared" si="43"/>
        <v>0</v>
      </c>
      <c r="Z439" s="211" t="b">
        <f>IFERROR(INDEX(Outliers!$X$3:$X$61,MATCH('SkYSPark Data_w Will''s Data'!C439,Outliers!$B$3:$B$61,0)),0)</f>
        <v>0</v>
      </c>
      <c r="AA439" s="1" t="b">
        <f>IFERROR(INDEX(Outliers!$AP$3:$AP$61,MATCH('SkYSPark Data_w Will''s Data'!C439,Outliers!$B$3:$B$61,0)),0)</f>
        <v>1</v>
      </c>
      <c r="AB439" s="112" t="b">
        <f>IFERROR(INDEX(Outliers!$AY$3:$AY$61,MATCH('SkYSPark Data_w Will''s Data'!C439,Outliers!$B$3:$B$61,0)),0)</f>
        <v>1</v>
      </c>
      <c r="AC439" s="112" t="s">
        <v>392</v>
      </c>
      <c r="AF439" s="132"/>
      <c r="BY439">
        <v>1720.498046875002</v>
      </c>
      <c r="CA439">
        <v>1259.5057617187649</v>
      </c>
      <c r="CB439">
        <v>65.8486328125</v>
      </c>
      <c r="CC439">
        <v>0.62500000000000766</v>
      </c>
      <c r="CD439">
        <v>26800.500000000211</v>
      </c>
      <c r="CF439">
        <v>-0.62500000000000766</v>
      </c>
      <c r="CG439">
        <v>951998.7763671875</v>
      </c>
    </row>
    <row r="440" spans="1:85" x14ac:dyDescent="0.3">
      <c r="A440" s="2">
        <v>44713</v>
      </c>
      <c r="B440" s="3">
        <f t="shared" si="39"/>
        <v>6</v>
      </c>
      <c r="C440" s="3" t="s">
        <v>194</v>
      </c>
      <c r="D440" s="98" t="s">
        <v>529</v>
      </c>
      <c r="E440" s="3">
        <v>3724</v>
      </c>
      <c r="F440" s="3" t="s">
        <v>690</v>
      </c>
      <c r="G440" s="1">
        <v>21029.812499999876</v>
      </c>
      <c r="M440" s="21">
        <f t="shared" si="40"/>
        <v>19.267916286251229</v>
      </c>
      <c r="N440" s="21">
        <f t="shared" si="41"/>
        <v>0</v>
      </c>
      <c r="O440" s="21">
        <f t="shared" si="42"/>
        <v>0</v>
      </c>
      <c r="P440" s="21">
        <f t="shared" si="43"/>
        <v>0</v>
      </c>
      <c r="Z440" s="211" t="b">
        <f>IFERROR(INDEX(Outliers!$X$3:$X$61,MATCH('SkYSPark Data_w Will''s Data'!C440,Outliers!$B$3:$B$61,0)),0)</f>
        <v>0</v>
      </c>
      <c r="AA440" s="1" t="b">
        <f>IFERROR(INDEX(Outliers!$AP$3:$AP$61,MATCH('SkYSPark Data_w Will''s Data'!C440,Outliers!$B$3:$B$61,0)),0)</f>
        <v>1</v>
      </c>
      <c r="AB440" s="112" t="b">
        <f>IFERROR(INDEX(Outliers!$AY$3:$AY$61,MATCH('SkYSPark Data_w Will''s Data'!C440,Outliers!$B$3:$B$61,0)),0)</f>
        <v>1</v>
      </c>
      <c r="AC440" s="112" t="s">
        <v>392</v>
      </c>
      <c r="AF440" s="132"/>
      <c r="BY440">
        <v>790.82310267858077</v>
      </c>
      <c r="CA440">
        <v>1240.574999999985</v>
      </c>
      <c r="CB440">
        <v>92.4921875</v>
      </c>
      <c r="CC440">
        <v>0</v>
      </c>
      <c r="CD440">
        <v>19164.910714285481</v>
      </c>
      <c r="CF440">
        <v>0</v>
      </c>
      <c r="CG440">
        <v>817897.0888671875</v>
      </c>
    </row>
    <row r="441" spans="1:85" x14ac:dyDescent="0.3">
      <c r="A441" s="2">
        <v>44743</v>
      </c>
      <c r="B441" s="3">
        <f t="shared" si="39"/>
        <v>7</v>
      </c>
      <c r="C441" s="3" t="s">
        <v>194</v>
      </c>
      <c r="D441" s="98" t="s">
        <v>529</v>
      </c>
      <c r="E441" s="3">
        <v>3724</v>
      </c>
      <c r="F441" s="3" t="s">
        <v>690</v>
      </c>
      <c r="G441" s="1">
        <v>21386.548828125</v>
      </c>
      <c r="M441" s="21">
        <f t="shared" si="40"/>
        <v>19.594764930602175</v>
      </c>
      <c r="N441" s="21">
        <f t="shared" si="41"/>
        <v>0</v>
      </c>
      <c r="O441" s="21">
        <f t="shared" si="42"/>
        <v>0</v>
      </c>
      <c r="P441" s="21">
        <f t="shared" si="43"/>
        <v>0</v>
      </c>
      <c r="Z441" s="211" t="b">
        <f>IFERROR(INDEX(Outliers!$X$3:$X$61,MATCH('SkYSPark Data_w Will''s Data'!C441,Outliers!$B$3:$B$61,0)),0)</f>
        <v>0</v>
      </c>
      <c r="AA441" s="1" t="b">
        <f>IFERROR(INDEX(Outliers!$AP$3:$AP$61,MATCH('SkYSPark Data_w Will''s Data'!C441,Outliers!$B$3:$B$61,0)),0)</f>
        <v>1</v>
      </c>
      <c r="AB441" s="112" t="b">
        <f>IFERROR(INDEX(Outliers!$AY$3:$AY$61,MATCH('SkYSPark Data_w Will''s Data'!C441,Outliers!$B$3:$B$61,0)),0)</f>
        <v>1</v>
      </c>
      <c r="AC441" s="112" t="s">
        <v>392</v>
      </c>
      <c r="AF441" s="132"/>
      <c r="BY441">
        <v>465.06556919642031</v>
      </c>
      <c r="CA441">
        <v>1669.6780761718951</v>
      </c>
      <c r="CB441">
        <v>126.953125</v>
      </c>
      <c r="CC441">
        <v>0</v>
      </c>
      <c r="CD441">
        <v>20535.33928571425</v>
      </c>
      <c r="CF441">
        <v>0</v>
      </c>
      <c r="CG441">
        <v>896158.05078125</v>
      </c>
    </row>
    <row r="442" spans="1:85" x14ac:dyDescent="0.3">
      <c r="A442" s="2">
        <v>44774</v>
      </c>
      <c r="B442" s="3">
        <f t="shared" si="39"/>
        <v>8</v>
      </c>
      <c r="C442" s="3" t="s">
        <v>194</v>
      </c>
      <c r="D442" s="98" t="s">
        <v>529</v>
      </c>
      <c r="E442" s="3">
        <v>3724</v>
      </c>
      <c r="F442" s="3" t="s">
        <v>690</v>
      </c>
      <c r="G442" s="1">
        <v>27973.982421875175</v>
      </c>
      <c r="M442" s="21">
        <f t="shared" si="40"/>
        <v>25.630297535831925</v>
      </c>
      <c r="N442" s="21">
        <f t="shared" si="41"/>
        <v>0</v>
      </c>
      <c r="O442" s="21">
        <f t="shared" si="42"/>
        <v>0</v>
      </c>
      <c r="P442" s="21">
        <f t="shared" si="43"/>
        <v>0</v>
      </c>
      <c r="Z442" s="211" t="b">
        <f>IFERROR(INDEX(Outliers!$X$3:$X$61,MATCH('SkYSPark Data_w Will''s Data'!C442,Outliers!$B$3:$B$61,0)),0)</f>
        <v>0</v>
      </c>
      <c r="AA442" s="1" t="b">
        <f>IFERROR(INDEX(Outliers!$AP$3:$AP$61,MATCH('SkYSPark Data_w Will''s Data'!C442,Outliers!$B$3:$B$61,0)),0)</f>
        <v>1</v>
      </c>
      <c r="AB442" s="112" t="b">
        <f>IFERROR(INDEX(Outliers!$AY$3:$AY$61,MATCH('SkYSPark Data_w Will''s Data'!C442,Outliers!$B$3:$B$61,0)),0)</f>
        <v>1</v>
      </c>
      <c r="AC442" s="112" t="s">
        <v>392</v>
      </c>
      <c r="AF442" s="132"/>
      <c r="BY442">
        <v>339.7198660714256</v>
      </c>
      <c r="CA442">
        <v>2682.558662109353</v>
      </c>
      <c r="CB442">
        <v>185.4755859375</v>
      </c>
      <c r="CC442">
        <v>0</v>
      </c>
      <c r="CD442">
        <v>172.5743386404848</v>
      </c>
      <c r="CF442">
        <v>0</v>
      </c>
      <c r="CG442">
        <v>929779.03125</v>
      </c>
    </row>
    <row r="443" spans="1:85" x14ac:dyDescent="0.3">
      <c r="A443" s="2">
        <v>44805</v>
      </c>
      <c r="B443" s="3">
        <f t="shared" si="39"/>
        <v>9</v>
      </c>
      <c r="C443" s="3" t="s">
        <v>194</v>
      </c>
      <c r="D443" s="98" t="s">
        <v>529</v>
      </c>
      <c r="E443" s="3">
        <v>3724</v>
      </c>
      <c r="F443" s="3" t="s">
        <v>690</v>
      </c>
      <c r="G443" s="1">
        <v>28670.249999999516</v>
      </c>
      <c r="M443" s="21">
        <f t="shared" si="40"/>
        <v>26.268231203007076</v>
      </c>
      <c r="N443" s="21">
        <f t="shared" si="41"/>
        <v>0</v>
      </c>
      <c r="O443" s="21">
        <f t="shared" si="42"/>
        <v>0</v>
      </c>
      <c r="P443" s="21">
        <f t="shared" si="43"/>
        <v>0</v>
      </c>
      <c r="Z443" s="211" t="b">
        <f>IFERROR(INDEX(Outliers!$X$3:$X$61,MATCH('SkYSPark Data_w Will''s Data'!C443,Outliers!$B$3:$B$61,0)),0)</f>
        <v>0</v>
      </c>
      <c r="AA443" s="1" t="b">
        <f>IFERROR(INDEX(Outliers!$AP$3:$AP$61,MATCH('SkYSPark Data_w Will''s Data'!C443,Outliers!$B$3:$B$61,0)),0)</f>
        <v>1</v>
      </c>
      <c r="AB443" s="112" t="b">
        <f>IFERROR(INDEX(Outliers!$AY$3:$AY$61,MATCH('SkYSPark Data_w Will''s Data'!C443,Outliers!$B$3:$B$61,0)),0)</f>
        <v>1</v>
      </c>
      <c r="AC443" s="112" t="s">
        <v>392</v>
      </c>
      <c r="AF443" s="132"/>
      <c r="BY443">
        <v>719.77859933035029</v>
      </c>
      <c r="CA443">
        <v>2638.196879882777</v>
      </c>
      <c r="CB443">
        <v>140.2275390625</v>
      </c>
      <c r="CC443">
        <v>0</v>
      </c>
      <c r="CD443">
        <v>232.47302791050899</v>
      </c>
      <c r="CF443">
        <v>0</v>
      </c>
      <c r="CG443">
        <v>969288.21875</v>
      </c>
    </row>
    <row r="444" spans="1:85" x14ac:dyDescent="0.3">
      <c r="A444" s="2">
        <v>44835</v>
      </c>
      <c r="B444" s="3">
        <f t="shared" si="39"/>
        <v>10</v>
      </c>
      <c r="C444" s="3" t="s">
        <v>194</v>
      </c>
      <c r="D444" s="98" t="s">
        <v>529</v>
      </c>
      <c r="E444" s="3">
        <v>3724</v>
      </c>
      <c r="F444" s="3" t="s">
        <v>690</v>
      </c>
      <c r="G444" s="1">
        <v>30877.062499999593</v>
      </c>
      <c r="M444" s="21">
        <f t="shared" si="40"/>
        <v>28.290155008055482</v>
      </c>
      <c r="N444" s="21">
        <f t="shared" si="41"/>
        <v>0</v>
      </c>
      <c r="O444" s="21">
        <f t="shared" si="42"/>
        <v>0</v>
      </c>
      <c r="P444" s="21">
        <f t="shared" si="43"/>
        <v>0</v>
      </c>
      <c r="Z444" s="211" t="b">
        <f>IFERROR(INDEX(Outliers!$X$3:$X$61,MATCH('SkYSPark Data_w Will''s Data'!C444,Outliers!$B$3:$B$61,0)),0)</f>
        <v>0</v>
      </c>
      <c r="AA444" s="1" t="b">
        <f>IFERROR(INDEX(Outliers!$AP$3:$AP$61,MATCH('SkYSPark Data_w Will''s Data'!C444,Outliers!$B$3:$B$61,0)),0)</f>
        <v>1</v>
      </c>
      <c r="AB444" s="112" t="b">
        <f>IFERROR(INDEX(Outliers!$AY$3:$AY$61,MATCH('SkYSPark Data_w Will''s Data'!C444,Outliers!$B$3:$B$61,0)),0)</f>
        <v>1</v>
      </c>
      <c r="AC444" s="112" t="s">
        <v>392</v>
      </c>
      <c r="AF444" s="132"/>
      <c r="BY444">
        <v>971.03864397321695</v>
      </c>
      <c r="CA444">
        <v>2489.3922607421669</v>
      </c>
      <c r="CB444">
        <v>98.1669921875</v>
      </c>
      <c r="CC444">
        <v>0</v>
      </c>
      <c r="CD444">
        <v>252.99663979666289</v>
      </c>
      <c r="CF444">
        <v>0</v>
      </c>
      <c r="CG444">
        <v>996540.15625</v>
      </c>
    </row>
    <row r="445" spans="1:85" x14ac:dyDescent="0.3">
      <c r="A445" s="2">
        <v>44866</v>
      </c>
      <c r="B445" s="3">
        <f t="shared" si="39"/>
        <v>11</v>
      </c>
      <c r="C445" s="3" t="s">
        <v>194</v>
      </c>
      <c r="D445" s="98" t="s">
        <v>529</v>
      </c>
      <c r="E445" s="3">
        <v>3724</v>
      </c>
      <c r="F445" s="3" t="s">
        <v>690</v>
      </c>
      <c r="G445" s="1">
        <v>26567.281250000138</v>
      </c>
      <c r="M445" s="21">
        <f t="shared" si="40"/>
        <v>24.341451027121501</v>
      </c>
      <c r="N445" s="21">
        <f t="shared" si="41"/>
        <v>0</v>
      </c>
      <c r="O445" s="21">
        <f t="shared" si="42"/>
        <v>0</v>
      </c>
      <c r="P445" s="21">
        <f t="shared" si="43"/>
        <v>0</v>
      </c>
      <c r="Z445" s="211" t="b">
        <f>IFERROR(INDEX(Outliers!$X$3:$X$61,MATCH('SkYSPark Data_w Will''s Data'!C445,Outliers!$B$3:$B$61,0)),0)</f>
        <v>0</v>
      </c>
      <c r="AA445" s="1" t="b">
        <f>IFERROR(INDEX(Outliers!$AP$3:$AP$61,MATCH('SkYSPark Data_w Will''s Data'!C445,Outliers!$B$3:$B$61,0)),0)</f>
        <v>1</v>
      </c>
      <c r="AB445" s="112" t="b">
        <f>IFERROR(INDEX(Outliers!$AY$3:$AY$61,MATCH('SkYSPark Data_w Will''s Data'!C445,Outliers!$B$3:$B$61,0)),0)</f>
        <v>1</v>
      </c>
      <c r="AC445" s="112" t="s">
        <v>392</v>
      </c>
      <c r="AF445" s="132"/>
      <c r="BY445">
        <v>1922.9075824598101</v>
      </c>
      <c r="CA445">
        <v>1092.9326382457759</v>
      </c>
      <c r="CB445">
        <v>33.2314453125</v>
      </c>
      <c r="CC445">
        <v>0</v>
      </c>
      <c r="CD445">
        <v>233.85494783457159</v>
      </c>
      <c r="CF445">
        <v>0</v>
      </c>
      <c r="CG445">
        <v>921938.400390625</v>
      </c>
    </row>
    <row r="446" spans="1:85" x14ac:dyDescent="0.3">
      <c r="A446" s="2">
        <v>44896</v>
      </c>
      <c r="B446" s="3">
        <f t="shared" si="39"/>
        <v>12</v>
      </c>
      <c r="C446" s="3" t="s">
        <v>194</v>
      </c>
      <c r="D446" s="98" t="s">
        <v>529</v>
      </c>
      <c r="E446" s="3">
        <v>3724</v>
      </c>
      <c r="F446" s="3" t="s">
        <v>690</v>
      </c>
      <c r="G446" s="1">
        <v>21534.255681818329</v>
      </c>
      <c r="M446" s="21">
        <f t="shared" si="40"/>
        <v>19.730096773996813</v>
      </c>
      <c r="N446" s="21">
        <f t="shared" si="41"/>
        <v>0</v>
      </c>
      <c r="O446" s="21">
        <f t="shared" si="42"/>
        <v>0</v>
      </c>
      <c r="P446" s="21">
        <f t="shared" si="43"/>
        <v>0</v>
      </c>
      <c r="Z446" s="211" t="b">
        <f>IFERROR(INDEX(Outliers!$X$3:$X$61,MATCH('SkYSPark Data_w Will''s Data'!C446,Outliers!$B$3:$B$61,0)),0)</f>
        <v>0</v>
      </c>
      <c r="AA446" s="1" t="b">
        <f>IFERROR(INDEX(Outliers!$AP$3:$AP$61,MATCH('SkYSPark Data_w Will''s Data'!C446,Outliers!$B$3:$B$61,0)),0)</f>
        <v>1</v>
      </c>
      <c r="AB446" s="112" t="b">
        <f>IFERROR(INDEX(Outliers!$AY$3:$AY$61,MATCH('SkYSPark Data_w Will''s Data'!C446,Outliers!$B$3:$B$61,0)),0)</f>
        <v>1</v>
      </c>
      <c r="AC446" s="112" t="s">
        <v>392</v>
      </c>
      <c r="AF446" s="132"/>
      <c r="BY446">
        <v>2400.1827327341839</v>
      </c>
      <c r="CA446">
        <v>556.08814233072826</v>
      </c>
      <c r="CB446">
        <v>13.197265625</v>
      </c>
      <c r="CC446">
        <v>0</v>
      </c>
      <c r="CD446">
        <v>194.32003364441991</v>
      </c>
      <c r="CF446">
        <v>0</v>
      </c>
      <c r="CG446">
        <v>848278.47509765625</v>
      </c>
    </row>
    <row r="447" spans="1:85" s="15" customFormat="1" x14ac:dyDescent="0.3">
      <c r="A447" s="38">
        <v>44927</v>
      </c>
      <c r="B447" s="3">
        <f t="shared" si="39"/>
        <v>1</v>
      </c>
      <c r="C447" s="22" t="s">
        <v>165</v>
      </c>
      <c r="D447" s="98" t="s">
        <v>529</v>
      </c>
      <c r="E447" s="98">
        <v>6451</v>
      </c>
      <c r="F447" s="3" t="s">
        <v>123</v>
      </c>
      <c r="G447" s="21">
        <v>6799.4327225806783</v>
      </c>
      <c r="H447" s="21"/>
      <c r="I447" s="21"/>
      <c r="J447" s="21"/>
      <c r="K447" s="21"/>
      <c r="L447" s="20"/>
      <c r="M447" s="21">
        <f t="shared" si="40"/>
        <v>3.5962896371795496</v>
      </c>
      <c r="N447" s="21">
        <f t="shared" si="41"/>
        <v>0</v>
      </c>
      <c r="O447" s="21">
        <f t="shared" si="42"/>
        <v>0</v>
      </c>
      <c r="P447" s="21">
        <f t="shared" si="43"/>
        <v>0</v>
      </c>
      <c r="Q447" s="21">
        <f>(SUM(G447:G458)*3.412)/E447</f>
        <v>39.724114778525333</v>
      </c>
      <c r="R447" s="21">
        <f>(SUM(I447:I458)*100)/E447</f>
        <v>0</v>
      </c>
      <c r="S447" s="21">
        <f>(SUM(J447:J458)*100)/E447</f>
        <v>0</v>
      </c>
      <c r="T447" s="21">
        <f>(SUM(K447:K458)*12)/E447</f>
        <v>0</v>
      </c>
      <c r="U447" s="21"/>
      <c r="V447" s="34">
        <f>SUM(Q447:T447)</f>
        <v>39.724114778525333</v>
      </c>
      <c r="W447" s="19" t="s">
        <v>199</v>
      </c>
      <c r="X447" s="62"/>
      <c r="Y447" s="128" t="s">
        <v>448</v>
      </c>
      <c r="Z447" s="211" t="b">
        <f>IFERROR(INDEX(Outliers!$X$3:$X$61,MATCH('SkYSPark Data_w Will''s Data'!C447,Outliers!$B$3:$B$61,0)),0)</f>
        <v>0</v>
      </c>
      <c r="AA447" s="1" t="b">
        <f>IFERROR(INDEX(Outliers!$AP$3:$AP$61,MATCH('SkYSPark Data_w Will''s Data'!C447,Outliers!$B$3:$B$61,0)),0)</f>
        <v>1</v>
      </c>
      <c r="AB447" s="112" t="b">
        <f>IFERROR(INDEX(Outliers!$AY$3:$AY$61,MATCH('SkYSPark Data_w Will''s Data'!C447,Outliers!$B$3:$B$61,0)),0)</f>
        <v>1</v>
      </c>
      <c r="AC447" s="112" t="s">
        <v>391</v>
      </c>
      <c r="AD447" s="202"/>
      <c r="AE447" s="202"/>
      <c r="AF447" s="137"/>
      <c r="AG447" s="15">
        <v>2.849897589316662</v>
      </c>
    </row>
    <row r="448" spans="1:85" x14ac:dyDescent="0.3">
      <c r="A448" s="2">
        <v>44958</v>
      </c>
      <c r="B448" s="3">
        <f t="shared" si="39"/>
        <v>2</v>
      </c>
      <c r="C448" s="3" t="s">
        <v>165</v>
      </c>
      <c r="D448" s="98" t="s">
        <v>529</v>
      </c>
      <c r="E448" s="98">
        <v>6451</v>
      </c>
      <c r="F448" s="3" t="s">
        <v>123</v>
      </c>
      <c r="G448" s="1">
        <v>7317.3944774193578</v>
      </c>
      <c r="M448" s="21">
        <f t="shared" si="40"/>
        <v>3.8702449165950781</v>
      </c>
      <c r="N448" s="21">
        <f t="shared" si="41"/>
        <v>0</v>
      </c>
      <c r="O448" s="21">
        <f t="shared" si="42"/>
        <v>0</v>
      </c>
      <c r="P448" s="21">
        <f t="shared" si="43"/>
        <v>0</v>
      </c>
      <c r="Z448" s="211" t="b">
        <f>IFERROR(INDEX(Outliers!$X$3:$X$61,MATCH('SkYSPark Data_w Will''s Data'!C448,Outliers!$B$3:$B$61,0)),0)</f>
        <v>0</v>
      </c>
      <c r="AA448" s="1" t="b">
        <f>IFERROR(INDEX(Outliers!$AP$3:$AP$61,MATCH('SkYSPark Data_w Will''s Data'!C448,Outliers!$B$3:$B$61,0)),0)</f>
        <v>1</v>
      </c>
      <c r="AB448" s="112" t="b">
        <f>IFERROR(INDEX(Outliers!$AY$3:$AY$61,MATCH('SkYSPark Data_w Will''s Data'!C448,Outliers!$B$3:$B$61,0)),0)</f>
        <v>1</v>
      </c>
      <c r="AC448" s="112" t="s">
        <v>391</v>
      </c>
      <c r="AF448" s="132"/>
      <c r="AG448">
        <v>3.4298901689708128</v>
      </c>
    </row>
    <row r="449" spans="1:103" x14ac:dyDescent="0.3">
      <c r="A449" s="2">
        <v>44986</v>
      </c>
      <c r="B449" s="3">
        <f t="shared" si="39"/>
        <v>3</v>
      </c>
      <c r="C449" s="3" t="s">
        <v>165</v>
      </c>
      <c r="D449" s="98" t="s">
        <v>529</v>
      </c>
      <c r="E449" s="98">
        <v>6451</v>
      </c>
      <c r="F449" s="3" t="s">
        <v>123</v>
      </c>
      <c r="G449" s="1">
        <v>7572.5787280576506</v>
      </c>
      <c r="M449" s="21">
        <f t="shared" si="40"/>
        <v>4.0052144814963109</v>
      </c>
      <c r="N449" s="21">
        <f t="shared" si="41"/>
        <v>0</v>
      </c>
      <c r="O449" s="21">
        <f t="shared" si="42"/>
        <v>0</v>
      </c>
      <c r="P449" s="21">
        <f t="shared" si="43"/>
        <v>0</v>
      </c>
      <c r="Z449" s="211" t="b">
        <f>IFERROR(INDEX(Outliers!$X$3:$X$61,MATCH('SkYSPark Data_w Will''s Data'!C449,Outliers!$B$3:$B$61,0)),0)</f>
        <v>0</v>
      </c>
      <c r="AA449" s="1" t="b">
        <f>IFERROR(INDEX(Outliers!$AP$3:$AP$61,MATCH('SkYSPark Data_w Will''s Data'!C449,Outliers!$B$3:$B$61,0)),0)</f>
        <v>1</v>
      </c>
      <c r="AB449" s="112" t="b">
        <f>IFERROR(INDEX(Outliers!$AY$3:$AY$61,MATCH('SkYSPark Data_w Will''s Data'!C449,Outliers!$B$3:$B$61,0)),0)</f>
        <v>1</v>
      </c>
      <c r="AC449" s="112" t="s">
        <v>391</v>
      </c>
      <c r="AF449" s="132"/>
      <c r="AG449">
        <v>3.2899841784714829</v>
      </c>
    </row>
    <row r="450" spans="1:103" x14ac:dyDescent="0.3">
      <c r="A450" s="2">
        <v>45017</v>
      </c>
      <c r="B450" s="3">
        <f t="shared" si="39"/>
        <v>4</v>
      </c>
      <c r="C450" s="3" t="s">
        <v>165</v>
      </c>
      <c r="D450" s="98" t="s">
        <v>529</v>
      </c>
      <c r="E450" s="98">
        <v>6451</v>
      </c>
      <c r="F450" s="3" t="s">
        <v>123</v>
      </c>
      <c r="G450" s="1">
        <v>6446.9296719424992</v>
      </c>
      <c r="M450" s="21">
        <f t="shared" si="40"/>
        <v>3.4098471617838797</v>
      </c>
      <c r="N450" s="21">
        <f t="shared" si="41"/>
        <v>0</v>
      </c>
      <c r="O450" s="21">
        <f t="shared" si="42"/>
        <v>0</v>
      </c>
      <c r="P450" s="21">
        <f t="shared" si="43"/>
        <v>0</v>
      </c>
      <c r="Z450" s="211" t="b">
        <f>IFERROR(INDEX(Outliers!$X$3:$X$61,MATCH('SkYSPark Data_w Will''s Data'!C450,Outliers!$B$3:$B$61,0)),0)</f>
        <v>0</v>
      </c>
      <c r="AA450" s="1" t="b">
        <f>IFERROR(INDEX(Outliers!$AP$3:$AP$61,MATCH('SkYSPark Data_w Will''s Data'!C450,Outliers!$B$3:$B$61,0)),0)</f>
        <v>1</v>
      </c>
      <c r="AB450" s="112" t="b">
        <f>IFERROR(INDEX(Outliers!$AY$3:$AY$61,MATCH('SkYSPark Data_w Will''s Data'!C450,Outliers!$B$3:$B$61,0)),0)</f>
        <v>1</v>
      </c>
      <c r="AC450" s="112" t="s">
        <v>391</v>
      </c>
      <c r="AF450" s="132"/>
      <c r="AG450">
        <v>2.9137305630495671</v>
      </c>
    </row>
    <row r="451" spans="1:103" x14ac:dyDescent="0.3">
      <c r="A451" s="2">
        <v>45047</v>
      </c>
      <c r="B451" s="3">
        <f t="shared" si="39"/>
        <v>5</v>
      </c>
      <c r="C451" s="3" t="s">
        <v>165</v>
      </c>
      <c r="D451" s="98" t="s">
        <v>529</v>
      </c>
      <c r="E451" s="98">
        <v>6451</v>
      </c>
      <c r="F451" s="3" t="s">
        <v>123</v>
      </c>
      <c r="G451" s="1">
        <v>5945.5358666666461</v>
      </c>
      <c r="M451" s="21">
        <f t="shared" si="40"/>
        <v>3.1446548406551846</v>
      </c>
      <c r="N451" s="21">
        <f t="shared" si="41"/>
        <v>0</v>
      </c>
      <c r="O451" s="21">
        <f t="shared" si="42"/>
        <v>0</v>
      </c>
      <c r="P451" s="21">
        <f t="shared" si="43"/>
        <v>0</v>
      </c>
      <c r="Z451" s="211" t="b">
        <f>IFERROR(INDEX(Outliers!$X$3:$X$61,MATCH('SkYSPark Data_w Will''s Data'!C451,Outliers!$B$3:$B$61,0)),0)</f>
        <v>0</v>
      </c>
      <c r="AA451" s="1" t="b">
        <f>IFERROR(INDEX(Outliers!$AP$3:$AP$61,MATCH('SkYSPark Data_w Will''s Data'!C451,Outliers!$B$3:$B$61,0)),0)</f>
        <v>1</v>
      </c>
      <c r="AB451" s="112" t="b">
        <f>IFERROR(INDEX(Outliers!$AY$3:$AY$61,MATCH('SkYSPark Data_w Will''s Data'!C451,Outliers!$B$3:$B$61,0)),0)</f>
        <v>1</v>
      </c>
      <c r="AC451" s="112" t="s">
        <v>391</v>
      </c>
      <c r="AF451" s="132"/>
      <c r="AG451">
        <v>2.6504732302866891</v>
      </c>
    </row>
    <row r="452" spans="1:103" x14ac:dyDescent="0.3">
      <c r="A452" s="2">
        <v>45078</v>
      </c>
      <c r="B452" s="3">
        <f t="shared" si="39"/>
        <v>6</v>
      </c>
      <c r="C452" s="3" t="s">
        <v>165</v>
      </c>
      <c r="D452" s="98" t="s">
        <v>529</v>
      </c>
      <c r="E452" s="98">
        <v>6451</v>
      </c>
      <c r="F452" s="3" t="s">
        <v>123</v>
      </c>
      <c r="G452" s="1">
        <v>5593.1733333333623</v>
      </c>
      <c r="M452" s="21">
        <f t="shared" si="40"/>
        <v>2.9582866863018809</v>
      </c>
      <c r="N452" s="21">
        <f t="shared" si="41"/>
        <v>0</v>
      </c>
      <c r="O452" s="21">
        <f t="shared" si="42"/>
        <v>0</v>
      </c>
      <c r="P452" s="21">
        <f t="shared" si="43"/>
        <v>0</v>
      </c>
      <c r="Z452" s="211" t="b">
        <f>IFERROR(INDEX(Outliers!$X$3:$X$61,MATCH('SkYSPark Data_w Will''s Data'!C452,Outliers!$B$3:$B$61,0)),0)</f>
        <v>0</v>
      </c>
      <c r="AA452" s="1" t="b">
        <f>IFERROR(INDEX(Outliers!$AP$3:$AP$61,MATCH('SkYSPark Data_w Will''s Data'!C452,Outliers!$B$3:$B$61,0)),0)</f>
        <v>1</v>
      </c>
      <c r="AB452" s="112" t="b">
        <f>IFERROR(INDEX(Outliers!$AY$3:$AY$61,MATCH('SkYSPark Data_w Will''s Data'!C452,Outliers!$B$3:$B$61,0)),0)</f>
        <v>1</v>
      </c>
      <c r="AC452" s="112" t="s">
        <v>391</v>
      </c>
      <c r="AF452" s="132"/>
      <c r="AG452">
        <v>2.8059282407407959</v>
      </c>
    </row>
    <row r="453" spans="1:103" x14ac:dyDescent="0.3">
      <c r="A453" s="2">
        <v>45108</v>
      </c>
      <c r="B453" s="3">
        <f t="shared" si="39"/>
        <v>7</v>
      </c>
      <c r="C453" s="3" t="s">
        <v>165</v>
      </c>
      <c r="D453" s="98" t="s">
        <v>529</v>
      </c>
      <c r="E453" s="98">
        <v>6451</v>
      </c>
      <c r="F453" s="3" t="s">
        <v>123</v>
      </c>
      <c r="G453" s="1">
        <v>6015.1655000000192</v>
      </c>
      <c r="M453" s="21">
        <f t="shared" si="40"/>
        <v>3.1814826671833925</v>
      </c>
      <c r="N453" s="21">
        <f t="shared" si="41"/>
        <v>0</v>
      </c>
      <c r="O453" s="21">
        <f t="shared" si="42"/>
        <v>0</v>
      </c>
      <c r="P453" s="21">
        <f t="shared" si="43"/>
        <v>0</v>
      </c>
      <c r="Z453" s="211" t="b">
        <f>IFERROR(INDEX(Outliers!$X$3:$X$61,MATCH('SkYSPark Data_w Will''s Data'!C453,Outliers!$B$3:$B$61,0)),0)</f>
        <v>0</v>
      </c>
      <c r="AA453" s="1" t="b">
        <f>IFERROR(INDEX(Outliers!$AP$3:$AP$61,MATCH('SkYSPark Data_w Will''s Data'!C453,Outliers!$B$3:$B$61,0)),0)</f>
        <v>1</v>
      </c>
      <c r="AB453" s="112" t="b">
        <f>IFERROR(INDEX(Outliers!$AY$3:$AY$61,MATCH('SkYSPark Data_w Will''s Data'!C453,Outliers!$B$3:$B$61,0)),0)</f>
        <v>1</v>
      </c>
      <c r="AC453" s="112" t="s">
        <v>391</v>
      </c>
      <c r="AF453" s="132"/>
      <c r="AG453">
        <v>3.0644693660393951</v>
      </c>
    </row>
    <row r="454" spans="1:103" x14ac:dyDescent="0.3">
      <c r="A454" s="2">
        <v>45139</v>
      </c>
      <c r="B454" s="3">
        <f t="shared" si="39"/>
        <v>8</v>
      </c>
      <c r="C454" s="3" t="s">
        <v>165</v>
      </c>
      <c r="D454" s="98" t="s">
        <v>529</v>
      </c>
      <c r="E454" s="98">
        <v>6451</v>
      </c>
      <c r="F454" s="3" t="s">
        <v>123</v>
      </c>
      <c r="G454" s="1">
        <v>6428.5878333332976</v>
      </c>
      <c r="M454" s="21">
        <f t="shared" si="40"/>
        <v>3.4001459754043108</v>
      </c>
      <c r="N454" s="21">
        <f t="shared" si="41"/>
        <v>0</v>
      </c>
      <c r="O454" s="21">
        <f t="shared" si="42"/>
        <v>0</v>
      </c>
      <c r="P454" s="21">
        <f t="shared" si="43"/>
        <v>0</v>
      </c>
      <c r="Z454" s="211" t="b">
        <f>IFERROR(INDEX(Outliers!$X$3:$X$61,MATCH('SkYSPark Data_w Will''s Data'!C454,Outliers!$B$3:$B$61,0)),0)</f>
        <v>0</v>
      </c>
      <c r="AA454" s="1" t="b">
        <f>IFERROR(INDEX(Outliers!$AP$3:$AP$61,MATCH('SkYSPark Data_w Will''s Data'!C454,Outliers!$B$3:$B$61,0)),0)</f>
        <v>1</v>
      </c>
      <c r="AB454" s="112" t="b">
        <f>IFERROR(INDEX(Outliers!$AY$3:$AY$61,MATCH('SkYSPark Data_w Will''s Data'!C454,Outliers!$B$3:$B$61,0)),0)</f>
        <v>1</v>
      </c>
      <c r="AC454" s="112" t="s">
        <v>391</v>
      </c>
      <c r="AF454" s="132"/>
      <c r="AG454">
        <v>3.2985077844982338</v>
      </c>
    </row>
    <row r="455" spans="1:103" x14ac:dyDescent="0.3">
      <c r="A455" s="2">
        <v>45170</v>
      </c>
      <c r="B455" s="3">
        <f t="shared" si="39"/>
        <v>9</v>
      </c>
      <c r="C455" s="3" t="s">
        <v>165</v>
      </c>
      <c r="D455" s="98" t="s">
        <v>529</v>
      </c>
      <c r="E455" s="98">
        <v>6451</v>
      </c>
      <c r="F455" s="3" t="s">
        <v>123</v>
      </c>
      <c r="G455" s="1">
        <v>5866.7433333333192</v>
      </c>
      <c r="M455" s="21">
        <f t="shared" si="40"/>
        <v>3.1029806624295899</v>
      </c>
      <c r="N455" s="21">
        <f t="shared" si="41"/>
        <v>0</v>
      </c>
      <c r="O455" s="21">
        <f t="shared" si="42"/>
        <v>0</v>
      </c>
      <c r="P455" s="21">
        <f t="shared" si="43"/>
        <v>0</v>
      </c>
      <c r="Z455" s="211" t="b">
        <f>IFERROR(INDEX(Outliers!$X$3:$X$61,MATCH('SkYSPark Data_w Will''s Data'!C455,Outliers!$B$3:$B$61,0)),0)</f>
        <v>0</v>
      </c>
      <c r="AA455" s="1" t="b">
        <f>IFERROR(INDEX(Outliers!$AP$3:$AP$61,MATCH('SkYSPark Data_w Will''s Data'!C455,Outliers!$B$3:$B$61,0)),0)</f>
        <v>1</v>
      </c>
      <c r="AB455" s="112" t="b">
        <f>IFERROR(INDEX(Outliers!$AY$3:$AY$61,MATCH('SkYSPark Data_w Will''s Data'!C455,Outliers!$B$3:$B$61,0)),0)</f>
        <v>1</v>
      </c>
      <c r="AC455" s="112" t="s">
        <v>391</v>
      </c>
      <c r="AF455" s="132"/>
      <c r="AG455">
        <v>3.096712962963001</v>
      </c>
    </row>
    <row r="456" spans="1:103" x14ac:dyDescent="0.3">
      <c r="A456" s="2">
        <v>45200</v>
      </c>
      <c r="B456" s="3">
        <f t="shared" si="39"/>
        <v>10</v>
      </c>
      <c r="C456" s="3" t="s">
        <v>165</v>
      </c>
      <c r="D456" s="98" t="s">
        <v>529</v>
      </c>
      <c r="E456" s="98">
        <v>6451</v>
      </c>
      <c r="F456" s="3" t="s">
        <v>123</v>
      </c>
      <c r="G456" s="1">
        <v>5715.5019319909679</v>
      </c>
      <c r="M456" s="21">
        <f t="shared" si="40"/>
        <v>3.022987535568622</v>
      </c>
      <c r="N456" s="21">
        <f t="shared" si="41"/>
        <v>0</v>
      </c>
      <c r="O456" s="21">
        <f t="shared" si="42"/>
        <v>0</v>
      </c>
      <c r="P456" s="21">
        <f t="shared" si="43"/>
        <v>0</v>
      </c>
      <c r="Z456" s="211" t="b">
        <f>IFERROR(INDEX(Outliers!$X$3:$X$61,MATCH('SkYSPark Data_w Will''s Data'!C456,Outliers!$B$3:$B$61,0)),0)</f>
        <v>0</v>
      </c>
      <c r="AA456" s="1" t="b">
        <f>IFERROR(INDEX(Outliers!$AP$3:$AP$61,MATCH('SkYSPark Data_w Will''s Data'!C456,Outliers!$B$3:$B$61,0)),0)</f>
        <v>1</v>
      </c>
      <c r="AB456" s="112" t="b">
        <f>IFERROR(INDEX(Outliers!$AY$3:$AY$61,MATCH('SkYSPark Data_w Will''s Data'!C456,Outliers!$B$3:$B$61,0)),0)</f>
        <v>1</v>
      </c>
      <c r="AC456" s="112" t="s">
        <v>391</v>
      </c>
      <c r="AF456" s="132"/>
      <c r="AG456">
        <v>2.7098757577397481</v>
      </c>
    </row>
    <row r="457" spans="1:103" x14ac:dyDescent="0.3">
      <c r="A457" s="2">
        <v>45231</v>
      </c>
      <c r="B457" s="3">
        <f t="shared" ref="B457:B520" si="44">MONTH(A457)</f>
        <v>11</v>
      </c>
      <c r="C457" s="3" t="s">
        <v>165</v>
      </c>
      <c r="D457" s="98" t="s">
        <v>529</v>
      </c>
      <c r="E457" s="98">
        <v>6451</v>
      </c>
      <c r="F457" s="3" t="s">
        <v>123</v>
      </c>
      <c r="G457" s="1">
        <v>5548.9721110196242</v>
      </c>
      <c r="M457" s="21">
        <f t="shared" si="40"/>
        <v>2.9349082069134949</v>
      </c>
      <c r="N457" s="21">
        <f t="shared" si="41"/>
        <v>0</v>
      </c>
      <c r="O457" s="21">
        <f t="shared" si="42"/>
        <v>0</v>
      </c>
      <c r="P457" s="21">
        <f t="shared" si="43"/>
        <v>0</v>
      </c>
      <c r="Z457" s="211" t="b">
        <f>IFERROR(INDEX(Outliers!$X$3:$X$61,MATCH('SkYSPark Data_w Will''s Data'!C457,Outliers!$B$3:$B$61,0)),0)</f>
        <v>0</v>
      </c>
      <c r="AA457" s="1" t="b">
        <f>IFERROR(INDEX(Outliers!$AP$3:$AP$61,MATCH('SkYSPark Data_w Will''s Data'!C457,Outliers!$B$3:$B$61,0)),0)</f>
        <v>1</v>
      </c>
      <c r="AB457" s="112" t="b">
        <f>IFERROR(INDEX(Outliers!$AY$3:$AY$61,MATCH('SkYSPark Data_w Will''s Data'!C457,Outliers!$B$3:$B$61,0)),0)</f>
        <v>1</v>
      </c>
      <c r="AC457" s="112" t="s">
        <v>391</v>
      </c>
      <c r="AF457" s="132"/>
      <c r="AG457">
        <v>2.6683356683588642</v>
      </c>
    </row>
    <row r="458" spans="1:103" x14ac:dyDescent="0.3">
      <c r="A458" s="2">
        <v>45261</v>
      </c>
      <c r="B458" s="3">
        <f t="shared" si="44"/>
        <v>12</v>
      </c>
      <c r="C458" s="3" t="s">
        <v>165</v>
      </c>
      <c r="D458" s="98" t="s">
        <v>529</v>
      </c>
      <c r="E458" s="98">
        <v>6451</v>
      </c>
      <c r="F458" s="3" t="s">
        <v>123</v>
      </c>
      <c r="G458" s="1">
        <v>5855.5719569893281</v>
      </c>
      <c r="M458" s="21">
        <f t="shared" si="40"/>
        <v>3.0970720070140421</v>
      </c>
      <c r="N458" s="21">
        <f t="shared" si="41"/>
        <v>0</v>
      </c>
      <c r="O458" s="21">
        <f t="shared" si="42"/>
        <v>0</v>
      </c>
      <c r="P458" s="21">
        <f t="shared" si="43"/>
        <v>0</v>
      </c>
      <c r="Z458" s="211" t="b">
        <f>IFERROR(INDEX(Outliers!$X$3:$X$61,MATCH('SkYSPark Data_w Will''s Data'!C458,Outliers!$B$3:$B$61,0)),0)</f>
        <v>0</v>
      </c>
      <c r="AA458" s="1" t="b">
        <f>IFERROR(INDEX(Outliers!$AP$3:$AP$61,MATCH('SkYSPark Data_w Will''s Data'!C458,Outliers!$B$3:$B$61,0)),0)</f>
        <v>1</v>
      </c>
      <c r="AB458" s="112" t="b">
        <f>IFERROR(INDEX(Outliers!$AY$3:$AY$61,MATCH('SkYSPark Data_w Will''s Data'!C458,Outliers!$B$3:$B$61,0)),0)</f>
        <v>1</v>
      </c>
      <c r="AC458" s="112" t="s">
        <v>391</v>
      </c>
      <c r="AF458" s="132"/>
      <c r="AG458">
        <v>2.81890782171351</v>
      </c>
    </row>
    <row r="459" spans="1:103" s="15" customFormat="1" x14ac:dyDescent="0.3">
      <c r="A459" s="38">
        <v>44927</v>
      </c>
      <c r="B459" s="3">
        <f t="shared" si="44"/>
        <v>1</v>
      </c>
      <c r="C459" s="22" t="s">
        <v>166</v>
      </c>
      <c r="D459" s="3" t="str">
        <f>VLOOKUP(C459,'Data availability'!$A$2:$B$91,2,FALSE)</f>
        <v>Moss Landing</v>
      </c>
      <c r="E459" s="22">
        <v>61062</v>
      </c>
      <c r="F459" s="3" t="str">
        <f>VLOOKUP(C459,'Data availability'!$A$2:$H$91,8,FALSE)</f>
        <v xml:space="preserve">Lab </v>
      </c>
      <c r="G459" s="21">
        <v>69646.445161290234</v>
      </c>
      <c r="H459" s="16">
        <v>14562.71635483878</v>
      </c>
      <c r="I459" s="16">
        <v>4720.193548387073</v>
      </c>
      <c r="J459" s="21"/>
      <c r="K459" s="21"/>
      <c r="L459" s="20"/>
      <c r="M459" s="21">
        <f t="shared" si="40"/>
        <v>3.8916784725413889</v>
      </c>
      <c r="N459" s="21">
        <f t="shared" si="41"/>
        <v>7.7301653211278261</v>
      </c>
      <c r="O459" s="21">
        <f t="shared" si="42"/>
        <v>0</v>
      </c>
      <c r="P459" s="21">
        <f t="shared" si="43"/>
        <v>0</v>
      </c>
      <c r="Q459" s="21">
        <f>(SUM(G459:G470)*3.412)/E459</f>
        <v>46.693848046564995</v>
      </c>
      <c r="R459" s="21">
        <f>(SUM(I459:I470)*100)/E459</f>
        <v>64.006588755374196</v>
      </c>
      <c r="S459" s="21">
        <f>(SUM(J459:J470)*100)/E459</f>
        <v>0</v>
      </c>
      <c r="T459" s="21">
        <f>(SUM(K459:K470)*12)/E459</f>
        <v>0</v>
      </c>
      <c r="U459" s="21"/>
      <c r="V459" s="34">
        <f>SUM(Q459:T459)</f>
        <v>110.70043680193919</v>
      </c>
      <c r="W459" s="19" t="s">
        <v>201</v>
      </c>
      <c r="X459" s="20" t="s">
        <v>204</v>
      </c>
      <c r="Y459" s="128" t="s">
        <v>709</v>
      </c>
      <c r="Z459" s="211" t="b">
        <f>IFERROR(INDEX(Outliers!$X$3:$X$61,MATCH('SkYSPark Data_w Will''s Data'!C459,Outliers!$B$3:$B$61,0)),0)</f>
        <v>0</v>
      </c>
      <c r="AA459" s="1" t="b">
        <f>IFERROR(INDEX(Outliers!$AP$3:$AP$61,MATCH('SkYSPark Data_w Will''s Data'!C459,Outliers!$B$3:$B$61,0)),0)</f>
        <v>1</v>
      </c>
      <c r="AB459" s="112" t="b">
        <f>IFERROR(INDEX(Outliers!$AY$3:$AY$61,MATCH('SkYSPark Data_w Will''s Data'!C459,Outliers!$B$3:$B$61,0)),0)</f>
        <v>1</v>
      </c>
      <c r="AC459" s="112"/>
      <c r="AD459" s="138"/>
      <c r="AE459" s="138"/>
      <c r="AF459" s="138"/>
      <c r="AG459" s="15">
        <v>16.193407648283191</v>
      </c>
      <c r="AH459" s="15">
        <v>14.190769164065159</v>
      </c>
      <c r="CJ459" s="15">
        <v>6.3858875303502058</v>
      </c>
      <c r="CK459" s="15">
        <v>26050.670023656199</v>
      </c>
      <c r="CL459" s="15">
        <v>4.3336021505376347E-2</v>
      </c>
      <c r="CM459" s="15">
        <v>85.382376344087191</v>
      </c>
      <c r="CN459" s="15">
        <v>3.7185243380738222</v>
      </c>
      <c r="CO459" s="15">
        <v>14477.333978494689</v>
      </c>
      <c r="CP459" s="15">
        <v>1.131612975488508</v>
      </c>
      <c r="CQ459" s="15">
        <v>340.96774193547878</v>
      </c>
      <c r="CR459" s="15">
        <v>0.412464793617764</v>
      </c>
      <c r="CS459" s="15">
        <v>1087.185118279579</v>
      </c>
      <c r="CT459" s="15">
        <v>0.13324350358422801</v>
      </c>
      <c r="CU459" s="15">
        <v>37.616666666665942</v>
      </c>
      <c r="CV459" s="15">
        <v>70026.869970321655</v>
      </c>
      <c r="CY459" s="15">
        <v>48.835000108811073</v>
      </c>
    </row>
    <row r="460" spans="1:103" x14ac:dyDescent="0.3">
      <c r="A460" s="2">
        <v>44958</v>
      </c>
      <c r="B460" s="3">
        <f t="shared" si="44"/>
        <v>2</v>
      </c>
      <c r="C460" s="3" t="s">
        <v>166</v>
      </c>
      <c r="D460" s="3" t="str">
        <f>VLOOKUP(C460,'Data availability'!$A$2:$B$91,2,FALSE)</f>
        <v>Moss Landing</v>
      </c>
      <c r="E460" s="22">
        <v>61062</v>
      </c>
      <c r="F460" s="3" t="str">
        <f>VLOOKUP(C460,'Data availability'!$A$2:$H$91,8,FALSE)</f>
        <v xml:space="preserve">Lab </v>
      </c>
      <c r="G460" s="1">
        <v>66994.000000001019</v>
      </c>
      <c r="H460" s="9">
        <v>13477.803845161498</v>
      </c>
      <c r="I460" s="9">
        <v>4739.2763440860681</v>
      </c>
      <c r="M460" s="21">
        <f t="shared" si="40"/>
        <v>3.7434661164063328</v>
      </c>
      <c r="N460" s="21">
        <f t="shared" si="41"/>
        <v>7.7614168289379126</v>
      </c>
      <c r="O460" s="21">
        <f t="shared" si="42"/>
        <v>0</v>
      </c>
      <c r="P460" s="21">
        <f t="shared" si="43"/>
        <v>0</v>
      </c>
      <c r="W460" s="10" t="s">
        <v>67</v>
      </c>
      <c r="X460" s="23" t="s">
        <v>202</v>
      </c>
      <c r="Z460" s="211" t="b">
        <f>IFERROR(INDEX(Outliers!$X$3:$X$61,MATCH('SkYSPark Data_w Will''s Data'!C460,Outliers!$B$3:$B$61,0)),0)</f>
        <v>0</v>
      </c>
      <c r="AA460" s="1" t="b">
        <f>IFERROR(INDEX(Outliers!$AP$3:$AP$61,MATCH('SkYSPark Data_w Will''s Data'!C460,Outliers!$B$3:$B$61,0)),0)</f>
        <v>1</v>
      </c>
      <c r="AB460" s="112" t="b">
        <f>IFERROR(INDEX(Outliers!$AY$3:$AY$61,MATCH('SkYSPark Data_w Will''s Data'!C460,Outliers!$B$3:$B$61,0)),0)</f>
        <v>1</v>
      </c>
      <c r="AG460">
        <v>16.652057539682371</v>
      </c>
      <c r="AH460">
        <v>15.287395737327049</v>
      </c>
      <c r="CJ460">
        <v>5.8837584485407923</v>
      </c>
      <c r="CK460">
        <v>23967.304309677289</v>
      </c>
      <c r="CL460">
        <v>-1.6666666666666639E-2</v>
      </c>
      <c r="CM460">
        <v>40.304490322580357</v>
      </c>
      <c r="CN460">
        <v>3.7819155145929408</v>
      </c>
      <c r="CO460">
        <v>13437.499354838919</v>
      </c>
      <c r="CP460">
        <v>1.2145440668202929</v>
      </c>
      <c r="CQ460">
        <v>336.93225806451198</v>
      </c>
      <c r="CR460">
        <v>0.45955683563747529</v>
      </c>
      <c r="CS460">
        <v>1114.705548387095</v>
      </c>
      <c r="CT460">
        <v>0.21698263888888769</v>
      </c>
      <c r="CU460">
        <v>59.033333333333921</v>
      </c>
      <c r="CV460">
        <v>67420.959966659546</v>
      </c>
      <c r="CY460">
        <v>18.36500020173844</v>
      </c>
    </row>
    <row r="461" spans="1:103" x14ac:dyDescent="0.3">
      <c r="A461" s="2">
        <v>44986</v>
      </c>
      <c r="B461" s="3">
        <f t="shared" si="44"/>
        <v>3</v>
      </c>
      <c r="C461" s="3" t="s">
        <v>166</v>
      </c>
      <c r="D461" s="3" t="str">
        <f>VLOOKUP(C461,'Data availability'!$A$2:$B$91,2,FALSE)</f>
        <v>Moss Landing</v>
      </c>
      <c r="E461" s="22">
        <v>61062</v>
      </c>
      <c r="F461" s="3" t="str">
        <f>VLOOKUP(C461,'Data availability'!$A$2:$H$91,8,FALSE)</f>
        <v xml:space="preserve">Lab </v>
      </c>
      <c r="G461" s="1">
        <v>73143.622611036044</v>
      </c>
      <c r="H461" s="9">
        <v>14108.208089208676</v>
      </c>
      <c r="I461" s="9">
        <v>4919.2248610649885</v>
      </c>
      <c r="M461" s="21">
        <f t="shared" si="40"/>
        <v>4.0870924691109849</v>
      </c>
      <c r="N461" s="21">
        <f t="shared" si="41"/>
        <v>8.0561148686007478</v>
      </c>
      <c r="O461" s="21">
        <f t="shared" si="42"/>
        <v>0</v>
      </c>
      <c r="P461" s="21">
        <f t="shared" si="43"/>
        <v>0</v>
      </c>
      <c r="W461" s="10" t="s">
        <v>69</v>
      </c>
      <c r="Z461" s="211" t="b">
        <f>IFERROR(INDEX(Outliers!$X$3:$X$61,MATCH('SkYSPark Data_w Will''s Data'!C461,Outliers!$B$3:$B$61,0)),0)</f>
        <v>0</v>
      </c>
      <c r="AA461" s="1" t="b">
        <f>IFERROR(INDEX(Outliers!$AP$3:$AP$61,MATCH('SkYSPark Data_w Will''s Data'!C461,Outliers!$B$3:$B$61,0)),0)</f>
        <v>1</v>
      </c>
      <c r="AB461" s="112" t="b">
        <f>IFERROR(INDEX(Outliers!$AY$3:$AY$61,MATCH('SkYSPark Data_w Will''s Data'!C461,Outliers!$B$3:$B$61,0)),0)</f>
        <v>1</v>
      </c>
      <c r="AG461">
        <v>16.50013603261085</v>
      </c>
      <c r="AH461">
        <v>11.840985175096559</v>
      </c>
      <c r="CJ461">
        <v>6.7312607066432744</v>
      </c>
      <c r="CK461">
        <v>28103.597218704639</v>
      </c>
      <c r="CL461">
        <v>8.6026704881048757E-3</v>
      </c>
      <c r="CM461">
        <v>15.67053525179808</v>
      </c>
      <c r="CN461">
        <v>3.7520285445936472</v>
      </c>
      <c r="CO461">
        <v>14092.537553956879</v>
      </c>
      <c r="CP461">
        <v>0.78289475875557979</v>
      </c>
      <c r="CQ461">
        <v>293.76187050360028</v>
      </c>
      <c r="CR461">
        <v>0.48194260096633262</v>
      </c>
      <c r="CS461">
        <v>1272.398733812933</v>
      </c>
      <c r="CT461">
        <v>0.14218662836088511</v>
      </c>
      <c r="CU461">
        <v>49.971467025570867</v>
      </c>
      <c r="CV461">
        <v>72577.080005645752</v>
      </c>
      <c r="CY461">
        <v>29.231000410858542</v>
      </c>
    </row>
    <row r="462" spans="1:103" x14ac:dyDescent="0.3">
      <c r="A462" s="2">
        <v>45017</v>
      </c>
      <c r="B462" s="3">
        <f t="shared" si="44"/>
        <v>4</v>
      </c>
      <c r="C462" s="3" t="s">
        <v>166</v>
      </c>
      <c r="D462" s="3" t="str">
        <f>VLOOKUP(C462,'Data availability'!$A$2:$B$91,2,FALSE)</f>
        <v>Moss Landing</v>
      </c>
      <c r="E462" s="22">
        <v>61062</v>
      </c>
      <c r="F462" s="3" t="str">
        <f>VLOOKUP(C462,'Data availability'!$A$2:$H$91,8,FALSE)</f>
        <v xml:space="preserve">Lab </v>
      </c>
      <c r="G462" s="1">
        <v>69803.577388964084</v>
      </c>
      <c r="H462" s="9">
        <v>12865.0100857916</v>
      </c>
      <c r="I462" s="9">
        <v>4257.1147222683867</v>
      </c>
      <c r="M462" s="21">
        <f t="shared" si="40"/>
        <v>3.900458649424281</v>
      </c>
      <c r="N462" s="21">
        <f t="shared" si="41"/>
        <v>6.9717905117231451</v>
      </c>
      <c r="O462" s="21">
        <f t="shared" si="42"/>
        <v>0</v>
      </c>
      <c r="P462" s="21">
        <f t="shared" si="43"/>
        <v>0</v>
      </c>
      <c r="W462" s="10" t="s">
        <v>203</v>
      </c>
      <c r="Z462" s="211" t="b">
        <f>IFERROR(INDEX(Outliers!$X$3:$X$61,MATCH('SkYSPark Data_w Will''s Data'!C462,Outliers!$B$3:$B$61,0)),0)</f>
        <v>0</v>
      </c>
      <c r="AA462" s="1" t="b">
        <f>IFERROR(INDEX(Outliers!$AP$3:$AP$61,MATCH('SkYSPark Data_w Will''s Data'!C462,Outliers!$B$3:$B$61,0)),0)</f>
        <v>1</v>
      </c>
      <c r="AB462" s="112" t="b">
        <f>IFERROR(INDEX(Outliers!$AY$3:$AY$61,MATCH('SkYSPark Data_w Will''s Data'!C462,Outliers!$B$3:$B$61,0)),0)</f>
        <v>1</v>
      </c>
      <c r="AG462">
        <v>16.328870733014291</v>
      </c>
      <c r="AH462">
        <v>7.0650738054209068</v>
      </c>
      <c r="CJ462">
        <v>6.1188191596722277</v>
      </c>
      <c r="CK462">
        <v>27020.774181295292</v>
      </c>
      <c r="CL462">
        <v>1.7690230315747239E-2</v>
      </c>
      <c r="CM462">
        <v>12.04013974820151</v>
      </c>
      <c r="CN462">
        <v>3.4439748838429209</v>
      </c>
      <c r="CO462">
        <v>12852.9699460434</v>
      </c>
      <c r="CP462">
        <v>0.37907466214528662</v>
      </c>
      <c r="CQ462">
        <v>198.80687949640441</v>
      </c>
      <c r="CR462">
        <v>0.44576635066946502</v>
      </c>
      <c r="CS462">
        <v>1123.6642661870289</v>
      </c>
      <c r="CT462">
        <v>5.7342132122027017E-2</v>
      </c>
      <c r="CU462">
        <v>23.528532974428181</v>
      </c>
      <c r="CV462">
        <v>70166.199995040894</v>
      </c>
      <c r="CY462">
        <v>10.10300008615013</v>
      </c>
    </row>
    <row r="463" spans="1:103" x14ac:dyDescent="0.3">
      <c r="A463" s="2">
        <v>45047</v>
      </c>
      <c r="B463" s="3">
        <f t="shared" si="44"/>
        <v>5</v>
      </c>
      <c r="C463" s="3" t="s">
        <v>166</v>
      </c>
      <c r="D463" s="3" t="str">
        <f>VLOOKUP(C463,'Data availability'!$A$2:$B$91,2,FALSE)</f>
        <v>Moss Landing</v>
      </c>
      <c r="E463" s="22">
        <v>61062</v>
      </c>
      <c r="F463" s="3" t="str">
        <f>VLOOKUP(C463,'Data availability'!$A$2:$H$91,8,FALSE)</f>
        <v xml:space="preserve">Lab </v>
      </c>
      <c r="G463" s="1">
        <v>69574.580645162292</v>
      </c>
      <c r="H463" s="9">
        <v>12786.115958333348</v>
      </c>
      <c r="I463" s="9">
        <v>3241.2421370967804</v>
      </c>
      <c r="M463" s="21">
        <f t="shared" si="40"/>
        <v>3.887662853514358</v>
      </c>
      <c r="N463" s="21">
        <f t="shared" si="41"/>
        <v>5.3081165652890183</v>
      </c>
      <c r="O463" s="21">
        <f t="shared" si="42"/>
        <v>0</v>
      </c>
      <c r="P463" s="21">
        <f t="shared" si="43"/>
        <v>0</v>
      </c>
      <c r="W463" s="10" t="s">
        <v>71</v>
      </c>
      <c r="Z463" s="211" t="b">
        <f>IFERROR(INDEX(Outliers!$X$3:$X$61,MATCH('SkYSPark Data_w Will''s Data'!C463,Outliers!$B$3:$B$61,0)),0)</f>
        <v>0</v>
      </c>
      <c r="AA463" s="1" t="b">
        <f>IFERROR(INDEX(Outliers!$AP$3:$AP$61,MATCH('SkYSPark Data_w Will''s Data'!C463,Outliers!$B$3:$B$61,0)),0)</f>
        <v>1</v>
      </c>
      <c r="AB463" s="112" t="b">
        <f>IFERROR(INDEX(Outliers!$AY$3:$AY$61,MATCH('SkYSPark Data_w Will''s Data'!C463,Outliers!$B$3:$B$61,0)),0)</f>
        <v>1</v>
      </c>
      <c r="AG463">
        <v>16.478765839981449</v>
      </c>
      <c r="AH463">
        <v>4.8395119287635247</v>
      </c>
      <c r="CJ463">
        <v>6.7662802419354069</v>
      </c>
      <c r="CK463">
        <v>28123.53749999962</v>
      </c>
      <c r="CL463">
        <v>1.7141017025089321E-2</v>
      </c>
      <c r="CM463">
        <v>10.70012500000005</v>
      </c>
      <c r="CN463">
        <v>3.5060553875447811</v>
      </c>
      <c r="CO463">
        <v>12775.415833333351</v>
      </c>
      <c r="CP463">
        <v>0.20763902889784849</v>
      </c>
      <c r="CQ463">
        <v>121.13125000000041</v>
      </c>
      <c r="CR463">
        <v>0.45999131944444688</v>
      </c>
      <c r="CS463">
        <v>1186.598333333355</v>
      </c>
      <c r="CT463">
        <v>2.8142025089606289E-2</v>
      </c>
      <c r="CU463">
        <v>10.96666666666666</v>
      </c>
      <c r="CV463">
        <v>71262.540004730225</v>
      </c>
      <c r="CY463">
        <v>11.92000011284836</v>
      </c>
    </row>
    <row r="464" spans="1:103" x14ac:dyDescent="0.3">
      <c r="A464" s="2">
        <v>45078</v>
      </c>
      <c r="B464" s="3">
        <f t="shared" si="44"/>
        <v>6</v>
      </c>
      <c r="C464" s="3" t="s">
        <v>166</v>
      </c>
      <c r="D464" s="3" t="str">
        <f>VLOOKUP(C464,'Data availability'!$A$2:$B$91,2,FALSE)</f>
        <v>Moss Landing</v>
      </c>
      <c r="E464" s="22">
        <v>61062</v>
      </c>
      <c r="F464" s="3" t="str">
        <f>VLOOKUP(C464,'Data availability'!$A$2:$H$91,8,FALSE)</f>
        <v xml:space="preserve">Lab </v>
      </c>
      <c r="G464" s="1">
        <v>67851.919354838639</v>
      </c>
      <c r="H464" s="9">
        <v>12016.582505376144</v>
      </c>
      <c r="I464" s="9">
        <v>2128.1096774193129</v>
      </c>
      <c r="M464" s="21">
        <f t="shared" si="40"/>
        <v>3.7914046188907902</v>
      </c>
      <c r="N464" s="21">
        <f t="shared" si="41"/>
        <v>3.4851620933138663</v>
      </c>
      <c r="O464" s="21">
        <f t="shared" si="42"/>
        <v>0</v>
      </c>
      <c r="P464" s="21">
        <f t="shared" si="43"/>
        <v>0</v>
      </c>
      <c r="Z464" s="211" t="b">
        <f>IFERROR(INDEX(Outliers!$X$3:$X$61,MATCH('SkYSPark Data_w Will''s Data'!C464,Outliers!$B$3:$B$61,0)),0)</f>
        <v>0</v>
      </c>
      <c r="AA464" s="1" t="b">
        <f>IFERROR(INDEX(Outliers!$AP$3:$AP$61,MATCH('SkYSPark Data_w Will''s Data'!C464,Outliers!$B$3:$B$61,0)),0)</f>
        <v>1</v>
      </c>
      <c r="AB464" s="112" t="b">
        <f>IFERROR(INDEX(Outliers!$AY$3:$AY$61,MATCH('SkYSPark Data_w Will''s Data'!C464,Outliers!$B$3:$B$61,0)),0)</f>
        <v>1</v>
      </c>
      <c r="AG464">
        <v>18.732973678315471</v>
      </c>
      <c r="AH464">
        <v>3.4389919354838439</v>
      </c>
      <c r="CJ464">
        <v>7.7392615740739643</v>
      </c>
      <c r="CK464">
        <v>26212.36933333363</v>
      </c>
      <c r="CL464">
        <v>1.8733796296296071E-2</v>
      </c>
      <c r="CM464">
        <v>13.49099999999993</v>
      </c>
      <c r="CN464">
        <v>3.896618802270023</v>
      </c>
      <c r="CO464">
        <v>12003.09150537614</v>
      </c>
      <c r="CP464">
        <v>0.121482526881721</v>
      </c>
      <c r="CQ464">
        <v>61.980645161289083</v>
      </c>
      <c r="CR464">
        <v>0.5469675925925882</v>
      </c>
      <c r="CS464">
        <v>1284.933333333322</v>
      </c>
      <c r="CT464">
        <v>1.9879629629629272E-2</v>
      </c>
      <c r="CU464">
        <v>5.4666666666667556</v>
      </c>
      <c r="CV464">
        <v>68657.720010757446</v>
      </c>
      <c r="CY464">
        <v>13.15800007677171</v>
      </c>
    </row>
    <row r="465" spans="1:145" x14ac:dyDescent="0.3">
      <c r="A465" s="2">
        <v>45108</v>
      </c>
      <c r="B465" s="3">
        <f t="shared" si="44"/>
        <v>7</v>
      </c>
      <c r="C465" s="3" t="s">
        <v>166</v>
      </c>
      <c r="D465" s="3" t="str">
        <f>VLOOKUP(C465,'Data availability'!$A$2:$B$91,2,FALSE)</f>
        <v>Moss Landing</v>
      </c>
      <c r="E465" s="22">
        <v>61062</v>
      </c>
      <c r="F465" s="3" t="str">
        <f>VLOOKUP(C465,'Data availability'!$A$2:$H$91,8,FALSE)</f>
        <v xml:space="preserve">Lab </v>
      </c>
      <c r="G465" s="1">
        <v>69741.465517240547</v>
      </c>
      <c r="H465" s="9">
        <v>12515.780689516016</v>
      </c>
      <c r="I465" s="9">
        <v>1871.4115684093354</v>
      </c>
      <c r="M465" s="21">
        <f t="shared" si="40"/>
        <v>3.8969879850778675</v>
      </c>
      <c r="N465" s="21">
        <f t="shared" si="41"/>
        <v>3.0647728020853156</v>
      </c>
      <c r="O465" s="21">
        <f t="shared" si="42"/>
        <v>0</v>
      </c>
      <c r="P465" s="21">
        <f t="shared" si="43"/>
        <v>0</v>
      </c>
      <c r="Z465" s="211" t="b">
        <f>IFERROR(INDEX(Outliers!$X$3:$X$61,MATCH('SkYSPark Data_w Will''s Data'!C465,Outliers!$B$3:$B$61,0)),0)</f>
        <v>0</v>
      </c>
      <c r="AA465" s="1" t="b">
        <f>IFERROR(INDEX(Outliers!$AP$3:$AP$61,MATCH('SkYSPark Data_w Will''s Data'!C465,Outliers!$B$3:$B$61,0)),0)</f>
        <v>1</v>
      </c>
      <c r="AB465" s="112" t="b">
        <f>IFERROR(INDEX(Outliers!$AY$3:$AY$61,MATCH('SkYSPark Data_w Will''s Data'!C465,Outliers!$B$3:$B$61,0)),0)</f>
        <v>1</v>
      </c>
      <c r="AG465">
        <v>20.497548781053428</v>
      </c>
      <c r="AH465">
        <v>3.0776985778702448</v>
      </c>
      <c r="CJ465">
        <v>7.152624047939149</v>
      </c>
      <c r="CK465">
        <v>25623.66938541644</v>
      </c>
      <c r="CL465">
        <v>1.6619623655913931E-2</v>
      </c>
      <c r="CM465">
        <v>8.6626250000001335</v>
      </c>
      <c r="CN465">
        <v>4.233777748872658</v>
      </c>
      <c r="CO465">
        <v>12507.118064516009</v>
      </c>
      <c r="CP465">
        <v>0.10995433994761129</v>
      </c>
      <c r="CQ465">
        <v>53.798665183536663</v>
      </c>
      <c r="CR465">
        <v>0.514559531810037</v>
      </c>
      <c r="CS465">
        <v>1187.3608333333241</v>
      </c>
      <c r="CT465">
        <v>1.7261308861698431E-2</v>
      </c>
      <c r="CU465">
        <v>3.7356321839080828</v>
      </c>
      <c r="CV465">
        <v>69408.670066833496</v>
      </c>
      <c r="CY465">
        <v>8.2430000358726829</v>
      </c>
    </row>
    <row r="466" spans="1:145" x14ac:dyDescent="0.3">
      <c r="A466" s="2">
        <v>45139</v>
      </c>
      <c r="B466" s="3">
        <f t="shared" si="44"/>
        <v>8</v>
      </c>
      <c r="C466" s="3" t="s">
        <v>166</v>
      </c>
      <c r="D466" s="3" t="str">
        <f>VLOOKUP(C466,'Data availability'!$A$2:$B$91,2,FALSE)</f>
        <v>Moss Landing</v>
      </c>
      <c r="E466" s="22">
        <v>61062</v>
      </c>
      <c r="F466" s="3" t="str">
        <f>VLOOKUP(C466,'Data availability'!$A$2:$H$91,8,FALSE)</f>
        <v xml:space="preserve">Lab </v>
      </c>
      <c r="G466" s="1">
        <v>70459.834482757738</v>
      </c>
      <c r="H466" s="9">
        <v>12295.61113844076</v>
      </c>
      <c r="I466" s="9">
        <v>1693.7803670745504</v>
      </c>
      <c r="M466" s="21">
        <f t="shared" si="40"/>
        <v>3.9371287421828534</v>
      </c>
      <c r="N466" s="21">
        <f t="shared" si="41"/>
        <v>2.7738697832932924</v>
      </c>
      <c r="O466" s="21">
        <f t="shared" si="42"/>
        <v>0</v>
      </c>
      <c r="P466" s="21">
        <f t="shared" si="43"/>
        <v>0</v>
      </c>
      <c r="Z466" s="211" t="b">
        <f>IFERROR(INDEX(Outliers!$X$3:$X$61,MATCH('SkYSPark Data_w Will''s Data'!C466,Outliers!$B$3:$B$61,0)),0)</f>
        <v>0</v>
      </c>
      <c r="AA466" s="1" t="b">
        <f>IFERROR(INDEX(Outliers!$AP$3:$AP$61,MATCH('SkYSPark Data_w Will''s Data'!C466,Outliers!$B$3:$B$61,0)),0)</f>
        <v>1</v>
      </c>
      <c r="AB466" s="112" t="b">
        <f>IFERROR(INDEX(Outliers!$AY$3:$AY$61,MATCH('SkYSPark Data_w Will''s Data'!C466,Outliers!$B$3:$B$61,0)),0)</f>
        <v>1</v>
      </c>
      <c r="AG466">
        <v>20.976894095290909</v>
      </c>
      <c r="AH466">
        <v>2.9682581512313599</v>
      </c>
      <c r="CJ466">
        <v>8.1725126008063889</v>
      </c>
      <c r="CK466">
        <v>26894.83511458286</v>
      </c>
      <c r="CL466">
        <v>2.5425627240143519E-2</v>
      </c>
      <c r="CM466">
        <v>29.38737500000008</v>
      </c>
      <c r="CN466">
        <v>4.2156973349520781</v>
      </c>
      <c r="CO466">
        <v>12266.223763440759</v>
      </c>
      <c r="CP466">
        <v>6.4337603123840056E-2</v>
      </c>
      <c r="CQ466">
        <v>24.870689655172651</v>
      </c>
      <c r="CR466">
        <v>0.56323168682794944</v>
      </c>
      <c r="CS466">
        <v>1290.245833333317</v>
      </c>
      <c r="CT466">
        <v>1.668940798418013E-2</v>
      </c>
      <c r="CU466">
        <v>3.13103448275867</v>
      </c>
      <c r="CV466">
        <v>70122.900014877319</v>
      </c>
      <c r="CY466">
        <v>34.942000239621848</v>
      </c>
    </row>
    <row r="467" spans="1:145" x14ac:dyDescent="0.3">
      <c r="A467" s="2">
        <v>45170</v>
      </c>
      <c r="B467" s="3">
        <f t="shared" si="44"/>
        <v>9</v>
      </c>
      <c r="C467" s="3" t="s">
        <v>166</v>
      </c>
      <c r="D467" s="3" t="str">
        <f>VLOOKUP(C467,'Data availability'!$A$2:$B$91,2,FALSE)</f>
        <v>Moss Landing</v>
      </c>
      <c r="E467" s="22">
        <v>61062</v>
      </c>
      <c r="F467" s="3" t="str">
        <f>VLOOKUP(C467,'Data availability'!$A$2:$H$91,8,FALSE)</f>
        <v xml:space="preserve">Lab </v>
      </c>
      <c r="G467" s="1">
        <v>69127.762500000463</v>
      </c>
      <c r="H467" s="9">
        <v>11529.364499999905</v>
      </c>
      <c r="I467" s="9">
        <v>1199.9346153846191</v>
      </c>
      <c r="M467" s="21">
        <f t="shared" si="40"/>
        <v>3.8626957133733182</v>
      </c>
      <c r="N467" s="21">
        <f t="shared" si="41"/>
        <v>1.9651086033615328</v>
      </c>
      <c r="O467" s="21">
        <f t="shared" si="42"/>
        <v>0</v>
      </c>
      <c r="P467" s="21">
        <f t="shared" si="43"/>
        <v>0</v>
      </c>
      <c r="Z467" s="211" t="b">
        <f>IFERROR(INDEX(Outliers!$X$3:$X$61,MATCH('SkYSPark Data_w Will''s Data'!C467,Outliers!$B$3:$B$61,0)),0)</f>
        <v>0</v>
      </c>
      <c r="AA467" s="1" t="b">
        <f>IFERROR(INDEX(Outliers!$AP$3:$AP$61,MATCH('SkYSPark Data_w Will''s Data'!C467,Outliers!$B$3:$B$61,0)),0)</f>
        <v>1</v>
      </c>
      <c r="AB467" s="112" t="b">
        <f>IFERROR(INDEX(Outliers!$AY$3:$AY$61,MATCH('SkYSPark Data_w Will''s Data'!C467,Outliers!$B$3:$B$61,0)),0)</f>
        <v>1</v>
      </c>
      <c r="AG467">
        <v>20.59791336805544</v>
      </c>
      <c r="AH467">
        <v>2.41834444444443</v>
      </c>
      <c r="CJ467">
        <v>7.948974537037083</v>
      </c>
      <c r="CK467">
        <v>25743.52783333369</v>
      </c>
      <c r="CL467">
        <v>-2.1155092592592389E-2</v>
      </c>
      <c r="CM467">
        <v>23.207833333333362</v>
      </c>
      <c r="CN467">
        <v>4.0696805555556166</v>
      </c>
      <c r="CO467">
        <v>11506.156666666569</v>
      </c>
      <c r="CP467">
        <v>6.7493790064101861E-2</v>
      </c>
      <c r="CQ467">
        <v>23.134615384615579</v>
      </c>
      <c r="CR467">
        <v>0.56676157407408367</v>
      </c>
      <c r="CS467">
        <v>1242.493333333354</v>
      </c>
      <c r="CT467">
        <v>1.8428877314814761E-2</v>
      </c>
      <c r="CU467">
        <v>3.55000000000003</v>
      </c>
      <c r="CV467">
        <v>69547.870014190674</v>
      </c>
      <c r="CY467">
        <v>18.68000003462657</v>
      </c>
    </row>
    <row r="468" spans="1:145" x14ac:dyDescent="0.3">
      <c r="A468" s="2">
        <v>45200</v>
      </c>
      <c r="B468" s="3">
        <f t="shared" si="44"/>
        <v>10</v>
      </c>
      <c r="C468" s="3" t="s">
        <v>166</v>
      </c>
      <c r="D468" s="3" t="str">
        <f>VLOOKUP(C468,'Data availability'!$A$2:$B$91,2,FALSE)</f>
        <v>Moss Landing</v>
      </c>
      <c r="E468" s="22">
        <v>61062</v>
      </c>
      <c r="F468" s="3" t="str">
        <f>VLOOKUP(C468,'Data availability'!$A$2:$H$91,8,FALSE)</f>
        <v xml:space="preserve">Lab </v>
      </c>
      <c r="G468" s="1">
        <v>71846.355720946085</v>
      </c>
      <c r="H468" s="9">
        <v>11818.204943400358</v>
      </c>
      <c r="I468" s="9">
        <v>2005.4735193064496</v>
      </c>
      <c r="M468" s="21">
        <f t="shared" si="40"/>
        <v>4.0146042664810855</v>
      </c>
      <c r="N468" s="21">
        <f t="shared" si="41"/>
        <v>3.2843233423511342</v>
      </c>
      <c r="O468" s="21">
        <f t="shared" si="42"/>
        <v>0</v>
      </c>
      <c r="P468" s="21">
        <f t="shared" si="43"/>
        <v>0</v>
      </c>
      <c r="Z468" s="211" t="b">
        <f>IFERROR(INDEX(Outliers!$X$3:$X$61,MATCH('SkYSPark Data_w Will''s Data'!C468,Outliers!$B$3:$B$61,0)),0)</f>
        <v>0</v>
      </c>
      <c r="AA468" s="1" t="b">
        <f>IFERROR(INDEX(Outliers!$AP$3:$AP$61,MATCH('SkYSPark Data_w Will''s Data'!C468,Outliers!$B$3:$B$61,0)),0)</f>
        <v>1</v>
      </c>
      <c r="AB468" s="112" t="b">
        <f>IFERROR(INDEX(Outliers!$AY$3:$AY$61,MATCH('SkYSPark Data_w Will''s Data'!C468,Outliers!$B$3:$B$61,0)),0)</f>
        <v>1</v>
      </c>
      <c r="AG468">
        <v>19.06661254526874</v>
      </c>
      <c r="AH468">
        <v>4.4785626759038113</v>
      </c>
      <c r="CJ468">
        <v>6.9154040076013912</v>
      </c>
      <c r="CK468">
        <v>27226.452425950451</v>
      </c>
      <c r="CL468">
        <v>1.257568376993581E-2</v>
      </c>
      <c r="CM468">
        <v>19.168558612975271</v>
      </c>
      <c r="CN468">
        <v>3.5638592167616752</v>
      </c>
      <c r="CO468">
        <v>11799.03638478738</v>
      </c>
      <c r="CP468">
        <v>3.5838502894953883E-2</v>
      </c>
      <c r="CQ468">
        <v>6.580901856763961</v>
      </c>
      <c r="CR468">
        <v>0.5376538241803237</v>
      </c>
      <c r="CS468">
        <v>1233.6492796420671</v>
      </c>
      <c r="CT468">
        <v>2.1880171693972779E-2</v>
      </c>
      <c r="CU468">
        <v>4.8654949784791883</v>
      </c>
      <c r="CV468">
        <v>71916.520002365112</v>
      </c>
      <c r="CY468">
        <v>18.644000050728209</v>
      </c>
    </row>
    <row r="469" spans="1:145" x14ac:dyDescent="0.3">
      <c r="A469" s="2">
        <v>45231</v>
      </c>
      <c r="B469" s="3">
        <f t="shared" si="44"/>
        <v>11</v>
      </c>
      <c r="C469" s="3" t="s">
        <v>166</v>
      </c>
      <c r="D469" s="3" t="str">
        <f>VLOOKUP(C469,'Data availability'!$A$2:$B$91,2,FALSE)</f>
        <v>Moss Landing</v>
      </c>
      <c r="E469" s="22">
        <v>61062</v>
      </c>
      <c r="F469" s="3" t="str">
        <f>VLOOKUP(C469,'Data availability'!$A$2:$H$91,8,FALSE)</f>
        <v xml:space="preserve">Lab </v>
      </c>
      <c r="G469" s="1">
        <v>70198.436617761676</v>
      </c>
      <c r="H469" s="9">
        <v>11917.737277029702</v>
      </c>
      <c r="I469" s="9">
        <v>3940.012833050871</v>
      </c>
      <c r="M469" s="21">
        <f t="shared" si="40"/>
        <v>3.9225224483279755</v>
      </c>
      <c r="N469" s="21">
        <f t="shared" si="41"/>
        <v>6.4524791737101168</v>
      </c>
      <c r="O469" s="21">
        <f t="shared" si="42"/>
        <v>0</v>
      </c>
      <c r="P469" s="21">
        <f t="shared" si="43"/>
        <v>0</v>
      </c>
      <c r="Z469" s="211" t="b">
        <f>IFERROR(INDEX(Outliers!$X$3:$X$61,MATCH('SkYSPark Data_w Will''s Data'!C469,Outliers!$B$3:$B$61,0)),0)</f>
        <v>0</v>
      </c>
      <c r="AA469" s="1" t="b">
        <f>IFERROR(INDEX(Outliers!$AP$3:$AP$61,MATCH('SkYSPark Data_w Will''s Data'!C469,Outliers!$B$3:$B$61,0)),0)</f>
        <v>1</v>
      </c>
      <c r="AB469" s="112" t="b">
        <f>IFERROR(INDEX(Outliers!$AY$3:$AY$61,MATCH('SkYSPark Data_w Will''s Data'!C469,Outliers!$B$3:$B$61,0)),0)</f>
        <v>1</v>
      </c>
      <c r="AG469">
        <v>18.303149249739299</v>
      </c>
      <c r="AH469">
        <v>9.7666939485012385</v>
      </c>
      <c r="CJ469">
        <v>7.6270249788382589</v>
      </c>
      <c r="CK469">
        <v>27276.52329447899</v>
      </c>
      <c r="CL469">
        <v>1.642183479621508E-2</v>
      </c>
      <c r="CM469">
        <v>6.8682854730462948</v>
      </c>
      <c r="CN469">
        <v>3.6181113905988949</v>
      </c>
      <c r="CO469">
        <v>11910.868991556659</v>
      </c>
      <c r="CP469">
        <v>0.28994631112701669</v>
      </c>
      <c r="CQ469">
        <v>103.2280311457166</v>
      </c>
      <c r="CR469">
        <v>0.49435120870529192</v>
      </c>
      <c r="CS469">
        <v>1093.691150465474</v>
      </c>
      <c r="CT469">
        <v>3.6770338913257643E-2</v>
      </c>
      <c r="CU469">
        <v>9.9006340537789157</v>
      </c>
      <c r="CV469">
        <v>69202.519992828369</v>
      </c>
      <c r="CY469">
        <v>7.8680000350577757</v>
      </c>
    </row>
    <row r="470" spans="1:145" x14ac:dyDescent="0.3">
      <c r="A470" s="2">
        <v>45261</v>
      </c>
      <c r="B470" s="3">
        <f t="shared" si="44"/>
        <v>12</v>
      </c>
      <c r="C470" s="3" t="s">
        <v>166</v>
      </c>
      <c r="D470" s="3" t="str">
        <f>VLOOKUP(C470,'Data availability'!$A$2:$B$91,2,FALSE)</f>
        <v>Moss Landing</v>
      </c>
      <c r="E470" s="22">
        <v>61062</v>
      </c>
      <c r="F470" s="3" t="str">
        <f>VLOOKUP(C470,'Data availability'!$A$2:$H$91,8,FALSE)</f>
        <v xml:space="preserve">Lab </v>
      </c>
      <c r="G470" s="1">
        <v>67256.709677419567</v>
      </c>
      <c r="H470" s="9">
        <v>12177.764946236655</v>
      </c>
      <c r="I470" s="9">
        <v>4367.9290322581473</v>
      </c>
      <c r="M470" s="21">
        <f t="shared" si="40"/>
        <v>3.7581457112337553</v>
      </c>
      <c r="N470" s="21">
        <f t="shared" si="41"/>
        <v>7.1532688615802753</v>
      </c>
      <c r="O470" s="21">
        <f t="shared" si="42"/>
        <v>0</v>
      </c>
      <c r="P470" s="21">
        <f t="shared" si="43"/>
        <v>0</v>
      </c>
      <c r="Z470" s="211" t="b">
        <f>IFERROR(INDEX(Outliers!$X$3:$X$61,MATCH('SkYSPark Data_w Will''s Data'!C470,Outliers!$B$3:$B$61,0)),0)</f>
        <v>0</v>
      </c>
      <c r="AA470" s="1" t="b">
        <f>IFERROR(INDEX(Outliers!$AP$3:$AP$61,MATCH('SkYSPark Data_w Will''s Data'!C470,Outliers!$B$3:$B$61,0)),0)</f>
        <v>1</v>
      </c>
      <c r="AB470" s="112" t="b">
        <f>IFERROR(INDEX(Outliers!$AY$3:$AY$61,MATCH('SkYSPark Data_w Will''s Data'!C470,Outliers!$B$3:$B$61,0)),0)</f>
        <v>1</v>
      </c>
      <c r="AG470">
        <v>17.759769771072051</v>
      </c>
      <c r="AH470">
        <v>11.37092343045434</v>
      </c>
      <c r="CJ470">
        <v>7.6941658717770833</v>
      </c>
      <c r="CK470">
        <v>29715.20494623611</v>
      </c>
      <c r="CL470">
        <v>1.71597872586426E-2</v>
      </c>
      <c r="CM470">
        <v>8.2669892473119013</v>
      </c>
      <c r="CN470">
        <v>3.7476148254133439</v>
      </c>
      <c r="CO470">
        <v>12169.49795698934</v>
      </c>
      <c r="CP470">
        <v>0.51007353451266224</v>
      </c>
      <c r="CQ470">
        <v>179.40645161290351</v>
      </c>
      <c r="CR470">
        <v>0.49232302867383582</v>
      </c>
      <c r="CS470">
        <v>1084.0529032257959</v>
      </c>
      <c r="CT470">
        <v>6.9430280957335555E-2</v>
      </c>
      <c r="CU470">
        <v>21.225806451612989</v>
      </c>
      <c r="CV470">
        <v>67347.730000734329</v>
      </c>
      <c r="CY470">
        <v>5.5590000514639542</v>
      </c>
    </row>
    <row r="471" spans="1:145" s="16" customFormat="1" x14ac:dyDescent="0.3">
      <c r="A471" s="38">
        <v>44927</v>
      </c>
      <c r="B471" s="3">
        <f t="shared" si="44"/>
        <v>1</v>
      </c>
      <c r="C471" s="22" t="s">
        <v>167</v>
      </c>
      <c r="D471" s="3" t="str">
        <f>VLOOKUP(C471,'Data availability'!$A$2:$B$91,2,FALSE)</f>
        <v>Main campus</v>
      </c>
      <c r="E471" s="22">
        <v>64072</v>
      </c>
      <c r="F471" s="3" t="str">
        <f>VLOOKUP(C471,'Data availability'!$A$2:$H$91,8,FALSE)</f>
        <v>Academic</v>
      </c>
      <c r="G471" s="260">
        <f>'Solar Data-Main Campus'!F37</f>
        <v>23269.103448275971</v>
      </c>
      <c r="H471" s="21"/>
      <c r="I471" s="21"/>
      <c r="J471" s="21">
        <v>6544.5800781250764</v>
      </c>
      <c r="K471" s="192">
        <f>'Climate Normalization'!D115</f>
        <v>9734.426611328161</v>
      </c>
      <c r="L471" s="20"/>
      <c r="M471" s="21">
        <f t="shared" si="40"/>
        <v>1.2391400450355479</v>
      </c>
      <c r="N471" s="21">
        <f t="shared" si="41"/>
        <v>0</v>
      </c>
      <c r="O471" s="21">
        <f t="shared" si="42"/>
        <v>10.214415155021033</v>
      </c>
      <c r="P471" s="21">
        <f t="shared" si="43"/>
        <v>1.8231539414399103</v>
      </c>
      <c r="Q471" s="21">
        <f>(SUM(G471:G482)*3.412)/E471</f>
        <v>17.244146540960372</v>
      </c>
      <c r="R471" s="21">
        <f>(SUM(I471:I482)*100)/E471</f>
        <v>0</v>
      </c>
      <c r="S471" s="21">
        <f>(SUM(J471:J482)*100)/E471</f>
        <v>80.780547118529967</v>
      </c>
      <c r="T471" s="21">
        <f>(SUM(K471:K482)*12)/E471</f>
        <v>46.662238703078842</v>
      </c>
      <c r="U471" s="21"/>
      <c r="V471" s="34">
        <f>SUM(Q471:T471)</f>
        <v>144.68693236256917</v>
      </c>
      <c r="W471" s="19" t="s">
        <v>205</v>
      </c>
      <c r="X471" s="63"/>
      <c r="Y471" s="29"/>
      <c r="Z471" s="211" t="b">
        <f>IFERROR(INDEX(Outliers!$X$3:$X$61,MATCH('SkYSPark Data_w Will''s Data'!C471,Outliers!$B$3:$B$61,0)),0)</f>
        <v>0</v>
      </c>
      <c r="AA471" s="1" t="b">
        <f>IFERROR(INDEX(Outliers!$AP$3:$AP$61,MATCH('SkYSPark Data_w Will''s Data'!C471,Outliers!$B$3:$B$61,0)),0)</f>
        <v>1</v>
      </c>
      <c r="AB471" s="112" t="b">
        <f>IFERROR(INDEX(Outliers!$AY$3:$AY$61,MATCH('SkYSPark Data_w Will''s Data'!C471,Outliers!$B$3:$B$61,0)),0)</f>
        <v>0</v>
      </c>
      <c r="AC471" s="112" t="s">
        <v>392</v>
      </c>
      <c r="AD471" s="143"/>
      <c r="AE471" s="136" t="s">
        <v>392</v>
      </c>
      <c r="AF471" s="143"/>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CA471" s="15"/>
      <c r="CB471" s="15"/>
      <c r="CC471" s="15"/>
      <c r="CD471" s="15"/>
      <c r="CE471" s="15"/>
      <c r="CF471" s="15"/>
      <c r="CG471" s="15"/>
      <c r="CH471" s="15"/>
      <c r="CI471" s="15"/>
      <c r="CJ471" s="15"/>
      <c r="CK471" s="15"/>
      <c r="CL471" s="15"/>
      <c r="CM471" s="15"/>
      <c r="CN471" s="15"/>
      <c r="CO471" s="15"/>
      <c r="CP471" s="15"/>
      <c r="CQ471" s="15"/>
      <c r="CR471" s="15"/>
      <c r="CS471" s="15"/>
      <c r="CT471" s="15"/>
      <c r="CU471" s="15"/>
      <c r="CV471" s="15"/>
      <c r="CW471" s="15"/>
      <c r="CX471" s="15"/>
      <c r="CY471" s="15"/>
      <c r="CZ471" s="15"/>
      <c r="DA471" s="15">
        <v>4068.2415140086741</v>
      </c>
      <c r="DB471" s="15">
        <v>2476.3385641164032</v>
      </c>
      <c r="DC471" s="15"/>
      <c r="DD471" s="15">
        <v>158580.80078125</v>
      </c>
      <c r="DE471" s="15"/>
      <c r="DF471" s="15"/>
      <c r="DG471" s="15"/>
      <c r="DH471" s="15"/>
      <c r="DI471" s="15"/>
      <c r="DJ471" s="15"/>
      <c r="DK471" s="15"/>
      <c r="DL471" s="15"/>
      <c r="DM471" s="15"/>
      <c r="DN471" s="15"/>
      <c r="DO471" s="15"/>
      <c r="DP471" s="15"/>
      <c r="DQ471" s="15"/>
      <c r="DR471" s="15"/>
      <c r="DS471" s="15"/>
      <c r="DT471" s="15"/>
      <c r="DU471" s="15"/>
      <c r="DV471" s="15"/>
      <c r="DW471" s="15"/>
      <c r="DX471" s="15"/>
      <c r="DY471" s="15"/>
      <c r="DZ471" s="15"/>
      <c r="EA471" s="15"/>
      <c r="EB471" s="15"/>
      <c r="EC471" s="15"/>
      <c r="ED471" s="15"/>
      <c r="EE471" s="15"/>
      <c r="EF471" s="15"/>
      <c r="EG471" s="15"/>
      <c r="EH471" s="15"/>
      <c r="EI471" s="15"/>
      <c r="EJ471" s="15"/>
      <c r="EK471" s="15"/>
      <c r="EL471" s="15"/>
      <c r="EM471" s="15"/>
      <c r="EN471" s="15"/>
      <c r="EO471" s="15"/>
    </row>
    <row r="472" spans="1:145" s="9" customFormat="1" x14ac:dyDescent="0.3">
      <c r="A472" s="2">
        <v>44958</v>
      </c>
      <c r="B472" s="3">
        <f t="shared" si="44"/>
        <v>2</v>
      </c>
      <c r="C472" s="3" t="s">
        <v>167</v>
      </c>
      <c r="D472" s="3" t="str">
        <f>VLOOKUP(C472,'Data availability'!$A$2:$B$91,2,FALSE)</f>
        <v>Main campus</v>
      </c>
      <c r="E472" s="3">
        <v>64072</v>
      </c>
      <c r="F472" s="3" t="str">
        <f>VLOOKUP(C472,'Data availability'!$A$2:$H$91,8,FALSE)</f>
        <v>Academic</v>
      </c>
      <c r="G472" s="260">
        <f>'Solar Data-Main Campus'!F38</f>
        <v>23880.99999999992</v>
      </c>
      <c r="H472" s="1"/>
      <c r="I472" s="1"/>
      <c r="J472" s="1">
        <v>5881.35742187504</v>
      </c>
      <c r="K472" s="192">
        <f>'Climate Normalization'!D116</f>
        <v>11382.12338867188</v>
      </c>
      <c r="L472" s="23"/>
      <c r="M472" s="21">
        <f t="shared" si="40"/>
        <v>1.2717251217380403</v>
      </c>
      <c r="N472" s="21">
        <f t="shared" si="41"/>
        <v>0</v>
      </c>
      <c r="O472" s="21">
        <f t="shared" si="42"/>
        <v>9.1792942656309151</v>
      </c>
      <c r="P472" s="21">
        <f t="shared" si="43"/>
        <v>2.1317499167196678</v>
      </c>
      <c r="Q472" s="1"/>
      <c r="R472" s="1"/>
      <c r="S472" s="1"/>
      <c r="T472" s="1"/>
      <c r="U472" s="1"/>
      <c r="V472" s="33"/>
      <c r="W472" s="10" t="s">
        <v>81</v>
      </c>
      <c r="X472" s="23"/>
      <c r="Y472" s="1"/>
      <c r="Z472" s="211" t="b">
        <f>IFERROR(INDEX(Outliers!$X$3:$X$61,MATCH('SkYSPark Data_w Will''s Data'!C472,Outliers!$B$3:$B$61,0)),0)</f>
        <v>0</v>
      </c>
      <c r="AA472" s="1" t="b">
        <f>IFERROR(INDEX(Outliers!$AP$3:$AP$61,MATCH('SkYSPark Data_w Will''s Data'!C472,Outliers!$B$3:$B$61,0)),0)</f>
        <v>1</v>
      </c>
      <c r="AB472" s="112" t="b">
        <f>IFERROR(INDEX(Outliers!$AY$3:$AY$61,MATCH('SkYSPark Data_w Will''s Data'!C472,Outliers!$B$3:$B$61,0)),0)</f>
        <v>0</v>
      </c>
      <c r="AC472" s="112" t="s">
        <v>392</v>
      </c>
      <c r="AD472" s="112"/>
      <c r="AE472" s="112"/>
      <c r="AF472" s="11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v>3676.4453125000241</v>
      </c>
      <c r="DB472">
        <v>2204.9121093750159</v>
      </c>
      <c r="DC472"/>
      <c r="DD472">
        <v>143310.39453125</v>
      </c>
      <c r="DE472"/>
      <c r="DF472"/>
      <c r="DG472"/>
      <c r="DH472"/>
      <c r="DI472"/>
      <c r="DJ472"/>
      <c r="DK472"/>
      <c r="DL472"/>
      <c r="DM472"/>
      <c r="DN472"/>
      <c r="DO472"/>
      <c r="DP472"/>
      <c r="DQ472"/>
      <c r="DR472"/>
      <c r="DS472"/>
      <c r="DT472"/>
      <c r="DU472"/>
      <c r="DV472"/>
      <c r="DW472"/>
      <c r="DX472"/>
      <c r="DY472"/>
      <c r="DZ472"/>
      <c r="EA472"/>
      <c r="EB472"/>
      <c r="EC472"/>
      <c r="ED472"/>
      <c r="EE472"/>
      <c r="EF472"/>
      <c r="EG472"/>
      <c r="EH472"/>
      <c r="EI472"/>
      <c r="EJ472"/>
      <c r="EK472"/>
      <c r="EL472"/>
      <c r="EM472"/>
      <c r="EN472"/>
      <c r="EO472"/>
    </row>
    <row r="473" spans="1:145" s="9" customFormat="1" x14ac:dyDescent="0.3">
      <c r="A473" s="2">
        <v>44986</v>
      </c>
      <c r="B473" s="3">
        <f t="shared" si="44"/>
        <v>3</v>
      </c>
      <c r="C473" s="3" t="s">
        <v>167</v>
      </c>
      <c r="D473" s="3" t="str">
        <f>VLOOKUP(C473,'Data availability'!$A$2:$B$91,2,FALSE)</f>
        <v>Main campus</v>
      </c>
      <c r="E473" s="3">
        <v>64072</v>
      </c>
      <c r="F473" s="3" t="str">
        <f>VLOOKUP(C473,'Data availability'!$A$2:$H$91,8,FALSE)</f>
        <v>Academic</v>
      </c>
      <c r="G473" s="260">
        <f>'Solar Data-Main Campus'!F39</f>
        <v>26970.201011377932</v>
      </c>
      <c r="H473" s="1"/>
      <c r="I473" s="1"/>
      <c r="J473" s="1">
        <v>6260.1004587745756</v>
      </c>
      <c r="K473" s="192">
        <f>'Climate Normalization'!D117</f>
        <v>13785.382053452282</v>
      </c>
      <c r="L473" s="23"/>
      <c r="M473" s="21">
        <f t="shared" si="40"/>
        <v>1.4362330792049804</v>
      </c>
      <c r="N473" s="21">
        <f t="shared" si="41"/>
        <v>0</v>
      </c>
      <c r="O473" s="21">
        <f t="shared" si="42"/>
        <v>9.7704152496793863</v>
      </c>
      <c r="P473" s="21">
        <f t="shared" si="43"/>
        <v>2.5818545486550661</v>
      </c>
      <c r="Q473" s="1"/>
      <c r="R473" s="1"/>
      <c r="S473" s="1"/>
      <c r="T473" s="1"/>
      <c r="U473" s="1"/>
      <c r="V473" s="33"/>
      <c r="W473" s="10" t="s">
        <v>82</v>
      </c>
      <c r="X473" s="23"/>
      <c r="Y473" s="1"/>
      <c r="Z473" s="211" t="b">
        <f>IFERROR(INDEX(Outliers!$X$3:$X$61,MATCH('SkYSPark Data_w Will''s Data'!C473,Outliers!$B$3:$B$61,0)),0)</f>
        <v>0</v>
      </c>
      <c r="AA473" s="1" t="b">
        <f>IFERROR(INDEX(Outliers!$AP$3:$AP$61,MATCH('SkYSPark Data_w Will''s Data'!C473,Outliers!$B$3:$B$61,0)),0)</f>
        <v>1</v>
      </c>
      <c r="AB473" s="112" t="b">
        <f>IFERROR(INDEX(Outliers!$AY$3:$AY$61,MATCH('SkYSPark Data_w Will''s Data'!C473,Outliers!$B$3:$B$61,0)),0)</f>
        <v>0</v>
      </c>
      <c r="AC473" s="112" t="s">
        <v>392</v>
      </c>
      <c r="AD473" s="112"/>
      <c r="AE473" s="112"/>
      <c r="AF473" s="112"/>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v>3822.6178788717448</v>
      </c>
      <c r="DB473">
        <v>2437.4825799028308</v>
      </c>
      <c r="DC473"/>
      <c r="DD473">
        <v>151671.87890625</v>
      </c>
      <c r="DE473"/>
      <c r="DF473"/>
      <c r="DG473"/>
      <c r="DH473"/>
      <c r="DI473"/>
      <c r="DJ473"/>
      <c r="DK473"/>
      <c r="DL473"/>
      <c r="DM473"/>
      <c r="DN473"/>
      <c r="DO473"/>
      <c r="DP473"/>
      <c r="DQ473"/>
      <c r="DR473"/>
      <c r="DS473"/>
      <c r="DT473"/>
      <c r="DU473"/>
      <c r="DV473"/>
      <c r="DW473"/>
      <c r="DX473"/>
      <c r="DY473"/>
      <c r="DZ473"/>
      <c r="EA473"/>
      <c r="EB473"/>
      <c r="EC473"/>
      <c r="ED473"/>
      <c r="EE473"/>
      <c r="EF473"/>
      <c r="EG473"/>
      <c r="EH473"/>
      <c r="EI473"/>
      <c r="EJ473"/>
      <c r="EK473"/>
      <c r="EL473"/>
      <c r="EM473"/>
      <c r="EN473"/>
      <c r="EO473"/>
    </row>
    <row r="474" spans="1:145" s="9" customFormat="1" x14ac:dyDescent="0.3">
      <c r="A474" s="2">
        <v>45017</v>
      </c>
      <c r="B474" s="3">
        <f t="shared" si="44"/>
        <v>4</v>
      </c>
      <c r="C474" s="3" t="s">
        <v>167</v>
      </c>
      <c r="D474" s="3" t="str">
        <f>VLOOKUP(C474,'Data availability'!$A$2:$B$91,2,FALSE)</f>
        <v>Main campus</v>
      </c>
      <c r="E474" s="3">
        <v>64072</v>
      </c>
      <c r="F474" s="3" t="str">
        <f>VLOOKUP(C474,'Data availability'!$A$2:$H$91,8,FALSE)</f>
        <v>Academic</v>
      </c>
      <c r="G474" s="260">
        <f>'Solar Data-Main Campus'!F40</f>
        <v>30375.7989886219</v>
      </c>
      <c r="H474" s="1"/>
      <c r="I474" s="1"/>
      <c r="J474" s="1">
        <v>5573.4151662254999</v>
      </c>
      <c r="K474" s="192">
        <f>'Climate Normalization'!D118</f>
        <v>19761.128552900722</v>
      </c>
      <c r="L474" s="23"/>
      <c r="M474" s="21">
        <f t="shared" si="40"/>
        <v>1.6175899948367136</v>
      </c>
      <c r="N474" s="21">
        <f t="shared" si="41"/>
        <v>0</v>
      </c>
      <c r="O474" s="21">
        <f t="shared" si="42"/>
        <v>8.6986751876412463</v>
      </c>
      <c r="P474" s="21">
        <f t="shared" si="43"/>
        <v>3.7010479247535377</v>
      </c>
      <c r="Q474" s="1"/>
      <c r="R474" s="1"/>
      <c r="S474" s="1"/>
      <c r="T474" s="1"/>
      <c r="U474" s="1"/>
      <c r="V474" s="33"/>
      <c r="W474" s="10" t="s">
        <v>636</v>
      </c>
      <c r="X474" s="23"/>
      <c r="Y474" s="1"/>
      <c r="Z474" s="211" t="b">
        <f>IFERROR(INDEX(Outliers!$X$3:$X$61,MATCH('SkYSPark Data_w Will''s Data'!C474,Outliers!$B$3:$B$61,0)),0)</f>
        <v>0</v>
      </c>
      <c r="AA474" s="1" t="b">
        <f>IFERROR(INDEX(Outliers!$AP$3:$AP$61,MATCH('SkYSPark Data_w Will''s Data'!C474,Outliers!$B$3:$B$61,0)),0)</f>
        <v>1</v>
      </c>
      <c r="AB474" s="112" t="b">
        <f>IFERROR(INDEX(Outliers!$AY$3:$AY$61,MATCH('SkYSPark Data_w Will''s Data'!C474,Outliers!$B$3:$B$61,0)),0)</f>
        <v>0</v>
      </c>
      <c r="AC474" s="112" t="s">
        <v>392</v>
      </c>
      <c r="AD474" s="112"/>
      <c r="AE474" s="112"/>
      <c r="AF474" s="112"/>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v>3040.9172773782821</v>
      </c>
      <c r="DB474">
        <v>2532.4978888472178</v>
      </c>
      <c r="DC474"/>
      <c r="DD474">
        <v>126524.69140625</v>
      </c>
      <c r="DE474"/>
      <c r="DF474"/>
      <c r="DG474"/>
      <c r="DH474"/>
      <c r="DI474"/>
      <c r="DJ474"/>
      <c r="DK474"/>
      <c r="DL474"/>
      <c r="DM474"/>
      <c r="DN474"/>
      <c r="DO474"/>
      <c r="DP474"/>
      <c r="DQ474"/>
      <c r="DR474"/>
      <c r="DS474"/>
      <c r="DT474"/>
      <c r="DU474"/>
      <c r="DV474"/>
      <c r="DW474"/>
      <c r="DX474"/>
      <c r="DY474"/>
      <c r="DZ474"/>
      <c r="EA474"/>
      <c r="EB474"/>
      <c r="EC474"/>
      <c r="ED474"/>
      <c r="EE474"/>
      <c r="EF474"/>
      <c r="EG474"/>
      <c r="EH474"/>
      <c r="EI474"/>
      <c r="EJ474"/>
      <c r="EK474"/>
      <c r="EL474"/>
      <c r="EM474"/>
      <c r="EN474"/>
      <c r="EO474"/>
    </row>
    <row r="475" spans="1:145" s="9" customFormat="1" x14ac:dyDescent="0.3">
      <c r="A475" s="2">
        <v>45047</v>
      </c>
      <c r="B475" s="3">
        <f t="shared" si="44"/>
        <v>5</v>
      </c>
      <c r="C475" s="3" t="s">
        <v>167</v>
      </c>
      <c r="D475" s="3" t="str">
        <f>VLOOKUP(C475,'Data availability'!$A$2:$B$91,2,FALSE)</f>
        <v>Main campus</v>
      </c>
      <c r="E475" s="3">
        <v>64072</v>
      </c>
      <c r="F475" s="3" t="str">
        <f>VLOOKUP(C475,'Data availability'!$A$2:$H$91,8,FALSE)</f>
        <v>Academic</v>
      </c>
      <c r="G475" s="260">
        <f>'Solar Data-Main Campus'!F41</f>
        <v>29585.499999999894</v>
      </c>
      <c r="H475" s="1"/>
      <c r="I475" s="1"/>
      <c r="J475" s="1">
        <v>3726.2011718749695</v>
      </c>
      <c r="K475" s="192">
        <f>'Climate Normalization'!D119</f>
        <v>22531.835552200144</v>
      </c>
      <c r="L475" s="23"/>
      <c r="M475" s="21">
        <f t="shared" si="40"/>
        <v>1.5755045261580665</v>
      </c>
      <c r="N475" s="21">
        <f t="shared" si="41"/>
        <v>0</v>
      </c>
      <c r="O475" s="21">
        <f t="shared" si="42"/>
        <v>5.8156467284850946</v>
      </c>
      <c r="P475" s="21">
        <f t="shared" si="43"/>
        <v>4.2199716978774147</v>
      </c>
      <c r="Q475" s="1"/>
      <c r="R475" s="1"/>
      <c r="S475" s="1"/>
      <c r="T475" s="1"/>
      <c r="U475" s="1"/>
      <c r="V475" s="33"/>
      <c r="W475" s="1"/>
      <c r="X475" s="23"/>
      <c r="Y475" s="1"/>
      <c r="Z475" s="211" t="b">
        <f>IFERROR(INDEX(Outliers!$X$3:$X$61,MATCH('SkYSPark Data_w Will''s Data'!C475,Outliers!$B$3:$B$61,0)),0)</f>
        <v>0</v>
      </c>
      <c r="AA475" s="1" t="b">
        <f>IFERROR(INDEX(Outliers!$AP$3:$AP$61,MATCH('SkYSPark Data_w Will''s Data'!C475,Outliers!$B$3:$B$61,0)),0)</f>
        <v>1</v>
      </c>
      <c r="AB475" s="112" t="b">
        <f>IFERROR(INDEX(Outliers!$AY$3:$AY$61,MATCH('SkYSPark Data_w Will''s Data'!C475,Outliers!$B$3:$B$61,0)),0)</f>
        <v>0</v>
      </c>
      <c r="AC475" s="112" t="s">
        <v>392</v>
      </c>
      <c r="AD475" s="112"/>
      <c r="AE475" s="112"/>
      <c r="AF475" s="112"/>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v>2331.3476562499882</v>
      </c>
      <c r="DB475">
        <v>1394.853515624982</v>
      </c>
      <c r="DC475"/>
      <c r="DD475">
        <v>132556.166015625</v>
      </c>
      <c r="DE475"/>
      <c r="DF475"/>
      <c r="DG475"/>
      <c r="DH475"/>
      <c r="DI475"/>
      <c r="DJ475"/>
      <c r="DK475"/>
      <c r="DL475"/>
      <c r="DM475"/>
      <c r="DN475"/>
      <c r="DO475"/>
      <c r="DP475"/>
      <c r="DQ475"/>
      <c r="DR475"/>
      <c r="DS475"/>
      <c r="DT475"/>
      <c r="DU475"/>
      <c r="DV475"/>
      <c r="DW475"/>
      <c r="DX475"/>
      <c r="DY475"/>
      <c r="DZ475"/>
      <c r="EA475"/>
      <c r="EB475"/>
      <c r="EC475"/>
      <c r="ED475"/>
      <c r="EE475"/>
      <c r="EF475"/>
      <c r="EG475"/>
      <c r="EH475"/>
      <c r="EI475"/>
      <c r="EJ475"/>
      <c r="EK475"/>
      <c r="EL475"/>
      <c r="EM475"/>
      <c r="EN475"/>
      <c r="EO475"/>
    </row>
    <row r="476" spans="1:145" s="9" customFormat="1" x14ac:dyDescent="0.3">
      <c r="A476" s="2">
        <v>45078</v>
      </c>
      <c r="B476" s="3">
        <f t="shared" si="44"/>
        <v>6</v>
      </c>
      <c r="C476" s="3" t="s">
        <v>167</v>
      </c>
      <c r="D476" s="3" t="str">
        <f>VLOOKUP(C476,'Data availability'!$A$2:$B$91,2,FALSE)</f>
        <v>Main campus</v>
      </c>
      <c r="E476" s="3">
        <v>64072</v>
      </c>
      <c r="F476" s="3" t="str">
        <f>VLOOKUP(C476,'Data availability'!$A$2:$H$91,8,FALSE)</f>
        <v>Academic</v>
      </c>
      <c r="G476" s="260">
        <f>'Solar Data-Main Campus'!F42</f>
        <v>28948.109756097641</v>
      </c>
      <c r="H476" s="1"/>
      <c r="I476" s="1"/>
      <c r="J476" s="1">
        <v>2906.5072408536689</v>
      </c>
      <c r="K476" s="192">
        <f>'Climate Normalization'!D120</f>
        <v>21646.859492324103</v>
      </c>
      <c r="L476" s="23"/>
      <c r="M476" s="21">
        <f t="shared" si="40"/>
        <v>1.5415618442971213</v>
      </c>
      <c r="N476" s="21">
        <f t="shared" si="41"/>
        <v>0</v>
      </c>
      <c r="O476" s="21">
        <f t="shared" si="42"/>
        <v>4.5363142103472169</v>
      </c>
      <c r="P476" s="21">
        <f t="shared" si="43"/>
        <v>4.0542251515153147</v>
      </c>
      <c r="Q476" s="1"/>
      <c r="R476" s="1"/>
      <c r="S476" s="1"/>
      <c r="T476" s="1"/>
      <c r="U476" s="1"/>
      <c r="V476" s="33"/>
      <c r="W476" s="1"/>
      <c r="X476" s="23"/>
      <c r="Y476" s="1"/>
      <c r="Z476" s="211" t="b">
        <f>IFERROR(INDEX(Outliers!$X$3:$X$61,MATCH('SkYSPark Data_w Will''s Data'!C476,Outliers!$B$3:$B$61,0)),0)</f>
        <v>0</v>
      </c>
      <c r="AA476" s="1" t="b">
        <f>IFERROR(INDEX(Outliers!$AP$3:$AP$61,MATCH('SkYSPark Data_w Will''s Data'!C476,Outliers!$B$3:$B$61,0)),0)</f>
        <v>1</v>
      </c>
      <c r="AB476" s="112" t="b">
        <f>IFERROR(INDEX(Outliers!$AY$3:$AY$61,MATCH('SkYSPark Data_w Will''s Data'!C476,Outliers!$B$3:$B$61,0)),0)</f>
        <v>0</v>
      </c>
      <c r="AC476" s="112" t="s">
        <v>392</v>
      </c>
      <c r="AD476" s="112"/>
      <c r="AE476" s="112"/>
      <c r="AF476" s="112"/>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v>1452.2103658536771</v>
      </c>
      <c r="DB476">
        <v>1454.296874999992</v>
      </c>
      <c r="DC476"/>
      <c r="DD476">
        <v>116282.5450439453</v>
      </c>
      <c r="DE476"/>
      <c r="DF476"/>
      <c r="DG476"/>
      <c r="DH476"/>
      <c r="DI476"/>
      <c r="DJ476"/>
      <c r="DK476"/>
      <c r="DL476"/>
      <c r="DM476"/>
      <c r="DN476"/>
      <c r="DO476"/>
      <c r="DP476"/>
      <c r="DQ476"/>
      <c r="DR476"/>
      <c r="DS476"/>
      <c r="DT476"/>
      <c r="DU476"/>
      <c r="DV476"/>
      <c r="DW476"/>
      <c r="DX476"/>
      <c r="DY476"/>
      <c r="DZ476"/>
      <c r="EA476"/>
      <c r="EB476"/>
      <c r="EC476"/>
      <c r="ED476"/>
      <c r="EE476"/>
      <c r="EF476"/>
      <c r="EG476"/>
      <c r="EH476"/>
      <c r="EI476"/>
      <c r="EJ476"/>
      <c r="EK476"/>
      <c r="EL476"/>
      <c r="EM476"/>
      <c r="EN476"/>
      <c r="EO476"/>
    </row>
    <row r="477" spans="1:145" s="9" customFormat="1" x14ac:dyDescent="0.3">
      <c r="A477" s="2">
        <v>45108</v>
      </c>
      <c r="B477" s="3">
        <f t="shared" si="44"/>
        <v>7</v>
      </c>
      <c r="C477" s="3" t="s">
        <v>167</v>
      </c>
      <c r="D477" s="3" t="str">
        <f>VLOOKUP(C477,'Data availability'!$A$2:$B$91,2,FALSE)</f>
        <v>Main campus</v>
      </c>
      <c r="E477" s="3">
        <v>64072</v>
      </c>
      <c r="F477" s="3" t="str">
        <f>VLOOKUP(C477,'Data availability'!$A$2:$H$91,8,FALSE)</f>
        <v>Academic</v>
      </c>
      <c r="G477" s="260">
        <f>'Solar Data-Main Campus'!F43</f>
        <v>30926.890243902333</v>
      </c>
      <c r="H477" s="1"/>
      <c r="I477" s="1"/>
      <c r="J477" s="1">
        <v>2558.1704935213293</v>
      </c>
      <c r="K477" s="192">
        <f>'Climate Normalization'!D121</f>
        <v>27252.453759851123</v>
      </c>
      <c r="L477" s="23"/>
      <c r="M477" s="21">
        <f t="shared" si="40"/>
        <v>1.6469370319670802</v>
      </c>
      <c r="N477" s="21">
        <f t="shared" si="41"/>
        <v>0</v>
      </c>
      <c r="O477" s="21">
        <f t="shared" si="42"/>
        <v>3.9926496652536665</v>
      </c>
      <c r="P477" s="21">
        <f t="shared" si="43"/>
        <v>5.1040929753747886</v>
      </c>
      <c r="Q477" s="1"/>
      <c r="R477" s="1"/>
      <c r="S477" s="1"/>
      <c r="T477" s="1"/>
      <c r="U477" s="1"/>
      <c r="V477" s="33"/>
      <c r="W477" s="1"/>
      <c r="X477" s="23"/>
      <c r="Y477" s="1"/>
      <c r="Z477" s="211" t="b">
        <f>IFERROR(INDEX(Outliers!$X$3:$X$61,MATCH('SkYSPark Data_w Will''s Data'!C477,Outliers!$B$3:$B$61,0)),0)</f>
        <v>0</v>
      </c>
      <c r="AA477" s="1" t="b">
        <f>IFERROR(INDEX(Outliers!$AP$3:$AP$61,MATCH('SkYSPark Data_w Will''s Data'!C477,Outliers!$B$3:$B$61,0)),0)</f>
        <v>1</v>
      </c>
      <c r="AB477" s="112" t="b">
        <f>IFERROR(INDEX(Outliers!$AY$3:$AY$61,MATCH('SkYSPark Data_w Will''s Data'!C477,Outliers!$B$3:$B$61,0)),0)</f>
        <v>0</v>
      </c>
      <c r="AC477" s="112" t="s">
        <v>392</v>
      </c>
      <c r="AD477" s="112"/>
      <c r="AE477" s="112"/>
      <c r="AF477" s="112"/>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v>1362.1646341463399</v>
      </c>
      <c r="DB477">
        <v>1196.0058593749891</v>
      </c>
      <c r="DC477"/>
      <c r="DD477">
        <v>118623.63671875</v>
      </c>
      <c r="DE477"/>
      <c r="DF477"/>
      <c r="DG477"/>
      <c r="DH477"/>
      <c r="DI477"/>
      <c r="DJ477"/>
      <c r="DK477"/>
      <c r="DL477"/>
      <c r="DM477"/>
      <c r="DN477"/>
      <c r="DO477"/>
      <c r="DP477"/>
      <c r="DQ477"/>
      <c r="DR477"/>
      <c r="DS477"/>
      <c r="DT477"/>
      <c r="DU477"/>
      <c r="DV477"/>
      <c r="DW477"/>
      <c r="DX477"/>
      <c r="DY477"/>
      <c r="DZ477"/>
      <c r="EA477"/>
      <c r="EB477"/>
      <c r="EC477"/>
      <c r="ED477"/>
      <c r="EE477"/>
      <c r="EF477"/>
      <c r="EG477"/>
      <c r="EH477"/>
      <c r="EI477"/>
      <c r="EJ477"/>
      <c r="EK477"/>
      <c r="EL477"/>
      <c r="EM477"/>
      <c r="EN477"/>
      <c r="EO477"/>
    </row>
    <row r="478" spans="1:145" s="9" customFormat="1" x14ac:dyDescent="0.3">
      <c r="A478" s="2">
        <v>45139</v>
      </c>
      <c r="B478" s="3">
        <f t="shared" si="44"/>
        <v>8</v>
      </c>
      <c r="C478" s="3" t="s">
        <v>167</v>
      </c>
      <c r="D478" s="3" t="str">
        <f>VLOOKUP(C478,'Data availability'!$A$2:$B$91,2,FALSE)</f>
        <v>Main campus</v>
      </c>
      <c r="E478" s="3">
        <v>64072</v>
      </c>
      <c r="F478" s="3" t="str">
        <f>VLOOKUP(C478,'Data availability'!$A$2:$H$91,8,FALSE)</f>
        <v>Academic</v>
      </c>
      <c r="G478" s="260">
        <f>'Solar Data-Main Campus'!F44</f>
        <v>29393.350000000071</v>
      </c>
      <c r="H478" s="1"/>
      <c r="I478" s="1"/>
      <c r="J478" s="1">
        <v>2110.6467633928705</v>
      </c>
      <c r="K478" s="192">
        <f>'Climate Normalization'!D122</f>
        <v>50984.500428374362</v>
      </c>
      <c r="L478" s="23"/>
      <c r="M478" s="21">
        <f t="shared" si="40"/>
        <v>1.565272040829071</v>
      </c>
      <c r="N478" s="21">
        <f t="shared" si="41"/>
        <v>0</v>
      </c>
      <c r="O478" s="21">
        <f t="shared" si="42"/>
        <v>3.2941796157336598</v>
      </c>
      <c r="P478" s="21">
        <f t="shared" si="43"/>
        <v>9.5488513725261015</v>
      </c>
      <c r="Q478" s="1"/>
      <c r="R478" s="1"/>
      <c r="S478" s="1"/>
      <c r="T478" s="1"/>
      <c r="U478" s="1"/>
      <c r="V478" s="33"/>
      <c r="W478" s="1"/>
      <c r="X478" s="23"/>
      <c r="Y478" s="1"/>
      <c r="Z478" s="211" t="b">
        <f>IFERROR(INDEX(Outliers!$X$3:$X$61,MATCH('SkYSPark Data_w Will''s Data'!C478,Outliers!$B$3:$B$61,0)),0)</f>
        <v>0</v>
      </c>
      <c r="AA478" s="1" t="b">
        <f>IFERROR(INDEX(Outliers!$AP$3:$AP$61,MATCH('SkYSPark Data_w Will''s Data'!C478,Outliers!$B$3:$B$61,0)),0)</f>
        <v>1</v>
      </c>
      <c r="AB478" s="112" t="b">
        <f>IFERROR(INDEX(Outliers!$AY$3:$AY$61,MATCH('SkYSPark Data_w Will''s Data'!C478,Outliers!$B$3:$B$61,0)),0)</f>
        <v>0</v>
      </c>
      <c r="AC478" s="112" t="s">
        <v>392</v>
      </c>
      <c r="AD478" s="112"/>
      <c r="AE478" s="112"/>
      <c r="AF478" s="112"/>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v>1066.766741071435</v>
      </c>
      <c r="DB478">
        <v>1043.880022321435</v>
      </c>
      <c r="DC478"/>
      <c r="DD478">
        <v>108481.3084716797</v>
      </c>
      <c r="DE478"/>
      <c r="DF478"/>
      <c r="DG478"/>
      <c r="DH478"/>
      <c r="DI478"/>
      <c r="DJ478"/>
      <c r="DK478"/>
      <c r="DL478"/>
      <c r="DM478"/>
      <c r="DN478"/>
      <c r="DO478"/>
      <c r="DP478"/>
      <c r="DQ478"/>
      <c r="DR478"/>
      <c r="DS478"/>
      <c r="DT478"/>
      <c r="DU478"/>
      <c r="DV478"/>
      <c r="DW478"/>
      <c r="DX478"/>
      <c r="DY478"/>
      <c r="DZ478"/>
      <c r="EA478"/>
      <c r="EB478"/>
      <c r="EC478"/>
      <c r="ED478"/>
      <c r="EE478"/>
      <c r="EF478"/>
      <c r="EG478"/>
      <c r="EH478"/>
      <c r="EI478"/>
      <c r="EJ478"/>
      <c r="EK478"/>
      <c r="EL478"/>
      <c r="EM478"/>
      <c r="EN478"/>
      <c r="EO478"/>
    </row>
    <row r="479" spans="1:145" s="9" customFormat="1" x14ac:dyDescent="0.3">
      <c r="A479" s="2">
        <v>45170</v>
      </c>
      <c r="B479" s="3">
        <f t="shared" si="44"/>
        <v>9</v>
      </c>
      <c r="C479" s="3" t="s">
        <v>167</v>
      </c>
      <c r="D479" s="3" t="str">
        <f>VLOOKUP(C479,'Data availability'!$A$2:$B$91,2,FALSE)</f>
        <v>Main campus</v>
      </c>
      <c r="E479" s="3">
        <v>64072</v>
      </c>
      <c r="F479" s="3" t="str">
        <f>VLOOKUP(C479,'Data availability'!$A$2:$H$91,8,FALSE)</f>
        <v>Academic</v>
      </c>
      <c r="G479" s="260">
        <f>'Solar Data-Main Campus'!F45</f>
        <v>26233.06071428569</v>
      </c>
      <c r="H479" s="1"/>
      <c r="I479" s="1"/>
      <c r="J479" s="1">
        <v>2042.7663225446208</v>
      </c>
      <c r="K479" s="192">
        <f>'Climate Normalization'!D123</f>
        <v>28118.784695410406</v>
      </c>
      <c r="L479" s="23"/>
      <c r="M479" s="21">
        <f t="shared" si="40"/>
        <v>1.396978448575708</v>
      </c>
      <c r="N479" s="21">
        <f t="shared" si="41"/>
        <v>0</v>
      </c>
      <c r="O479" s="21">
        <f t="shared" si="42"/>
        <v>3.188235613910321</v>
      </c>
      <c r="P479" s="21">
        <f t="shared" si="43"/>
        <v>5.2663474894638043</v>
      </c>
      <c r="Q479" s="1"/>
      <c r="R479" s="1"/>
      <c r="S479" s="1"/>
      <c r="T479" s="1"/>
      <c r="U479" s="1"/>
      <c r="V479" s="33"/>
      <c r="W479" s="1"/>
      <c r="X479" s="23"/>
      <c r="Y479" s="1"/>
      <c r="Z479" s="211" t="b">
        <f>IFERROR(INDEX(Outliers!$X$3:$X$61,MATCH('SkYSPark Data_w Will''s Data'!C479,Outliers!$B$3:$B$61,0)),0)</f>
        <v>0</v>
      </c>
      <c r="AA479" s="1" t="b">
        <f>IFERROR(INDEX(Outliers!$AP$3:$AP$61,MATCH('SkYSPark Data_w Will''s Data'!C479,Outliers!$B$3:$B$61,0)),0)</f>
        <v>1</v>
      </c>
      <c r="AB479" s="112" t="b">
        <f>IFERROR(INDEX(Outliers!$AY$3:$AY$61,MATCH('SkYSPark Data_w Will''s Data'!C479,Outliers!$B$3:$B$61,0)),0)</f>
        <v>0</v>
      </c>
      <c r="AC479" s="112" t="s">
        <v>392</v>
      </c>
      <c r="AD479" s="112"/>
      <c r="AE479" s="112"/>
      <c r="AF479" s="112"/>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v>497.99469866070473</v>
      </c>
      <c r="DB479">
        <v>1544.7716238839159</v>
      </c>
      <c r="DC479"/>
      <c r="DD479">
        <v>130467.2802734375</v>
      </c>
      <c r="DE479"/>
      <c r="DF479"/>
      <c r="DG479"/>
      <c r="DH479"/>
      <c r="DI479"/>
      <c r="DJ479"/>
      <c r="DK479"/>
      <c r="DL479"/>
      <c r="DM479"/>
      <c r="DN479"/>
      <c r="DO479"/>
      <c r="DP479"/>
      <c r="DQ479"/>
      <c r="DR479"/>
      <c r="DS479"/>
      <c r="DT479"/>
      <c r="DU479"/>
      <c r="DV479"/>
      <c r="DW479"/>
      <c r="DX479"/>
      <c r="DY479"/>
      <c r="DZ479"/>
      <c r="EA479"/>
      <c r="EB479"/>
      <c r="EC479"/>
      <c r="ED479"/>
      <c r="EE479"/>
      <c r="EF479"/>
      <c r="EG479"/>
      <c r="EH479"/>
      <c r="EI479"/>
      <c r="EJ479"/>
      <c r="EK479"/>
      <c r="EL479"/>
      <c r="EM479"/>
      <c r="EN479"/>
      <c r="EO479"/>
    </row>
    <row r="480" spans="1:145" s="9" customFormat="1" x14ac:dyDescent="0.3">
      <c r="A480" s="2">
        <v>45200</v>
      </c>
      <c r="B480" s="3">
        <f t="shared" si="44"/>
        <v>10</v>
      </c>
      <c r="C480" s="3" t="s">
        <v>167</v>
      </c>
      <c r="D480" s="3" t="str">
        <f>VLOOKUP(C480,'Data availability'!$A$2:$B$91,2,FALSE)</f>
        <v>Main campus</v>
      </c>
      <c r="E480" s="3">
        <v>64072</v>
      </c>
      <c r="F480" s="3" t="str">
        <f>VLOOKUP(C480,'Data availability'!$A$2:$H$91,8,FALSE)</f>
        <v>Academic</v>
      </c>
      <c r="G480" s="260">
        <f>'Solar Data-Main Campus'!F46</f>
        <v>26451.33928571409</v>
      </c>
      <c r="H480" s="1"/>
      <c r="I480" s="1"/>
      <c r="J480" s="1">
        <v>2289.3603515624686</v>
      </c>
      <c r="K480" s="192">
        <f>'Climate Normalization'!D124</f>
        <v>26369.646301344888</v>
      </c>
      <c r="L480" s="23"/>
      <c r="M480" s="21">
        <f t="shared" si="40"/>
        <v>1.4086023480281009</v>
      </c>
      <c r="N480" s="21">
        <f t="shared" si="41"/>
        <v>0</v>
      </c>
      <c r="O480" s="21">
        <f t="shared" si="42"/>
        <v>3.5731058052854112</v>
      </c>
      <c r="P480" s="21">
        <f t="shared" si="43"/>
        <v>4.9387525848442175</v>
      </c>
      <c r="Q480" s="1"/>
      <c r="R480" s="1"/>
      <c r="S480" s="1"/>
      <c r="T480" s="1"/>
      <c r="U480" s="1"/>
      <c r="V480" s="33"/>
      <c r="W480" s="1"/>
      <c r="X480" s="23"/>
      <c r="Y480" s="1"/>
      <c r="Z480" s="211" t="b">
        <f>IFERROR(INDEX(Outliers!$X$3:$X$61,MATCH('SkYSPark Data_w Will''s Data'!C480,Outliers!$B$3:$B$61,0)),0)</f>
        <v>0</v>
      </c>
      <c r="AA480" s="1" t="b">
        <f>IFERROR(INDEX(Outliers!$AP$3:$AP$61,MATCH('SkYSPark Data_w Will''s Data'!C480,Outliers!$B$3:$B$61,0)),0)</f>
        <v>1</v>
      </c>
      <c r="AB480" s="112" t="b">
        <f>IFERROR(INDEX(Outliers!$AY$3:$AY$61,MATCH('SkYSPark Data_w Will''s Data'!C480,Outliers!$B$3:$B$61,0)),0)</f>
        <v>0</v>
      </c>
      <c r="AC480" s="112" t="s">
        <v>392</v>
      </c>
      <c r="AD480" s="112"/>
      <c r="AE480" s="112"/>
      <c r="AF480" s="112"/>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v>425.45340401785592</v>
      </c>
      <c r="DB480">
        <v>1863.9069475446131</v>
      </c>
      <c r="DC480"/>
      <c r="DD480">
        <v>139665.3349609375</v>
      </c>
      <c r="DE480"/>
      <c r="DF480"/>
      <c r="DG480"/>
      <c r="DH480"/>
      <c r="DI480"/>
      <c r="DJ480"/>
      <c r="DK480"/>
      <c r="DL480"/>
      <c r="DM480"/>
      <c r="DN480"/>
      <c r="DO480"/>
      <c r="DP480"/>
      <c r="DQ480"/>
      <c r="DR480"/>
      <c r="DS480"/>
      <c r="DT480"/>
      <c r="DU480"/>
      <c r="DV480"/>
      <c r="DW480"/>
      <c r="DX480"/>
      <c r="DY480"/>
      <c r="DZ480"/>
      <c r="EA480"/>
      <c r="EB480"/>
      <c r="EC480"/>
      <c r="ED480"/>
      <c r="EE480"/>
      <c r="EF480"/>
      <c r="EG480"/>
      <c r="EH480"/>
      <c r="EI480"/>
      <c r="EJ480"/>
      <c r="EK480"/>
      <c r="EL480"/>
      <c r="EM480"/>
      <c r="EN480"/>
      <c r="EO480"/>
    </row>
    <row r="481" spans="1:145" s="9" customFormat="1" x14ac:dyDescent="0.3">
      <c r="A481" s="2">
        <v>45231</v>
      </c>
      <c r="B481" s="3">
        <f t="shared" si="44"/>
        <v>11</v>
      </c>
      <c r="C481" s="3" t="s">
        <v>167</v>
      </c>
      <c r="D481" s="3" t="str">
        <f>VLOOKUP(C481,'Data availability'!$A$2:$B$91,2,FALSE)</f>
        <v>Main campus</v>
      </c>
      <c r="E481" s="3">
        <v>64072</v>
      </c>
      <c r="F481" s="3" t="str">
        <f>VLOOKUP(C481,'Data availability'!$A$2:$H$91,8,FALSE)</f>
        <v>Academic</v>
      </c>
      <c r="G481" s="260">
        <f>'Solar Data-Main Campus'!F47</f>
        <v>25691.78089533417</v>
      </c>
      <c r="H481" s="1"/>
      <c r="I481" s="1"/>
      <c r="J481" s="1">
        <v>5600.2799889659564</v>
      </c>
      <c r="K481" s="192">
        <f>'Climate Normalization'!D125</f>
        <v>10590.730772369099</v>
      </c>
      <c r="L481" s="23"/>
      <c r="M481" s="21">
        <f t="shared" si="40"/>
        <v>1.368153895849672</v>
      </c>
      <c r="N481" s="21">
        <f t="shared" si="41"/>
        <v>0</v>
      </c>
      <c r="O481" s="21">
        <f t="shared" si="42"/>
        <v>8.7406043029185234</v>
      </c>
      <c r="P481" s="21">
        <f t="shared" si="43"/>
        <v>1.9835305479527594</v>
      </c>
      <c r="Q481" s="1"/>
      <c r="R481" s="1"/>
      <c r="S481" s="1"/>
      <c r="T481" s="1"/>
      <c r="U481" s="1"/>
      <c r="V481" s="33"/>
      <c r="W481" s="1"/>
      <c r="X481" s="23"/>
      <c r="Y481" s="1"/>
      <c r="Z481" s="211" t="b">
        <f>IFERROR(INDEX(Outliers!$X$3:$X$61,MATCH('SkYSPark Data_w Will''s Data'!C481,Outliers!$B$3:$B$61,0)),0)</f>
        <v>0</v>
      </c>
      <c r="AA481" s="1" t="b">
        <f>IFERROR(INDEX(Outliers!$AP$3:$AP$61,MATCH('SkYSPark Data_w Will''s Data'!C481,Outliers!$B$3:$B$61,0)),0)</f>
        <v>1</v>
      </c>
      <c r="AB481" s="112" t="b">
        <f>IFERROR(INDEX(Outliers!$AY$3:$AY$61,MATCH('SkYSPark Data_w Will''s Data'!C481,Outliers!$B$3:$B$61,0)),0)</f>
        <v>0</v>
      </c>
      <c r="AC481" s="112" t="s">
        <v>392</v>
      </c>
      <c r="AD481" s="112"/>
      <c r="AE481" s="112"/>
      <c r="AF481" s="112"/>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v>3260.3720296737301</v>
      </c>
      <c r="DB481">
        <v>2339.9079592922262</v>
      </c>
      <c r="DC481"/>
      <c r="DD481">
        <v>170937.2138671875</v>
      </c>
      <c r="DE481"/>
      <c r="DF481"/>
      <c r="DG481"/>
      <c r="DH481"/>
      <c r="DI481"/>
      <c r="DJ481"/>
      <c r="DK481"/>
      <c r="DL481"/>
      <c r="DM481"/>
      <c r="DN481"/>
      <c r="DO481"/>
      <c r="DP481"/>
      <c r="DQ481"/>
      <c r="DR481"/>
      <c r="DS481"/>
      <c r="DT481"/>
      <c r="DU481"/>
      <c r="DV481"/>
      <c r="DW481"/>
      <c r="DX481"/>
      <c r="DY481"/>
      <c r="DZ481"/>
      <c r="EA481"/>
      <c r="EB481"/>
      <c r="EC481"/>
      <c r="ED481"/>
      <c r="EE481"/>
      <c r="EF481"/>
      <c r="EG481"/>
      <c r="EH481"/>
      <c r="EI481"/>
      <c r="EJ481"/>
      <c r="EK481"/>
      <c r="EL481"/>
      <c r="EM481"/>
      <c r="EN481"/>
      <c r="EO481"/>
    </row>
    <row r="482" spans="1:145" s="9" customFormat="1" x14ac:dyDescent="0.3">
      <c r="A482" s="2">
        <v>45261</v>
      </c>
      <c r="B482" s="3">
        <f t="shared" si="44"/>
        <v>12</v>
      </c>
      <c r="C482" s="3" t="s">
        <v>167</v>
      </c>
      <c r="D482" s="3" t="str">
        <f>VLOOKUP(C482,'Data availability'!$A$2:$B$91,2,FALSE)</f>
        <v>Main campus</v>
      </c>
      <c r="E482" s="3">
        <v>64072</v>
      </c>
      <c r="F482" s="3" t="str">
        <f>VLOOKUP(C482,'Data availability'!$A$2:$H$91,8,FALSE)</f>
        <v>Academic</v>
      </c>
      <c r="G482" s="260">
        <f>'Solar Data-Main Campus'!F48</f>
        <v>22091.848415010882</v>
      </c>
      <c r="H482" s="1"/>
      <c r="I482" s="1"/>
      <c r="J482" s="1">
        <v>6264.3266920684327</v>
      </c>
      <c r="K482" s="192">
        <f>'Climate Normalization'!D126</f>
        <v>6987.3749070784797</v>
      </c>
      <c r="L482" s="23"/>
      <c r="M482" s="21">
        <f t="shared" si="40"/>
        <v>1.1764481644402724</v>
      </c>
      <c r="N482" s="21">
        <f t="shared" si="41"/>
        <v>0</v>
      </c>
      <c r="O482" s="21">
        <f t="shared" si="42"/>
        <v>9.7770113186234742</v>
      </c>
      <c r="P482" s="21">
        <f t="shared" si="43"/>
        <v>1.3086605519562642</v>
      </c>
      <c r="Q482" s="1"/>
      <c r="R482" s="1"/>
      <c r="S482" s="1"/>
      <c r="T482" s="1"/>
      <c r="U482" s="1"/>
      <c r="V482" s="33"/>
      <c r="W482" s="1"/>
      <c r="X482" s="23"/>
      <c r="Y482" s="1"/>
      <c r="Z482" s="211" t="b">
        <f>IFERROR(INDEX(Outliers!$X$3:$X$61,MATCH('SkYSPark Data_w Will''s Data'!C482,Outliers!$B$3:$B$61,0)),0)</f>
        <v>0</v>
      </c>
      <c r="AA482" s="1" t="b">
        <f>IFERROR(INDEX(Outliers!$AP$3:$AP$61,MATCH('SkYSPark Data_w Will''s Data'!C482,Outliers!$B$3:$B$61,0)),0)</f>
        <v>1</v>
      </c>
      <c r="AB482" s="112" t="b">
        <f>IFERROR(INDEX(Outliers!$AY$3:$AY$61,MATCH('SkYSPark Data_w Will''s Data'!C482,Outliers!$B$3:$B$61,0)),0)</f>
        <v>0</v>
      </c>
      <c r="AC482" s="112" t="s">
        <v>392</v>
      </c>
      <c r="AD482" s="112"/>
      <c r="AE482" s="112"/>
      <c r="AF482" s="11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v>3732.7105403693249</v>
      </c>
      <c r="DB482">
        <v>2531.6161516991078</v>
      </c>
      <c r="DC482"/>
      <c r="DD482">
        <v>167020.412109375</v>
      </c>
      <c r="DE482"/>
      <c r="DF482"/>
      <c r="DG482"/>
      <c r="DH482"/>
      <c r="DI482"/>
      <c r="DJ482"/>
      <c r="DK482"/>
      <c r="DL482"/>
      <c r="DM482"/>
      <c r="DN482"/>
      <c r="DO482"/>
      <c r="DP482"/>
      <c r="DQ482"/>
      <c r="DR482"/>
      <c r="DS482"/>
      <c r="DT482"/>
      <c r="DU482"/>
      <c r="DV482"/>
      <c r="DW482"/>
      <c r="DX482"/>
      <c r="DY482"/>
      <c r="DZ482"/>
      <c r="EA482"/>
      <c r="EB482"/>
      <c r="EC482"/>
      <c r="ED482"/>
      <c r="EE482"/>
      <c r="EF482"/>
      <c r="EG482"/>
      <c r="EH482"/>
      <c r="EI482"/>
      <c r="EJ482"/>
      <c r="EK482"/>
      <c r="EL482"/>
      <c r="EM482"/>
      <c r="EN482"/>
      <c r="EO482"/>
    </row>
    <row r="483" spans="1:145" s="15" customFormat="1" x14ac:dyDescent="0.3">
      <c r="A483" s="36">
        <v>44927</v>
      </c>
      <c r="B483" s="3">
        <f t="shared" si="44"/>
        <v>1</v>
      </c>
      <c r="C483" s="42" t="s">
        <v>169</v>
      </c>
      <c r="D483" s="3" t="str">
        <f>VLOOKUP(C483,'Data availability'!$A$2:$B$91,2,FALSE)</f>
        <v>South Campus</v>
      </c>
      <c r="E483" s="42">
        <v>123650</v>
      </c>
      <c r="F483" s="3" t="str">
        <f>VLOOKUP(C483,'Data availability'!$A$2:$H$91,8,FALSE)</f>
        <v>Outdoor Athletics</v>
      </c>
      <c r="G483" s="1" cm="1">
        <f t="array" ref="G483">_xlfn._xlws.FILTER('Split meters'!$AD$35:$AD$106,('Split meters'!$A$35:$A$106='SkYSPark Data_w Will''s Data'!B483)*('Split meters'!$B$35:$B$106='SkYSPark Data_w Will''s Data'!C483))</f>
        <v>12520.872371463076</v>
      </c>
      <c r="H483" s="16"/>
      <c r="I483" s="16"/>
      <c r="J483" s="16"/>
      <c r="K483" s="16"/>
      <c r="L483" s="26"/>
      <c r="M483" s="21">
        <f t="shared" si="40"/>
        <v>0.34550114461327952</v>
      </c>
      <c r="N483" s="21">
        <f t="shared" si="41"/>
        <v>0</v>
      </c>
      <c r="O483" s="21">
        <f t="shared" si="42"/>
        <v>0</v>
      </c>
      <c r="P483" s="21">
        <f t="shared" si="43"/>
        <v>0</v>
      </c>
      <c r="Q483" s="16"/>
      <c r="R483" s="16"/>
      <c r="S483" s="16"/>
      <c r="T483" s="16"/>
      <c r="U483" s="16"/>
      <c r="V483" s="35"/>
      <c r="W483" s="16"/>
      <c r="X483" s="26"/>
      <c r="Y483" s="16"/>
      <c r="Z483" s="211" t="b">
        <f>IFERROR(INDEX(Outliers!$X$3:$X$61,MATCH('SkYSPark Data_w Will''s Data'!C483,Outliers!$B$3:$B$61,0)),0)</f>
        <v>0</v>
      </c>
      <c r="AA483" s="1" t="b">
        <f>IFERROR(INDEX(Outliers!$AP$3:$AP$61,MATCH('SkYSPark Data_w Will''s Data'!C483,Outliers!$B$3:$B$61,0)),0)</f>
        <v>1</v>
      </c>
      <c r="AB483" s="112" t="b">
        <f>IFERROR(INDEX(Outliers!$AY$3:$AY$61,MATCH('SkYSPark Data_w Will''s Data'!C483,Outliers!$B$3:$B$61,0)),0)</f>
        <v>1</v>
      </c>
      <c r="AC483" s="112"/>
      <c r="AD483" s="144"/>
      <c r="AE483" s="144"/>
      <c r="AF483" s="144"/>
      <c r="AG483" s="16">
        <v>2.628609304543859</v>
      </c>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c r="BN483" s="16"/>
      <c r="BO483" s="16"/>
      <c r="BP483" s="16"/>
      <c r="BQ483" s="16"/>
      <c r="BR483" s="16"/>
      <c r="BS483" s="16"/>
      <c r="BT483" s="16"/>
      <c r="BU483" s="16"/>
      <c r="BV483" s="16"/>
      <c r="BW483" s="16"/>
      <c r="BX483" s="16"/>
      <c r="BY483" s="16"/>
      <c r="BZ483" s="16"/>
      <c r="CA483" s="16"/>
      <c r="CB483" s="16"/>
      <c r="CC483" s="16"/>
      <c r="CD483" s="16"/>
      <c r="CE483" s="16"/>
      <c r="CF483" s="16"/>
      <c r="CG483" s="16"/>
      <c r="CH483" s="16"/>
      <c r="CI483" s="16"/>
      <c r="CJ483" s="16"/>
      <c r="CK483" s="16"/>
      <c r="CL483" s="16"/>
      <c r="CM483" s="16"/>
      <c r="CN483" s="16"/>
      <c r="CO483" s="16"/>
      <c r="CP483" s="16"/>
      <c r="CQ483" s="16"/>
      <c r="CR483" s="16"/>
      <c r="CS483" s="16"/>
      <c r="CT483" s="16"/>
      <c r="CU483" s="16"/>
      <c r="CV483" s="16"/>
      <c r="CW483" s="16"/>
      <c r="CX483" s="16"/>
      <c r="CY483" s="16"/>
      <c r="CZ483" s="16"/>
      <c r="DA483" s="16"/>
      <c r="DB483" s="16"/>
      <c r="DC483" s="16"/>
      <c r="DD483" s="16"/>
      <c r="DE483" s="16"/>
      <c r="DF483" s="16"/>
      <c r="DG483" s="16"/>
      <c r="DH483" s="16"/>
      <c r="DI483" s="16"/>
      <c r="DJ483" s="16"/>
      <c r="DK483" s="16"/>
      <c r="DL483" s="16"/>
      <c r="DM483" s="16"/>
      <c r="DN483" s="16"/>
      <c r="DO483" s="16"/>
      <c r="DP483" s="16"/>
      <c r="DQ483" s="16"/>
      <c r="DR483" s="16"/>
      <c r="DS483" s="16"/>
      <c r="DT483" s="16"/>
      <c r="DU483" s="16"/>
      <c r="DV483" s="16"/>
      <c r="DW483" s="16"/>
      <c r="DX483" s="16"/>
      <c r="DY483" s="16"/>
      <c r="DZ483" s="16"/>
      <c r="EA483" s="16"/>
      <c r="EB483" s="16"/>
      <c r="EC483" s="16"/>
      <c r="ED483" s="16"/>
      <c r="EE483" s="16"/>
      <c r="EF483" s="16"/>
      <c r="EG483" s="16"/>
      <c r="EH483" s="16"/>
      <c r="EI483" s="16"/>
      <c r="EJ483" s="16"/>
      <c r="EK483" s="16"/>
      <c r="EL483" s="16"/>
      <c r="EM483" s="16"/>
      <c r="EN483" s="16"/>
      <c r="EO483" s="16"/>
    </row>
    <row r="484" spans="1:145" x14ac:dyDescent="0.3">
      <c r="A484" s="13">
        <v>44958</v>
      </c>
      <c r="B484" s="3">
        <f t="shared" si="44"/>
        <v>2</v>
      </c>
      <c r="C484" s="6" t="s">
        <v>169</v>
      </c>
      <c r="D484" s="3" t="str">
        <f>VLOOKUP(C484,'Data availability'!$A$2:$B$91,2,FALSE)</f>
        <v>South Campus</v>
      </c>
      <c r="E484" s="6">
        <v>123650</v>
      </c>
      <c r="F484" s="3" t="str">
        <f>VLOOKUP(C484,'Data availability'!$A$2:$H$91,8,FALSE)</f>
        <v>Outdoor Athletics</v>
      </c>
      <c r="G484" s="1" cm="1">
        <f t="array" ref="G484">_xlfn._xlws.FILTER('Split meters'!$AD$35:$AD$106,('Split meters'!$A$35:$A$106='SkYSPark Data_w Will''s Data'!B484)*('Split meters'!$B$35:$B$106='SkYSPark Data_w Will''s Data'!C484))</f>
        <v>13518.581115222312</v>
      </c>
      <c r="H484" s="9"/>
      <c r="I484" s="9"/>
      <c r="J484" s="9"/>
      <c r="K484" s="9"/>
      <c r="L484" s="17"/>
      <c r="M484" s="21">
        <f t="shared" si="40"/>
        <v>0.37303193501931681</v>
      </c>
      <c r="N484" s="21">
        <f t="shared" si="41"/>
        <v>0</v>
      </c>
      <c r="O484" s="21">
        <f t="shared" si="42"/>
        <v>0</v>
      </c>
      <c r="P484" s="21">
        <f t="shared" si="43"/>
        <v>0</v>
      </c>
      <c r="Q484" s="9"/>
      <c r="R484" s="9"/>
      <c r="S484" s="9"/>
      <c r="T484" s="9"/>
      <c r="U484" s="9"/>
      <c r="V484" s="41"/>
      <c r="W484" s="9"/>
      <c r="X484" s="17"/>
      <c r="Y484" s="9"/>
      <c r="Z484" s="211" t="b">
        <f>IFERROR(INDEX(Outliers!$X$3:$X$61,MATCH('SkYSPark Data_w Will''s Data'!C484,Outliers!$B$3:$B$61,0)),0)</f>
        <v>0</v>
      </c>
      <c r="AA484" s="1" t="b">
        <f>IFERROR(INDEX(Outliers!$AP$3:$AP$61,MATCH('SkYSPark Data_w Will''s Data'!C484,Outliers!$B$3:$B$61,0)),0)</f>
        <v>1</v>
      </c>
      <c r="AB484" s="112" t="b">
        <f>IFERROR(INDEX(Outliers!$AY$3:$AY$61,MATCH('SkYSPark Data_w Will''s Data'!C484,Outliers!$B$3:$B$61,0)),0)</f>
        <v>1</v>
      </c>
      <c r="AD484" s="145"/>
      <c r="AE484" s="145"/>
      <c r="AF484" s="145"/>
      <c r="AG484" s="9">
        <v>3.6841289842550178</v>
      </c>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c r="CG484" s="9"/>
      <c r="CH484" s="9"/>
      <c r="CI484" s="9"/>
      <c r="CJ484" s="9"/>
      <c r="CK484" s="9"/>
      <c r="CL484" s="9"/>
      <c r="CM484" s="9"/>
      <c r="CN484" s="9"/>
      <c r="CO484" s="9"/>
      <c r="CP484" s="9"/>
      <c r="CQ484" s="9"/>
      <c r="CR484" s="9"/>
      <c r="CS484" s="9"/>
      <c r="CT484" s="9"/>
      <c r="CU484" s="9"/>
      <c r="CV484" s="9"/>
      <c r="CW484" s="9"/>
      <c r="CX484" s="9"/>
      <c r="CY484" s="9"/>
      <c r="CZ484" s="9"/>
      <c r="DA484" s="9"/>
      <c r="DB484" s="9"/>
      <c r="DC484" s="9"/>
      <c r="DD484" s="9"/>
      <c r="DE484" s="9"/>
      <c r="DF484" s="9"/>
      <c r="DG484" s="9"/>
      <c r="DH484" s="9"/>
      <c r="DI484" s="9"/>
      <c r="DJ484" s="9"/>
      <c r="DK484" s="9"/>
      <c r="DL484" s="9"/>
      <c r="DM484" s="9"/>
      <c r="DN484" s="9"/>
      <c r="DO484" s="9"/>
      <c r="DP484" s="9"/>
      <c r="DQ484" s="9"/>
      <c r="DR484" s="9"/>
      <c r="DS484" s="9"/>
      <c r="DT484" s="9"/>
      <c r="DU484" s="9"/>
      <c r="DV484" s="9"/>
      <c r="DW484" s="9"/>
      <c r="DX484" s="9"/>
      <c r="DY484" s="9"/>
      <c r="DZ484" s="9"/>
      <c r="EA484" s="9"/>
      <c r="EB484" s="9"/>
      <c r="EC484" s="9"/>
      <c r="ED484" s="9"/>
      <c r="EE484" s="9"/>
      <c r="EF484" s="9"/>
      <c r="EG484" s="9"/>
      <c r="EH484" s="9"/>
      <c r="EI484" s="9"/>
      <c r="EJ484" s="9"/>
      <c r="EK484" s="9"/>
      <c r="EL484" s="9"/>
      <c r="EM484" s="9"/>
      <c r="EN484" s="9"/>
      <c r="EO484" s="9"/>
    </row>
    <row r="485" spans="1:145" x14ac:dyDescent="0.3">
      <c r="A485" s="13">
        <v>44986</v>
      </c>
      <c r="B485" s="3">
        <f t="shared" si="44"/>
        <v>3</v>
      </c>
      <c r="C485" s="6" t="s">
        <v>169</v>
      </c>
      <c r="D485" s="3" t="str">
        <f>VLOOKUP(C485,'Data availability'!$A$2:$B$91,2,FALSE)</f>
        <v>South Campus</v>
      </c>
      <c r="E485" s="6">
        <v>123650</v>
      </c>
      <c r="F485" s="3" t="str">
        <f>VLOOKUP(C485,'Data availability'!$A$2:$H$91,8,FALSE)</f>
        <v>Outdoor Athletics</v>
      </c>
      <c r="G485" s="1" cm="1">
        <f t="array" ref="G485">_xlfn._xlws.FILTER('Split meters'!$AD$35:$AD$106,('Split meters'!$A$35:$A$106='SkYSPark Data_w Will''s Data'!B485)*('Split meters'!$B$35:$B$106='SkYSPark Data_w Will''s Data'!C485))</f>
        <v>15210.567112551322</v>
      </c>
      <c r="H485" s="9"/>
      <c r="I485" s="9"/>
      <c r="J485" s="9"/>
      <c r="K485" s="9"/>
      <c r="L485" s="17"/>
      <c r="M485" s="21">
        <f t="shared" si="40"/>
        <v>0.41972062262858961</v>
      </c>
      <c r="N485" s="21">
        <f t="shared" si="41"/>
        <v>0</v>
      </c>
      <c r="O485" s="21">
        <f t="shared" si="42"/>
        <v>0</v>
      </c>
      <c r="P485" s="21">
        <f t="shared" si="43"/>
        <v>0</v>
      </c>
      <c r="Q485" s="9"/>
      <c r="R485" s="9"/>
      <c r="S485" s="9"/>
      <c r="T485" s="9"/>
      <c r="U485" s="9"/>
      <c r="V485" s="41"/>
      <c r="W485" s="9"/>
      <c r="X485" s="17"/>
      <c r="Y485" s="9"/>
      <c r="Z485" s="211" t="b">
        <f>IFERROR(INDEX(Outliers!$X$3:$X$61,MATCH('SkYSPark Data_w Will''s Data'!C485,Outliers!$B$3:$B$61,0)),0)</f>
        <v>0</v>
      </c>
      <c r="AA485" s="1" t="b">
        <f>IFERROR(INDEX(Outliers!$AP$3:$AP$61,MATCH('SkYSPark Data_w Will''s Data'!C485,Outliers!$B$3:$B$61,0)),0)</f>
        <v>1</v>
      </c>
      <c r="AB485" s="112" t="b">
        <f>IFERROR(INDEX(Outliers!$AY$3:$AY$61,MATCH('SkYSPark Data_w Will''s Data'!C485,Outliers!$B$3:$B$61,0)),0)</f>
        <v>1</v>
      </c>
      <c r="AD485" s="145"/>
      <c r="AE485" s="145"/>
      <c r="AF485" s="145"/>
      <c r="AG485" s="9">
        <v>4.3676861740754784</v>
      </c>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c r="CJ485" s="9"/>
      <c r="CK485" s="9"/>
      <c r="CL485" s="9"/>
      <c r="CM485" s="9"/>
      <c r="CN485" s="9"/>
      <c r="CO485" s="9"/>
      <c r="CP485" s="9"/>
      <c r="CQ485" s="9"/>
      <c r="CR485" s="9"/>
      <c r="CS485" s="9"/>
      <c r="CT485" s="9"/>
      <c r="CU485" s="9"/>
      <c r="CV485" s="9"/>
      <c r="CW485" s="9"/>
      <c r="CX485" s="9"/>
      <c r="CY485" s="9"/>
      <c r="CZ485" s="9"/>
      <c r="DA485" s="9"/>
      <c r="DB485" s="9"/>
      <c r="DC485" s="9"/>
      <c r="DD485" s="9"/>
      <c r="DE485" s="9"/>
      <c r="DF485" s="9"/>
      <c r="DG485" s="9"/>
      <c r="DH485" s="9"/>
      <c r="DI485" s="9"/>
      <c r="DJ485" s="9"/>
      <c r="DK485" s="9"/>
      <c r="DL485" s="9"/>
      <c r="DM485" s="9"/>
      <c r="DN485" s="9"/>
      <c r="DO485" s="9"/>
      <c r="DP485" s="9"/>
      <c r="DQ485" s="9"/>
      <c r="DR485" s="9"/>
      <c r="DS485" s="9"/>
      <c r="DT485" s="9"/>
      <c r="DU485" s="9"/>
      <c r="DV485" s="9"/>
      <c r="DW485" s="9"/>
      <c r="DX485" s="9"/>
      <c r="DY485" s="9"/>
      <c r="DZ485" s="9"/>
      <c r="EA485" s="9"/>
      <c r="EB485" s="9"/>
      <c r="EC485" s="9"/>
      <c r="ED485" s="9"/>
      <c r="EE485" s="9"/>
      <c r="EF485" s="9"/>
      <c r="EG485" s="9"/>
      <c r="EH485" s="9"/>
      <c r="EI485" s="9"/>
      <c r="EJ485" s="9"/>
      <c r="EK485" s="9"/>
      <c r="EL485" s="9"/>
      <c r="EM485" s="9"/>
      <c r="EN485" s="9"/>
      <c r="EO485" s="9"/>
    </row>
    <row r="486" spans="1:145" x14ac:dyDescent="0.3">
      <c r="A486" s="13">
        <v>45017</v>
      </c>
      <c r="B486" s="3">
        <f t="shared" si="44"/>
        <v>4</v>
      </c>
      <c r="C486" s="6" t="s">
        <v>169</v>
      </c>
      <c r="D486" s="3" t="str">
        <f>VLOOKUP(C486,'Data availability'!$A$2:$B$91,2,FALSE)</f>
        <v>South Campus</v>
      </c>
      <c r="E486" s="6">
        <v>123650</v>
      </c>
      <c r="F486" s="3" t="str">
        <f>VLOOKUP(C486,'Data availability'!$A$2:$H$91,8,FALSE)</f>
        <v>Outdoor Athletics</v>
      </c>
      <c r="G486" s="1" cm="1">
        <f t="array" ref="G486">_xlfn._xlws.FILTER('Split meters'!$AD$35:$AD$106,('Split meters'!$A$35:$A$106='SkYSPark Data_w Will''s Data'!B486)*('Split meters'!$B$35:$B$106='SkYSPark Data_w Will''s Data'!C486))</f>
        <v>15992.323341641928</v>
      </c>
      <c r="H486" s="9"/>
      <c r="I486" s="9"/>
      <c r="J486" s="9"/>
      <c r="K486" s="9"/>
      <c r="L486" s="17"/>
      <c r="M486" s="21">
        <f t="shared" si="40"/>
        <v>0.44129241602654473</v>
      </c>
      <c r="N486" s="21">
        <f t="shared" si="41"/>
        <v>0</v>
      </c>
      <c r="O486" s="21">
        <f t="shared" si="42"/>
        <v>0</v>
      </c>
      <c r="P486" s="21">
        <f t="shared" si="43"/>
        <v>0</v>
      </c>
      <c r="Q486" s="9"/>
      <c r="R486" s="9"/>
      <c r="S486" s="9"/>
      <c r="T486" s="9"/>
      <c r="U486" s="9"/>
      <c r="V486" s="41"/>
      <c r="W486" s="9"/>
      <c r="X486" s="17"/>
      <c r="Y486" s="9"/>
      <c r="Z486" s="211" t="b">
        <f>IFERROR(INDEX(Outliers!$X$3:$X$61,MATCH('SkYSPark Data_w Will''s Data'!C486,Outliers!$B$3:$B$61,0)),0)</f>
        <v>0</v>
      </c>
      <c r="AA486" s="1" t="b">
        <f>IFERROR(INDEX(Outliers!$AP$3:$AP$61,MATCH('SkYSPark Data_w Will''s Data'!C486,Outliers!$B$3:$B$61,0)),0)</f>
        <v>1</v>
      </c>
      <c r="AB486" s="112" t="b">
        <f>IFERROR(INDEX(Outliers!$AY$3:$AY$61,MATCH('SkYSPark Data_w Will''s Data'!C486,Outliers!$B$3:$B$61,0)),0)</f>
        <v>1</v>
      </c>
      <c r="AD486" s="145"/>
      <c r="AE486" s="145"/>
      <c r="AF486" s="145"/>
      <c r="AG486" s="9">
        <v>3.4958204655025589</v>
      </c>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c r="CJ486" s="9"/>
      <c r="CK486" s="9"/>
      <c r="CL486" s="9"/>
      <c r="CM486" s="9"/>
      <c r="CN486" s="9"/>
      <c r="CO486" s="9"/>
      <c r="CP486" s="9"/>
      <c r="CQ486" s="9"/>
      <c r="CR486" s="9"/>
      <c r="CS486" s="9"/>
      <c r="CT486" s="9"/>
      <c r="CU486" s="9"/>
      <c r="CV486" s="9"/>
      <c r="CW486" s="9"/>
      <c r="CX486" s="9"/>
      <c r="CY486" s="9"/>
      <c r="CZ486" s="9"/>
      <c r="DA486" s="9"/>
      <c r="DB486" s="9"/>
      <c r="DC486" s="9"/>
      <c r="DD486" s="9"/>
      <c r="DE486" s="9"/>
      <c r="DF486" s="9"/>
      <c r="DG486" s="9"/>
      <c r="DH486" s="9"/>
      <c r="DI486" s="9"/>
      <c r="DJ486" s="9"/>
      <c r="DK486" s="9"/>
      <c r="DL486" s="9"/>
      <c r="DM486" s="9"/>
      <c r="DN486" s="9"/>
      <c r="DO486" s="9"/>
      <c r="DP486" s="9"/>
      <c r="DQ486" s="9"/>
      <c r="DR486" s="9"/>
      <c r="DS486" s="9"/>
      <c r="DT486" s="9"/>
      <c r="DU486" s="9"/>
      <c r="DV486" s="9"/>
      <c r="DW486" s="9"/>
      <c r="DX486" s="9"/>
      <c r="DY486" s="9"/>
      <c r="DZ486" s="9"/>
      <c r="EA486" s="9"/>
      <c r="EB486" s="9"/>
      <c r="EC486" s="9"/>
      <c r="ED486" s="9"/>
      <c r="EE486" s="9"/>
      <c r="EF486" s="9"/>
      <c r="EG486" s="9"/>
      <c r="EH486" s="9"/>
      <c r="EI486" s="9"/>
      <c r="EJ486" s="9"/>
      <c r="EK486" s="9"/>
      <c r="EL486" s="9"/>
      <c r="EM486" s="9"/>
      <c r="EN486" s="9"/>
      <c r="EO486" s="9"/>
    </row>
    <row r="487" spans="1:145" x14ac:dyDescent="0.3">
      <c r="A487" s="13">
        <v>45047</v>
      </c>
      <c r="B487" s="3">
        <f t="shared" si="44"/>
        <v>5</v>
      </c>
      <c r="C487" s="6" t="s">
        <v>169</v>
      </c>
      <c r="D487" s="3" t="str">
        <f>VLOOKUP(C487,'Data availability'!$A$2:$B$91,2,FALSE)</f>
        <v>South Campus</v>
      </c>
      <c r="E487" s="6">
        <v>123650</v>
      </c>
      <c r="F487" s="3" t="str">
        <f>VLOOKUP(C487,'Data availability'!$A$2:$H$91,8,FALSE)</f>
        <v>Outdoor Athletics</v>
      </c>
      <c r="G487" s="1" cm="1">
        <f t="array" ref="G487">_xlfn._xlws.FILTER('Split meters'!$AD$35:$AD$106,('Split meters'!$A$35:$A$106='SkYSPark Data_w Will''s Data'!B487)*('Split meters'!$B$35:$B$106='SkYSPark Data_w Will''s Data'!C487))</f>
        <v>36097.595943984881</v>
      </c>
      <c r="H487" s="9"/>
      <c r="I487" s="9"/>
      <c r="J487" s="9"/>
      <c r="K487" s="9"/>
      <c r="L487" s="17"/>
      <c r="M487" s="21">
        <f t="shared" si="40"/>
        <v>0.99607761715225562</v>
      </c>
      <c r="N487" s="21">
        <f t="shared" si="41"/>
        <v>0</v>
      </c>
      <c r="O487" s="21">
        <f t="shared" si="42"/>
        <v>0</v>
      </c>
      <c r="P487" s="21">
        <f t="shared" si="43"/>
        <v>0</v>
      </c>
      <c r="Q487" s="9"/>
      <c r="R487" s="9"/>
      <c r="S487" s="9"/>
      <c r="T487" s="9"/>
      <c r="U487" s="9"/>
      <c r="V487" s="41"/>
      <c r="W487" s="9"/>
      <c r="X487" s="17"/>
      <c r="Y487" s="9"/>
      <c r="Z487" s="211" t="b">
        <f>IFERROR(INDEX(Outliers!$X$3:$X$61,MATCH('SkYSPark Data_w Will''s Data'!C487,Outliers!$B$3:$B$61,0)),0)</f>
        <v>0</v>
      </c>
      <c r="AA487" s="1" t="b">
        <f>IFERROR(INDEX(Outliers!$AP$3:$AP$61,MATCH('SkYSPark Data_w Will''s Data'!C487,Outliers!$B$3:$B$61,0)),0)</f>
        <v>1</v>
      </c>
      <c r="AB487" s="112" t="b">
        <f>IFERROR(INDEX(Outliers!$AY$3:$AY$61,MATCH('SkYSPark Data_w Will''s Data'!C487,Outliers!$B$3:$B$61,0)),0)</f>
        <v>1</v>
      </c>
      <c r="AD487" s="145"/>
      <c r="AE487" s="145"/>
      <c r="AF487" s="145"/>
      <c r="AG487" s="9">
        <v>3.544744807022473</v>
      </c>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c r="CJ487" s="9"/>
      <c r="CK487" s="9"/>
      <c r="CL487" s="9"/>
      <c r="CM487" s="9"/>
      <c r="CN487" s="9"/>
      <c r="CO487" s="9"/>
      <c r="CP487" s="9"/>
      <c r="CQ487" s="9"/>
      <c r="CR487" s="9"/>
      <c r="CS487" s="9"/>
      <c r="CT487" s="9"/>
      <c r="CU487" s="9"/>
      <c r="CV487" s="9"/>
      <c r="CW487" s="9"/>
      <c r="CX487" s="9"/>
      <c r="CY487" s="9"/>
      <c r="CZ487" s="9"/>
      <c r="DA487" s="9"/>
      <c r="DB487" s="9"/>
      <c r="DC487" s="9"/>
      <c r="DD487" s="9"/>
      <c r="DE487" s="9"/>
      <c r="DF487" s="9"/>
      <c r="DG487" s="9"/>
      <c r="DH487" s="9"/>
      <c r="DI487" s="9"/>
      <c r="DJ487" s="9"/>
      <c r="DK487" s="9"/>
      <c r="DL487" s="9"/>
      <c r="DM487" s="9"/>
      <c r="DN487" s="9"/>
      <c r="DO487" s="9"/>
      <c r="DP487" s="9"/>
      <c r="DQ487" s="9"/>
      <c r="DR487" s="9"/>
      <c r="DS487" s="9"/>
      <c r="DT487" s="9"/>
      <c r="DU487" s="9"/>
      <c r="DV487" s="9"/>
      <c r="DW487" s="9"/>
      <c r="DX487" s="9"/>
      <c r="DY487" s="9"/>
      <c r="DZ487" s="9"/>
      <c r="EA487" s="9"/>
      <c r="EB487" s="9"/>
      <c r="EC487" s="9"/>
      <c r="ED487" s="9"/>
      <c r="EE487" s="9"/>
      <c r="EF487" s="9"/>
      <c r="EG487" s="9"/>
      <c r="EH487" s="9"/>
      <c r="EI487" s="9"/>
      <c r="EJ487" s="9"/>
      <c r="EK487" s="9"/>
      <c r="EL487" s="9"/>
      <c r="EM487" s="9"/>
      <c r="EN487" s="9"/>
      <c r="EO487" s="9"/>
    </row>
    <row r="488" spans="1:145" x14ac:dyDescent="0.3">
      <c r="A488" s="13">
        <v>45078</v>
      </c>
      <c r="B488" s="3">
        <f t="shared" si="44"/>
        <v>6</v>
      </c>
      <c r="C488" s="6" t="s">
        <v>169</v>
      </c>
      <c r="D488" s="3" t="str">
        <f>VLOOKUP(C488,'Data availability'!$A$2:$B$91,2,FALSE)</f>
        <v>South Campus</v>
      </c>
      <c r="E488" s="6">
        <v>123650</v>
      </c>
      <c r="F488" s="3" t="str">
        <f>VLOOKUP(C488,'Data availability'!$A$2:$H$91,8,FALSE)</f>
        <v>Outdoor Athletics</v>
      </c>
      <c r="G488" s="1" cm="1">
        <f t="array" ref="G488">_xlfn._xlws.FILTER('Split meters'!$AD$35:$AD$106,('Split meters'!$A$35:$A$106='SkYSPark Data_w Will''s Data'!B488)*('Split meters'!$B$35:$B$106='SkYSPark Data_w Will''s Data'!C488))</f>
        <v>19079.956629904951</v>
      </c>
      <c r="H488" s="9"/>
      <c r="I488" s="9"/>
      <c r="J488" s="9"/>
      <c r="K488" s="9"/>
      <c r="L488" s="17"/>
      <c r="M488" s="21">
        <f t="shared" ref="M488:M551" si="45">IFERROR((G488*3.412)/E488,0)</f>
        <v>0.52649261642730039</v>
      </c>
      <c r="N488" s="21">
        <f t="shared" ref="N488:N551" si="46">IFERROR((I488*100)/E488,0)</f>
        <v>0</v>
      </c>
      <c r="O488" s="21">
        <f t="shared" ref="O488:O551" si="47">IFERROR((J488*100)/E488,0)</f>
        <v>0</v>
      </c>
      <c r="P488" s="21">
        <f t="shared" ref="P488:P551" si="48">IFERROR((K488*12)/E488,0)</f>
        <v>0</v>
      </c>
      <c r="Q488" s="9"/>
      <c r="R488" s="9"/>
      <c r="S488" s="9"/>
      <c r="T488" s="9"/>
      <c r="U488" s="9"/>
      <c r="V488" s="41"/>
      <c r="W488" s="9"/>
      <c r="X488" s="17"/>
      <c r="Y488" s="9"/>
      <c r="Z488" s="211" t="b">
        <f>IFERROR(INDEX(Outliers!$X$3:$X$61,MATCH('SkYSPark Data_w Will''s Data'!C488,Outliers!$B$3:$B$61,0)),0)</f>
        <v>0</v>
      </c>
      <c r="AA488" s="1" t="b">
        <f>IFERROR(INDEX(Outliers!$AP$3:$AP$61,MATCH('SkYSPark Data_w Will''s Data'!C488,Outliers!$B$3:$B$61,0)),0)</f>
        <v>1</v>
      </c>
      <c r="AB488" s="112" t="b">
        <f>IFERROR(INDEX(Outliers!$AY$3:$AY$61,MATCH('SkYSPark Data_w Will''s Data'!C488,Outliers!$B$3:$B$61,0)),0)</f>
        <v>1</v>
      </c>
      <c r="AD488" s="145"/>
      <c r="AE488" s="145"/>
      <c r="AF488" s="145"/>
      <c r="AG488" s="9">
        <v>1.9794564077434009</v>
      </c>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c r="CJ488" s="9"/>
      <c r="CK488" s="9"/>
      <c r="CL488" s="9"/>
      <c r="CM488" s="9"/>
      <c r="CN488" s="9"/>
      <c r="CO488" s="9"/>
      <c r="CP488" s="9"/>
      <c r="CQ488" s="9"/>
      <c r="CR488" s="9"/>
      <c r="CS488" s="9"/>
      <c r="CT488" s="9"/>
      <c r="CU488" s="9"/>
      <c r="CV488" s="9"/>
      <c r="CW488" s="9"/>
      <c r="CX488" s="9"/>
      <c r="CY488" s="9"/>
      <c r="CZ488" s="9"/>
      <c r="DA488" s="9"/>
      <c r="DB488" s="9"/>
      <c r="DC488" s="9"/>
      <c r="DD488" s="9"/>
      <c r="DE488" s="9"/>
      <c r="DF488" s="9"/>
      <c r="DG488" s="9"/>
      <c r="DH488" s="9"/>
      <c r="DI488" s="9"/>
      <c r="DJ488" s="9"/>
      <c r="DK488" s="9"/>
      <c r="DL488" s="9"/>
      <c r="DM488" s="9"/>
      <c r="DN488" s="9"/>
      <c r="DO488" s="9"/>
      <c r="DP488" s="9"/>
      <c r="DQ488" s="9"/>
      <c r="DR488" s="9"/>
      <c r="DS488" s="9"/>
      <c r="DT488" s="9"/>
      <c r="DU488" s="9"/>
      <c r="DV488" s="9"/>
      <c r="DW488" s="9"/>
      <c r="DX488" s="9"/>
      <c r="DY488" s="9"/>
      <c r="DZ488" s="9"/>
      <c r="EA488" s="9"/>
      <c r="EB488" s="9"/>
      <c r="EC488" s="9"/>
      <c r="ED488" s="9"/>
      <c r="EE488" s="9"/>
      <c r="EF488" s="9"/>
      <c r="EG488" s="9"/>
      <c r="EH488" s="9"/>
      <c r="EI488" s="9"/>
      <c r="EJ488" s="9"/>
      <c r="EK488" s="9"/>
      <c r="EL488" s="9"/>
      <c r="EM488" s="9"/>
      <c r="EN488" s="9"/>
      <c r="EO488" s="9"/>
    </row>
    <row r="489" spans="1:145" x14ac:dyDescent="0.3">
      <c r="A489" s="13">
        <v>45108</v>
      </c>
      <c r="B489" s="3">
        <f t="shared" si="44"/>
        <v>7</v>
      </c>
      <c r="C489" s="6" t="s">
        <v>169</v>
      </c>
      <c r="D489" s="3" t="str">
        <f>VLOOKUP(C489,'Data availability'!$A$2:$B$91,2,FALSE)</f>
        <v>South Campus</v>
      </c>
      <c r="E489" s="6">
        <v>123650</v>
      </c>
      <c r="F489" s="3" t="str">
        <f>VLOOKUP(C489,'Data availability'!$A$2:$H$91,8,FALSE)</f>
        <v>Outdoor Athletics</v>
      </c>
      <c r="G489" s="1" cm="1">
        <f t="array" ref="G489">_xlfn._xlws.FILTER('Split meters'!$AD$35:$AD$106,('Split meters'!$A$35:$A$106='SkYSPark Data_w Will''s Data'!B489)*('Split meters'!$B$35:$B$106='SkYSPark Data_w Will''s Data'!C489))</f>
        <v>18349.18883525865</v>
      </c>
      <c r="H489" s="9"/>
      <c r="I489" s="9"/>
      <c r="J489" s="9"/>
      <c r="K489" s="9"/>
      <c r="L489" s="17"/>
      <c r="M489" s="21">
        <f t="shared" si="45"/>
        <v>0.50632779867288724</v>
      </c>
      <c r="N489" s="21">
        <f t="shared" si="46"/>
        <v>0</v>
      </c>
      <c r="O489" s="21">
        <f t="shared" si="47"/>
        <v>0</v>
      </c>
      <c r="P489" s="21">
        <f t="shared" si="48"/>
        <v>0</v>
      </c>
      <c r="Q489" s="9"/>
      <c r="R489" s="9"/>
      <c r="S489" s="9"/>
      <c r="T489" s="9"/>
      <c r="U489" s="9"/>
      <c r="V489" s="41"/>
      <c r="W489" s="9"/>
      <c r="X489" s="17"/>
      <c r="Y489" s="9"/>
      <c r="Z489" s="211" t="b">
        <f>IFERROR(INDEX(Outliers!$X$3:$X$61,MATCH('SkYSPark Data_w Will''s Data'!C489,Outliers!$B$3:$B$61,0)),0)</f>
        <v>0</v>
      </c>
      <c r="AA489" s="1" t="b">
        <f>IFERROR(INDEX(Outliers!$AP$3:$AP$61,MATCH('SkYSPark Data_w Will''s Data'!C489,Outliers!$B$3:$B$61,0)),0)</f>
        <v>1</v>
      </c>
      <c r="AB489" s="112" t="b">
        <f>IFERROR(INDEX(Outliers!$AY$3:$AY$61,MATCH('SkYSPark Data_w Will''s Data'!C489,Outliers!$B$3:$B$61,0)),0)</f>
        <v>1</v>
      </c>
      <c r="AD489" s="145"/>
      <c r="AE489" s="145"/>
      <c r="AF489" s="145"/>
      <c r="AG489" s="9">
        <v>2.8281125295467411</v>
      </c>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c r="CJ489" s="9"/>
      <c r="CK489" s="9"/>
      <c r="CL489" s="9"/>
      <c r="CM489" s="9"/>
      <c r="CN489" s="9"/>
      <c r="CO489" s="9"/>
      <c r="CP489" s="9"/>
      <c r="CQ489" s="9"/>
      <c r="CR489" s="9"/>
      <c r="CS489" s="9"/>
      <c r="CT489" s="9"/>
      <c r="CU489" s="9"/>
      <c r="CV489" s="9"/>
      <c r="CW489" s="9"/>
      <c r="CX489" s="9"/>
      <c r="CY489" s="9"/>
      <c r="CZ489" s="9"/>
      <c r="DA489" s="9"/>
      <c r="DB489" s="9"/>
      <c r="DC489" s="9"/>
      <c r="DD489" s="9"/>
      <c r="DE489" s="9"/>
      <c r="DF489" s="9"/>
      <c r="DG489" s="9"/>
      <c r="DH489" s="9"/>
      <c r="DI489" s="9"/>
      <c r="DJ489" s="9"/>
      <c r="DK489" s="9"/>
      <c r="DL489" s="9"/>
      <c r="DM489" s="9"/>
      <c r="DN489" s="9"/>
      <c r="DO489" s="9"/>
      <c r="DP489" s="9"/>
      <c r="DQ489" s="9"/>
      <c r="DR489" s="9"/>
      <c r="DS489" s="9"/>
      <c r="DT489" s="9"/>
      <c r="DU489" s="9"/>
      <c r="DV489" s="9"/>
      <c r="DW489" s="9"/>
      <c r="DX489" s="9"/>
      <c r="DY489" s="9"/>
      <c r="DZ489" s="9"/>
      <c r="EA489" s="9"/>
      <c r="EB489" s="9"/>
      <c r="EC489" s="9"/>
      <c r="ED489" s="9"/>
      <c r="EE489" s="9"/>
      <c r="EF489" s="9"/>
      <c r="EG489" s="9"/>
      <c r="EH489" s="9"/>
      <c r="EI489" s="9"/>
      <c r="EJ489" s="9"/>
      <c r="EK489" s="9"/>
      <c r="EL489" s="9"/>
      <c r="EM489" s="9"/>
      <c r="EN489" s="9"/>
      <c r="EO489" s="9"/>
    </row>
    <row r="490" spans="1:145" x14ac:dyDescent="0.3">
      <c r="A490" s="13">
        <v>45139</v>
      </c>
      <c r="B490" s="3">
        <f t="shared" si="44"/>
        <v>8</v>
      </c>
      <c r="C490" s="6" t="s">
        <v>169</v>
      </c>
      <c r="D490" s="3" t="str">
        <f>VLOOKUP(C490,'Data availability'!$A$2:$B$91,2,FALSE)</f>
        <v>South Campus</v>
      </c>
      <c r="E490" s="6">
        <v>123650</v>
      </c>
      <c r="F490" s="3" t="str">
        <f>VLOOKUP(C490,'Data availability'!$A$2:$H$91,8,FALSE)</f>
        <v>Outdoor Athletics</v>
      </c>
      <c r="G490" s="1" cm="1">
        <f t="array" ref="G490">_xlfn._xlws.FILTER('Split meters'!$AD$35:$AD$106,('Split meters'!$A$35:$A$106='SkYSPark Data_w Will''s Data'!B490)*('Split meters'!$B$35:$B$106='SkYSPark Data_w Will''s Data'!C490))</f>
        <v>19720.227600428756</v>
      </c>
      <c r="H490" s="9"/>
      <c r="I490" s="9"/>
      <c r="J490" s="9"/>
      <c r="K490" s="9"/>
      <c r="L490" s="17"/>
      <c r="M490" s="21">
        <f t="shared" si="45"/>
        <v>0.54416026342630741</v>
      </c>
      <c r="N490" s="21">
        <f t="shared" si="46"/>
        <v>0</v>
      </c>
      <c r="O490" s="21">
        <f t="shared" si="47"/>
        <v>0</v>
      </c>
      <c r="P490" s="21">
        <f t="shared" si="48"/>
        <v>0</v>
      </c>
      <c r="Q490" s="9"/>
      <c r="R490" s="9"/>
      <c r="S490" s="9"/>
      <c r="T490" s="9"/>
      <c r="U490" s="9"/>
      <c r="V490" s="41"/>
      <c r="W490" s="9"/>
      <c r="X490" s="17"/>
      <c r="Y490" s="9"/>
      <c r="Z490" s="211" t="b">
        <f>IFERROR(INDEX(Outliers!$X$3:$X$61,MATCH('SkYSPark Data_w Will''s Data'!C490,Outliers!$B$3:$B$61,0)),0)</f>
        <v>0</v>
      </c>
      <c r="AA490" s="1" t="b">
        <f>IFERROR(INDEX(Outliers!$AP$3:$AP$61,MATCH('SkYSPark Data_w Will''s Data'!C490,Outliers!$B$3:$B$61,0)),0)</f>
        <v>1</v>
      </c>
      <c r="AB490" s="112" t="b">
        <f>IFERROR(INDEX(Outliers!$AY$3:$AY$61,MATCH('SkYSPark Data_w Will''s Data'!C490,Outliers!$B$3:$B$61,0)),0)</f>
        <v>1</v>
      </c>
      <c r="AD490" s="145"/>
      <c r="AE490" s="145"/>
      <c r="AF490" s="145"/>
      <c r="AG490" s="9">
        <v>2.9286330181683899</v>
      </c>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c r="CJ490" s="9"/>
      <c r="CK490" s="9"/>
      <c r="CL490" s="9"/>
      <c r="CM490" s="9"/>
      <c r="CN490" s="9"/>
      <c r="CO490" s="9"/>
      <c r="CP490" s="9"/>
      <c r="CQ490" s="9"/>
      <c r="CR490" s="9"/>
      <c r="CS490" s="9"/>
      <c r="CT490" s="9"/>
      <c r="CU490" s="9"/>
      <c r="CV490" s="9"/>
      <c r="CW490" s="9"/>
      <c r="CX490" s="9"/>
      <c r="CY490" s="9"/>
      <c r="CZ490" s="9"/>
      <c r="DA490" s="9"/>
      <c r="DB490" s="9"/>
      <c r="DC490" s="9"/>
      <c r="DD490" s="9"/>
      <c r="DE490" s="9"/>
      <c r="DF490" s="9"/>
      <c r="DG490" s="9"/>
      <c r="DH490" s="9"/>
      <c r="DI490" s="9"/>
      <c r="DJ490" s="9"/>
      <c r="DK490" s="9"/>
      <c r="DL490" s="9"/>
      <c r="DM490" s="9"/>
      <c r="DN490" s="9"/>
      <c r="DO490" s="9"/>
      <c r="DP490" s="9"/>
      <c r="DQ490" s="9"/>
      <c r="DR490" s="9"/>
      <c r="DS490" s="9"/>
      <c r="DT490" s="9"/>
      <c r="DU490" s="9"/>
      <c r="DV490" s="9"/>
      <c r="DW490" s="9"/>
      <c r="DX490" s="9"/>
      <c r="DY490" s="9"/>
      <c r="DZ490" s="9"/>
      <c r="EA490" s="9"/>
      <c r="EB490" s="9"/>
      <c r="EC490" s="9"/>
      <c r="ED490" s="9"/>
      <c r="EE490" s="9"/>
      <c r="EF490" s="9"/>
      <c r="EG490" s="9"/>
      <c r="EH490" s="9"/>
      <c r="EI490" s="9"/>
      <c r="EJ490" s="9"/>
      <c r="EK490" s="9"/>
      <c r="EL490" s="9"/>
      <c r="EM490" s="9"/>
      <c r="EN490" s="9"/>
      <c r="EO490" s="9"/>
    </row>
    <row r="491" spans="1:145" x14ac:dyDescent="0.3">
      <c r="A491" s="13">
        <v>45170</v>
      </c>
      <c r="B491" s="3">
        <f t="shared" si="44"/>
        <v>9</v>
      </c>
      <c r="C491" s="6" t="s">
        <v>169</v>
      </c>
      <c r="D491" s="3" t="str">
        <f>VLOOKUP(C491,'Data availability'!$A$2:$B$91,2,FALSE)</f>
        <v>South Campus</v>
      </c>
      <c r="E491" s="6">
        <v>123650</v>
      </c>
      <c r="F491" s="3" t="str">
        <f>VLOOKUP(C491,'Data availability'!$A$2:$H$91,8,FALSE)</f>
        <v>Outdoor Athletics</v>
      </c>
      <c r="G491" s="1" cm="1">
        <f t="array" ref="G491">_xlfn._xlws.FILTER('Split meters'!$AD$35:$AD$106,('Split meters'!$A$35:$A$106='SkYSPark Data_w Will''s Data'!B491)*('Split meters'!$B$35:$B$106='SkYSPark Data_w Will''s Data'!C491))</f>
        <v>17564.454651480271</v>
      </c>
      <c r="H491" s="9"/>
      <c r="I491" s="9"/>
      <c r="J491" s="9"/>
      <c r="K491" s="9"/>
      <c r="L491" s="17"/>
      <c r="M491" s="21">
        <f t="shared" si="45"/>
        <v>0.48467383154751864</v>
      </c>
      <c r="N491" s="21">
        <f t="shared" si="46"/>
        <v>0</v>
      </c>
      <c r="O491" s="21">
        <f t="shared" si="47"/>
        <v>0</v>
      </c>
      <c r="P491" s="21">
        <f t="shared" si="48"/>
        <v>0</v>
      </c>
      <c r="Q491" s="9"/>
      <c r="R491" s="9"/>
      <c r="S491" s="9"/>
      <c r="T491" s="9"/>
      <c r="U491" s="9"/>
      <c r="V491" s="41"/>
      <c r="W491" s="9"/>
      <c r="X491" s="17"/>
      <c r="Y491" s="9"/>
      <c r="Z491" s="211" t="b">
        <f>IFERROR(INDEX(Outliers!$X$3:$X$61,MATCH('SkYSPark Data_w Will''s Data'!C491,Outliers!$B$3:$B$61,0)),0)</f>
        <v>0</v>
      </c>
      <c r="AA491" s="1" t="b">
        <f>IFERROR(INDEX(Outliers!$AP$3:$AP$61,MATCH('SkYSPark Data_w Will''s Data'!C491,Outliers!$B$3:$B$61,0)),0)</f>
        <v>1</v>
      </c>
      <c r="AB491" s="112" t="b">
        <f>IFERROR(INDEX(Outliers!$AY$3:$AY$61,MATCH('SkYSPark Data_w Will''s Data'!C491,Outliers!$B$3:$B$61,0)),0)</f>
        <v>1</v>
      </c>
      <c r="AD491" s="145"/>
      <c r="AE491" s="145"/>
      <c r="AF491" s="145"/>
      <c r="AG491" s="9">
        <v>2.5334076388888889</v>
      </c>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c r="CJ491" s="9"/>
      <c r="CK491" s="9"/>
      <c r="CL491" s="9"/>
      <c r="CM491" s="9"/>
      <c r="CN491" s="9"/>
      <c r="CO491" s="9"/>
      <c r="CP491" s="9"/>
      <c r="CQ491" s="9"/>
      <c r="CR491" s="9"/>
      <c r="CS491" s="9"/>
      <c r="CT491" s="9"/>
      <c r="CU491" s="9"/>
      <c r="CV491" s="9"/>
      <c r="CW491" s="9"/>
      <c r="CX491" s="9"/>
      <c r="CY491" s="9"/>
      <c r="CZ491" s="9"/>
      <c r="DA491" s="9"/>
      <c r="DB491" s="9"/>
      <c r="DC491" s="9"/>
      <c r="DD491" s="9"/>
      <c r="DE491" s="9"/>
      <c r="DF491" s="9"/>
      <c r="DG491" s="9"/>
      <c r="DH491" s="9"/>
      <c r="DI491" s="9"/>
      <c r="DJ491" s="9"/>
      <c r="DK491" s="9"/>
      <c r="DL491" s="9"/>
      <c r="DM491" s="9"/>
      <c r="DN491" s="9"/>
      <c r="DO491" s="9"/>
      <c r="DP491" s="9"/>
      <c r="DQ491" s="9"/>
      <c r="DR491" s="9"/>
      <c r="DS491" s="9"/>
      <c r="DT491" s="9"/>
      <c r="DU491" s="9"/>
      <c r="DV491" s="9"/>
      <c r="DW491" s="9"/>
      <c r="DX491" s="9"/>
      <c r="DY491" s="9"/>
      <c r="DZ491" s="9"/>
      <c r="EA491" s="9"/>
      <c r="EB491" s="9"/>
      <c r="EC491" s="9"/>
      <c r="ED491" s="9"/>
      <c r="EE491" s="9"/>
      <c r="EF491" s="9"/>
      <c r="EG491" s="9"/>
      <c r="EH491" s="9"/>
      <c r="EI491" s="9"/>
      <c r="EJ491" s="9"/>
      <c r="EK491" s="9"/>
      <c r="EL491" s="9"/>
      <c r="EM491" s="9"/>
      <c r="EN491" s="9"/>
      <c r="EO491" s="9"/>
    </row>
    <row r="492" spans="1:145" x14ac:dyDescent="0.3">
      <c r="A492" s="13">
        <v>45200</v>
      </c>
      <c r="B492" s="3">
        <f t="shared" si="44"/>
        <v>10</v>
      </c>
      <c r="C492" s="6" t="s">
        <v>169</v>
      </c>
      <c r="D492" s="3" t="str">
        <f>VLOOKUP(C492,'Data availability'!$A$2:$B$91,2,FALSE)</f>
        <v>South Campus</v>
      </c>
      <c r="E492" s="6">
        <v>123650</v>
      </c>
      <c r="F492" s="3" t="str">
        <f>VLOOKUP(C492,'Data availability'!$A$2:$H$91,8,FALSE)</f>
        <v>Outdoor Athletics</v>
      </c>
      <c r="G492" s="1" cm="1">
        <f t="array" ref="G492">_xlfn._xlws.FILTER('Split meters'!$AD$35:$AD$106,('Split meters'!$A$35:$A$106='SkYSPark Data_w Will''s Data'!B492)*('Split meters'!$B$35:$B$106='SkYSPark Data_w Will''s Data'!C492))</f>
        <v>17602.257106293077</v>
      </c>
      <c r="H492" s="9"/>
      <c r="I492" s="9"/>
      <c r="J492" s="9"/>
      <c r="K492" s="9"/>
      <c r="L492" s="17"/>
      <c r="M492" s="21">
        <f t="shared" si="45"/>
        <v>0.48571695306649393</v>
      </c>
      <c r="N492" s="21">
        <f t="shared" si="46"/>
        <v>0</v>
      </c>
      <c r="O492" s="21">
        <f t="shared" si="47"/>
        <v>0</v>
      </c>
      <c r="P492" s="21">
        <f t="shared" si="48"/>
        <v>0</v>
      </c>
      <c r="Q492" s="9"/>
      <c r="R492" s="9"/>
      <c r="S492" s="9"/>
      <c r="T492" s="9"/>
      <c r="U492" s="9"/>
      <c r="V492" s="41"/>
      <c r="W492" s="9"/>
      <c r="X492" s="17"/>
      <c r="Y492" s="9"/>
      <c r="Z492" s="211" t="b">
        <f>IFERROR(INDEX(Outliers!$X$3:$X$61,MATCH('SkYSPark Data_w Will''s Data'!C492,Outliers!$B$3:$B$61,0)),0)</f>
        <v>0</v>
      </c>
      <c r="AA492" s="1" t="b">
        <f>IFERROR(INDEX(Outliers!$AP$3:$AP$61,MATCH('SkYSPark Data_w Will''s Data'!C492,Outliers!$B$3:$B$61,0)),0)</f>
        <v>1</v>
      </c>
      <c r="AB492" s="112" t="b">
        <f>IFERROR(INDEX(Outliers!$AY$3:$AY$61,MATCH('SkYSPark Data_w Will''s Data'!C492,Outliers!$B$3:$B$61,0)),0)</f>
        <v>1</v>
      </c>
      <c r="AD492" s="145"/>
      <c r="AE492" s="145"/>
      <c r="AF492" s="145"/>
      <c r="AG492" s="9">
        <v>4.0137464373042357</v>
      </c>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c r="CJ492" s="9"/>
      <c r="CK492" s="9"/>
      <c r="CL492" s="9"/>
      <c r="CM492" s="9"/>
      <c r="CN492" s="9"/>
      <c r="CO492" s="9"/>
      <c r="CP492" s="9"/>
      <c r="CQ492" s="9"/>
      <c r="CR492" s="9"/>
      <c r="CS492" s="9"/>
      <c r="CT492" s="9"/>
      <c r="CU492" s="9"/>
      <c r="CV492" s="9"/>
      <c r="CW492" s="9"/>
      <c r="CX492" s="9"/>
      <c r="CY492" s="9"/>
      <c r="CZ492" s="9"/>
      <c r="DA492" s="9"/>
      <c r="DB492" s="9"/>
      <c r="DC492" s="9"/>
      <c r="DD492" s="9"/>
      <c r="DE492" s="9"/>
      <c r="DF492" s="9"/>
      <c r="DG492" s="9"/>
      <c r="DH492" s="9"/>
      <c r="DI492" s="9"/>
      <c r="DJ492" s="9"/>
      <c r="DK492" s="9"/>
      <c r="DL492" s="9"/>
      <c r="DM492" s="9"/>
      <c r="DN492" s="9"/>
      <c r="DO492" s="9"/>
      <c r="DP492" s="9"/>
      <c r="DQ492" s="9"/>
      <c r="DR492" s="9"/>
      <c r="DS492" s="9"/>
      <c r="DT492" s="9"/>
      <c r="DU492" s="9"/>
      <c r="DV492" s="9"/>
      <c r="DW492" s="9"/>
      <c r="DX492" s="9"/>
      <c r="DY492" s="9"/>
      <c r="DZ492" s="9"/>
      <c r="EA492" s="9"/>
      <c r="EB492" s="9"/>
      <c r="EC492" s="9"/>
      <c r="ED492" s="9"/>
      <c r="EE492" s="9"/>
      <c r="EF492" s="9"/>
      <c r="EG492" s="9"/>
      <c r="EH492" s="9"/>
      <c r="EI492" s="9"/>
      <c r="EJ492" s="9"/>
      <c r="EK492" s="9"/>
      <c r="EL492" s="9"/>
      <c r="EM492" s="9"/>
      <c r="EN492" s="9"/>
      <c r="EO492" s="9"/>
    </row>
    <row r="493" spans="1:145" x14ac:dyDescent="0.3">
      <c r="A493" s="13">
        <v>45231</v>
      </c>
      <c r="B493" s="3">
        <f t="shared" si="44"/>
        <v>11</v>
      </c>
      <c r="C493" s="6" t="s">
        <v>169</v>
      </c>
      <c r="D493" s="3" t="str">
        <f>VLOOKUP(C493,'Data availability'!$A$2:$B$91,2,FALSE)</f>
        <v>South Campus</v>
      </c>
      <c r="E493" s="6">
        <v>123650</v>
      </c>
      <c r="F493" s="3" t="str">
        <f>VLOOKUP(C493,'Data availability'!$A$2:$H$91,8,FALSE)</f>
        <v>Outdoor Athletics</v>
      </c>
      <c r="G493" s="1" cm="1">
        <f t="array" ref="G493">_xlfn._xlws.FILTER('Split meters'!$AD$35:$AD$106,('Split meters'!$A$35:$A$106='SkYSPark Data_w Will''s Data'!B493)*('Split meters'!$B$35:$B$106='SkYSPark Data_w Will''s Data'!C493))</f>
        <v>15038.790509629358</v>
      </c>
      <c r="H493" s="9"/>
      <c r="I493" s="9"/>
      <c r="J493" s="9"/>
      <c r="K493" s="9"/>
      <c r="L493" s="17"/>
      <c r="M493" s="21">
        <f t="shared" si="45"/>
        <v>0.41498061640804984</v>
      </c>
      <c r="N493" s="21">
        <f t="shared" si="46"/>
        <v>0</v>
      </c>
      <c r="O493" s="21">
        <f t="shared" si="47"/>
        <v>0</v>
      </c>
      <c r="P493" s="21">
        <f t="shared" si="48"/>
        <v>0</v>
      </c>
      <c r="Q493" s="9"/>
      <c r="R493" s="9"/>
      <c r="S493" s="9"/>
      <c r="T493" s="9"/>
      <c r="U493" s="9"/>
      <c r="V493" s="41"/>
      <c r="W493" s="9"/>
      <c r="X493" s="17"/>
      <c r="Y493" s="9"/>
      <c r="Z493" s="211" t="b">
        <f>IFERROR(INDEX(Outliers!$X$3:$X$61,MATCH('SkYSPark Data_w Will''s Data'!C493,Outliers!$B$3:$B$61,0)),0)</f>
        <v>0</v>
      </c>
      <c r="AA493" s="1" t="b">
        <f>IFERROR(INDEX(Outliers!$AP$3:$AP$61,MATCH('SkYSPark Data_w Will''s Data'!C493,Outliers!$B$3:$B$61,0)),0)</f>
        <v>1</v>
      </c>
      <c r="AB493" s="112" t="b">
        <f>IFERROR(INDEX(Outliers!$AY$3:$AY$61,MATCH('SkYSPark Data_w Will''s Data'!C493,Outliers!$B$3:$B$61,0)),0)</f>
        <v>1</v>
      </c>
      <c r="AD493" s="145"/>
      <c r="AE493" s="145"/>
      <c r="AF493" s="145"/>
      <c r="AG493" s="9">
        <v>3.035779592412621</v>
      </c>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c r="CJ493" s="9"/>
      <c r="CK493" s="9"/>
      <c r="CL493" s="9"/>
      <c r="CM493" s="9"/>
      <c r="CN493" s="9"/>
      <c r="CO493" s="9"/>
      <c r="CP493" s="9"/>
      <c r="CQ493" s="9"/>
      <c r="CR493" s="9"/>
      <c r="CS493" s="9"/>
      <c r="CT493" s="9"/>
      <c r="CU493" s="9"/>
      <c r="CV493" s="9"/>
      <c r="CW493" s="9"/>
      <c r="CX493" s="9"/>
      <c r="CY493" s="9"/>
      <c r="CZ493" s="9"/>
      <c r="DA493" s="9"/>
      <c r="DB493" s="9"/>
      <c r="DC493" s="9"/>
      <c r="DD493" s="9"/>
      <c r="DE493" s="9"/>
      <c r="DF493" s="9"/>
      <c r="DG493" s="9"/>
      <c r="DH493" s="9"/>
      <c r="DI493" s="9"/>
      <c r="DJ493" s="9"/>
      <c r="DK493" s="9"/>
      <c r="DL493" s="9"/>
      <c r="DM493" s="9"/>
      <c r="DN493" s="9"/>
      <c r="DO493" s="9"/>
      <c r="DP493" s="9"/>
      <c r="DQ493" s="9"/>
      <c r="DR493" s="9"/>
      <c r="DS493" s="9"/>
      <c r="DT493" s="9"/>
      <c r="DU493" s="9"/>
      <c r="DV493" s="9"/>
      <c r="DW493" s="9"/>
      <c r="DX493" s="9"/>
      <c r="DY493" s="9"/>
      <c r="DZ493" s="9"/>
      <c r="EA493" s="9"/>
      <c r="EB493" s="9"/>
      <c r="EC493" s="9"/>
      <c r="ED493" s="9"/>
      <c r="EE493" s="9"/>
      <c r="EF493" s="9"/>
      <c r="EG493" s="9"/>
      <c r="EH493" s="9"/>
      <c r="EI493" s="9"/>
      <c r="EJ493" s="9"/>
      <c r="EK493" s="9"/>
      <c r="EL493" s="9"/>
      <c r="EM493" s="9"/>
      <c r="EN493" s="9"/>
      <c r="EO493" s="9"/>
    </row>
    <row r="494" spans="1:145" x14ac:dyDescent="0.3">
      <c r="A494" s="13">
        <v>45261</v>
      </c>
      <c r="B494" s="3">
        <f t="shared" si="44"/>
        <v>12</v>
      </c>
      <c r="C494" s="6" t="s">
        <v>169</v>
      </c>
      <c r="D494" s="3" t="str">
        <f>VLOOKUP(C494,'Data availability'!$A$2:$B$91,2,FALSE)</f>
        <v>South Campus</v>
      </c>
      <c r="E494" s="6">
        <v>123650</v>
      </c>
      <c r="F494" s="3" t="str">
        <f>VLOOKUP(C494,'Data availability'!$A$2:$H$91,8,FALSE)</f>
        <v>Outdoor Athletics</v>
      </c>
      <c r="G494" s="1" cm="1">
        <f t="array" ref="G494">_xlfn._xlws.FILTER('Split meters'!$AD$35:$AD$106,('Split meters'!$A$35:$A$106='SkYSPark Data_w Will''s Data'!B494)*('Split meters'!$B$35:$B$106='SkYSPark Data_w Will''s Data'!C494))</f>
        <v>12772.771276782354</v>
      </c>
      <c r="H494" s="9"/>
      <c r="I494" s="9"/>
      <c r="J494" s="9"/>
      <c r="K494" s="9"/>
      <c r="L494" s="17"/>
      <c r="M494" s="21">
        <f t="shared" si="45"/>
        <v>0.35245204687732623</v>
      </c>
      <c r="N494" s="21">
        <f t="shared" si="46"/>
        <v>0</v>
      </c>
      <c r="O494" s="21">
        <f t="shared" si="47"/>
        <v>0</v>
      </c>
      <c r="P494" s="21">
        <f t="shared" si="48"/>
        <v>0</v>
      </c>
      <c r="Q494" s="9"/>
      <c r="R494" s="9"/>
      <c r="S494" s="9"/>
      <c r="T494" s="9"/>
      <c r="U494" s="9"/>
      <c r="V494" s="41"/>
      <c r="W494" s="9"/>
      <c r="X494" s="17"/>
      <c r="Y494" s="9"/>
      <c r="Z494" s="211" t="b">
        <f>IFERROR(INDEX(Outliers!$X$3:$X$61,MATCH('SkYSPark Data_w Will''s Data'!C494,Outliers!$B$3:$B$61,0)),0)</f>
        <v>0</v>
      </c>
      <c r="AA494" s="1" t="b">
        <f>IFERROR(INDEX(Outliers!$AP$3:$AP$61,MATCH('SkYSPark Data_w Will''s Data'!C494,Outliers!$B$3:$B$61,0)),0)</f>
        <v>1</v>
      </c>
      <c r="AB494" s="112" t="b">
        <f>IFERROR(INDEX(Outliers!$AY$3:$AY$61,MATCH('SkYSPark Data_w Will''s Data'!C494,Outliers!$B$3:$B$61,0)),0)</f>
        <v>1</v>
      </c>
      <c r="AD494" s="145"/>
      <c r="AE494" s="145"/>
      <c r="AF494" s="145"/>
      <c r="AG494" s="9">
        <v>2.5624739854318159</v>
      </c>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c r="CG494" s="9"/>
      <c r="CH494" s="9"/>
      <c r="CI494" s="9"/>
      <c r="CJ494" s="9"/>
      <c r="CK494" s="9"/>
      <c r="CL494" s="9"/>
      <c r="CM494" s="9"/>
      <c r="CN494" s="9"/>
      <c r="CO494" s="9"/>
      <c r="CP494" s="9"/>
      <c r="CQ494" s="9"/>
      <c r="CR494" s="9"/>
      <c r="CS494" s="9"/>
      <c r="CT494" s="9"/>
      <c r="CU494" s="9"/>
      <c r="CV494" s="9"/>
      <c r="CW494" s="9"/>
      <c r="CX494" s="9"/>
      <c r="CY494" s="9"/>
      <c r="CZ494" s="9"/>
      <c r="DA494" s="9"/>
      <c r="DB494" s="9"/>
      <c r="DC494" s="9"/>
      <c r="DD494" s="9"/>
      <c r="DE494" s="9"/>
      <c r="DF494" s="9"/>
      <c r="DG494" s="9"/>
      <c r="DH494" s="9"/>
      <c r="DI494" s="9"/>
      <c r="DJ494" s="9"/>
      <c r="DK494" s="9"/>
      <c r="DL494" s="9"/>
      <c r="DM494" s="9"/>
      <c r="DN494" s="9"/>
      <c r="DO494" s="9"/>
      <c r="DP494" s="9"/>
      <c r="DQ494" s="9"/>
      <c r="DR494" s="9"/>
      <c r="DS494" s="9"/>
      <c r="DT494" s="9"/>
      <c r="DU494" s="9"/>
      <c r="DV494" s="9"/>
      <c r="DW494" s="9"/>
      <c r="DX494" s="9"/>
      <c r="DY494" s="9"/>
      <c r="DZ494" s="9"/>
      <c r="EA494" s="9"/>
      <c r="EB494" s="9"/>
      <c r="EC494" s="9"/>
      <c r="ED494" s="9"/>
      <c r="EE494" s="9"/>
      <c r="EF494" s="9"/>
      <c r="EG494" s="9"/>
      <c r="EH494" s="9"/>
      <c r="EI494" s="9"/>
      <c r="EJ494" s="9"/>
      <c r="EK494" s="9"/>
      <c r="EL494" s="9"/>
      <c r="EM494" s="9"/>
      <c r="EN494" s="9"/>
      <c r="EO494" s="9"/>
    </row>
    <row r="495" spans="1:145" s="15" customFormat="1" x14ac:dyDescent="0.3">
      <c r="A495" s="38">
        <v>44927</v>
      </c>
      <c r="B495" s="3">
        <f t="shared" si="44"/>
        <v>1</v>
      </c>
      <c r="C495" s="22" t="s">
        <v>170</v>
      </c>
      <c r="D495" s="3" t="str">
        <f>VLOOKUP(C495,'Data availability'!$A$2:$B$91,2,FALSE)</f>
        <v>Main campus</v>
      </c>
      <c r="E495" s="22">
        <v>110140</v>
      </c>
      <c r="F495" s="3" t="str">
        <f>VLOOKUP(C495,'Data availability'!$A$2:$H$91,8,FALSE)</f>
        <v>Athletics</v>
      </c>
      <c r="G495" s="21">
        <v>173779.6839826862</v>
      </c>
      <c r="H495" s="21"/>
      <c r="I495" s="21"/>
      <c r="J495" s="21">
        <v>15316.19030303054</v>
      </c>
      <c r="K495" s="21">
        <v>25195.844396969555</v>
      </c>
      <c r="L495" s="20"/>
      <c r="M495" s="21">
        <f t="shared" si="45"/>
        <v>5.3834781346370555</v>
      </c>
      <c r="N495" s="21">
        <f t="shared" si="46"/>
        <v>0</v>
      </c>
      <c r="O495" s="21">
        <f t="shared" si="47"/>
        <v>13.906110680071309</v>
      </c>
      <c r="P495" s="21">
        <f t="shared" si="48"/>
        <v>2.7451437512587131</v>
      </c>
      <c r="Q495" s="21">
        <f>(SUM(G495:G506)*3.412)/E495</f>
        <v>60.293091399438083</v>
      </c>
      <c r="R495" s="21">
        <f>(SUM(I495:I506)*100)/E495</f>
        <v>0</v>
      </c>
      <c r="S495" s="21">
        <f>(SUM(J495:J506)*100)/E495</f>
        <v>66.565200991461992</v>
      </c>
      <c r="T495" s="21">
        <f>(SUM(K495:K506)*12)/E495</f>
        <v>42.403103452579323</v>
      </c>
      <c r="U495" s="21"/>
      <c r="V495" s="34">
        <f>SUM(Q495:T495)</f>
        <v>169.26139584347939</v>
      </c>
      <c r="W495" s="19" t="s">
        <v>559</v>
      </c>
      <c r="X495" s="20"/>
      <c r="Y495" s="21" t="s">
        <v>450</v>
      </c>
      <c r="Z495" s="211" t="b">
        <f>IFERROR(INDEX(Outliers!$X$3:$X$61,MATCH('SkYSPark Data_w Will''s Data'!C495,Outliers!$B$3:$B$61,0)),0)</f>
        <v>0</v>
      </c>
      <c r="AA495" s="1" t="b">
        <f>IFERROR(INDEX(Outliers!$AP$3:$AP$61,MATCH('SkYSPark Data_w Will''s Data'!C495,Outliers!$B$3:$B$61,0)),0)</f>
        <v>0</v>
      </c>
      <c r="AB495" s="112" t="b">
        <f>IFERROR(INDEX(Outliers!$AY$3:$AY$61,MATCH('SkYSPark Data_w Will''s Data'!C495,Outliers!$B$3:$B$61,0)),0)</f>
        <v>0</v>
      </c>
      <c r="AC495" s="112" t="s">
        <v>392</v>
      </c>
      <c r="AD495" s="138"/>
      <c r="AE495" s="138"/>
      <c r="AF495" s="137"/>
      <c r="DK495" s="15">
        <v>25195.844396969551</v>
      </c>
    </row>
    <row r="496" spans="1:145" x14ac:dyDescent="0.3">
      <c r="A496" s="2">
        <v>44958</v>
      </c>
      <c r="B496" s="3">
        <f t="shared" si="44"/>
        <v>2</v>
      </c>
      <c r="C496" s="3" t="s">
        <v>170</v>
      </c>
      <c r="D496" s="3" t="str">
        <f>VLOOKUP(C496,'Data availability'!$A$2:$B$91,2,FALSE)</f>
        <v>Main campus</v>
      </c>
      <c r="E496" s="3">
        <v>110140</v>
      </c>
      <c r="F496" s="3" t="str">
        <f>VLOOKUP(C496,'Data availability'!$A$2:$H$91,8,FALSE)</f>
        <v>Athletics</v>
      </c>
      <c r="G496" s="1">
        <v>159582.71428571569</v>
      </c>
      <c r="J496" s="1">
        <v>14262.960000000099</v>
      </c>
      <c r="K496" s="1">
        <v>24879.044400000097</v>
      </c>
      <c r="M496" s="21">
        <f t="shared" si="45"/>
        <v>4.9436736984098593</v>
      </c>
      <c r="N496" s="21">
        <f t="shared" si="46"/>
        <v>0</v>
      </c>
      <c r="O496" s="21">
        <f t="shared" si="47"/>
        <v>12.94984565098974</v>
      </c>
      <c r="P496" s="21">
        <f t="shared" si="48"/>
        <v>2.7106276811331136</v>
      </c>
      <c r="W496" s="10" t="s">
        <v>209</v>
      </c>
      <c r="Z496" s="211" t="b">
        <f>IFERROR(INDEX(Outliers!$X$3:$X$61,MATCH('SkYSPark Data_w Will''s Data'!C496,Outliers!$B$3:$B$61,0)),0)</f>
        <v>0</v>
      </c>
      <c r="AA496" s="1" t="b">
        <f>IFERROR(INDEX(Outliers!$AP$3:$AP$61,MATCH('SkYSPark Data_w Will''s Data'!C496,Outliers!$B$3:$B$61,0)),0)</f>
        <v>0</v>
      </c>
      <c r="AB496" s="112" t="b">
        <f>IFERROR(INDEX(Outliers!$AY$3:$AY$61,MATCH('SkYSPark Data_w Will''s Data'!C496,Outliers!$B$3:$B$61,0)),0)</f>
        <v>0</v>
      </c>
      <c r="AC496" s="112" t="s">
        <v>392</v>
      </c>
      <c r="AF496" s="132"/>
      <c r="DK496">
        <v>24879.044400000101</v>
      </c>
    </row>
    <row r="497" spans="1:115" x14ac:dyDescent="0.3">
      <c r="A497" s="2">
        <v>44986</v>
      </c>
      <c r="B497" s="3">
        <f t="shared" si="44"/>
        <v>3</v>
      </c>
      <c r="C497" s="3" t="s">
        <v>170</v>
      </c>
      <c r="D497" s="3" t="str">
        <f>VLOOKUP(C497,'Data availability'!$A$2:$B$91,2,FALSE)</f>
        <v>Main campus</v>
      </c>
      <c r="E497" s="3">
        <v>110140</v>
      </c>
      <c r="F497" s="3" t="str">
        <f>VLOOKUP(C497,'Data availability'!$A$2:$H$91,8,FALSE)</f>
        <v>Athletics</v>
      </c>
      <c r="G497" s="1">
        <v>160708.37800252557</v>
      </c>
      <c r="J497" s="1">
        <v>14067.93945638424</v>
      </c>
      <c r="K497" s="1">
        <v>16787.493230088774</v>
      </c>
      <c r="M497" s="21">
        <f t="shared" si="45"/>
        <v>4.9785453581316252</v>
      </c>
      <c r="N497" s="21">
        <f t="shared" si="46"/>
        <v>0</v>
      </c>
      <c r="O497" s="21">
        <f t="shared" si="47"/>
        <v>12.772779604489051</v>
      </c>
      <c r="P497" s="21">
        <f t="shared" si="48"/>
        <v>1.8290350350559768</v>
      </c>
      <c r="W497" s="25" t="s">
        <v>91</v>
      </c>
      <c r="Z497" s="211" t="b">
        <f>IFERROR(INDEX(Outliers!$X$3:$X$61,MATCH('SkYSPark Data_w Will''s Data'!C497,Outliers!$B$3:$B$61,0)),0)</f>
        <v>0</v>
      </c>
      <c r="AA497" s="1" t="b">
        <f>IFERROR(INDEX(Outliers!$AP$3:$AP$61,MATCH('SkYSPark Data_w Will''s Data'!C497,Outliers!$B$3:$B$61,0)),0)</f>
        <v>0</v>
      </c>
      <c r="AB497" s="112" t="b">
        <f>IFERROR(INDEX(Outliers!$AY$3:$AY$61,MATCH('SkYSPark Data_w Will''s Data'!C497,Outliers!$B$3:$B$61,0)),0)</f>
        <v>0</v>
      </c>
      <c r="AC497" s="112" t="s">
        <v>392</v>
      </c>
      <c r="AF497" s="132"/>
      <c r="DK497">
        <v>16787.49323008877</v>
      </c>
    </row>
    <row r="498" spans="1:115" x14ac:dyDescent="0.3">
      <c r="A498" s="2">
        <v>45017</v>
      </c>
      <c r="B498" s="3">
        <f t="shared" si="44"/>
        <v>4</v>
      </c>
      <c r="C498" s="3" t="s">
        <v>170</v>
      </c>
      <c r="D498" s="3" t="str">
        <f>VLOOKUP(C498,'Data availability'!$A$2:$B$91,2,FALSE)</f>
        <v>Main campus</v>
      </c>
      <c r="E498" s="3">
        <v>110140</v>
      </c>
      <c r="F498" s="3" t="str">
        <f>VLOOKUP(C498,'Data availability'!$A$2:$H$91,8,FALSE)</f>
        <v>Athletics</v>
      </c>
      <c r="G498" s="1">
        <v>140557.05056889867</v>
      </c>
      <c r="J498" s="1">
        <v>7323.0605436157084</v>
      </c>
      <c r="K498" s="1">
        <v>20839.866469911489</v>
      </c>
      <c r="M498" s="21">
        <f t="shared" si="45"/>
        <v>4.3542823364906686</v>
      </c>
      <c r="N498" s="21">
        <f t="shared" si="46"/>
        <v>0</v>
      </c>
      <c r="O498" s="21">
        <f t="shared" si="47"/>
        <v>6.6488655743741676</v>
      </c>
      <c r="P498" s="21">
        <f t="shared" si="48"/>
        <v>2.2705501873882139</v>
      </c>
      <c r="Z498" s="211" t="b">
        <f>IFERROR(INDEX(Outliers!$X$3:$X$61,MATCH('SkYSPark Data_w Will''s Data'!C498,Outliers!$B$3:$B$61,0)),0)</f>
        <v>0</v>
      </c>
      <c r="AA498" s="1" t="b">
        <f>IFERROR(INDEX(Outliers!$AP$3:$AP$61,MATCH('SkYSPark Data_w Will''s Data'!C498,Outliers!$B$3:$B$61,0)),0)</f>
        <v>0</v>
      </c>
      <c r="AB498" s="112" t="b">
        <f>IFERROR(INDEX(Outliers!$AY$3:$AY$61,MATCH('SkYSPark Data_w Will''s Data'!C498,Outliers!$B$3:$B$61,0)),0)</f>
        <v>0</v>
      </c>
      <c r="AC498" s="112" t="s">
        <v>392</v>
      </c>
      <c r="AF498" s="132"/>
      <c r="DK498">
        <v>20839.866469911489</v>
      </c>
    </row>
    <row r="499" spans="1:115" x14ac:dyDescent="0.3">
      <c r="A499" s="2">
        <v>45047</v>
      </c>
      <c r="B499" s="3">
        <f t="shared" si="44"/>
        <v>5</v>
      </c>
      <c r="C499" s="3" t="s">
        <v>170</v>
      </c>
      <c r="D499" s="3" t="str">
        <f>VLOOKUP(C499,'Data availability'!$A$2:$B$91,2,FALSE)</f>
        <v>Main campus</v>
      </c>
      <c r="E499" s="3">
        <v>110140</v>
      </c>
      <c r="F499" s="3" t="str">
        <f>VLOOKUP(C499,'Data availability'!$A$2:$H$91,8,FALSE)</f>
        <v>Athletics</v>
      </c>
      <c r="G499" s="1">
        <v>147382.71428571417</v>
      </c>
      <c r="J499" s="1">
        <v>0</v>
      </c>
      <c r="K499" s="1">
        <v>25230.736999999717</v>
      </c>
      <c r="M499" s="21">
        <f t="shared" si="45"/>
        <v>4.5657328957949588</v>
      </c>
      <c r="N499" s="21">
        <f t="shared" si="46"/>
        <v>0</v>
      </c>
      <c r="O499" s="21">
        <f t="shared" si="47"/>
        <v>0</v>
      </c>
      <c r="P499" s="21">
        <f t="shared" si="48"/>
        <v>2.7489453786090121</v>
      </c>
      <c r="Z499" s="211" t="b">
        <f>IFERROR(INDEX(Outliers!$X$3:$X$61,MATCH('SkYSPark Data_w Will''s Data'!C499,Outliers!$B$3:$B$61,0)),0)</f>
        <v>0</v>
      </c>
      <c r="AA499" s="1" t="b">
        <f>IFERROR(INDEX(Outliers!$AP$3:$AP$61,MATCH('SkYSPark Data_w Will''s Data'!C499,Outliers!$B$3:$B$61,0)),0)</f>
        <v>0</v>
      </c>
      <c r="AB499" s="112" t="b">
        <f>IFERROR(INDEX(Outliers!$AY$3:$AY$61,MATCH('SkYSPark Data_w Will''s Data'!C499,Outliers!$B$3:$B$61,0)),0)</f>
        <v>0</v>
      </c>
      <c r="AC499" s="112" t="s">
        <v>392</v>
      </c>
      <c r="AF499" s="132"/>
      <c r="DK499">
        <v>25230.736999999721</v>
      </c>
    </row>
    <row r="500" spans="1:115" x14ac:dyDescent="0.3">
      <c r="A500" s="2">
        <v>45078</v>
      </c>
      <c r="B500" s="3">
        <f t="shared" si="44"/>
        <v>6</v>
      </c>
      <c r="C500" s="3" t="s">
        <v>170</v>
      </c>
      <c r="D500" s="3" t="str">
        <f>VLOOKUP(C500,'Data availability'!$A$2:$B$91,2,FALSE)</f>
        <v>Main campus</v>
      </c>
      <c r="E500" s="3">
        <v>110140</v>
      </c>
      <c r="F500" s="3" t="str">
        <f>VLOOKUP(C500,'Data availability'!$A$2:$H$91,8,FALSE)</f>
        <v>Athletics</v>
      </c>
      <c r="G500" s="1">
        <v>151770.71428571301</v>
      </c>
      <c r="J500" s="1">
        <v>8.5714285714284574E-3</v>
      </c>
      <c r="K500" s="1">
        <v>23053.346399999878</v>
      </c>
      <c r="M500" s="21">
        <f t="shared" si="45"/>
        <v>4.7016676697190194</v>
      </c>
      <c r="N500" s="21">
        <f t="shared" si="46"/>
        <v>0</v>
      </c>
      <c r="O500" s="21">
        <f t="shared" si="47"/>
        <v>7.7823030428803872E-6</v>
      </c>
      <c r="P500" s="21">
        <f t="shared" si="48"/>
        <v>2.5117137897221586</v>
      </c>
      <c r="Z500" s="211" t="b">
        <f>IFERROR(INDEX(Outliers!$X$3:$X$61,MATCH('SkYSPark Data_w Will''s Data'!C500,Outliers!$B$3:$B$61,0)),0)</f>
        <v>0</v>
      </c>
      <c r="AA500" s="1" t="b">
        <f>IFERROR(INDEX(Outliers!$AP$3:$AP$61,MATCH('SkYSPark Data_w Will''s Data'!C500,Outliers!$B$3:$B$61,0)),0)</f>
        <v>0</v>
      </c>
      <c r="AB500" s="112" t="b">
        <f>IFERROR(INDEX(Outliers!$AY$3:$AY$61,MATCH('SkYSPark Data_w Will''s Data'!C500,Outliers!$B$3:$B$61,0)),0)</f>
        <v>0</v>
      </c>
      <c r="AC500" s="112" t="s">
        <v>392</v>
      </c>
      <c r="AF500" s="132"/>
      <c r="DK500">
        <v>23053.346399999878</v>
      </c>
    </row>
    <row r="501" spans="1:115" x14ac:dyDescent="0.3">
      <c r="A501" s="2">
        <v>45108</v>
      </c>
      <c r="B501" s="3">
        <f t="shared" si="44"/>
        <v>7</v>
      </c>
      <c r="C501" s="3" t="s">
        <v>170</v>
      </c>
      <c r="D501" s="3" t="str">
        <f>VLOOKUP(C501,'Data availability'!$A$2:$B$91,2,FALSE)</f>
        <v>Main campus</v>
      </c>
      <c r="E501" s="3">
        <v>110140</v>
      </c>
      <c r="F501" s="3" t="str">
        <f>VLOOKUP(C501,'Data availability'!$A$2:$H$91,8,FALSE)</f>
        <v>Athletics</v>
      </c>
      <c r="G501" s="1">
        <v>159050.28571428411</v>
      </c>
      <c r="J501" s="1">
        <v>1.142857142857154E-2</v>
      </c>
      <c r="K501" s="1">
        <v>45534.874000000702</v>
      </c>
      <c r="M501" s="21">
        <f t="shared" si="45"/>
        <v>4.9271797245064226</v>
      </c>
      <c r="N501" s="21">
        <f t="shared" si="46"/>
        <v>0</v>
      </c>
      <c r="O501" s="21">
        <f t="shared" si="47"/>
        <v>1.0376404057174087E-5</v>
      </c>
      <c r="P501" s="21">
        <f t="shared" si="48"/>
        <v>4.9611266388233917</v>
      </c>
      <c r="Z501" s="211" t="b">
        <f>IFERROR(INDEX(Outliers!$X$3:$X$61,MATCH('SkYSPark Data_w Will''s Data'!C501,Outliers!$B$3:$B$61,0)),0)</f>
        <v>0</v>
      </c>
      <c r="AA501" s="1" t="b">
        <f>IFERROR(INDEX(Outliers!$AP$3:$AP$61,MATCH('SkYSPark Data_w Will''s Data'!C501,Outliers!$B$3:$B$61,0)),0)</f>
        <v>0</v>
      </c>
      <c r="AB501" s="112" t="b">
        <f>IFERROR(INDEX(Outliers!$AY$3:$AY$61,MATCH('SkYSPark Data_w Will''s Data'!C501,Outliers!$B$3:$B$61,0)),0)</f>
        <v>0</v>
      </c>
      <c r="AC501" s="112" t="s">
        <v>392</v>
      </c>
      <c r="AF501" s="132"/>
      <c r="DK501">
        <v>45534.874000000702</v>
      </c>
    </row>
    <row r="502" spans="1:115" x14ac:dyDescent="0.3">
      <c r="A502" s="2">
        <v>45139</v>
      </c>
      <c r="B502" s="3">
        <f t="shared" si="44"/>
        <v>8</v>
      </c>
      <c r="C502" s="3" t="s">
        <v>170</v>
      </c>
      <c r="D502" s="3" t="str">
        <f>VLOOKUP(C502,'Data availability'!$A$2:$B$91,2,FALSE)</f>
        <v>Main campus</v>
      </c>
      <c r="E502" s="3">
        <v>110140</v>
      </c>
      <c r="F502" s="3" t="str">
        <f>VLOOKUP(C502,'Data availability'!$A$2:$H$91,8,FALSE)</f>
        <v>Athletics</v>
      </c>
      <c r="G502" s="1">
        <v>154454</v>
      </c>
      <c r="J502" s="1">
        <v>0</v>
      </c>
      <c r="K502" s="1">
        <v>68025.750239998597</v>
      </c>
      <c r="M502" s="21">
        <f t="shared" si="45"/>
        <v>4.7847925186126741</v>
      </c>
      <c r="N502" s="21">
        <f t="shared" si="46"/>
        <v>0</v>
      </c>
      <c r="O502" s="21">
        <f t="shared" si="47"/>
        <v>0</v>
      </c>
      <c r="P502" s="21">
        <f t="shared" si="48"/>
        <v>7.4115580432175703</v>
      </c>
      <c r="Z502" s="211" t="b">
        <f>IFERROR(INDEX(Outliers!$X$3:$X$61,MATCH('SkYSPark Data_w Will''s Data'!C502,Outliers!$B$3:$B$61,0)),0)</f>
        <v>0</v>
      </c>
      <c r="AA502" s="1" t="b">
        <f>IFERROR(INDEX(Outliers!$AP$3:$AP$61,MATCH('SkYSPark Data_w Will''s Data'!C502,Outliers!$B$3:$B$61,0)),0)</f>
        <v>0</v>
      </c>
      <c r="AB502" s="112" t="b">
        <f>IFERROR(INDEX(Outliers!$AY$3:$AY$61,MATCH('SkYSPark Data_w Will''s Data'!C502,Outliers!$B$3:$B$61,0)),0)</f>
        <v>0</v>
      </c>
      <c r="AC502" s="112" t="s">
        <v>392</v>
      </c>
      <c r="AF502" s="132"/>
      <c r="DK502">
        <v>68025.750239998597</v>
      </c>
    </row>
    <row r="503" spans="1:115" x14ac:dyDescent="0.3">
      <c r="A503" s="2">
        <v>45170</v>
      </c>
      <c r="B503" s="3">
        <f t="shared" si="44"/>
        <v>9</v>
      </c>
      <c r="C503" s="3" t="s">
        <v>170</v>
      </c>
      <c r="D503" s="3" t="str">
        <f>VLOOKUP(C503,'Data availability'!$A$2:$B$91,2,FALSE)</f>
        <v>Main campus</v>
      </c>
      <c r="E503" s="3">
        <v>110140</v>
      </c>
      <c r="F503" s="3" t="str">
        <f>VLOOKUP(C503,'Data availability'!$A$2:$H$91,8,FALSE)</f>
        <v>Athletics</v>
      </c>
      <c r="G503" s="1">
        <v>176071.42857142762</v>
      </c>
      <c r="J503" s="1">
        <v>0</v>
      </c>
      <c r="K503" s="1">
        <v>72539.286960000842</v>
      </c>
      <c r="M503" s="21">
        <f t="shared" si="45"/>
        <v>5.45447352719912</v>
      </c>
      <c r="N503" s="21">
        <f t="shared" si="46"/>
        <v>0</v>
      </c>
      <c r="O503" s="21">
        <f t="shared" si="47"/>
        <v>0</v>
      </c>
      <c r="P503" s="21">
        <f t="shared" si="48"/>
        <v>7.9033179909207378</v>
      </c>
      <c r="Z503" s="211" t="b">
        <f>IFERROR(INDEX(Outliers!$X$3:$X$61,MATCH('SkYSPark Data_w Will''s Data'!C503,Outliers!$B$3:$B$61,0)),0)</f>
        <v>0</v>
      </c>
      <c r="AA503" s="1" t="b">
        <f>IFERROR(INDEX(Outliers!$AP$3:$AP$61,MATCH('SkYSPark Data_w Will''s Data'!C503,Outliers!$B$3:$B$61,0)),0)</f>
        <v>0</v>
      </c>
      <c r="AB503" s="112" t="b">
        <f>IFERROR(INDEX(Outliers!$AY$3:$AY$61,MATCH('SkYSPark Data_w Will''s Data'!C503,Outliers!$B$3:$B$61,0)),0)</f>
        <v>0</v>
      </c>
      <c r="AC503" s="112" t="s">
        <v>392</v>
      </c>
      <c r="AF503" s="132"/>
      <c r="DK503">
        <v>72539.286960000842</v>
      </c>
    </row>
    <row r="504" spans="1:115" x14ac:dyDescent="0.3">
      <c r="A504" s="2">
        <v>45200</v>
      </c>
      <c r="B504" s="3">
        <f t="shared" si="44"/>
        <v>10</v>
      </c>
      <c r="C504" s="3" t="s">
        <v>170</v>
      </c>
      <c r="D504" s="3" t="str">
        <f>VLOOKUP(C504,'Data availability'!$A$2:$B$91,2,FALSE)</f>
        <v>Main campus</v>
      </c>
      <c r="E504" s="3">
        <v>110140</v>
      </c>
      <c r="F504" s="3" t="str">
        <f>VLOOKUP(C504,'Data availability'!$A$2:$H$91,8,FALSE)</f>
        <v>Athletics</v>
      </c>
      <c r="G504" s="1">
        <v>186196.07142856912</v>
      </c>
      <c r="J504" s="95">
        <v>40.570000000000093</v>
      </c>
      <c r="K504" s="1">
        <v>37976.017800000045</v>
      </c>
      <c r="M504" s="21">
        <f t="shared" si="45"/>
        <v>5.7681223507742674</v>
      </c>
      <c r="N504" s="21">
        <f t="shared" si="46"/>
        <v>0</v>
      </c>
      <c r="O504" s="21">
        <f t="shared" si="47"/>
        <v>3.6834937352460587E-2</v>
      </c>
      <c r="P504" s="21">
        <f t="shared" si="48"/>
        <v>4.1375723043399359</v>
      </c>
      <c r="Z504" s="211" t="b">
        <f>IFERROR(INDEX(Outliers!$X$3:$X$61,MATCH('SkYSPark Data_w Will''s Data'!C504,Outliers!$B$3:$B$61,0)),0)</f>
        <v>0</v>
      </c>
      <c r="AA504" s="1" t="b">
        <f>IFERROR(INDEX(Outliers!$AP$3:$AP$61,MATCH('SkYSPark Data_w Will''s Data'!C504,Outliers!$B$3:$B$61,0)),0)</f>
        <v>0</v>
      </c>
      <c r="AB504" s="112" t="b">
        <f>IFERROR(INDEX(Outliers!$AY$3:$AY$61,MATCH('SkYSPark Data_w Will''s Data'!C504,Outliers!$B$3:$B$61,0)),0)</f>
        <v>0</v>
      </c>
      <c r="AC504" s="112" t="s">
        <v>392</v>
      </c>
      <c r="AF504" s="132"/>
      <c r="DK504">
        <v>37976.017800000052</v>
      </c>
    </row>
    <row r="505" spans="1:115" x14ac:dyDescent="0.3">
      <c r="A505" s="2">
        <v>45231</v>
      </c>
      <c r="B505" s="3">
        <f t="shared" si="44"/>
        <v>11</v>
      </c>
      <c r="C505" s="3" t="s">
        <v>170</v>
      </c>
      <c r="D505" s="3" t="str">
        <f>VLOOKUP(C505,'Data availability'!$A$2:$B$91,2,FALSE)</f>
        <v>Main campus</v>
      </c>
      <c r="E505" s="3">
        <v>110140</v>
      </c>
      <c r="F505" s="3" t="str">
        <f>VLOOKUP(C505,'Data availability'!$A$2:$H$91,8,FALSE)</f>
        <v>Athletics</v>
      </c>
      <c r="G505" s="1">
        <v>167172.96532156121</v>
      </c>
      <c r="J505" s="1">
        <v>9457.801601513389</v>
      </c>
      <c r="K505" s="1">
        <v>10740.541702648288</v>
      </c>
      <c r="M505" s="21">
        <f t="shared" si="45"/>
        <v>5.1788102204209814</v>
      </c>
      <c r="N505" s="21">
        <f t="shared" si="46"/>
        <v>0</v>
      </c>
      <c r="O505" s="21">
        <f t="shared" si="47"/>
        <v>8.587072454615388</v>
      </c>
      <c r="P505" s="21">
        <f t="shared" si="48"/>
        <v>1.1702061052458639</v>
      </c>
      <c r="Z505" s="211" t="b">
        <f>IFERROR(INDEX(Outliers!$X$3:$X$61,MATCH('SkYSPark Data_w Will''s Data'!C505,Outliers!$B$3:$B$61,0)),0)</f>
        <v>0</v>
      </c>
      <c r="AA505" s="1" t="b">
        <f>IFERROR(INDEX(Outliers!$AP$3:$AP$61,MATCH('SkYSPark Data_w Will''s Data'!C505,Outliers!$B$3:$B$61,0)),0)</f>
        <v>0</v>
      </c>
      <c r="AB505" s="112" t="b">
        <f>IFERROR(INDEX(Outliers!$AY$3:$AY$61,MATCH('SkYSPark Data_w Will''s Data'!C505,Outliers!$B$3:$B$61,0)),0)</f>
        <v>0</v>
      </c>
      <c r="AC505" s="112" t="s">
        <v>392</v>
      </c>
      <c r="AF505" s="132"/>
      <c r="DK505">
        <v>10740.54170264829</v>
      </c>
    </row>
    <row r="506" spans="1:115" x14ac:dyDescent="0.3">
      <c r="A506" s="2">
        <v>45261</v>
      </c>
      <c r="B506" s="3">
        <f t="shared" si="44"/>
        <v>12</v>
      </c>
      <c r="C506" s="3" t="s">
        <v>170</v>
      </c>
      <c r="D506" s="3" t="str">
        <f>VLOOKUP(C506,'Data availability'!$A$2:$B$91,2,FALSE)</f>
        <v>Main campus</v>
      </c>
      <c r="E506" s="3">
        <v>110140</v>
      </c>
      <c r="F506" s="3" t="str">
        <f>VLOOKUP(C506,'Data availability'!$A$2:$H$91,8,FALSE)</f>
        <v>Athletics</v>
      </c>
      <c r="G506" s="1">
        <v>169546.29329912685</v>
      </c>
      <c r="J506" s="1">
        <v>12846.370467452251</v>
      </c>
      <c r="K506" s="1">
        <v>18387.015255972554</v>
      </c>
      <c r="M506" s="21">
        <f t="shared" si="45"/>
        <v>5.2523329647414272</v>
      </c>
      <c r="N506" s="21">
        <f t="shared" si="46"/>
        <v>0</v>
      </c>
      <c r="O506" s="21">
        <f t="shared" si="47"/>
        <v>11.663673930862766</v>
      </c>
      <c r="P506" s="21">
        <f t="shared" si="48"/>
        <v>2.0033065468646325</v>
      </c>
      <c r="Z506" s="211" t="b">
        <f>IFERROR(INDEX(Outliers!$X$3:$X$61,MATCH('SkYSPark Data_w Will''s Data'!C506,Outliers!$B$3:$B$61,0)),0)</f>
        <v>0</v>
      </c>
      <c r="AA506" s="1" t="b">
        <f>IFERROR(INDEX(Outliers!$AP$3:$AP$61,MATCH('SkYSPark Data_w Will''s Data'!C506,Outliers!$B$3:$B$61,0)),0)</f>
        <v>0</v>
      </c>
      <c r="AB506" s="112" t="b">
        <f>IFERROR(INDEX(Outliers!$AY$3:$AY$61,MATCH('SkYSPark Data_w Will''s Data'!C506,Outliers!$B$3:$B$61,0)),0)</f>
        <v>0</v>
      </c>
      <c r="AC506" s="112" t="s">
        <v>392</v>
      </c>
      <c r="AF506" s="132"/>
      <c r="DK506">
        <v>18387.01525597255</v>
      </c>
    </row>
    <row r="507" spans="1:115" s="15" customFormat="1" x14ac:dyDescent="0.3">
      <c r="A507" s="38">
        <v>44927</v>
      </c>
      <c r="B507" s="3">
        <f t="shared" si="44"/>
        <v>1</v>
      </c>
      <c r="C507" s="22" t="s">
        <v>557</v>
      </c>
      <c r="D507" s="3" t="s">
        <v>522</v>
      </c>
      <c r="E507" s="22"/>
      <c r="F507" s="3"/>
      <c r="G507" s="21">
        <v>7617.2857142857147</v>
      </c>
      <c r="H507" s="21"/>
      <c r="I507" s="21"/>
      <c r="J507" s="21"/>
      <c r="K507" s="21"/>
      <c r="L507" s="20"/>
      <c r="M507" s="21">
        <f t="shared" si="45"/>
        <v>0</v>
      </c>
      <c r="N507" s="21">
        <f t="shared" si="46"/>
        <v>0</v>
      </c>
      <c r="O507" s="21">
        <f t="shared" si="47"/>
        <v>0</v>
      </c>
      <c r="P507" s="21">
        <f t="shared" si="48"/>
        <v>0</v>
      </c>
      <c r="Q507" s="21"/>
      <c r="R507" s="21"/>
      <c r="S507" s="21"/>
      <c r="T507" s="21"/>
      <c r="U507" s="21"/>
      <c r="V507" s="34">
        <f>SUM(Q507:T507)</f>
        <v>0</v>
      </c>
      <c r="W507" s="19" t="s">
        <v>558</v>
      </c>
      <c r="X507" s="20"/>
      <c r="Y507" s="21"/>
      <c r="Z507" s="211">
        <f>IFERROR(INDEX(Outliers!$X$3:$X$61,MATCH('SkYSPark Data_w Will''s Data'!C507,Outliers!$B$3:$B$61,0)),0)</f>
        <v>0</v>
      </c>
      <c r="AA507" s="1">
        <f>IFERROR(INDEX(Outliers!$AP$3:$AP$61,MATCH('SkYSPark Data_w Will''s Data'!C507,Outliers!$B$3:$B$61,0)),0)</f>
        <v>0</v>
      </c>
      <c r="AB507" s="112">
        <f>IFERROR(INDEX(Outliers!$AY$3:$AY$61,MATCH('SkYSPark Data_w Will''s Data'!C507,Outliers!$B$3:$B$61,0)),0)</f>
        <v>0</v>
      </c>
      <c r="AC507" s="112" t="s">
        <v>392</v>
      </c>
      <c r="AD507" s="138"/>
      <c r="AE507" s="138"/>
      <c r="AF507" s="137"/>
      <c r="DK507" s="15">
        <v>25195.844396969551</v>
      </c>
    </row>
    <row r="508" spans="1:115" x14ac:dyDescent="0.3">
      <c r="A508" s="2">
        <v>44958</v>
      </c>
      <c r="B508" s="3">
        <f t="shared" si="44"/>
        <v>2</v>
      </c>
      <c r="C508" s="3" t="s">
        <v>557</v>
      </c>
      <c r="D508" s="3" t="s">
        <v>522</v>
      </c>
      <c r="G508" s="1">
        <v>7617.2857142857147</v>
      </c>
      <c r="M508" s="21">
        <f t="shared" si="45"/>
        <v>0</v>
      </c>
      <c r="N508" s="21">
        <f t="shared" si="46"/>
        <v>0</v>
      </c>
      <c r="O508" s="21">
        <f t="shared" si="47"/>
        <v>0</v>
      </c>
      <c r="P508" s="21">
        <f t="shared" si="48"/>
        <v>0</v>
      </c>
      <c r="W508" s="10"/>
      <c r="Z508" s="211">
        <f>IFERROR(INDEX(Outliers!$X$3:$X$61,MATCH('SkYSPark Data_w Will''s Data'!C508,Outliers!$B$3:$B$61,0)),0)</f>
        <v>0</v>
      </c>
      <c r="AA508" s="1">
        <f>IFERROR(INDEX(Outliers!$AP$3:$AP$61,MATCH('SkYSPark Data_w Will''s Data'!C508,Outliers!$B$3:$B$61,0)),0)</f>
        <v>0</v>
      </c>
      <c r="AB508" s="112">
        <f>IFERROR(INDEX(Outliers!$AY$3:$AY$61,MATCH('SkYSPark Data_w Will''s Data'!C508,Outliers!$B$3:$B$61,0)),0)</f>
        <v>0</v>
      </c>
      <c r="AC508" s="112" t="s">
        <v>392</v>
      </c>
      <c r="AF508" s="132"/>
      <c r="DK508">
        <v>24879.044400000101</v>
      </c>
    </row>
    <row r="509" spans="1:115" x14ac:dyDescent="0.3">
      <c r="A509" s="2">
        <v>44986</v>
      </c>
      <c r="B509" s="3">
        <f t="shared" si="44"/>
        <v>3</v>
      </c>
      <c r="C509" s="3" t="s">
        <v>557</v>
      </c>
      <c r="D509" s="3" t="s">
        <v>522</v>
      </c>
      <c r="G509" s="1">
        <v>7617.2857142857147</v>
      </c>
      <c r="M509" s="21">
        <f t="shared" si="45"/>
        <v>0</v>
      </c>
      <c r="N509" s="21">
        <f t="shared" si="46"/>
        <v>0</v>
      </c>
      <c r="O509" s="21">
        <f t="shared" si="47"/>
        <v>0</v>
      </c>
      <c r="P509" s="21">
        <f t="shared" si="48"/>
        <v>0</v>
      </c>
      <c r="W509" s="25"/>
      <c r="Z509" s="211">
        <f>IFERROR(INDEX(Outliers!$X$3:$X$61,MATCH('SkYSPark Data_w Will''s Data'!C509,Outliers!$B$3:$B$61,0)),0)</f>
        <v>0</v>
      </c>
      <c r="AA509" s="1">
        <f>IFERROR(INDEX(Outliers!$AP$3:$AP$61,MATCH('SkYSPark Data_w Will''s Data'!C509,Outliers!$B$3:$B$61,0)),0)</f>
        <v>0</v>
      </c>
      <c r="AB509" s="112">
        <f>IFERROR(INDEX(Outliers!$AY$3:$AY$61,MATCH('SkYSPark Data_w Will''s Data'!C509,Outliers!$B$3:$B$61,0)),0)</f>
        <v>0</v>
      </c>
      <c r="AC509" s="112" t="s">
        <v>392</v>
      </c>
      <c r="AF509" s="132"/>
      <c r="DK509">
        <v>16787.49323008877</v>
      </c>
    </row>
    <row r="510" spans="1:115" x14ac:dyDescent="0.3">
      <c r="A510" s="2">
        <v>45017</v>
      </c>
      <c r="B510" s="3">
        <f t="shared" si="44"/>
        <v>4</v>
      </c>
      <c r="C510" s="3" t="s">
        <v>557</v>
      </c>
      <c r="D510" s="3" t="s">
        <v>522</v>
      </c>
      <c r="G510" s="1">
        <v>7617.2857142857147</v>
      </c>
      <c r="M510" s="21">
        <f t="shared" si="45"/>
        <v>0</v>
      </c>
      <c r="N510" s="21">
        <f t="shared" si="46"/>
        <v>0</v>
      </c>
      <c r="O510" s="21">
        <f t="shared" si="47"/>
        <v>0</v>
      </c>
      <c r="P510" s="21">
        <f t="shared" si="48"/>
        <v>0</v>
      </c>
      <c r="Z510" s="211">
        <f>IFERROR(INDEX(Outliers!$X$3:$X$61,MATCH('SkYSPark Data_w Will''s Data'!C510,Outliers!$B$3:$B$61,0)),0)</f>
        <v>0</v>
      </c>
      <c r="AA510" s="1">
        <f>IFERROR(INDEX(Outliers!$AP$3:$AP$61,MATCH('SkYSPark Data_w Will''s Data'!C510,Outliers!$B$3:$B$61,0)),0)</f>
        <v>0</v>
      </c>
      <c r="AB510" s="112">
        <f>IFERROR(INDEX(Outliers!$AY$3:$AY$61,MATCH('SkYSPark Data_w Will''s Data'!C510,Outliers!$B$3:$B$61,0)),0)</f>
        <v>0</v>
      </c>
      <c r="AC510" s="112" t="s">
        <v>392</v>
      </c>
      <c r="AF510" s="132"/>
      <c r="DK510">
        <v>20839.866469911489</v>
      </c>
    </row>
    <row r="511" spans="1:115" x14ac:dyDescent="0.3">
      <c r="A511" s="2">
        <v>45047</v>
      </c>
      <c r="B511" s="3">
        <f t="shared" si="44"/>
        <v>5</v>
      </c>
      <c r="C511" s="3" t="s">
        <v>557</v>
      </c>
      <c r="D511" s="3" t="s">
        <v>522</v>
      </c>
      <c r="G511" s="1">
        <v>7617.2857142857147</v>
      </c>
      <c r="M511" s="21">
        <f t="shared" si="45"/>
        <v>0</v>
      </c>
      <c r="N511" s="21">
        <f t="shared" si="46"/>
        <v>0</v>
      </c>
      <c r="O511" s="21">
        <f t="shared" si="47"/>
        <v>0</v>
      </c>
      <c r="P511" s="21">
        <f t="shared" si="48"/>
        <v>0</v>
      </c>
      <c r="Z511" s="211">
        <f>IFERROR(INDEX(Outliers!$X$3:$X$61,MATCH('SkYSPark Data_w Will''s Data'!C511,Outliers!$B$3:$B$61,0)),0)</f>
        <v>0</v>
      </c>
      <c r="AA511" s="1">
        <f>IFERROR(INDEX(Outliers!$AP$3:$AP$61,MATCH('SkYSPark Data_w Will''s Data'!C511,Outliers!$B$3:$B$61,0)),0)</f>
        <v>0</v>
      </c>
      <c r="AB511" s="112">
        <f>IFERROR(INDEX(Outliers!$AY$3:$AY$61,MATCH('SkYSPark Data_w Will''s Data'!C511,Outliers!$B$3:$B$61,0)),0)</f>
        <v>0</v>
      </c>
      <c r="AC511" s="112" t="s">
        <v>392</v>
      </c>
      <c r="AF511" s="132"/>
      <c r="DK511">
        <v>25230.736999999721</v>
      </c>
    </row>
    <row r="512" spans="1:115" x14ac:dyDescent="0.3">
      <c r="A512" s="2">
        <v>45078</v>
      </c>
      <c r="B512" s="3">
        <f t="shared" si="44"/>
        <v>6</v>
      </c>
      <c r="C512" s="3" t="s">
        <v>557</v>
      </c>
      <c r="D512" s="3" t="s">
        <v>522</v>
      </c>
      <c r="G512" s="1">
        <v>5515</v>
      </c>
      <c r="M512" s="21">
        <f t="shared" si="45"/>
        <v>0</v>
      </c>
      <c r="N512" s="21">
        <f t="shared" si="46"/>
        <v>0</v>
      </c>
      <c r="O512" s="21">
        <f t="shared" si="47"/>
        <v>0</v>
      </c>
      <c r="P512" s="21">
        <f t="shared" si="48"/>
        <v>0</v>
      </c>
      <c r="Z512" s="211">
        <f>IFERROR(INDEX(Outliers!$X$3:$X$61,MATCH('SkYSPark Data_w Will''s Data'!C512,Outliers!$B$3:$B$61,0)),0)</f>
        <v>0</v>
      </c>
      <c r="AA512" s="1">
        <f>IFERROR(INDEX(Outliers!$AP$3:$AP$61,MATCH('SkYSPark Data_w Will''s Data'!C512,Outliers!$B$3:$B$61,0)),0)</f>
        <v>0</v>
      </c>
      <c r="AB512" s="112">
        <f>IFERROR(INDEX(Outliers!$AY$3:$AY$61,MATCH('SkYSPark Data_w Will''s Data'!C512,Outliers!$B$3:$B$61,0)),0)</f>
        <v>0</v>
      </c>
      <c r="AC512" s="112" t="s">
        <v>392</v>
      </c>
      <c r="AF512" s="132"/>
      <c r="DK512">
        <v>23053.346399999878</v>
      </c>
    </row>
    <row r="513" spans="1:115" x14ac:dyDescent="0.3">
      <c r="A513" s="2">
        <v>45108</v>
      </c>
      <c r="B513" s="3">
        <f t="shared" si="44"/>
        <v>7</v>
      </c>
      <c r="C513" s="3" t="s">
        <v>557</v>
      </c>
      <c r="D513" s="3" t="s">
        <v>522</v>
      </c>
      <c r="G513" s="1">
        <v>8764</v>
      </c>
      <c r="M513" s="21">
        <f t="shared" si="45"/>
        <v>0</v>
      </c>
      <c r="N513" s="21">
        <f t="shared" si="46"/>
        <v>0</v>
      </c>
      <c r="O513" s="21">
        <f t="shared" si="47"/>
        <v>0</v>
      </c>
      <c r="P513" s="21">
        <f t="shared" si="48"/>
        <v>0</v>
      </c>
      <c r="Z513" s="211">
        <f>IFERROR(INDEX(Outliers!$X$3:$X$61,MATCH('SkYSPark Data_w Will''s Data'!C513,Outliers!$B$3:$B$61,0)),0)</f>
        <v>0</v>
      </c>
      <c r="AA513" s="1">
        <f>IFERROR(INDEX(Outliers!$AP$3:$AP$61,MATCH('SkYSPark Data_w Will''s Data'!C513,Outliers!$B$3:$B$61,0)),0)</f>
        <v>0</v>
      </c>
      <c r="AB513" s="112">
        <f>IFERROR(INDEX(Outliers!$AY$3:$AY$61,MATCH('SkYSPark Data_w Will''s Data'!C513,Outliers!$B$3:$B$61,0)),0)</f>
        <v>0</v>
      </c>
      <c r="AC513" s="112" t="s">
        <v>392</v>
      </c>
      <c r="AF513" s="132"/>
      <c r="DK513">
        <v>45534.874000000702</v>
      </c>
    </row>
    <row r="514" spans="1:115" x14ac:dyDescent="0.3">
      <c r="A514" s="2">
        <v>45139</v>
      </c>
      <c r="B514" s="3">
        <f t="shared" si="44"/>
        <v>8</v>
      </c>
      <c r="C514" s="3" t="s">
        <v>557</v>
      </c>
      <c r="D514" s="3" t="s">
        <v>522</v>
      </c>
      <c r="G514" s="1">
        <v>7366</v>
      </c>
      <c r="M514" s="21">
        <f t="shared" si="45"/>
        <v>0</v>
      </c>
      <c r="N514" s="21">
        <f t="shared" si="46"/>
        <v>0</v>
      </c>
      <c r="O514" s="21">
        <f t="shared" si="47"/>
        <v>0</v>
      </c>
      <c r="P514" s="21">
        <f t="shared" si="48"/>
        <v>0</v>
      </c>
      <c r="Z514" s="211">
        <f>IFERROR(INDEX(Outliers!$X$3:$X$61,MATCH('SkYSPark Data_w Will''s Data'!C514,Outliers!$B$3:$B$61,0)),0)</f>
        <v>0</v>
      </c>
      <c r="AA514" s="1">
        <f>IFERROR(INDEX(Outliers!$AP$3:$AP$61,MATCH('SkYSPark Data_w Will''s Data'!C514,Outliers!$B$3:$B$61,0)),0)</f>
        <v>0</v>
      </c>
      <c r="AB514" s="112">
        <f>IFERROR(INDEX(Outliers!$AY$3:$AY$61,MATCH('SkYSPark Data_w Will''s Data'!C514,Outliers!$B$3:$B$61,0)),0)</f>
        <v>0</v>
      </c>
      <c r="AC514" s="112" t="s">
        <v>392</v>
      </c>
      <c r="AF514" s="132"/>
      <c r="DK514">
        <v>68025.750239998597</v>
      </c>
    </row>
    <row r="515" spans="1:115" x14ac:dyDescent="0.3">
      <c r="A515" s="2">
        <v>45170</v>
      </c>
      <c r="B515" s="3">
        <f t="shared" si="44"/>
        <v>9</v>
      </c>
      <c r="C515" s="3" t="s">
        <v>557</v>
      </c>
      <c r="D515" s="3" t="s">
        <v>522</v>
      </c>
      <c r="G515" s="1">
        <v>7680</v>
      </c>
      <c r="M515" s="21">
        <f t="shared" si="45"/>
        <v>0</v>
      </c>
      <c r="N515" s="21">
        <f t="shared" si="46"/>
        <v>0</v>
      </c>
      <c r="O515" s="21">
        <f t="shared" si="47"/>
        <v>0</v>
      </c>
      <c r="P515" s="21">
        <f t="shared" si="48"/>
        <v>0</v>
      </c>
      <c r="Z515" s="211">
        <f>IFERROR(INDEX(Outliers!$X$3:$X$61,MATCH('SkYSPark Data_w Will''s Data'!C515,Outliers!$B$3:$B$61,0)),0)</f>
        <v>0</v>
      </c>
      <c r="AA515" s="1">
        <f>IFERROR(INDEX(Outliers!$AP$3:$AP$61,MATCH('SkYSPark Data_w Will''s Data'!C515,Outliers!$B$3:$B$61,0)),0)</f>
        <v>0</v>
      </c>
      <c r="AB515" s="112">
        <f>IFERROR(INDEX(Outliers!$AY$3:$AY$61,MATCH('SkYSPark Data_w Will''s Data'!C515,Outliers!$B$3:$B$61,0)),0)</f>
        <v>0</v>
      </c>
      <c r="AC515" s="112" t="s">
        <v>392</v>
      </c>
      <c r="AF515" s="132"/>
      <c r="DK515">
        <v>72539.286960000842</v>
      </c>
    </row>
    <row r="516" spans="1:115" x14ac:dyDescent="0.3">
      <c r="A516" s="2">
        <v>45200</v>
      </c>
      <c r="B516" s="3">
        <f t="shared" si="44"/>
        <v>10</v>
      </c>
      <c r="C516" s="3" t="s">
        <v>557</v>
      </c>
      <c r="D516" s="3" t="s">
        <v>522</v>
      </c>
      <c r="G516" s="1">
        <v>8632.5</v>
      </c>
      <c r="M516" s="21">
        <f t="shared" si="45"/>
        <v>0</v>
      </c>
      <c r="N516" s="21">
        <f t="shared" si="46"/>
        <v>0</v>
      </c>
      <c r="O516" s="21">
        <f t="shared" si="47"/>
        <v>0</v>
      </c>
      <c r="P516" s="21">
        <f t="shared" si="48"/>
        <v>0</v>
      </c>
      <c r="Z516" s="211">
        <f>IFERROR(INDEX(Outliers!$X$3:$X$61,MATCH('SkYSPark Data_w Will''s Data'!C516,Outliers!$B$3:$B$61,0)),0)</f>
        <v>0</v>
      </c>
      <c r="AA516" s="1">
        <f>IFERROR(INDEX(Outliers!$AP$3:$AP$61,MATCH('SkYSPark Data_w Will''s Data'!C516,Outliers!$B$3:$B$61,0)),0)</f>
        <v>0</v>
      </c>
      <c r="AB516" s="112">
        <f>IFERROR(INDEX(Outliers!$AY$3:$AY$61,MATCH('SkYSPark Data_w Will''s Data'!C516,Outliers!$B$3:$B$61,0)),0)</f>
        <v>0</v>
      </c>
      <c r="AC516" s="112" t="s">
        <v>392</v>
      </c>
      <c r="AF516" s="132"/>
      <c r="DK516">
        <v>37976.017800000052</v>
      </c>
    </row>
    <row r="517" spans="1:115" x14ac:dyDescent="0.3">
      <c r="A517" s="2">
        <v>45231</v>
      </c>
      <c r="B517" s="3">
        <f t="shared" si="44"/>
        <v>11</v>
      </c>
      <c r="C517" s="3" t="s">
        <v>557</v>
      </c>
      <c r="D517" s="3" t="s">
        <v>522</v>
      </c>
      <c r="G517" s="1">
        <v>7394.5</v>
      </c>
      <c r="M517" s="21">
        <f t="shared" si="45"/>
        <v>0</v>
      </c>
      <c r="N517" s="21">
        <f t="shared" si="46"/>
        <v>0</v>
      </c>
      <c r="O517" s="21">
        <f t="shared" si="47"/>
        <v>0</v>
      </c>
      <c r="P517" s="21">
        <f t="shared" si="48"/>
        <v>0</v>
      </c>
      <c r="Z517" s="211">
        <f>IFERROR(INDEX(Outliers!$X$3:$X$61,MATCH('SkYSPark Data_w Will''s Data'!C517,Outliers!$B$3:$B$61,0)),0)</f>
        <v>0</v>
      </c>
      <c r="AA517" s="1">
        <f>IFERROR(INDEX(Outliers!$AP$3:$AP$61,MATCH('SkYSPark Data_w Will''s Data'!C517,Outliers!$B$3:$B$61,0)),0)</f>
        <v>0</v>
      </c>
      <c r="AB517" s="112">
        <f>IFERROR(INDEX(Outliers!$AY$3:$AY$61,MATCH('SkYSPark Data_w Will''s Data'!C517,Outliers!$B$3:$B$61,0)),0)</f>
        <v>0</v>
      </c>
      <c r="AC517" s="112" t="s">
        <v>392</v>
      </c>
      <c r="AF517" s="132"/>
      <c r="DK517">
        <v>10740.54170264829</v>
      </c>
    </row>
    <row r="518" spans="1:115" x14ac:dyDescent="0.3">
      <c r="A518" s="2">
        <v>45261</v>
      </c>
      <c r="B518" s="3">
        <f t="shared" si="44"/>
        <v>12</v>
      </c>
      <c r="C518" s="3" t="s">
        <v>557</v>
      </c>
      <c r="D518" s="3" t="s">
        <v>522</v>
      </c>
      <c r="G518" s="1">
        <v>7969</v>
      </c>
      <c r="M518" s="21">
        <f t="shared" si="45"/>
        <v>0</v>
      </c>
      <c r="N518" s="21">
        <f t="shared" si="46"/>
        <v>0</v>
      </c>
      <c r="O518" s="21">
        <f t="shared" si="47"/>
        <v>0</v>
      </c>
      <c r="P518" s="21">
        <f t="shared" si="48"/>
        <v>0</v>
      </c>
      <c r="Z518" s="211">
        <f>IFERROR(INDEX(Outliers!$X$3:$X$61,MATCH('SkYSPark Data_w Will''s Data'!C518,Outliers!$B$3:$B$61,0)),0)</f>
        <v>0</v>
      </c>
      <c r="AA518" s="1">
        <f>IFERROR(INDEX(Outliers!$AP$3:$AP$61,MATCH('SkYSPark Data_w Will''s Data'!C518,Outliers!$B$3:$B$61,0)),0)</f>
        <v>0</v>
      </c>
      <c r="AB518" s="112">
        <f>IFERROR(INDEX(Outliers!$AY$3:$AY$61,MATCH('SkYSPark Data_w Will''s Data'!C518,Outliers!$B$3:$B$61,0)),0)</f>
        <v>0</v>
      </c>
      <c r="AC518" s="112" t="s">
        <v>392</v>
      </c>
      <c r="AF518" s="132"/>
      <c r="DK518">
        <v>18387.01525597255</v>
      </c>
    </row>
    <row r="519" spans="1:115" s="15" customFormat="1" x14ac:dyDescent="0.3">
      <c r="A519" s="38">
        <v>44927</v>
      </c>
      <c r="B519" s="3">
        <f t="shared" si="44"/>
        <v>1</v>
      </c>
      <c r="C519" s="22" t="s">
        <v>171</v>
      </c>
      <c r="D519" s="3" t="str">
        <f>VLOOKUP(C519,'Data availability'!$A$2:$B$91,2,FALSE)</f>
        <v>Reid Hillview Airport</v>
      </c>
      <c r="E519" s="22">
        <v>8420</v>
      </c>
      <c r="F519" s="3" t="str">
        <f>VLOOKUP(C519,'Data availability'!$A$2:$H$91,8,FALSE)</f>
        <v>Academic</v>
      </c>
      <c r="G519" s="21">
        <v>812.72000000000207</v>
      </c>
      <c r="H519" s="21"/>
      <c r="I519" s="21">
        <v>49.500000000000853</v>
      </c>
      <c r="J519" s="21"/>
      <c r="K519" s="21"/>
      <c r="L519" s="20"/>
      <c r="M519" s="21">
        <f t="shared" si="45"/>
        <v>0.32933499287411011</v>
      </c>
      <c r="N519" s="21">
        <f t="shared" si="46"/>
        <v>0.5878859857482287</v>
      </c>
      <c r="O519" s="21">
        <f t="shared" si="47"/>
        <v>0</v>
      </c>
      <c r="P519" s="21">
        <f t="shared" si="48"/>
        <v>0</v>
      </c>
      <c r="Q519" s="21">
        <f>(SUM(G519:G530)*3.412)/E519</f>
        <v>5.8975650071259125</v>
      </c>
      <c r="R519" s="21">
        <f>(SUM(I519:I530)*100)/E519</f>
        <v>3.8330166270784183</v>
      </c>
      <c r="S519" s="21">
        <f>(SUM(J519:J530)*100)/E519</f>
        <v>0</v>
      </c>
      <c r="T519" s="21">
        <f>(SUM(K519:K530)*12)/E519</f>
        <v>0</v>
      </c>
      <c r="U519" s="21"/>
      <c r="V519" s="34">
        <f>SUM(Q519:T519)</f>
        <v>9.7305816342043308</v>
      </c>
      <c r="W519" s="19" t="s">
        <v>210</v>
      </c>
      <c r="X519" s="20"/>
      <c r="Y519" s="21"/>
      <c r="Z519" s="211" t="b">
        <f>IFERROR(INDEX(Outliers!$X$3:$X$61,MATCH('SkYSPark Data_w Will''s Data'!C519,Outliers!$B$3:$B$61,0)),0)</f>
        <v>0</v>
      </c>
      <c r="AA519" s="1" t="b">
        <f>IFERROR(INDEX(Outliers!$AP$3:$AP$61,MATCH('SkYSPark Data_w Will''s Data'!C519,Outliers!$B$3:$B$61,0)),0)</f>
        <v>1</v>
      </c>
      <c r="AB519" s="112" t="b">
        <f>IFERROR(INDEX(Outliers!$AY$3:$AY$61,MATCH('SkYSPark Data_w Will''s Data'!C519,Outliers!$B$3:$B$61,0)),0)</f>
        <v>1</v>
      </c>
      <c r="AC519" s="112"/>
      <c r="AD519" s="138"/>
      <c r="AE519" s="138"/>
      <c r="AF519" s="138"/>
      <c r="AG519" s="15">
        <v>0.5284408602150461</v>
      </c>
      <c r="AH519" s="15">
        <v>0.1456720430107514</v>
      </c>
    </row>
    <row r="520" spans="1:115" x14ac:dyDescent="0.3">
      <c r="A520" s="2">
        <v>44958</v>
      </c>
      <c r="B520" s="3">
        <f t="shared" si="44"/>
        <v>2</v>
      </c>
      <c r="C520" s="3" t="s">
        <v>171</v>
      </c>
      <c r="D520" s="3" t="str">
        <f>VLOOKUP(C520,'Data availability'!$A$2:$B$91,2,FALSE)</f>
        <v>Reid Hillview Airport</v>
      </c>
      <c r="E520" s="3">
        <v>8420</v>
      </c>
      <c r="F520" s="3" t="str">
        <f>VLOOKUP(C520,'Data availability'!$A$2:$H$91,8,FALSE)</f>
        <v>Academic</v>
      </c>
      <c r="G520" s="1">
        <v>1055.2599999999891</v>
      </c>
      <c r="I520" s="1">
        <v>58.740000000000613</v>
      </c>
      <c r="M520" s="21">
        <f t="shared" si="45"/>
        <v>0.4276184228028459</v>
      </c>
      <c r="N520" s="21">
        <f t="shared" si="46"/>
        <v>0.69762470308789326</v>
      </c>
      <c r="O520" s="21">
        <f t="shared" si="47"/>
        <v>0</v>
      </c>
      <c r="P520" s="21">
        <f t="shared" si="48"/>
        <v>0</v>
      </c>
      <c r="W520" s="10" t="s">
        <v>211</v>
      </c>
      <c r="Z520" s="211" t="b">
        <f>IFERROR(INDEX(Outliers!$X$3:$X$61,MATCH('SkYSPark Data_w Will''s Data'!C520,Outliers!$B$3:$B$61,0)),0)</f>
        <v>0</v>
      </c>
      <c r="AA520" s="1" t="b">
        <f>IFERROR(INDEX(Outliers!$AP$3:$AP$61,MATCH('SkYSPark Data_w Will''s Data'!C520,Outliers!$B$3:$B$61,0)),0)</f>
        <v>1</v>
      </c>
      <c r="AB520" s="112" t="b">
        <f>IFERROR(INDEX(Outliers!$AY$3:$AY$61,MATCH('SkYSPark Data_w Will''s Data'!C520,Outliers!$B$3:$B$61,0)),0)</f>
        <v>1</v>
      </c>
      <c r="AG520">
        <v>0.72766369047617785</v>
      </c>
      <c r="AH520">
        <v>0.220014880952381</v>
      </c>
    </row>
    <row r="521" spans="1:115" x14ac:dyDescent="0.3">
      <c r="A521" s="2">
        <v>44986</v>
      </c>
      <c r="B521" s="3">
        <f t="shared" ref="B521:B584" si="49">MONTH(A521)</f>
        <v>3</v>
      </c>
      <c r="C521" s="3" t="s">
        <v>171</v>
      </c>
      <c r="D521" s="3" t="str">
        <f>VLOOKUP(C521,'Data availability'!$A$2:$B$91,2,FALSE)</f>
        <v>Reid Hillview Airport</v>
      </c>
      <c r="E521" s="3">
        <v>8420</v>
      </c>
      <c r="F521" s="3" t="str">
        <f>VLOOKUP(C521,'Data availability'!$A$2:$H$91,8,FALSE)</f>
        <v>Academic</v>
      </c>
      <c r="G521" s="1">
        <v>1046.0800000000049</v>
      </c>
      <c r="I521" s="1">
        <v>76.120000000000744</v>
      </c>
      <c r="M521" s="21">
        <f t="shared" si="45"/>
        <v>0.42389845130641529</v>
      </c>
      <c r="N521" s="21">
        <f t="shared" si="46"/>
        <v>0.9040380047506027</v>
      </c>
      <c r="O521" s="21">
        <f t="shared" si="47"/>
        <v>0</v>
      </c>
      <c r="P521" s="21">
        <f t="shared" si="48"/>
        <v>0</v>
      </c>
      <c r="Z521" s="211" t="b">
        <f>IFERROR(INDEX(Outliers!$X$3:$X$61,MATCH('SkYSPark Data_w Will''s Data'!C521,Outliers!$B$3:$B$61,0)),0)</f>
        <v>0</v>
      </c>
      <c r="AA521" s="1" t="b">
        <f>IFERROR(INDEX(Outliers!$AP$3:$AP$61,MATCH('SkYSPark Data_w Will''s Data'!C521,Outliers!$B$3:$B$61,0)),0)</f>
        <v>1</v>
      </c>
      <c r="AB521" s="112" t="b">
        <f>IFERROR(INDEX(Outliers!$AY$3:$AY$61,MATCH('SkYSPark Data_w Will''s Data'!C521,Outliers!$B$3:$B$61,0)),0)</f>
        <v>1</v>
      </c>
      <c r="AG521">
        <v>0.68531628532974742</v>
      </c>
      <c r="AH521">
        <v>0.26045760430685988</v>
      </c>
    </row>
    <row r="522" spans="1:115" x14ac:dyDescent="0.3">
      <c r="A522" s="2">
        <v>45017</v>
      </c>
      <c r="B522" s="3">
        <f t="shared" si="49"/>
        <v>4</v>
      </c>
      <c r="C522" s="3" t="s">
        <v>171</v>
      </c>
      <c r="D522" s="3" t="str">
        <f>VLOOKUP(C522,'Data availability'!$A$2:$B$91,2,FALSE)</f>
        <v>Reid Hillview Airport</v>
      </c>
      <c r="E522" s="3">
        <v>8420</v>
      </c>
      <c r="F522" s="3" t="str">
        <f>VLOOKUP(C522,'Data availability'!$A$2:$H$91,8,FALSE)</f>
        <v>Academic</v>
      </c>
      <c r="G522" s="1">
        <v>1683.2399999999891</v>
      </c>
      <c r="I522" s="1">
        <v>67.75999999999982</v>
      </c>
      <c r="M522" s="21">
        <f t="shared" si="45"/>
        <v>0.68209202850355843</v>
      </c>
      <c r="N522" s="21">
        <f t="shared" si="46"/>
        <v>0.80475059382422587</v>
      </c>
      <c r="O522" s="21">
        <f t="shared" si="47"/>
        <v>0</v>
      </c>
      <c r="P522" s="21">
        <f t="shared" si="48"/>
        <v>0</v>
      </c>
      <c r="Z522" s="211" t="b">
        <f>IFERROR(INDEX(Outliers!$X$3:$X$61,MATCH('SkYSPark Data_w Will''s Data'!C522,Outliers!$B$3:$B$61,0)),0)</f>
        <v>0</v>
      </c>
      <c r="AA522" s="1" t="b">
        <f>IFERROR(INDEX(Outliers!$AP$3:$AP$61,MATCH('SkYSPark Data_w Will''s Data'!C522,Outliers!$B$3:$B$61,0)),0)</f>
        <v>1</v>
      </c>
      <c r="AB522" s="112" t="b">
        <f>IFERROR(INDEX(Outliers!$AY$3:$AY$61,MATCH('SkYSPark Data_w Will''s Data'!C522,Outliers!$B$3:$B$61,0)),0)</f>
        <v>1</v>
      </c>
      <c r="AG522">
        <v>1.02925000000001</v>
      </c>
      <c r="AH522">
        <v>0.18298611111110941</v>
      </c>
    </row>
    <row r="523" spans="1:115" x14ac:dyDescent="0.3">
      <c r="A523" s="2">
        <v>45047</v>
      </c>
      <c r="B523" s="3">
        <f t="shared" si="49"/>
        <v>5</v>
      </c>
      <c r="C523" s="3" t="s">
        <v>171</v>
      </c>
      <c r="D523" s="3" t="str">
        <f>VLOOKUP(C523,'Data availability'!$A$2:$B$91,2,FALSE)</f>
        <v>Reid Hillview Airport</v>
      </c>
      <c r="E523" s="3">
        <v>8420</v>
      </c>
      <c r="F523" s="3" t="str">
        <f>VLOOKUP(C523,'Data availability'!$A$2:$H$91,8,FALSE)</f>
        <v>Academic</v>
      </c>
      <c r="G523" s="1">
        <v>1614.1699999999919</v>
      </c>
      <c r="I523" s="1">
        <v>25.08000000000029</v>
      </c>
      <c r="M523" s="21">
        <f t="shared" si="45"/>
        <v>0.65410309263657629</v>
      </c>
      <c r="N523" s="21">
        <f t="shared" si="46"/>
        <v>0.29786223277910084</v>
      </c>
      <c r="O523" s="21">
        <f t="shared" si="47"/>
        <v>0</v>
      </c>
      <c r="P523" s="21">
        <f t="shared" si="48"/>
        <v>0</v>
      </c>
      <c r="Z523" s="211" t="b">
        <f>IFERROR(INDEX(Outliers!$X$3:$X$61,MATCH('SkYSPark Data_w Will''s Data'!C523,Outliers!$B$3:$B$61,0)),0)</f>
        <v>0</v>
      </c>
      <c r="AA523" s="1" t="b">
        <f>IFERROR(INDEX(Outliers!$AP$3:$AP$61,MATCH('SkYSPark Data_w Will''s Data'!C523,Outliers!$B$3:$B$61,0)),0)</f>
        <v>1</v>
      </c>
      <c r="AB523" s="112" t="b">
        <f>IFERROR(INDEX(Outliers!$AY$3:$AY$61,MATCH('SkYSPark Data_w Will''s Data'!C523,Outliers!$B$3:$B$61,0)),0)</f>
        <v>1</v>
      </c>
      <c r="AG523">
        <v>0.95377688172042518</v>
      </c>
      <c r="AH523">
        <v>4.491935483871061E-2</v>
      </c>
    </row>
    <row r="524" spans="1:115" x14ac:dyDescent="0.3">
      <c r="A524" s="2">
        <v>45078</v>
      </c>
      <c r="B524" s="3">
        <f t="shared" si="49"/>
        <v>6</v>
      </c>
      <c r="C524" s="3" t="s">
        <v>171</v>
      </c>
      <c r="D524" s="3" t="str">
        <f>VLOOKUP(C524,'Data availability'!$A$2:$B$91,2,FALSE)</f>
        <v>Reid Hillview Airport</v>
      </c>
      <c r="E524" s="3">
        <v>8420</v>
      </c>
      <c r="F524" s="3" t="str">
        <f>VLOOKUP(C524,'Data availability'!$A$2:$H$91,8,FALSE)</f>
        <v>Academic</v>
      </c>
      <c r="G524" s="1">
        <v>1850.6900000000251</v>
      </c>
      <c r="I524" s="1">
        <v>8.8000000000000682</v>
      </c>
      <c r="M524" s="21">
        <f t="shared" si="45"/>
        <v>0.74994706413302681</v>
      </c>
      <c r="N524" s="21">
        <f t="shared" si="46"/>
        <v>0.10451306413301743</v>
      </c>
      <c r="O524" s="21">
        <f t="shared" si="47"/>
        <v>0</v>
      </c>
      <c r="P524" s="21">
        <f t="shared" si="48"/>
        <v>0</v>
      </c>
      <c r="Z524" s="211" t="b">
        <f>IFERROR(INDEX(Outliers!$X$3:$X$61,MATCH('SkYSPark Data_w Will''s Data'!C524,Outliers!$B$3:$B$61,0)),0)</f>
        <v>0</v>
      </c>
      <c r="AA524" s="1" t="b">
        <f>IFERROR(INDEX(Outliers!$AP$3:$AP$61,MATCH('SkYSPark Data_w Will''s Data'!C524,Outliers!$B$3:$B$61,0)),0)</f>
        <v>1</v>
      </c>
      <c r="AB524" s="112" t="b">
        <f>IFERROR(INDEX(Outliers!$AY$3:$AY$61,MATCH('SkYSPark Data_w Will''s Data'!C524,Outliers!$B$3:$B$61,0)),0)</f>
        <v>1</v>
      </c>
      <c r="AG524">
        <v>1.1013611111111179</v>
      </c>
      <c r="AH524">
        <v>1.8472222222222039E-2</v>
      </c>
    </row>
    <row r="525" spans="1:115" x14ac:dyDescent="0.3">
      <c r="A525" s="2">
        <v>45108</v>
      </c>
      <c r="B525" s="3">
        <f t="shared" si="49"/>
        <v>7</v>
      </c>
      <c r="C525" s="3" t="s">
        <v>171</v>
      </c>
      <c r="D525" s="3" t="str">
        <f>VLOOKUP(C525,'Data availability'!$A$2:$B$91,2,FALSE)</f>
        <v>Reid Hillview Airport</v>
      </c>
      <c r="E525" s="3">
        <v>8420</v>
      </c>
      <c r="F525" s="3" t="str">
        <f>VLOOKUP(C525,'Data availability'!$A$2:$H$91,8,FALSE)</f>
        <v>Academic</v>
      </c>
      <c r="G525" s="1">
        <v>544.50000000000216</v>
      </c>
      <c r="I525" s="1">
        <v>4.8400000000000052</v>
      </c>
      <c r="M525" s="21">
        <f t="shared" si="45"/>
        <v>0.22064536817102226</v>
      </c>
      <c r="N525" s="21">
        <f t="shared" si="46"/>
        <v>5.7482185273159209E-2</v>
      </c>
      <c r="O525" s="21">
        <f t="shared" si="47"/>
        <v>0</v>
      </c>
      <c r="P525" s="21">
        <f t="shared" si="48"/>
        <v>0</v>
      </c>
      <c r="Z525" s="211" t="b">
        <f>IFERROR(INDEX(Outliers!$X$3:$X$61,MATCH('SkYSPark Data_w Will''s Data'!C525,Outliers!$B$3:$B$61,0)),0)</f>
        <v>0</v>
      </c>
      <c r="AA525" s="1" t="b">
        <f>IFERROR(INDEX(Outliers!$AP$3:$AP$61,MATCH('SkYSPark Data_w Will''s Data'!C525,Outliers!$B$3:$B$61,0)),0)</f>
        <v>1</v>
      </c>
      <c r="AB525" s="112" t="b">
        <f>IFERROR(INDEX(Outliers!$AY$3:$AY$61,MATCH('SkYSPark Data_w Will''s Data'!C525,Outliers!$B$3:$B$61,0)),0)</f>
        <v>1</v>
      </c>
      <c r="AG525">
        <v>0.52553763440859658</v>
      </c>
      <c r="AH525">
        <v>1.211021505376327E-2</v>
      </c>
    </row>
    <row r="526" spans="1:115" x14ac:dyDescent="0.3">
      <c r="A526" s="2">
        <v>45139</v>
      </c>
      <c r="B526" s="3">
        <f t="shared" si="49"/>
        <v>8</v>
      </c>
      <c r="C526" s="3" t="s">
        <v>171</v>
      </c>
      <c r="D526" s="3" t="str">
        <f>VLOOKUP(C526,'Data availability'!$A$2:$B$91,2,FALSE)</f>
        <v>Reid Hillview Airport</v>
      </c>
      <c r="E526" s="3">
        <v>8420</v>
      </c>
      <c r="F526" s="3" t="str">
        <f>VLOOKUP(C526,'Data availability'!$A$2:$H$91,8,FALSE)</f>
        <v>Academic</v>
      </c>
      <c r="G526" s="1">
        <v>859.38000000000295</v>
      </c>
      <c r="I526" s="1">
        <v>0</v>
      </c>
      <c r="M526" s="21">
        <f t="shared" si="45"/>
        <v>0.34824282185273281</v>
      </c>
      <c r="N526" s="21">
        <f t="shared" si="46"/>
        <v>0</v>
      </c>
      <c r="O526" s="21">
        <f t="shared" si="47"/>
        <v>0</v>
      </c>
      <c r="P526" s="21">
        <f t="shared" si="48"/>
        <v>0</v>
      </c>
      <c r="Z526" s="211" t="b">
        <f>IFERROR(INDEX(Outliers!$X$3:$X$61,MATCH('SkYSPark Data_w Will''s Data'!C526,Outliers!$B$3:$B$61,0)),0)</f>
        <v>0</v>
      </c>
      <c r="AA526" s="1" t="b">
        <f>IFERROR(INDEX(Outliers!$AP$3:$AP$61,MATCH('SkYSPark Data_w Will''s Data'!C526,Outliers!$B$3:$B$61,0)),0)</f>
        <v>1</v>
      </c>
      <c r="AB526" s="112" t="b">
        <f>IFERROR(INDEX(Outliers!$AY$3:$AY$61,MATCH('SkYSPark Data_w Will''s Data'!C526,Outliers!$B$3:$B$61,0)),0)</f>
        <v>1</v>
      </c>
      <c r="AG526">
        <v>0.77270161290323114</v>
      </c>
      <c r="AH526">
        <v>4.9462365591397498E-3</v>
      </c>
    </row>
    <row r="527" spans="1:115" x14ac:dyDescent="0.3">
      <c r="A527" s="2">
        <v>45170</v>
      </c>
      <c r="B527" s="3">
        <f t="shared" si="49"/>
        <v>9</v>
      </c>
      <c r="C527" s="3" t="s">
        <v>171</v>
      </c>
      <c r="D527" s="3" t="str">
        <f>VLOOKUP(C527,'Data availability'!$A$2:$B$91,2,FALSE)</f>
        <v>Reid Hillview Airport</v>
      </c>
      <c r="E527" s="3">
        <v>8420</v>
      </c>
      <c r="F527" s="3" t="str">
        <f>VLOOKUP(C527,'Data availability'!$A$2:$H$91,8,FALSE)</f>
        <v>Academic</v>
      </c>
      <c r="G527" s="1">
        <v>1724.450000000013</v>
      </c>
      <c r="I527" s="1">
        <v>0</v>
      </c>
      <c r="M527" s="21">
        <f t="shared" si="45"/>
        <v>0.69879137767221422</v>
      </c>
      <c r="N527" s="21">
        <f t="shared" si="46"/>
        <v>0</v>
      </c>
      <c r="O527" s="21">
        <f t="shared" si="47"/>
        <v>0</v>
      </c>
      <c r="P527" s="21">
        <f t="shared" si="48"/>
        <v>0</v>
      </c>
      <c r="Z527" s="211" t="b">
        <f>IFERROR(INDEX(Outliers!$X$3:$X$61,MATCH('SkYSPark Data_w Will''s Data'!C527,Outliers!$B$3:$B$61,0)),0)</f>
        <v>0</v>
      </c>
      <c r="AA527" s="1" t="b">
        <f>IFERROR(INDEX(Outliers!$AP$3:$AP$61,MATCH('SkYSPark Data_w Will''s Data'!C527,Outliers!$B$3:$B$61,0)),0)</f>
        <v>1</v>
      </c>
      <c r="AB527" s="112" t="b">
        <f>IFERROR(INDEX(Outliers!$AY$3:$AY$61,MATCH('SkYSPark Data_w Will''s Data'!C527,Outliers!$B$3:$B$61,0)),0)</f>
        <v>1</v>
      </c>
      <c r="AG527">
        <v>1.178666666666679</v>
      </c>
      <c r="AH527">
        <v>2.105555555555574E-2</v>
      </c>
    </row>
    <row r="528" spans="1:115" x14ac:dyDescent="0.3">
      <c r="A528" s="2">
        <v>45200</v>
      </c>
      <c r="B528" s="3">
        <f t="shared" si="49"/>
        <v>10</v>
      </c>
      <c r="C528" s="3" t="s">
        <v>171</v>
      </c>
      <c r="D528" s="3" t="str">
        <f>VLOOKUP(C528,'Data availability'!$A$2:$B$91,2,FALSE)</f>
        <v>Reid Hillview Airport</v>
      </c>
      <c r="E528" s="3">
        <v>8420</v>
      </c>
      <c r="F528" s="3" t="str">
        <f>VLOOKUP(C528,'Data availability'!$A$2:$H$91,8,FALSE)</f>
        <v>Academic</v>
      </c>
      <c r="G528" s="1">
        <v>1184.559999999997</v>
      </c>
      <c r="I528" s="1">
        <v>0.66000000000000147</v>
      </c>
      <c r="M528" s="21">
        <f t="shared" si="45"/>
        <v>0.48001409976246912</v>
      </c>
      <c r="N528" s="21">
        <f t="shared" si="46"/>
        <v>7.8384798099762638E-3</v>
      </c>
      <c r="O528" s="21">
        <f t="shared" si="47"/>
        <v>0</v>
      </c>
      <c r="P528" s="21">
        <f t="shared" si="48"/>
        <v>0</v>
      </c>
      <c r="Z528" s="211" t="b">
        <f>IFERROR(INDEX(Outliers!$X$3:$X$61,MATCH('SkYSPark Data_w Will''s Data'!C528,Outliers!$B$3:$B$61,0)),0)</f>
        <v>0</v>
      </c>
      <c r="AA528" s="1" t="b">
        <f>IFERROR(INDEX(Outliers!$AP$3:$AP$61,MATCH('SkYSPark Data_w Will''s Data'!C528,Outliers!$B$3:$B$61,0)),0)</f>
        <v>1</v>
      </c>
      <c r="AB528" s="112" t="b">
        <f>IFERROR(INDEX(Outliers!$AY$3:$AY$61,MATCH('SkYSPark Data_w Will''s Data'!C528,Outliers!$B$3:$B$61,0)),0)</f>
        <v>1</v>
      </c>
      <c r="AG528">
        <v>0.91967741935483249</v>
      </c>
      <c r="AH528">
        <v>5.9005376344085708E-3</v>
      </c>
    </row>
    <row r="529" spans="1:34" x14ac:dyDescent="0.3">
      <c r="A529" s="2">
        <v>45231</v>
      </c>
      <c r="B529" s="3">
        <f t="shared" si="49"/>
        <v>11</v>
      </c>
      <c r="C529" s="3" t="s">
        <v>171</v>
      </c>
      <c r="D529" s="3" t="str">
        <f>VLOOKUP(C529,'Data availability'!$A$2:$B$91,2,FALSE)</f>
        <v>Reid Hillview Airport</v>
      </c>
      <c r="E529" s="3">
        <v>8420</v>
      </c>
      <c r="F529" s="3" t="str">
        <f>VLOOKUP(C529,'Data availability'!$A$2:$H$91,8,FALSE)</f>
        <v>Academic</v>
      </c>
      <c r="G529" s="1">
        <v>1246.000000000023</v>
      </c>
      <c r="I529" s="1">
        <v>5.7199999999999864</v>
      </c>
      <c r="M529" s="21">
        <f t="shared" si="45"/>
        <v>0.50491116389549617</v>
      </c>
      <c r="N529" s="21">
        <f t="shared" si="46"/>
        <v>6.7933491686460651E-2</v>
      </c>
      <c r="O529" s="21">
        <f t="shared" si="47"/>
        <v>0</v>
      </c>
      <c r="P529" s="21">
        <f t="shared" si="48"/>
        <v>0</v>
      </c>
      <c r="Z529" s="211" t="b">
        <f>IFERROR(INDEX(Outliers!$X$3:$X$61,MATCH('SkYSPark Data_w Will''s Data'!C529,Outliers!$B$3:$B$61,0)),0)</f>
        <v>0</v>
      </c>
      <c r="AA529" s="1" t="b">
        <f>IFERROR(INDEX(Outliers!$AP$3:$AP$61,MATCH('SkYSPark Data_w Will''s Data'!C529,Outliers!$B$3:$B$61,0)),0)</f>
        <v>1</v>
      </c>
      <c r="AB529" s="112" t="b">
        <f>IFERROR(INDEX(Outliers!$AY$3:$AY$61,MATCH('SkYSPark Data_w Will''s Data'!C529,Outliers!$B$3:$B$61,0)),0)</f>
        <v>1</v>
      </c>
      <c r="AG529">
        <v>0.90291262135922012</v>
      </c>
      <c r="AH529">
        <v>1.7864077669903181E-2</v>
      </c>
    </row>
    <row r="530" spans="1:34" x14ac:dyDescent="0.3">
      <c r="A530" s="2">
        <v>45261</v>
      </c>
      <c r="B530" s="3">
        <f t="shared" si="49"/>
        <v>12</v>
      </c>
      <c r="C530" s="3" t="s">
        <v>171</v>
      </c>
      <c r="D530" s="3" t="str">
        <f>VLOOKUP(C530,'Data availability'!$A$2:$B$91,2,FALSE)</f>
        <v>Reid Hillview Airport</v>
      </c>
      <c r="E530" s="3">
        <v>8420</v>
      </c>
      <c r="F530" s="3" t="str">
        <f>VLOOKUP(C530,'Data availability'!$A$2:$H$91,8,FALSE)</f>
        <v>Academic</v>
      </c>
      <c r="G530" s="1">
        <v>932.73000000001286</v>
      </c>
      <c r="I530" s="1">
        <v>25.520000000000369</v>
      </c>
      <c r="M530" s="21">
        <f t="shared" si="45"/>
        <v>0.37796612351544462</v>
      </c>
      <c r="N530" s="21">
        <f t="shared" si="46"/>
        <v>0.30308788598575259</v>
      </c>
      <c r="O530" s="21">
        <f t="shared" si="47"/>
        <v>0</v>
      </c>
      <c r="P530" s="21">
        <f t="shared" si="48"/>
        <v>0</v>
      </c>
      <c r="Z530" s="211" t="b">
        <f>IFERROR(INDEX(Outliers!$X$3:$X$61,MATCH('SkYSPark Data_w Will''s Data'!C530,Outliers!$B$3:$B$61,0)),0)</f>
        <v>0</v>
      </c>
      <c r="AA530" s="1" t="b">
        <f>IFERROR(INDEX(Outliers!$AP$3:$AP$61,MATCH('SkYSPark Data_w Will''s Data'!C530,Outliers!$B$3:$B$61,0)),0)</f>
        <v>1</v>
      </c>
      <c r="AB530" s="112" t="b">
        <f>IFERROR(INDEX(Outliers!$AY$3:$AY$61,MATCH('SkYSPark Data_w Will''s Data'!C530,Outliers!$B$3:$B$61,0)),0)</f>
        <v>1</v>
      </c>
      <c r="AG530">
        <v>0.69641129032258886</v>
      </c>
      <c r="AH530">
        <v>6.8037634408602513E-2</v>
      </c>
    </row>
    <row r="531" spans="1:34" s="16" customFormat="1" x14ac:dyDescent="0.3">
      <c r="A531" s="36">
        <v>43101</v>
      </c>
      <c r="B531" s="3">
        <f t="shared" si="49"/>
        <v>1</v>
      </c>
      <c r="C531" s="42" t="s">
        <v>173</v>
      </c>
      <c r="D531" s="3"/>
      <c r="E531" s="42"/>
      <c r="F531" s="6"/>
      <c r="G531" s="31">
        <v>18.262290994520299</v>
      </c>
      <c r="L531" s="26"/>
      <c r="M531" s="21">
        <f t="shared" si="45"/>
        <v>0</v>
      </c>
      <c r="N531" s="21">
        <f t="shared" si="46"/>
        <v>0</v>
      </c>
      <c r="O531" s="21">
        <f t="shared" si="47"/>
        <v>0</v>
      </c>
      <c r="P531" s="21">
        <f t="shared" si="48"/>
        <v>0</v>
      </c>
      <c r="V531" s="34">
        <f>SUM(Q531:T531)</f>
        <v>0</v>
      </c>
      <c r="X531" s="26"/>
      <c r="Y531" s="16" t="s">
        <v>551</v>
      </c>
      <c r="Z531" s="211" t="b">
        <f>IFERROR(INDEX(Outliers!$X$3:$X$61,MATCH('SkYSPark Data_w Will''s Data'!C531,Outliers!$B$3:$B$61,0)),0)</f>
        <v>1</v>
      </c>
      <c r="AA531" s="1" t="b">
        <f>IFERROR(INDEX(Outliers!$AP$3:$AP$61,MATCH('SkYSPark Data_w Will''s Data'!C531,Outliers!$B$3:$B$61,0)),0)</f>
        <v>1</v>
      </c>
      <c r="AB531" s="112" t="b">
        <f>IFERROR(INDEX(Outliers!$AY$3:$AY$61,MATCH('SkYSPark Data_w Will''s Data'!C531,Outliers!$B$3:$B$61,0)),0)</f>
        <v>1</v>
      </c>
      <c r="AC531" s="112"/>
      <c r="AD531" s="144"/>
      <c r="AE531" s="144"/>
      <c r="AF531" s="144"/>
    </row>
    <row r="532" spans="1:34" s="9" customFormat="1" x14ac:dyDescent="0.3">
      <c r="A532" s="13">
        <v>43132</v>
      </c>
      <c r="B532" s="3">
        <f t="shared" si="49"/>
        <v>2</v>
      </c>
      <c r="C532" s="6" t="s">
        <v>173</v>
      </c>
      <c r="D532" s="3"/>
      <c r="E532" s="6"/>
      <c r="F532" s="6"/>
      <c r="G532" s="14">
        <v>201.91087635204894</v>
      </c>
      <c r="L532" s="17"/>
      <c r="M532" s="21">
        <f t="shared" si="45"/>
        <v>0</v>
      </c>
      <c r="N532" s="21">
        <f t="shared" si="46"/>
        <v>0</v>
      </c>
      <c r="O532" s="21">
        <f t="shared" si="47"/>
        <v>0</v>
      </c>
      <c r="P532" s="21">
        <f t="shared" si="48"/>
        <v>0</v>
      </c>
      <c r="V532" s="41"/>
      <c r="X532" s="17"/>
      <c r="Z532" s="211" t="b">
        <f>IFERROR(INDEX(Outliers!$X$3:$X$61,MATCH('SkYSPark Data_w Will''s Data'!C532,Outliers!$B$3:$B$61,0)),0)</f>
        <v>1</v>
      </c>
      <c r="AA532" s="1" t="b">
        <f>IFERROR(INDEX(Outliers!$AP$3:$AP$61,MATCH('SkYSPark Data_w Will''s Data'!C532,Outliers!$B$3:$B$61,0)),0)</f>
        <v>1</v>
      </c>
      <c r="AB532" s="112" t="b">
        <f>IFERROR(INDEX(Outliers!$AY$3:$AY$61,MATCH('SkYSPark Data_w Will''s Data'!C532,Outliers!$B$3:$B$61,0)),0)</f>
        <v>1</v>
      </c>
      <c r="AC532" s="112"/>
      <c r="AD532" s="145"/>
      <c r="AE532" s="145"/>
      <c r="AF532" s="145"/>
    </row>
    <row r="533" spans="1:34" s="9" customFormat="1" x14ac:dyDescent="0.3">
      <c r="A533" s="13">
        <v>43160</v>
      </c>
      <c r="B533" s="3">
        <f t="shared" si="49"/>
        <v>3</v>
      </c>
      <c r="C533" s="6" t="s">
        <v>173</v>
      </c>
      <c r="D533" s="3"/>
      <c r="E533" s="6"/>
      <c r="F533" s="6"/>
      <c r="G533" s="14">
        <v>2567.0349371880293</v>
      </c>
      <c r="L533" s="17"/>
      <c r="M533" s="21">
        <f t="shared" si="45"/>
        <v>0</v>
      </c>
      <c r="N533" s="21">
        <f t="shared" si="46"/>
        <v>0</v>
      </c>
      <c r="O533" s="21">
        <f t="shared" si="47"/>
        <v>0</v>
      </c>
      <c r="P533" s="21">
        <f t="shared" si="48"/>
        <v>0</v>
      </c>
      <c r="V533" s="41"/>
      <c r="X533" s="17"/>
      <c r="Z533" s="211" t="b">
        <f>IFERROR(INDEX(Outliers!$X$3:$X$61,MATCH('SkYSPark Data_w Will''s Data'!C533,Outliers!$B$3:$B$61,0)),0)</f>
        <v>1</v>
      </c>
      <c r="AA533" s="1" t="b">
        <f>IFERROR(INDEX(Outliers!$AP$3:$AP$61,MATCH('SkYSPark Data_w Will''s Data'!C533,Outliers!$B$3:$B$61,0)),0)</f>
        <v>1</v>
      </c>
      <c r="AB533" s="112" t="b">
        <f>IFERROR(INDEX(Outliers!$AY$3:$AY$61,MATCH('SkYSPark Data_w Will''s Data'!C533,Outliers!$B$3:$B$61,0)),0)</f>
        <v>1</v>
      </c>
      <c r="AC533" s="112"/>
      <c r="AD533" s="145"/>
      <c r="AE533" s="145"/>
      <c r="AF533" s="145"/>
    </row>
    <row r="534" spans="1:34" s="9" customFormat="1" x14ac:dyDescent="0.3">
      <c r="A534" s="13">
        <v>43191</v>
      </c>
      <c r="B534" s="3">
        <f t="shared" si="49"/>
        <v>4</v>
      </c>
      <c r="C534" s="6" t="s">
        <v>173</v>
      </c>
      <c r="D534" s="3"/>
      <c r="E534" s="6"/>
      <c r="F534" s="6"/>
      <c r="G534" s="14">
        <v>3354.2387795029208</v>
      </c>
      <c r="L534" s="17"/>
      <c r="M534" s="21">
        <f t="shared" si="45"/>
        <v>0</v>
      </c>
      <c r="N534" s="21">
        <f t="shared" si="46"/>
        <v>0</v>
      </c>
      <c r="O534" s="21">
        <f t="shared" si="47"/>
        <v>0</v>
      </c>
      <c r="P534" s="21">
        <f t="shared" si="48"/>
        <v>0</v>
      </c>
      <c r="V534" s="41"/>
      <c r="X534" s="17"/>
      <c r="Z534" s="211" t="b">
        <f>IFERROR(INDEX(Outliers!$X$3:$X$61,MATCH('SkYSPark Data_w Will''s Data'!C534,Outliers!$B$3:$B$61,0)),0)</f>
        <v>1</v>
      </c>
      <c r="AA534" s="1" t="b">
        <f>IFERROR(INDEX(Outliers!$AP$3:$AP$61,MATCH('SkYSPark Data_w Will''s Data'!C534,Outliers!$B$3:$B$61,0)),0)</f>
        <v>1</v>
      </c>
      <c r="AB534" s="112" t="b">
        <f>IFERROR(INDEX(Outliers!$AY$3:$AY$61,MATCH('SkYSPark Data_w Will''s Data'!C534,Outliers!$B$3:$B$61,0)),0)</f>
        <v>1</v>
      </c>
      <c r="AC534" s="112"/>
      <c r="AD534" s="145"/>
      <c r="AE534" s="145"/>
      <c r="AF534" s="145"/>
    </row>
    <row r="535" spans="1:34" s="9" customFormat="1" x14ac:dyDescent="0.3">
      <c r="A535" s="13">
        <v>43221</v>
      </c>
      <c r="B535" s="3">
        <f t="shared" si="49"/>
        <v>5</v>
      </c>
      <c r="C535" s="6" t="s">
        <v>173</v>
      </c>
      <c r="D535" s="3"/>
      <c r="E535" s="6"/>
      <c r="F535" s="6"/>
      <c r="G535" s="14">
        <v>3351.2219524979591</v>
      </c>
      <c r="L535" s="17"/>
      <c r="M535" s="21">
        <f t="shared" si="45"/>
        <v>0</v>
      </c>
      <c r="N535" s="21">
        <f t="shared" si="46"/>
        <v>0</v>
      </c>
      <c r="O535" s="21">
        <f t="shared" si="47"/>
        <v>0</v>
      </c>
      <c r="P535" s="21">
        <f t="shared" si="48"/>
        <v>0</v>
      </c>
      <c r="V535" s="41"/>
      <c r="X535" s="17"/>
      <c r="Z535" s="211" t="b">
        <f>IFERROR(INDEX(Outliers!$X$3:$X$61,MATCH('SkYSPark Data_w Will''s Data'!C535,Outliers!$B$3:$B$61,0)),0)</f>
        <v>1</v>
      </c>
      <c r="AA535" s="1" t="b">
        <f>IFERROR(INDEX(Outliers!$AP$3:$AP$61,MATCH('SkYSPark Data_w Will''s Data'!C535,Outliers!$B$3:$B$61,0)),0)</f>
        <v>1</v>
      </c>
      <c r="AB535" s="112" t="b">
        <f>IFERROR(INDEX(Outliers!$AY$3:$AY$61,MATCH('SkYSPark Data_w Will''s Data'!C535,Outliers!$B$3:$B$61,0)),0)</f>
        <v>1</v>
      </c>
      <c r="AC535" s="112"/>
      <c r="AD535" s="145"/>
      <c r="AE535" s="145"/>
      <c r="AF535" s="145"/>
    </row>
    <row r="536" spans="1:34" s="9" customFormat="1" x14ac:dyDescent="0.3">
      <c r="A536" s="13">
        <v>43252</v>
      </c>
      <c r="B536" s="3">
        <f t="shared" si="49"/>
        <v>6</v>
      </c>
      <c r="C536" s="6" t="s">
        <v>173</v>
      </c>
      <c r="D536" s="3"/>
      <c r="E536" s="6"/>
      <c r="F536" s="6"/>
      <c r="G536" s="14">
        <v>3565.0656476616859</v>
      </c>
      <c r="L536" s="17"/>
      <c r="M536" s="21">
        <f t="shared" si="45"/>
        <v>0</v>
      </c>
      <c r="N536" s="21">
        <f t="shared" si="46"/>
        <v>0</v>
      </c>
      <c r="O536" s="21">
        <f t="shared" si="47"/>
        <v>0</v>
      </c>
      <c r="P536" s="21">
        <f t="shared" si="48"/>
        <v>0</v>
      </c>
      <c r="V536" s="41"/>
      <c r="X536" s="17"/>
      <c r="Z536" s="211" t="b">
        <f>IFERROR(INDEX(Outliers!$X$3:$X$61,MATCH('SkYSPark Data_w Will''s Data'!C536,Outliers!$B$3:$B$61,0)),0)</f>
        <v>1</v>
      </c>
      <c r="AA536" s="1" t="b">
        <f>IFERROR(INDEX(Outliers!$AP$3:$AP$61,MATCH('SkYSPark Data_w Will''s Data'!C536,Outliers!$B$3:$B$61,0)),0)</f>
        <v>1</v>
      </c>
      <c r="AB536" s="112" t="b">
        <f>IFERROR(INDEX(Outliers!$AY$3:$AY$61,MATCH('SkYSPark Data_w Will''s Data'!C536,Outliers!$B$3:$B$61,0)),0)</f>
        <v>1</v>
      </c>
      <c r="AC536" s="112"/>
      <c r="AD536" s="145"/>
      <c r="AE536" s="145"/>
      <c r="AF536" s="145"/>
    </row>
    <row r="537" spans="1:34" s="9" customFormat="1" x14ac:dyDescent="0.3">
      <c r="A537" s="13">
        <v>43282</v>
      </c>
      <c r="B537" s="3">
        <f t="shared" si="49"/>
        <v>7</v>
      </c>
      <c r="C537" s="6" t="s">
        <v>173</v>
      </c>
      <c r="D537" s="3"/>
      <c r="E537" s="6"/>
      <c r="F537" s="6"/>
      <c r="G537" s="14">
        <v>5046.8180966377258</v>
      </c>
      <c r="L537" s="17"/>
      <c r="M537" s="21">
        <f t="shared" si="45"/>
        <v>0</v>
      </c>
      <c r="N537" s="21">
        <f t="shared" si="46"/>
        <v>0</v>
      </c>
      <c r="O537" s="21">
        <f t="shared" si="47"/>
        <v>0</v>
      </c>
      <c r="P537" s="21">
        <f t="shared" si="48"/>
        <v>0</v>
      </c>
      <c r="V537" s="41"/>
      <c r="X537" s="17"/>
      <c r="Z537" s="211" t="b">
        <f>IFERROR(INDEX(Outliers!$X$3:$X$61,MATCH('SkYSPark Data_w Will''s Data'!C537,Outliers!$B$3:$B$61,0)),0)</f>
        <v>1</v>
      </c>
      <c r="AA537" s="1" t="b">
        <f>IFERROR(INDEX(Outliers!$AP$3:$AP$61,MATCH('SkYSPark Data_w Will''s Data'!C537,Outliers!$B$3:$B$61,0)),0)</f>
        <v>1</v>
      </c>
      <c r="AB537" s="112" t="b">
        <f>IFERROR(INDEX(Outliers!$AY$3:$AY$61,MATCH('SkYSPark Data_w Will''s Data'!C537,Outliers!$B$3:$B$61,0)),0)</f>
        <v>1</v>
      </c>
      <c r="AC537" s="112"/>
      <c r="AD537" s="145"/>
      <c r="AE537" s="145"/>
      <c r="AF537" s="145"/>
    </row>
    <row r="538" spans="1:34" s="9" customFormat="1" x14ac:dyDescent="0.3">
      <c r="A538" s="13">
        <v>43313</v>
      </c>
      <c r="B538" s="3">
        <f t="shared" si="49"/>
        <v>8</v>
      </c>
      <c r="C538" s="6" t="s">
        <v>173</v>
      </c>
      <c r="D538" s="3"/>
      <c r="E538" s="6"/>
      <c r="F538" s="6"/>
      <c r="G538" s="14">
        <v>5319.7410758882761</v>
      </c>
      <c r="L538" s="17"/>
      <c r="M538" s="21">
        <f t="shared" si="45"/>
        <v>0</v>
      </c>
      <c r="N538" s="21">
        <f t="shared" si="46"/>
        <v>0</v>
      </c>
      <c r="O538" s="21">
        <f t="shared" si="47"/>
        <v>0</v>
      </c>
      <c r="P538" s="21">
        <f t="shared" si="48"/>
        <v>0</v>
      </c>
      <c r="V538" s="41"/>
      <c r="X538" s="17"/>
      <c r="Z538" s="211" t="b">
        <f>IFERROR(INDEX(Outliers!$X$3:$X$61,MATCH('SkYSPark Data_w Will''s Data'!C538,Outliers!$B$3:$B$61,0)),0)</f>
        <v>1</v>
      </c>
      <c r="AA538" s="1" t="b">
        <f>IFERROR(INDEX(Outliers!$AP$3:$AP$61,MATCH('SkYSPark Data_w Will''s Data'!C538,Outliers!$B$3:$B$61,0)),0)</f>
        <v>1</v>
      </c>
      <c r="AB538" s="112" t="b">
        <f>IFERROR(INDEX(Outliers!$AY$3:$AY$61,MATCH('SkYSPark Data_w Will''s Data'!C538,Outliers!$B$3:$B$61,0)),0)</f>
        <v>1</v>
      </c>
      <c r="AC538" s="112"/>
      <c r="AD538" s="145"/>
      <c r="AE538" s="145"/>
      <c r="AF538" s="145"/>
    </row>
    <row r="539" spans="1:34" s="9" customFormat="1" x14ac:dyDescent="0.3">
      <c r="A539" s="13">
        <v>43344</v>
      </c>
      <c r="B539" s="3">
        <f t="shared" si="49"/>
        <v>9</v>
      </c>
      <c r="C539" s="6" t="s">
        <v>173</v>
      </c>
      <c r="D539" s="3"/>
      <c r="E539" s="6"/>
      <c r="F539" s="6"/>
      <c r="G539" s="14">
        <v>4652.906029343605</v>
      </c>
      <c r="L539" s="17"/>
      <c r="M539" s="21">
        <f t="shared" si="45"/>
        <v>0</v>
      </c>
      <c r="N539" s="21">
        <f t="shared" si="46"/>
        <v>0</v>
      </c>
      <c r="O539" s="21">
        <f t="shared" si="47"/>
        <v>0</v>
      </c>
      <c r="P539" s="21">
        <f t="shared" si="48"/>
        <v>0</v>
      </c>
      <c r="V539" s="41"/>
      <c r="X539" s="17"/>
      <c r="Z539" s="211" t="b">
        <f>IFERROR(INDEX(Outliers!$X$3:$X$61,MATCH('SkYSPark Data_w Will''s Data'!C539,Outliers!$B$3:$B$61,0)),0)</f>
        <v>1</v>
      </c>
      <c r="AA539" s="1" t="b">
        <f>IFERROR(INDEX(Outliers!$AP$3:$AP$61,MATCH('SkYSPark Data_w Will''s Data'!C539,Outliers!$B$3:$B$61,0)),0)</f>
        <v>1</v>
      </c>
      <c r="AB539" s="112" t="b">
        <f>IFERROR(INDEX(Outliers!$AY$3:$AY$61,MATCH('SkYSPark Data_w Will''s Data'!C539,Outliers!$B$3:$B$61,0)),0)</f>
        <v>1</v>
      </c>
      <c r="AC539" s="112"/>
      <c r="AD539" s="145"/>
      <c r="AE539" s="145"/>
      <c r="AF539" s="145"/>
    </row>
    <row r="540" spans="1:34" s="9" customFormat="1" x14ac:dyDescent="0.3">
      <c r="A540" s="13">
        <v>43374</v>
      </c>
      <c r="B540" s="3">
        <f t="shared" si="49"/>
        <v>10</v>
      </c>
      <c r="C540" s="6" t="s">
        <v>173</v>
      </c>
      <c r="D540" s="3"/>
      <c r="E540" s="6"/>
      <c r="F540" s="6"/>
      <c r="G540" s="14">
        <v>4807.7848851382732</v>
      </c>
      <c r="L540" s="17"/>
      <c r="M540" s="21">
        <f t="shared" si="45"/>
        <v>0</v>
      </c>
      <c r="N540" s="21">
        <f t="shared" si="46"/>
        <v>0</v>
      </c>
      <c r="O540" s="21">
        <f t="shared" si="47"/>
        <v>0</v>
      </c>
      <c r="P540" s="21">
        <f t="shared" si="48"/>
        <v>0</v>
      </c>
      <c r="V540" s="41"/>
      <c r="X540" s="17"/>
      <c r="Z540" s="211" t="b">
        <f>IFERROR(INDEX(Outliers!$X$3:$X$61,MATCH('SkYSPark Data_w Will''s Data'!C540,Outliers!$B$3:$B$61,0)),0)</f>
        <v>1</v>
      </c>
      <c r="AA540" s="1" t="b">
        <f>IFERROR(INDEX(Outliers!$AP$3:$AP$61,MATCH('SkYSPark Data_w Will''s Data'!C540,Outliers!$B$3:$B$61,0)),0)</f>
        <v>1</v>
      </c>
      <c r="AB540" s="112" t="b">
        <f>IFERROR(INDEX(Outliers!$AY$3:$AY$61,MATCH('SkYSPark Data_w Will''s Data'!C540,Outliers!$B$3:$B$61,0)),0)</f>
        <v>1</v>
      </c>
      <c r="AC540" s="112"/>
      <c r="AD540" s="145"/>
      <c r="AE540" s="145"/>
      <c r="AF540" s="145"/>
    </row>
    <row r="541" spans="1:34" s="9" customFormat="1" x14ac:dyDescent="0.3">
      <c r="A541" s="13">
        <v>43405</v>
      </c>
      <c r="B541" s="3">
        <f t="shared" si="49"/>
        <v>11</v>
      </c>
      <c r="C541" s="6" t="s">
        <v>173</v>
      </c>
      <c r="D541" s="3"/>
      <c r="E541" s="6"/>
      <c r="F541" s="6"/>
      <c r="G541" s="14">
        <v>1911.5609739366919</v>
      </c>
      <c r="L541" s="17"/>
      <c r="M541" s="21">
        <f t="shared" si="45"/>
        <v>0</v>
      </c>
      <c r="N541" s="21">
        <f t="shared" si="46"/>
        <v>0</v>
      </c>
      <c r="O541" s="21">
        <f t="shared" si="47"/>
        <v>0</v>
      </c>
      <c r="P541" s="21">
        <f t="shared" si="48"/>
        <v>0</v>
      </c>
      <c r="V541" s="41"/>
      <c r="X541" s="17"/>
      <c r="Z541" s="211" t="b">
        <f>IFERROR(INDEX(Outliers!$X$3:$X$61,MATCH('SkYSPark Data_w Will''s Data'!C541,Outliers!$B$3:$B$61,0)),0)</f>
        <v>1</v>
      </c>
      <c r="AA541" s="1" t="b">
        <f>IFERROR(INDEX(Outliers!$AP$3:$AP$61,MATCH('SkYSPark Data_w Will''s Data'!C541,Outliers!$B$3:$B$61,0)),0)</f>
        <v>1</v>
      </c>
      <c r="AB541" s="112" t="b">
        <f>IFERROR(INDEX(Outliers!$AY$3:$AY$61,MATCH('SkYSPark Data_w Will''s Data'!C541,Outliers!$B$3:$B$61,0)),0)</f>
        <v>1</v>
      </c>
      <c r="AC541" s="112"/>
      <c r="AD541" s="145"/>
      <c r="AE541" s="145"/>
      <c r="AF541" s="145"/>
    </row>
    <row r="542" spans="1:34" s="9" customFormat="1" x14ac:dyDescent="0.3">
      <c r="A542" s="13">
        <v>43435</v>
      </c>
      <c r="B542" s="3">
        <f t="shared" si="49"/>
        <v>12</v>
      </c>
      <c r="C542" s="6" t="s">
        <v>173</v>
      </c>
      <c r="D542" s="3"/>
      <c r="E542" s="6"/>
      <c r="F542" s="6"/>
      <c r="G542" s="14">
        <v>0</v>
      </c>
      <c r="L542" s="17"/>
      <c r="M542" s="21">
        <f t="shared" si="45"/>
        <v>0</v>
      </c>
      <c r="N542" s="21">
        <f t="shared" si="46"/>
        <v>0</v>
      </c>
      <c r="O542" s="21">
        <f t="shared" si="47"/>
        <v>0</v>
      </c>
      <c r="P542" s="21">
        <f t="shared" si="48"/>
        <v>0</v>
      </c>
      <c r="V542" s="41"/>
      <c r="X542" s="17"/>
      <c r="Z542" s="211" t="b">
        <f>IFERROR(INDEX(Outliers!$X$3:$X$61,MATCH('SkYSPark Data_w Will''s Data'!C542,Outliers!$B$3:$B$61,0)),0)</f>
        <v>1</v>
      </c>
      <c r="AA542" s="1" t="b">
        <f>IFERROR(INDEX(Outliers!$AP$3:$AP$61,MATCH('SkYSPark Data_w Will''s Data'!C542,Outliers!$B$3:$B$61,0)),0)</f>
        <v>1</v>
      </c>
      <c r="AB542" s="112" t="b">
        <f>IFERROR(INDEX(Outliers!$AY$3:$AY$61,MATCH('SkYSPark Data_w Will''s Data'!C542,Outliers!$B$3:$B$61,0)),0)</f>
        <v>1</v>
      </c>
      <c r="AC542" s="112"/>
      <c r="AD542" s="145"/>
      <c r="AE542" s="145"/>
      <c r="AF542" s="145"/>
    </row>
    <row r="543" spans="1:34" s="15" customFormat="1" x14ac:dyDescent="0.3">
      <c r="A543" s="38">
        <v>44927</v>
      </c>
      <c r="B543" s="3">
        <f t="shared" si="49"/>
        <v>1</v>
      </c>
      <c r="C543" s="22" t="s">
        <v>172</v>
      </c>
      <c r="D543" s="3" t="str">
        <f>VLOOKUP(C543,'Data availability'!$A$2:$B$91,2,FALSE)</f>
        <v>Main campus</v>
      </c>
      <c r="E543" s="22">
        <v>89180</v>
      </c>
      <c r="F543" s="3" t="str">
        <f>VLOOKUP(C543,'Data availability'!$A$2:$H$91,8,FALSE)</f>
        <v>Academic</v>
      </c>
      <c r="G543" s="21">
        <v>26948.279347913449</v>
      </c>
      <c r="H543" s="21"/>
      <c r="J543" s="21">
        <v>5089.1060000000152</v>
      </c>
      <c r="K543" s="21"/>
      <c r="L543" s="20"/>
      <c r="M543" s="21">
        <f t="shared" si="45"/>
        <v>1.0310330694671528</v>
      </c>
      <c r="N543" s="21">
        <f t="shared" si="46"/>
        <v>0</v>
      </c>
      <c r="O543" s="21">
        <f t="shared" si="47"/>
        <v>5.7065552814532579</v>
      </c>
      <c r="P543" s="21">
        <f t="shared" si="48"/>
        <v>0</v>
      </c>
      <c r="Q543" s="21">
        <f>(SUM(G543:G554)*3.412)/E543</f>
        <v>21.851171431919209</v>
      </c>
      <c r="R543" s="21">
        <f>(SUM(I543:I554)*100)/E543</f>
        <v>0</v>
      </c>
      <c r="S543" s="21">
        <f>(SUM(J543:J554)*100)/E543</f>
        <v>33.444268333707107</v>
      </c>
      <c r="T543" s="21">
        <f>(SUM(K543:K554)*12)/E543</f>
        <v>0</v>
      </c>
      <c r="U543" s="21"/>
      <c r="V543" s="34">
        <f>SUM(Q543:T543)</f>
        <v>55.295439765626313</v>
      </c>
      <c r="W543" s="19" t="s">
        <v>216</v>
      </c>
      <c r="X543" s="20"/>
      <c r="Y543" s="21"/>
      <c r="Z543" s="211" t="b">
        <f>IFERROR(INDEX(Outliers!$X$3:$X$61,MATCH('SkYSPark Data_w Will''s Data'!C543,Outliers!$B$3:$B$61,0)),0)</f>
        <v>0</v>
      </c>
      <c r="AA543" s="1" t="b">
        <f>IFERROR(INDEX(Outliers!$AP$3:$AP$61,MATCH('SkYSPark Data_w Will''s Data'!C543,Outliers!$B$3:$B$61,0)),0)</f>
        <v>0</v>
      </c>
      <c r="AB543" s="112" t="b">
        <f>IFERROR(INDEX(Outliers!$AY$3:$AY$61,MATCH('SkYSPark Data_w Will''s Data'!C543,Outliers!$B$3:$B$61,0)),0)</f>
        <v>1</v>
      </c>
      <c r="AC543" s="112" t="s">
        <v>392</v>
      </c>
      <c r="AD543" s="138"/>
      <c r="AE543" s="138"/>
      <c r="AF543" s="138"/>
    </row>
    <row r="544" spans="1:34" x14ac:dyDescent="0.3">
      <c r="A544" s="2">
        <v>44958</v>
      </c>
      <c r="B544" s="3">
        <f t="shared" si="49"/>
        <v>2</v>
      </c>
      <c r="C544" s="3" t="s">
        <v>172</v>
      </c>
      <c r="D544" s="3" t="str">
        <f>VLOOKUP(C544,'Data availability'!$A$2:$B$91,2,FALSE)</f>
        <v>Main campus</v>
      </c>
      <c r="E544" s="3">
        <v>89180</v>
      </c>
      <c r="F544" s="3" t="str">
        <f>VLOOKUP(C544,'Data availability'!$A$2:$H$91,8,FALSE)</f>
        <v>Academic</v>
      </c>
      <c r="G544" s="1">
        <v>41999.93610382123</v>
      </c>
      <c r="J544" s="1">
        <v>0</v>
      </c>
      <c r="M544" s="21">
        <f t="shared" si="45"/>
        <v>1.6069049336873518</v>
      </c>
      <c r="N544" s="21">
        <f t="shared" si="46"/>
        <v>0</v>
      </c>
      <c r="O544" s="21">
        <f t="shared" si="47"/>
        <v>0</v>
      </c>
      <c r="P544" s="21">
        <f t="shared" si="48"/>
        <v>0</v>
      </c>
      <c r="W544" s="25" t="s">
        <v>423</v>
      </c>
      <c r="Z544" s="211" t="b">
        <f>IFERROR(INDEX(Outliers!$X$3:$X$61,MATCH('SkYSPark Data_w Will''s Data'!C544,Outliers!$B$3:$B$61,0)),0)</f>
        <v>0</v>
      </c>
      <c r="AA544" s="1" t="b">
        <f>IFERROR(INDEX(Outliers!$AP$3:$AP$61,MATCH('SkYSPark Data_w Will''s Data'!C544,Outliers!$B$3:$B$61,0)),0)</f>
        <v>0</v>
      </c>
      <c r="AB544" s="112" t="b">
        <f>IFERROR(INDEX(Outliers!$AY$3:$AY$61,MATCH('SkYSPark Data_w Will''s Data'!C544,Outliers!$B$3:$B$61,0)),0)</f>
        <v>1</v>
      </c>
      <c r="AC544" s="112" t="s">
        <v>392</v>
      </c>
    </row>
    <row r="545" spans="1:34" x14ac:dyDescent="0.3">
      <c r="A545" s="2">
        <v>44986</v>
      </c>
      <c r="B545" s="3">
        <f t="shared" si="49"/>
        <v>3</v>
      </c>
      <c r="C545" s="3" t="s">
        <v>172</v>
      </c>
      <c r="D545" s="3" t="str">
        <f>VLOOKUP(C545,'Data availability'!$A$2:$B$91,2,FALSE)</f>
        <v>Main campus</v>
      </c>
      <c r="E545" s="3">
        <v>89180</v>
      </c>
      <c r="F545" s="3" t="str">
        <f>VLOOKUP(C545,'Data availability'!$A$2:$H$91,8,FALSE)</f>
        <v>Academic</v>
      </c>
      <c r="G545" s="1">
        <v>48656.64899273849</v>
      </c>
      <c r="J545" s="1">
        <v>5097.7319999999927</v>
      </c>
      <c r="M545" s="21">
        <f t="shared" si="45"/>
        <v>1.8615887683698555</v>
      </c>
      <c r="N545" s="21">
        <f t="shared" si="46"/>
        <v>0</v>
      </c>
      <c r="O545" s="21">
        <f t="shared" si="47"/>
        <v>5.7162278537788662</v>
      </c>
      <c r="P545" s="21">
        <f t="shared" si="48"/>
        <v>0</v>
      </c>
      <c r="Z545" s="211" t="b">
        <f>IFERROR(INDEX(Outliers!$X$3:$X$61,MATCH('SkYSPark Data_w Will''s Data'!C545,Outliers!$B$3:$B$61,0)),0)</f>
        <v>0</v>
      </c>
      <c r="AA545" s="1" t="b">
        <f>IFERROR(INDEX(Outliers!$AP$3:$AP$61,MATCH('SkYSPark Data_w Will''s Data'!C545,Outliers!$B$3:$B$61,0)),0)</f>
        <v>0</v>
      </c>
      <c r="AB545" s="112" t="b">
        <f>IFERROR(INDEX(Outliers!$AY$3:$AY$61,MATCH('SkYSPark Data_w Will''s Data'!C545,Outliers!$B$3:$B$61,0)),0)</f>
        <v>1</v>
      </c>
      <c r="AC545" s="112" t="s">
        <v>392</v>
      </c>
    </row>
    <row r="546" spans="1:34" x14ac:dyDescent="0.3">
      <c r="A546" s="2">
        <v>45017</v>
      </c>
      <c r="B546" s="3">
        <f t="shared" si="49"/>
        <v>4</v>
      </c>
      <c r="C546" s="3" t="s">
        <v>172</v>
      </c>
      <c r="D546" s="3" t="str">
        <f>VLOOKUP(C546,'Data availability'!$A$2:$B$91,2,FALSE)</f>
        <v>Main campus</v>
      </c>
      <c r="E546" s="3">
        <v>89180</v>
      </c>
      <c r="F546" s="3" t="str">
        <f>VLOOKUP(C546,'Data availability'!$A$2:$H$91,8,FALSE)</f>
        <v>Academic</v>
      </c>
      <c r="G546" s="1">
        <v>48143.439889707923</v>
      </c>
      <c r="J546" s="1">
        <v>3852.1959999999963</v>
      </c>
      <c r="M546" s="21">
        <f t="shared" si="45"/>
        <v>1.8419535423153557</v>
      </c>
      <c r="N546" s="21">
        <f t="shared" si="46"/>
        <v>0</v>
      </c>
      <c r="O546" s="21">
        <f t="shared" si="47"/>
        <v>4.3195738954922582</v>
      </c>
      <c r="P546" s="21">
        <f t="shared" si="48"/>
        <v>0</v>
      </c>
      <c r="Z546" s="211" t="b">
        <f>IFERROR(INDEX(Outliers!$X$3:$X$61,MATCH('SkYSPark Data_w Will''s Data'!C546,Outliers!$B$3:$B$61,0)),0)</f>
        <v>0</v>
      </c>
      <c r="AA546" s="1" t="b">
        <f>IFERROR(INDEX(Outliers!$AP$3:$AP$61,MATCH('SkYSPark Data_w Will''s Data'!C546,Outliers!$B$3:$B$61,0)),0)</f>
        <v>0</v>
      </c>
      <c r="AB546" s="112" t="b">
        <f>IFERROR(INDEX(Outliers!$AY$3:$AY$61,MATCH('SkYSPark Data_w Will''s Data'!C546,Outliers!$B$3:$B$61,0)),0)</f>
        <v>1</v>
      </c>
      <c r="AC546" s="112" t="s">
        <v>392</v>
      </c>
    </row>
    <row r="547" spans="1:34" x14ac:dyDescent="0.3">
      <c r="A547" s="2">
        <v>45047</v>
      </c>
      <c r="B547" s="3">
        <f t="shared" si="49"/>
        <v>5</v>
      </c>
      <c r="C547" s="3" t="s">
        <v>172</v>
      </c>
      <c r="D547" s="3" t="str">
        <f>VLOOKUP(C547,'Data availability'!$A$2:$B$91,2,FALSE)</f>
        <v>Main campus</v>
      </c>
      <c r="E547" s="3">
        <v>89180</v>
      </c>
      <c r="F547" s="3" t="str">
        <f>VLOOKUP(C547,'Data availability'!$A$2:$H$91,8,FALSE)</f>
        <v>Academic</v>
      </c>
      <c r="G547" s="1">
        <v>51199.91302490214</v>
      </c>
      <c r="M547" s="21">
        <f t="shared" si="45"/>
        <v>1.9588932859493844</v>
      </c>
      <c r="N547" s="21">
        <f t="shared" si="46"/>
        <v>0</v>
      </c>
      <c r="O547" s="21">
        <f t="shared" si="47"/>
        <v>0</v>
      </c>
      <c r="P547" s="21">
        <f t="shared" si="48"/>
        <v>0</v>
      </c>
      <c r="Z547" s="211" t="b">
        <f>IFERROR(INDEX(Outliers!$X$3:$X$61,MATCH('SkYSPark Data_w Will''s Data'!C547,Outliers!$B$3:$B$61,0)),0)</f>
        <v>0</v>
      </c>
      <c r="AA547" s="1" t="b">
        <f>IFERROR(INDEX(Outliers!$AP$3:$AP$61,MATCH('SkYSPark Data_w Will''s Data'!C547,Outliers!$B$3:$B$61,0)),0)</f>
        <v>0</v>
      </c>
      <c r="AB547" s="112" t="b">
        <f>IFERROR(INDEX(Outliers!$AY$3:$AY$61,MATCH('SkYSPark Data_w Will''s Data'!C547,Outliers!$B$3:$B$61,0)),0)</f>
        <v>1</v>
      </c>
      <c r="AC547" s="112" t="s">
        <v>392</v>
      </c>
    </row>
    <row r="548" spans="1:34" x14ac:dyDescent="0.3">
      <c r="A548" s="2">
        <v>45078</v>
      </c>
      <c r="B548" s="3">
        <f t="shared" si="49"/>
        <v>6</v>
      </c>
      <c r="C548" s="3" t="s">
        <v>172</v>
      </c>
      <c r="D548" s="3" t="str">
        <f>VLOOKUP(C548,'Data availability'!$A$2:$B$91,2,FALSE)</f>
        <v>Main campus</v>
      </c>
      <c r="E548" s="3">
        <v>89180</v>
      </c>
      <c r="F548" s="3" t="str">
        <f>VLOOKUP(C548,'Data availability'!$A$2:$H$91,8,FALSE)</f>
        <v>Academic</v>
      </c>
      <c r="G548" s="1">
        <v>51804.926337265162</v>
      </c>
      <c r="J548" s="1">
        <v>0</v>
      </c>
      <c r="M548" s="21">
        <f t="shared" si="45"/>
        <v>1.9820409134643275</v>
      </c>
      <c r="N548" s="21">
        <f t="shared" si="46"/>
        <v>0</v>
      </c>
      <c r="O548" s="21">
        <f t="shared" si="47"/>
        <v>0</v>
      </c>
      <c r="P548" s="21">
        <f t="shared" si="48"/>
        <v>0</v>
      </c>
      <c r="Z548" s="211" t="b">
        <f>IFERROR(INDEX(Outliers!$X$3:$X$61,MATCH('SkYSPark Data_w Will''s Data'!C548,Outliers!$B$3:$B$61,0)),0)</f>
        <v>0</v>
      </c>
      <c r="AA548" s="1" t="b">
        <f>IFERROR(INDEX(Outliers!$AP$3:$AP$61,MATCH('SkYSPark Data_w Will''s Data'!C548,Outliers!$B$3:$B$61,0)),0)</f>
        <v>0</v>
      </c>
      <c r="AB548" s="112" t="b">
        <f>IFERROR(INDEX(Outliers!$AY$3:$AY$61,MATCH('SkYSPark Data_w Will''s Data'!C548,Outliers!$B$3:$B$61,0)),0)</f>
        <v>1</v>
      </c>
      <c r="AC548" s="112" t="s">
        <v>392</v>
      </c>
    </row>
    <row r="549" spans="1:34" x14ac:dyDescent="0.3">
      <c r="A549" s="2">
        <v>45108</v>
      </c>
      <c r="B549" s="3">
        <f t="shared" si="49"/>
        <v>7</v>
      </c>
      <c r="C549" s="3" t="s">
        <v>172</v>
      </c>
      <c r="D549" s="3" t="str">
        <f>VLOOKUP(C549,'Data availability'!$A$2:$B$91,2,FALSE)</f>
        <v>Main campus</v>
      </c>
      <c r="E549" s="3">
        <v>89180</v>
      </c>
      <c r="F549" s="3" t="str">
        <f>VLOOKUP(C549,'Data availability'!$A$2:$H$91,8,FALSE)</f>
        <v>Academic</v>
      </c>
      <c r="G549" s="1">
        <v>53895.089684462677</v>
      </c>
      <c r="J549" s="1">
        <v>0.11740000000223517</v>
      </c>
      <c r="M549" s="21">
        <f t="shared" si="45"/>
        <v>2.0620099350009715</v>
      </c>
      <c r="N549" s="21">
        <f t="shared" si="46"/>
        <v>0</v>
      </c>
      <c r="O549" s="21">
        <f t="shared" si="47"/>
        <v>1.3164386634025024E-4</v>
      </c>
      <c r="P549" s="21">
        <f t="shared" si="48"/>
        <v>0</v>
      </c>
      <c r="Z549" s="211" t="b">
        <f>IFERROR(INDEX(Outliers!$X$3:$X$61,MATCH('SkYSPark Data_w Will''s Data'!C549,Outliers!$B$3:$B$61,0)),0)</f>
        <v>0</v>
      </c>
      <c r="AA549" s="1" t="b">
        <f>IFERROR(INDEX(Outliers!$AP$3:$AP$61,MATCH('SkYSPark Data_w Will''s Data'!C549,Outliers!$B$3:$B$61,0)),0)</f>
        <v>0</v>
      </c>
      <c r="AB549" s="112" t="b">
        <f>IFERROR(INDEX(Outliers!$AY$3:$AY$61,MATCH('SkYSPark Data_w Will''s Data'!C549,Outliers!$B$3:$B$61,0)),0)</f>
        <v>1</v>
      </c>
      <c r="AC549" s="112" t="s">
        <v>392</v>
      </c>
    </row>
    <row r="550" spans="1:34" x14ac:dyDescent="0.3">
      <c r="A550" s="2">
        <v>45139</v>
      </c>
      <c r="B550" s="3">
        <f t="shared" si="49"/>
        <v>8</v>
      </c>
      <c r="C550" s="3" t="s">
        <v>172</v>
      </c>
      <c r="D550" s="3" t="str">
        <f>VLOOKUP(C550,'Data availability'!$A$2:$B$91,2,FALSE)</f>
        <v>Main campus</v>
      </c>
      <c r="E550" s="3">
        <v>89180</v>
      </c>
      <c r="F550" s="3" t="str">
        <f>VLOOKUP(C550,'Data availability'!$A$2:$H$91,8,FALSE)</f>
        <v>Academic</v>
      </c>
      <c r="G550" s="1">
        <v>55091.490064347709</v>
      </c>
      <c r="J550" s="1">
        <v>0</v>
      </c>
      <c r="M550" s="21">
        <f t="shared" si="45"/>
        <v>2.1077838539981428</v>
      </c>
      <c r="N550" s="21">
        <f t="shared" si="46"/>
        <v>0</v>
      </c>
      <c r="O550" s="21">
        <f t="shared" si="47"/>
        <v>0</v>
      </c>
      <c r="P550" s="21">
        <f t="shared" si="48"/>
        <v>0</v>
      </c>
      <c r="Z550" s="211" t="b">
        <f>IFERROR(INDEX(Outliers!$X$3:$X$61,MATCH('SkYSPark Data_w Will''s Data'!C550,Outliers!$B$3:$B$61,0)),0)</f>
        <v>0</v>
      </c>
      <c r="AA550" s="1" t="b">
        <f>IFERROR(INDEX(Outliers!$AP$3:$AP$61,MATCH('SkYSPark Data_w Will''s Data'!C550,Outliers!$B$3:$B$61,0)),0)</f>
        <v>0</v>
      </c>
      <c r="AB550" s="112" t="b">
        <f>IFERROR(INDEX(Outliers!$AY$3:$AY$61,MATCH('SkYSPark Data_w Will''s Data'!C550,Outliers!$B$3:$B$61,0)),0)</f>
        <v>1</v>
      </c>
      <c r="AC550" s="112" t="s">
        <v>392</v>
      </c>
    </row>
    <row r="551" spans="1:34" x14ac:dyDescent="0.3">
      <c r="A551" s="2">
        <v>45170</v>
      </c>
      <c r="B551" s="3">
        <f t="shared" si="49"/>
        <v>9</v>
      </c>
      <c r="C551" s="3" t="s">
        <v>172</v>
      </c>
      <c r="D551" s="3" t="str">
        <f>VLOOKUP(C551,'Data availability'!$A$2:$B$91,2,FALSE)</f>
        <v>Main campus</v>
      </c>
      <c r="E551" s="3">
        <v>89180</v>
      </c>
      <c r="F551" s="3" t="str">
        <f>VLOOKUP(C551,'Data availability'!$A$2:$H$91,8,FALSE)</f>
        <v>Academic</v>
      </c>
      <c r="G551" s="1">
        <v>54775.235009572818</v>
      </c>
      <c r="J551" s="1">
        <v>109.46230000000448</v>
      </c>
      <c r="M551" s="21">
        <f t="shared" si="45"/>
        <v>2.0956840306420998</v>
      </c>
      <c r="N551" s="21">
        <f t="shared" si="46"/>
        <v>0</v>
      </c>
      <c r="O551" s="21">
        <f t="shared" si="47"/>
        <v>0.12274310383494558</v>
      </c>
      <c r="P551" s="21">
        <f t="shared" si="48"/>
        <v>0</v>
      </c>
      <c r="Z551" s="211" t="b">
        <f>IFERROR(INDEX(Outliers!$X$3:$X$61,MATCH('SkYSPark Data_w Will''s Data'!C551,Outliers!$B$3:$B$61,0)),0)</f>
        <v>0</v>
      </c>
      <c r="AA551" s="1" t="b">
        <f>IFERROR(INDEX(Outliers!$AP$3:$AP$61,MATCH('SkYSPark Data_w Will''s Data'!C551,Outliers!$B$3:$B$61,0)),0)</f>
        <v>0</v>
      </c>
      <c r="AB551" s="112" t="b">
        <f>IFERROR(INDEX(Outliers!$AY$3:$AY$61,MATCH('SkYSPark Data_w Will''s Data'!C551,Outliers!$B$3:$B$61,0)),0)</f>
        <v>1</v>
      </c>
      <c r="AC551" s="112" t="s">
        <v>392</v>
      </c>
    </row>
    <row r="552" spans="1:34" x14ac:dyDescent="0.3">
      <c r="A552" s="2">
        <v>45200</v>
      </c>
      <c r="B552" s="3">
        <f t="shared" si="49"/>
        <v>10</v>
      </c>
      <c r="C552" s="3" t="s">
        <v>172</v>
      </c>
      <c r="D552" s="3" t="str">
        <f>VLOOKUP(C552,'Data availability'!$A$2:$B$91,2,FALSE)</f>
        <v>Main campus</v>
      </c>
      <c r="E552" s="3">
        <v>89180</v>
      </c>
      <c r="F552" s="3" t="str">
        <f>VLOOKUP(C552,'Data availability'!$A$2:$H$91,8,FALSE)</f>
        <v>Academic</v>
      </c>
      <c r="G552" s="1">
        <v>53633.345497979841</v>
      </c>
      <c r="J552" s="1">
        <v>5161.9870999999903</v>
      </c>
      <c r="M552" s="21">
        <f t="shared" ref="M552:M615" si="50">IFERROR((G552*3.412)/E552,0)</f>
        <v>2.0519956810844047</v>
      </c>
      <c r="N552" s="21">
        <f t="shared" ref="N552:N615" si="51">IFERROR((I552*100)/E552,0)</f>
        <v>0</v>
      </c>
      <c r="O552" s="21">
        <f t="shared" ref="O552:O615" si="52">IFERROR((J552*100)/E552,0)</f>
        <v>5.7882788741870268</v>
      </c>
      <c r="P552" s="21">
        <f t="shared" ref="P552:P615" si="53">IFERROR((K552*12)/E552,0)</f>
        <v>0</v>
      </c>
      <c r="Z552" s="211" t="b">
        <f>IFERROR(INDEX(Outliers!$X$3:$X$61,MATCH('SkYSPark Data_w Will''s Data'!C552,Outliers!$B$3:$B$61,0)),0)</f>
        <v>0</v>
      </c>
      <c r="AA552" s="1" t="b">
        <f>IFERROR(INDEX(Outliers!$AP$3:$AP$61,MATCH('SkYSPark Data_w Will''s Data'!C552,Outliers!$B$3:$B$61,0)),0)</f>
        <v>0</v>
      </c>
      <c r="AB552" s="112" t="b">
        <f>IFERROR(INDEX(Outliers!$AY$3:$AY$61,MATCH('SkYSPark Data_w Will''s Data'!C552,Outliers!$B$3:$B$61,0)),0)</f>
        <v>1</v>
      </c>
      <c r="AC552" s="112" t="s">
        <v>392</v>
      </c>
    </row>
    <row r="553" spans="1:34" x14ac:dyDescent="0.3">
      <c r="A553" s="2">
        <v>45231</v>
      </c>
      <c r="B553" s="3">
        <f t="shared" si="49"/>
        <v>11</v>
      </c>
      <c r="C553" s="3" t="s">
        <v>172</v>
      </c>
      <c r="D553" s="3" t="str">
        <f>VLOOKUP(C553,'Data availability'!$A$2:$B$91,2,FALSE)</f>
        <v>Main campus</v>
      </c>
      <c r="E553" s="3">
        <v>89180</v>
      </c>
      <c r="F553" s="3" t="str">
        <f>VLOOKUP(C553,'Data availability'!$A$2:$H$91,8,FALSE)</f>
        <v>Academic</v>
      </c>
      <c r="G553" s="1">
        <v>43641.846387413148</v>
      </c>
      <c r="J553" s="1">
        <v>5038.1891999999998</v>
      </c>
      <c r="M553" s="21">
        <f t="shared" si="50"/>
        <v>1.6697239277175784</v>
      </c>
      <c r="N553" s="21">
        <f t="shared" si="51"/>
        <v>0</v>
      </c>
      <c r="O553" s="21">
        <f t="shared" si="52"/>
        <v>5.6494608656649472</v>
      </c>
      <c r="P553" s="21">
        <f t="shared" si="53"/>
        <v>0</v>
      </c>
      <c r="Z553" s="211" t="b">
        <f>IFERROR(INDEX(Outliers!$X$3:$X$61,MATCH('SkYSPark Data_w Will''s Data'!C553,Outliers!$B$3:$B$61,0)),0)</f>
        <v>0</v>
      </c>
      <c r="AA553" s="1" t="b">
        <f>IFERROR(INDEX(Outliers!$AP$3:$AP$61,MATCH('SkYSPark Data_w Will''s Data'!C553,Outliers!$B$3:$B$61,0)),0)</f>
        <v>0</v>
      </c>
      <c r="AB553" s="112" t="b">
        <f>IFERROR(INDEX(Outliers!$AY$3:$AY$61,MATCH('SkYSPark Data_w Will''s Data'!C553,Outliers!$B$3:$B$61,0)),0)</f>
        <v>1</v>
      </c>
      <c r="AC553" s="112" t="s">
        <v>392</v>
      </c>
    </row>
    <row r="554" spans="1:34" x14ac:dyDescent="0.3">
      <c r="A554" s="2">
        <v>45261</v>
      </c>
      <c r="B554" s="3">
        <f t="shared" si="49"/>
        <v>12</v>
      </c>
      <c r="C554" s="3" t="s">
        <v>172</v>
      </c>
      <c r="D554" s="3" t="str">
        <f>VLOOKUP(C554,'Data availability'!$A$2:$B$91,2,FALSE)</f>
        <v>Main campus</v>
      </c>
      <c r="E554" s="3">
        <v>89180</v>
      </c>
      <c r="F554" s="3" t="str">
        <f>VLOOKUP(C554,'Data availability'!$A$2:$H$91,8,FALSE)</f>
        <v>Academic</v>
      </c>
      <c r="G554" s="1">
        <v>41337.4781178341</v>
      </c>
      <c r="J554" s="1">
        <v>5476.8084999999965</v>
      </c>
      <c r="M554" s="21">
        <f t="shared" si="50"/>
        <v>1.5815594902225827</v>
      </c>
      <c r="N554" s="21">
        <f t="shared" si="51"/>
        <v>0</v>
      </c>
      <c r="O554" s="21">
        <f t="shared" si="52"/>
        <v>6.141296815429464</v>
      </c>
      <c r="P554" s="21">
        <f t="shared" si="53"/>
        <v>0</v>
      </c>
      <c r="Z554" s="211" t="b">
        <f>IFERROR(INDEX(Outliers!$X$3:$X$61,MATCH('SkYSPark Data_w Will''s Data'!C554,Outliers!$B$3:$B$61,0)),0)</f>
        <v>0</v>
      </c>
      <c r="AA554" s="1" t="b">
        <f>IFERROR(INDEX(Outliers!$AP$3:$AP$61,MATCH('SkYSPark Data_w Will''s Data'!C554,Outliers!$B$3:$B$61,0)),0)</f>
        <v>0</v>
      </c>
      <c r="AB554" s="112" t="b">
        <f>IFERROR(INDEX(Outliers!$AY$3:$AY$61,MATCH('SkYSPark Data_w Will''s Data'!C554,Outliers!$B$3:$B$61,0)),0)</f>
        <v>1</v>
      </c>
      <c r="AC554" s="112" t="s">
        <v>392</v>
      </c>
    </row>
    <row r="555" spans="1:34" s="15" customFormat="1" x14ac:dyDescent="0.3">
      <c r="A555" s="38">
        <v>44927</v>
      </c>
      <c r="B555" s="3">
        <f t="shared" si="49"/>
        <v>1</v>
      </c>
      <c r="C555" s="22" t="s">
        <v>339</v>
      </c>
      <c r="D555" s="3" t="str">
        <f>VLOOKUP(C555,'Data availability'!$A$2:$B$91,2,FALSE)</f>
        <v>South campus</v>
      </c>
      <c r="E555" s="15">
        <v>22495</v>
      </c>
      <c r="F555" s="3" t="str">
        <f>VLOOKUP(C555,'Data availability'!$A$2:$H$91,8,FALSE)</f>
        <v>Athletics</v>
      </c>
      <c r="G555" s="1" cm="1">
        <f t="array" ref="G555">_xlfn._xlws.FILTER('Split meters'!$AD$35:$AD$106,('Split meters'!$A$35:$A$106='SkYSPark Data_w Will''s Data'!B555)*('Split meters'!$B$35:$B$106='SkYSPark Data_w Will''s Data'!C555))</f>
        <v>4620.5946320500307</v>
      </c>
      <c r="I555" s="21">
        <v>796.70000000000493</v>
      </c>
      <c r="J555" s="21"/>
      <c r="K555" s="21"/>
      <c r="L555" s="20"/>
      <c r="M555" s="21">
        <f t="shared" si="50"/>
        <v>0.70084324892441452</v>
      </c>
      <c r="N555" s="21">
        <f t="shared" si="51"/>
        <v>3.5416759279840186</v>
      </c>
      <c r="O555" s="21">
        <f t="shared" si="52"/>
        <v>0</v>
      </c>
      <c r="P555" s="21">
        <f t="shared" si="53"/>
        <v>0</v>
      </c>
      <c r="Q555" s="21" t="e">
        <f>(SUM(#REF!)*3.412)/E555</f>
        <v>#REF!</v>
      </c>
      <c r="R555" s="21">
        <f>(SUM(I555:I566)*100)/E555</f>
        <v>17.240705819931247</v>
      </c>
      <c r="S555" s="21">
        <f>(SUM(J555:J566)*100)/E555</f>
        <v>0</v>
      </c>
      <c r="T555" s="21">
        <f>(SUM(K555:K566)*12)/E555</f>
        <v>0</v>
      </c>
      <c r="U555" s="21"/>
      <c r="V555" s="34" t="e">
        <f>SUM(Q555:T555)</f>
        <v>#REF!</v>
      </c>
      <c r="W555" s="19" t="s">
        <v>213</v>
      </c>
      <c r="X555" s="20"/>
      <c r="Y555" s="21" t="s">
        <v>447</v>
      </c>
      <c r="Z555" s="211" t="b">
        <f>IFERROR(INDEX(Outliers!$X$3:$X$61,MATCH('SkYSPark Data_w Will''s Data'!C555,Outliers!$B$3:$B$61,0)),0)</f>
        <v>0</v>
      </c>
      <c r="AA555" s="1" t="b">
        <f>IFERROR(INDEX(Outliers!$AP$3:$AP$61,MATCH('SkYSPark Data_w Will''s Data'!C555,Outliers!$B$3:$B$61,0)),0)</f>
        <v>1</v>
      </c>
      <c r="AB555" s="112" t="b">
        <f>IFERROR(INDEX(Outliers!$AY$3:$AY$61,MATCH('SkYSPark Data_w Will''s Data'!C555,Outliers!$B$3:$B$61,0)),0)</f>
        <v>1</v>
      </c>
      <c r="AC555" s="112"/>
      <c r="AD555" s="138"/>
      <c r="AE555" s="138"/>
      <c r="AF555" s="138" t="s">
        <v>552</v>
      </c>
      <c r="AG555" s="15">
        <v>0.92260217944274336</v>
      </c>
      <c r="AH555" s="15">
        <v>2.63442293906808</v>
      </c>
    </row>
    <row r="556" spans="1:34" x14ac:dyDescent="0.3">
      <c r="A556" s="2">
        <v>44958</v>
      </c>
      <c r="B556" s="3">
        <f t="shared" si="49"/>
        <v>2</v>
      </c>
      <c r="C556" s="3" t="s">
        <v>339</v>
      </c>
      <c r="D556" s="3" t="str">
        <f>VLOOKUP(C556,'Data availability'!$A$2:$B$91,2,FALSE)</f>
        <v>South campus</v>
      </c>
      <c r="E556">
        <v>22495</v>
      </c>
      <c r="F556" s="3" t="str">
        <f>VLOOKUP(C556,'Data availability'!$A$2:$H$91,8,FALSE)</f>
        <v>Athletics</v>
      </c>
      <c r="G556" s="1" cm="1">
        <f t="array" ref="G556">_xlfn._xlws.FILTER('Split meters'!$AD$35:$AD$106,('Split meters'!$A$35:$A$106='SkYSPark Data_w Will''s Data'!B556)*('Split meters'!$B$35:$B$106='SkYSPark Data_w Will''s Data'!C556))</f>
        <v>4186.853349388758</v>
      </c>
      <c r="I556" s="1">
        <v>887.72580645161054</v>
      </c>
      <c r="M556" s="21">
        <f t="shared" si="50"/>
        <v>0.63505417328803926</v>
      </c>
      <c r="N556" s="21">
        <f t="shared" si="51"/>
        <v>3.9463249897826653</v>
      </c>
      <c r="O556" s="21">
        <f t="shared" si="52"/>
        <v>0</v>
      </c>
      <c r="P556" s="21">
        <f t="shared" si="53"/>
        <v>0</v>
      </c>
      <c r="W556" s="10" t="s">
        <v>214</v>
      </c>
      <c r="Z556" s="211" t="b">
        <f>IFERROR(INDEX(Outliers!$X$3:$X$61,MATCH('SkYSPark Data_w Will''s Data'!C556,Outliers!$B$3:$B$61,0)),0)</f>
        <v>0</v>
      </c>
      <c r="AA556" s="1" t="b">
        <f>IFERROR(INDEX(Outliers!$AP$3:$AP$61,MATCH('SkYSPark Data_w Will''s Data'!C556,Outliers!$B$3:$B$61,0)),0)</f>
        <v>1</v>
      </c>
      <c r="AB556" s="112" t="b">
        <f>IFERROR(INDEX(Outliers!$AY$3:$AY$61,MATCH('SkYSPark Data_w Will''s Data'!C556,Outliers!$B$3:$B$61,0)),0)</f>
        <v>1</v>
      </c>
      <c r="AG556">
        <v>8.280155529953992E-2</v>
      </c>
      <c r="AH556">
        <v>3.171981246799759</v>
      </c>
    </row>
    <row r="557" spans="1:34" x14ac:dyDescent="0.3">
      <c r="A557" s="2">
        <v>44986</v>
      </c>
      <c r="B557" s="3">
        <f t="shared" si="49"/>
        <v>3</v>
      </c>
      <c r="C557" s="3" t="s">
        <v>339</v>
      </c>
      <c r="D557" s="3" t="str">
        <f>VLOOKUP(C557,'Data availability'!$A$2:$B$91,2,FALSE)</f>
        <v>South campus</v>
      </c>
      <c r="E557">
        <v>22495</v>
      </c>
      <c r="F557" s="3" t="str">
        <f>VLOOKUP(C557,'Data availability'!$A$2:$H$91,8,FALSE)</f>
        <v>Athletics</v>
      </c>
      <c r="G557" s="1" cm="1">
        <f t="array" ref="G557">_xlfn._xlws.FILTER('Split meters'!$AD$35:$AD$106,('Split meters'!$A$35:$A$106='SkYSPark Data_w Will''s Data'!B557)*('Split meters'!$B$35:$B$106='SkYSPark Data_w Will''s Data'!C557))</f>
        <v>4162.9010853330974</v>
      </c>
      <c r="I557" s="1">
        <v>775.34110002320199</v>
      </c>
      <c r="M557" s="21">
        <f t="shared" si="50"/>
        <v>0.63142113817099477</v>
      </c>
      <c r="N557" s="21">
        <f t="shared" si="51"/>
        <v>3.4467263837439521</v>
      </c>
      <c r="O557" s="21">
        <f t="shared" si="52"/>
        <v>0</v>
      </c>
      <c r="P557" s="21">
        <f t="shared" si="53"/>
        <v>0</v>
      </c>
      <c r="Z557" s="211" t="b">
        <f>IFERROR(INDEX(Outliers!$X$3:$X$61,MATCH('SkYSPark Data_w Will''s Data'!C557,Outliers!$B$3:$B$61,0)),0)</f>
        <v>0</v>
      </c>
      <c r="AA557" s="1" t="b">
        <f>IFERROR(INDEX(Outliers!$AP$3:$AP$61,MATCH('SkYSPark Data_w Will''s Data'!C557,Outliers!$B$3:$B$61,0)),0)</f>
        <v>1</v>
      </c>
      <c r="AB557" s="112" t="b">
        <f>IFERROR(INDEX(Outliers!$AY$3:$AY$61,MATCH('SkYSPark Data_w Will''s Data'!C557,Outliers!$B$3:$B$61,0)),0)</f>
        <v>1</v>
      </c>
      <c r="AG557">
        <v>8.448310853336341E-2</v>
      </c>
      <c r="AH557">
        <v>2.063803102648778</v>
      </c>
    </row>
    <row r="558" spans="1:34" x14ac:dyDescent="0.3">
      <c r="A558" s="2">
        <v>45017</v>
      </c>
      <c r="B558" s="3">
        <f t="shared" si="49"/>
        <v>4</v>
      </c>
      <c r="C558" s="3" t="s">
        <v>339</v>
      </c>
      <c r="D558" s="3" t="str">
        <f>VLOOKUP(C558,'Data availability'!$A$2:$B$91,2,FALSE)</f>
        <v>South campus</v>
      </c>
      <c r="E558">
        <v>22495</v>
      </c>
      <c r="F558" s="3" t="str">
        <f>VLOOKUP(C558,'Data availability'!$A$2:$H$91,8,FALSE)</f>
        <v>Athletics</v>
      </c>
      <c r="G558" s="1" cm="1">
        <f t="array" ref="G558">_xlfn._xlws.FILTER('Split meters'!$AD$35:$AD$106,('Split meters'!$A$35:$A$106='SkYSPark Data_w Will''s Data'!B558)*('Split meters'!$B$35:$B$106='SkYSPark Data_w Will''s Data'!C558))</f>
        <v>4019.8052366317661</v>
      </c>
      <c r="I558" s="1">
        <v>397.4330935251769</v>
      </c>
      <c r="M558" s="21">
        <f t="shared" si="50"/>
        <v>0.60971662446710762</v>
      </c>
      <c r="N558" s="21">
        <f t="shared" si="51"/>
        <v>1.7667619183159675</v>
      </c>
      <c r="O558" s="21">
        <f t="shared" si="52"/>
        <v>0</v>
      </c>
      <c r="P558" s="21">
        <f t="shared" si="53"/>
        <v>0</v>
      </c>
      <c r="Z558" s="211" t="b">
        <f>IFERROR(INDEX(Outliers!$X$3:$X$61,MATCH('SkYSPark Data_w Will''s Data'!C558,Outliers!$B$3:$B$61,0)),0)</f>
        <v>0</v>
      </c>
      <c r="AA558" s="1" t="b">
        <f>IFERROR(INDEX(Outliers!$AP$3:$AP$61,MATCH('SkYSPark Data_w Will''s Data'!C558,Outliers!$B$3:$B$61,0)),0)</f>
        <v>1</v>
      </c>
      <c r="AB558" s="112" t="b">
        <f>IFERROR(INDEX(Outliers!$AY$3:$AY$61,MATCH('SkYSPark Data_w Will''s Data'!C558,Outliers!$B$3:$B$61,0)),0)</f>
        <v>1</v>
      </c>
      <c r="AG558">
        <v>8.0837049110709852E-2</v>
      </c>
      <c r="AH558">
        <v>0.78849129196642154</v>
      </c>
    </row>
    <row r="559" spans="1:34" x14ac:dyDescent="0.3">
      <c r="A559" s="2">
        <v>45047</v>
      </c>
      <c r="B559" s="3">
        <f t="shared" si="49"/>
        <v>5</v>
      </c>
      <c r="C559" s="3" t="s">
        <v>339</v>
      </c>
      <c r="D559" s="3" t="str">
        <f>VLOOKUP(C559,'Data availability'!$A$2:$B$91,2,FALSE)</f>
        <v>South campus</v>
      </c>
      <c r="E559">
        <v>22495</v>
      </c>
      <c r="F559" s="3" t="str">
        <f>VLOOKUP(C559,'Data availability'!$A$2:$H$91,8,FALSE)</f>
        <v>Athletics</v>
      </c>
      <c r="G559" s="1" cm="1">
        <f t="array" ref="G559">_xlfn._xlws.FILTER('Split meters'!$AD$35:$AD$106,('Split meters'!$A$35:$A$106='SkYSPark Data_w Will''s Data'!B559)*('Split meters'!$B$35:$B$106='SkYSPark Data_w Will''s Data'!C559))</f>
        <v>4109.6527036335337</v>
      </c>
      <c r="I559" s="1">
        <v>156.23333333333329</v>
      </c>
      <c r="M559" s="21">
        <f t="shared" si="50"/>
        <v>0.62334452210702895</v>
      </c>
      <c r="N559" s="21">
        <f t="shared" si="51"/>
        <v>0.6945247091946356</v>
      </c>
      <c r="O559" s="21">
        <f t="shared" si="52"/>
        <v>0</v>
      </c>
      <c r="P559" s="21">
        <f t="shared" si="53"/>
        <v>0</v>
      </c>
      <c r="Z559" s="211" t="b">
        <f>IFERROR(INDEX(Outliers!$X$3:$X$61,MATCH('SkYSPark Data_w Will''s Data'!C559,Outliers!$B$3:$B$61,0)),0)</f>
        <v>0</v>
      </c>
      <c r="AA559" s="1" t="b">
        <f>IFERROR(INDEX(Outliers!$AP$3:$AP$61,MATCH('SkYSPark Data_w Will''s Data'!C559,Outliers!$B$3:$B$61,0)),0)</f>
        <v>1</v>
      </c>
      <c r="AB559" s="112" t="b">
        <f>IFERROR(INDEX(Outliers!$AY$3:$AY$61,MATCH('SkYSPark Data_w Will''s Data'!C559,Outliers!$B$3:$B$61,0)),0)</f>
        <v>1</v>
      </c>
      <c r="AG559">
        <v>8.2392977150538477E-2</v>
      </c>
      <c r="AH559">
        <v>0.28206025985662397</v>
      </c>
    </row>
    <row r="560" spans="1:34" x14ac:dyDescent="0.3">
      <c r="A560" s="2">
        <v>45078</v>
      </c>
      <c r="B560" s="3">
        <f t="shared" si="49"/>
        <v>6</v>
      </c>
      <c r="C560" s="3" t="s">
        <v>339</v>
      </c>
      <c r="D560" s="3" t="str">
        <f>VLOOKUP(C560,'Data availability'!$A$2:$B$91,2,FALSE)</f>
        <v>South campus</v>
      </c>
      <c r="E560">
        <v>22495</v>
      </c>
      <c r="F560" s="3" t="str">
        <f>VLOOKUP(C560,'Data availability'!$A$2:$H$91,8,FALSE)</f>
        <v>Athletics</v>
      </c>
      <c r="G560" s="1" cm="1">
        <f t="array" ref="G560">_xlfn._xlws.FILTER('Split meters'!$AD$35:$AD$106,('Split meters'!$A$35:$A$106='SkYSPark Data_w Will''s Data'!B560)*('Split meters'!$B$35:$B$106='SkYSPark Data_w Will''s Data'!C560))</f>
        <v>4444.4333943737784</v>
      </c>
      <c r="I560" s="1">
        <v>39.584848484848223</v>
      </c>
      <c r="M560" s="21">
        <f t="shared" si="50"/>
        <v>0.67412343816862996</v>
      </c>
      <c r="N560" s="21">
        <f t="shared" si="51"/>
        <v>0.17597176476927415</v>
      </c>
      <c r="O560" s="21">
        <f t="shared" si="52"/>
        <v>0</v>
      </c>
      <c r="P560" s="21">
        <f t="shared" si="53"/>
        <v>0</v>
      </c>
      <c r="Z560" s="211" t="b">
        <f>IFERROR(INDEX(Outliers!$X$3:$X$61,MATCH('SkYSPark Data_w Will''s Data'!C560,Outliers!$B$3:$B$61,0)),0)</f>
        <v>0</v>
      </c>
      <c r="AA560" s="1" t="b">
        <f>IFERROR(INDEX(Outliers!$AP$3:$AP$61,MATCH('SkYSPark Data_w Will''s Data'!C560,Outliers!$B$3:$B$61,0)),0)</f>
        <v>1</v>
      </c>
      <c r="AB560" s="112" t="b">
        <f>IFERROR(INDEX(Outliers!$AY$3:$AY$61,MATCH('SkYSPark Data_w Will''s Data'!C560,Outliers!$B$3:$B$61,0)),0)</f>
        <v>1</v>
      </c>
      <c r="AG560">
        <v>7.8697474747475724E-2</v>
      </c>
      <c r="AH560">
        <v>0.1027781565656552</v>
      </c>
    </row>
    <row r="561" spans="1:34" x14ac:dyDescent="0.3">
      <c r="A561" s="2">
        <v>45108</v>
      </c>
      <c r="B561" s="3">
        <f t="shared" si="49"/>
        <v>7</v>
      </c>
      <c r="C561" s="3" t="s">
        <v>339</v>
      </c>
      <c r="D561" s="3" t="str">
        <f>VLOOKUP(C561,'Data availability'!$A$2:$B$91,2,FALSE)</f>
        <v>South campus</v>
      </c>
      <c r="E561">
        <v>22495</v>
      </c>
      <c r="F561" s="3" t="str">
        <f>VLOOKUP(C561,'Data availability'!$A$2:$H$91,8,FALSE)</f>
        <v>Athletics</v>
      </c>
      <c r="G561" s="1" cm="1">
        <f t="array" ref="G561">_xlfn._xlws.FILTER('Split meters'!$AD$35:$AD$106,('Split meters'!$A$35:$A$106='SkYSPark Data_w Will''s Data'!B561)*('Split meters'!$B$35:$B$106='SkYSPark Data_w Will''s Data'!C561))</f>
        <v>4612.2232393748563</v>
      </c>
      <c r="I561" s="1">
        <v>8.1818181818181923</v>
      </c>
      <c r="M561" s="21">
        <f t="shared" si="50"/>
        <v>0.69957349156465931</v>
      </c>
      <c r="N561" s="21">
        <f t="shared" si="51"/>
        <v>3.6371718967851491E-2</v>
      </c>
      <c r="O561" s="21">
        <f t="shared" si="52"/>
        <v>0</v>
      </c>
      <c r="P561" s="21">
        <f t="shared" si="53"/>
        <v>0</v>
      </c>
      <c r="Z561" s="211" t="b">
        <f>IFERROR(INDEX(Outliers!$X$3:$X$61,MATCH('SkYSPark Data_w Will''s Data'!C561,Outliers!$B$3:$B$61,0)),0)</f>
        <v>0</v>
      </c>
      <c r="AA561" s="1" t="b">
        <f>IFERROR(INDEX(Outliers!$AP$3:$AP$61,MATCH('SkYSPark Data_w Will''s Data'!C561,Outliers!$B$3:$B$61,0)),0)</f>
        <v>1</v>
      </c>
      <c r="AB561" s="112" t="b">
        <f>IFERROR(INDEX(Outliers!$AY$3:$AY$61,MATCH('SkYSPark Data_w Will''s Data'!C561,Outliers!$B$3:$B$61,0)),0)</f>
        <v>1</v>
      </c>
      <c r="AG561">
        <v>8.2688761924023468E-2</v>
      </c>
      <c r="AH561">
        <v>5.2619226188470238E-2</v>
      </c>
    </row>
    <row r="562" spans="1:34" x14ac:dyDescent="0.3">
      <c r="A562" s="2">
        <v>45139</v>
      </c>
      <c r="B562" s="3">
        <f t="shared" si="49"/>
        <v>8</v>
      </c>
      <c r="C562" s="3" t="s">
        <v>339</v>
      </c>
      <c r="D562" s="3" t="str">
        <f>VLOOKUP(C562,'Data availability'!$A$2:$B$91,2,FALSE)</f>
        <v>South campus</v>
      </c>
      <c r="E562">
        <v>22495</v>
      </c>
      <c r="F562" s="3" t="str">
        <f>VLOOKUP(C562,'Data availability'!$A$2:$H$91,8,FALSE)</f>
        <v>Athletics</v>
      </c>
      <c r="G562" s="1" cm="1">
        <f t="array" ref="G562">_xlfn._xlws.FILTER('Split meters'!$AD$35:$AD$106,('Split meters'!$A$35:$A$106='SkYSPark Data_w Will''s Data'!B562)*('Split meters'!$B$35:$B$106='SkYSPark Data_w Will''s Data'!C562))</f>
        <v>5897.2368398379876</v>
      </c>
      <c r="I562" s="1">
        <v>0</v>
      </c>
      <c r="M562" s="21">
        <f t="shared" si="50"/>
        <v>0.89448197810745556</v>
      </c>
      <c r="N562" s="21">
        <f t="shared" si="51"/>
        <v>0</v>
      </c>
      <c r="O562" s="21">
        <f t="shared" si="52"/>
        <v>0</v>
      </c>
      <c r="P562" s="21">
        <f t="shared" si="53"/>
        <v>0</v>
      </c>
      <c r="Z562" s="211" t="b">
        <f>IFERROR(INDEX(Outliers!$X$3:$X$61,MATCH('SkYSPark Data_w Will''s Data'!C562,Outliers!$B$3:$B$61,0)),0)</f>
        <v>0</v>
      </c>
      <c r="AA562" s="1" t="b">
        <f>IFERROR(INDEX(Outliers!$AP$3:$AP$61,MATCH('SkYSPark Data_w Will''s Data'!C562,Outliers!$B$3:$B$61,0)),0)</f>
        <v>1</v>
      </c>
      <c r="AB562" s="112" t="b">
        <f>IFERROR(INDEX(Outliers!$AY$3:$AY$61,MATCH('SkYSPark Data_w Will''s Data'!C562,Outliers!$B$3:$B$61,0)),0)</f>
        <v>1</v>
      </c>
      <c r="AG562">
        <v>8.8851316277344355E-2</v>
      </c>
      <c r="AH562">
        <v>3.9901912618958577E-2</v>
      </c>
    </row>
    <row r="563" spans="1:34" x14ac:dyDescent="0.3">
      <c r="A563" s="2">
        <v>45170</v>
      </c>
      <c r="B563" s="3">
        <f t="shared" si="49"/>
        <v>9</v>
      </c>
      <c r="C563" s="3" t="s">
        <v>339</v>
      </c>
      <c r="D563" s="3" t="str">
        <f>VLOOKUP(C563,'Data availability'!$A$2:$B$91,2,FALSE)</f>
        <v>South campus</v>
      </c>
      <c r="E563">
        <v>22495</v>
      </c>
      <c r="F563" s="3" t="str">
        <f>VLOOKUP(C563,'Data availability'!$A$2:$H$91,8,FALSE)</f>
        <v>Athletics</v>
      </c>
      <c r="G563" s="1" cm="1">
        <f t="array" ref="G563">_xlfn._xlws.FILTER('Split meters'!$AD$35:$AD$106,('Split meters'!$A$35:$A$106='SkYSPark Data_w Will''s Data'!B563)*('Split meters'!$B$35:$B$106='SkYSPark Data_w Will''s Data'!C563))</f>
        <v>5886.1084813581583</v>
      </c>
      <c r="I563" s="1">
        <v>0</v>
      </c>
      <c r="M563" s="21">
        <f t="shared" si="50"/>
        <v>0.89279404927290662</v>
      </c>
      <c r="N563" s="21">
        <f t="shared" si="51"/>
        <v>0</v>
      </c>
      <c r="O563" s="21">
        <f t="shared" si="52"/>
        <v>0</v>
      </c>
      <c r="P563" s="21">
        <f t="shared" si="53"/>
        <v>0</v>
      </c>
      <c r="Z563" s="211" t="b">
        <f>IFERROR(INDEX(Outliers!$X$3:$X$61,MATCH('SkYSPark Data_w Will''s Data'!C563,Outliers!$B$3:$B$61,0)),0)</f>
        <v>0</v>
      </c>
      <c r="AA563" s="1" t="b">
        <f>IFERROR(INDEX(Outliers!$AP$3:$AP$61,MATCH('SkYSPark Data_w Will''s Data'!C563,Outliers!$B$3:$B$61,0)),0)</f>
        <v>1</v>
      </c>
      <c r="AB563" s="112" t="b">
        <f>IFERROR(INDEX(Outliers!$AY$3:$AY$61,MATCH('SkYSPark Data_w Will''s Data'!C563,Outliers!$B$3:$B$61,0)),0)</f>
        <v>1</v>
      </c>
      <c r="AG563">
        <v>8.7258333333332855E-2</v>
      </c>
      <c r="AH563">
        <v>3.9907436342591897E-2</v>
      </c>
    </row>
    <row r="564" spans="1:34" x14ac:dyDescent="0.3">
      <c r="A564" s="2">
        <v>45200</v>
      </c>
      <c r="B564" s="3">
        <f t="shared" si="49"/>
        <v>10</v>
      </c>
      <c r="C564" s="3" t="s">
        <v>339</v>
      </c>
      <c r="D564" s="3" t="str">
        <f>VLOOKUP(C564,'Data availability'!$A$2:$B$91,2,FALSE)</f>
        <v>South campus</v>
      </c>
      <c r="E564">
        <v>22495</v>
      </c>
      <c r="F564" s="3" t="str">
        <f>VLOOKUP(C564,'Data availability'!$A$2:$H$91,8,FALSE)</f>
        <v>Athletics</v>
      </c>
      <c r="G564" s="1" cm="1">
        <f t="array" ref="G564">_xlfn._xlws.FILTER('Split meters'!$AD$35:$AD$106,('Split meters'!$A$35:$A$106='SkYSPark Data_w Will''s Data'!B564)*('Split meters'!$B$35:$B$106='SkYSPark Data_w Will''s Data'!C564))</f>
        <v>6019.6851374146136</v>
      </c>
      <c r="I564" s="1">
        <v>42.421807747489247</v>
      </c>
      <c r="M564" s="21">
        <f t="shared" si="50"/>
        <v>0.91305470944026057</v>
      </c>
      <c r="N564" s="21">
        <f t="shared" si="51"/>
        <v>0.18858327516109913</v>
      </c>
      <c r="O564" s="21">
        <f t="shared" si="52"/>
        <v>0</v>
      </c>
      <c r="P564" s="21">
        <f t="shared" si="53"/>
        <v>0</v>
      </c>
      <c r="Z564" s="211" t="b">
        <f>IFERROR(INDEX(Outliers!$X$3:$X$61,MATCH('SkYSPark Data_w Will''s Data'!C564,Outliers!$B$3:$B$61,0)),0)</f>
        <v>0</v>
      </c>
      <c r="AA564" s="1" t="b">
        <f>IFERROR(INDEX(Outliers!$AP$3:$AP$61,MATCH('SkYSPark Data_w Will''s Data'!C564,Outliers!$B$3:$B$61,0)),0)</f>
        <v>1</v>
      </c>
      <c r="AB564" s="112" t="b">
        <f>IFERROR(INDEX(Outliers!$AY$3:$AY$61,MATCH('SkYSPark Data_w Will''s Data'!C564,Outliers!$B$3:$B$61,0)),0)</f>
        <v>1</v>
      </c>
      <c r="AG564">
        <v>9.0475424630907866E-2</v>
      </c>
      <c r="AH564">
        <v>0.13500107567859879</v>
      </c>
    </row>
    <row r="565" spans="1:34" x14ac:dyDescent="0.3">
      <c r="A565" s="2">
        <v>45231</v>
      </c>
      <c r="B565" s="3">
        <f t="shared" si="49"/>
        <v>11</v>
      </c>
      <c r="C565" s="3" t="s">
        <v>339</v>
      </c>
      <c r="D565" s="3" t="str">
        <f>VLOOKUP(C565,'Data availability'!$A$2:$B$91,2,FALSE)</f>
        <v>South campus</v>
      </c>
      <c r="E565">
        <v>22495</v>
      </c>
      <c r="F565" s="3" t="str">
        <f>VLOOKUP(C565,'Data availability'!$A$2:$H$91,8,FALSE)</f>
        <v>Athletics</v>
      </c>
      <c r="G565" s="1" cm="1">
        <f t="array" ref="G565">_xlfn._xlws.FILTER('Split meters'!$AD$35:$AD$106,('Split meters'!$A$35:$A$106='SkYSPark Data_w Will''s Data'!B565)*('Split meters'!$B$35:$B$106='SkYSPark Data_w Will''s Data'!C565))</f>
        <v>5695.3131429993555</v>
      </c>
      <c r="I565" s="1">
        <v>260.6427083815409</v>
      </c>
      <c r="M565" s="21">
        <f t="shared" si="50"/>
        <v>0.86385456518843295</v>
      </c>
      <c r="N565" s="21">
        <f t="shared" si="51"/>
        <v>1.1586695193667078</v>
      </c>
      <c r="O565" s="21">
        <f t="shared" si="52"/>
        <v>0</v>
      </c>
      <c r="P565" s="21">
        <f t="shared" si="53"/>
        <v>0</v>
      </c>
      <c r="Z565" s="211" t="b">
        <f>IFERROR(INDEX(Outliers!$X$3:$X$61,MATCH('SkYSPark Data_w Will''s Data'!C565,Outliers!$B$3:$B$61,0)),0)</f>
        <v>0</v>
      </c>
      <c r="AA565" s="1" t="b">
        <f>IFERROR(INDEX(Outliers!$AP$3:$AP$61,MATCH('SkYSPark Data_w Will''s Data'!C565,Outliers!$B$3:$B$61,0)),0)</f>
        <v>1</v>
      </c>
      <c r="AB565" s="112" t="b">
        <f>IFERROR(INDEX(Outliers!$AY$3:$AY$61,MATCH('SkYSPark Data_w Will''s Data'!C565,Outliers!$B$3:$B$61,0)),0)</f>
        <v>1</v>
      </c>
      <c r="AG565">
        <v>8.8973415342166046E-2</v>
      </c>
      <c r="AH565">
        <v>0.7180432588272978</v>
      </c>
    </row>
    <row r="566" spans="1:34" x14ac:dyDescent="0.3">
      <c r="A566" s="2">
        <v>45261</v>
      </c>
      <c r="B566" s="3">
        <f t="shared" si="49"/>
        <v>12</v>
      </c>
      <c r="C566" s="3" t="s">
        <v>339</v>
      </c>
      <c r="D566" s="3" t="str">
        <f>VLOOKUP(C566,'Data availability'!$A$2:$B$91,2,FALSE)</f>
        <v>South campus</v>
      </c>
      <c r="E566">
        <v>22495</v>
      </c>
      <c r="F566" s="3" t="str">
        <f>VLOOKUP(C566,'Data availability'!$A$2:$H$91,8,FALSE)</f>
        <v>Athletics</v>
      </c>
      <c r="G566" s="1" cm="1">
        <f t="array" ref="G566">_xlfn._xlws.FILTER('Split meters'!$AD$35:$AD$106,('Split meters'!$A$35:$A$106='SkYSPark Data_w Will''s Data'!B566)*('Split meters'!$B$35:$B$106='SkYSPark Data_w Will''s Data'!C566))</f>
        <v>5301.2791019117094</v>
      </c>
      <c r="I566" s="1">
        <v>514.03225806450973</v>
      </c>
      <c r="M566" s="21">
        <f t="shared" si="50"/>
        <v>0.80408821052334967</v>
      </c>
      <c r="N566" s="21">
        <f t="shared" si="51"/>
        <v>2.2850956126450757</v>
      </c>
      <c r="O566" s="21">
        <f t="shared" si="52"/>
        <v>0</v>
      </c>
      <c r="P566" s="21">
        <f t="shared" si="53"/>
        <v>0</v>
      </c>
      <c r="Z566" s="211" t="b">
        <f>IFERROR(INDEX(Outliers!$X$3:$X$61,MATCH('SkYSPark Data_w Will''s Data'!C566,Outliers!$B$3:$B$61,0)),0)</f>
        <v>0</v>
      </c>
      <c r="AA566" s="1" t="b">
        <f>IFERROR(INDEX(Outliers!$AP$3:$AP$61,MATCH('SkYSPark Data_w Will''s Data'!C566,Outliers!$B$3:$B$61,0)),0)</f>
        <v>1</v>
      </c>
      <c r="AB566" s="112" t="b">
        <f>IFERROR(INDEX(Outliers!$AY$3:$AY$61,MATCH('SkYSPark Data_w Will''s Data'!C566,Outliers!$B$3:$B$61,0)),0)</f>
        <v>1</v>
      </c>
      <c r="AG566">
        <v>7.3346418661116326</v>
      </c>
      <c r="AH566">
        <v>1.448896982310087</v>
      </c>
    </row>
    <row r="567" spans="1:34" s="15" customFormat="1" x14ac:dyDescent="0.3">
      <c r="A567" s="38">
        <v>44927</v>
      </c>
      <c r="B567" s="3">
        <f t="shared" si="49"/>
        <v>1</v>
      </c>
      <c r="C567" s="22" t="s">
        <v>174</v>
      </c>
      <c r="D567" s="3" t="str">
        <f>VLOOKUP(C567,'Data availability'!$A$2:$B$91,2,FALSE)</f>
        <v>South campus</v>
      </c>
      <c r="E567" s="22">
        <v>768</v>
      </c>
      <c r="F567" s="3" t="str">
        <f>VLOOKUP(C567,'Data availability'!$A$2:$H$91,8,FALSE)</f>
        <v>Storage</v>
      </c>
      <c r="G567" s="21">
        <v>88.744594623657065</v>
      </c>
      <c r="H567" s="21"/>
      <c r="I567" s="21"/>
      <c r="J567" s="21"/>
      <c r="K567" s="21"/>
      <c r="L567" s="20"/>
      <c r="M567" s="21">
        <f t="shared" si="50"/>
        <v>0.3942663500728098</v>
      </c>
      <c r="N567" s="21">
        <f t="shared" si="51"/>
        <v>0</v>
      </c>
      <c r="O567" s="21">
        <f t="shared" si="52"/>
        <v>0</v>
      </c>
      <c r="P567" s="21">
        <f t="shared" si="53"/>
        <v>0</v>
      </c>
      <c r="Q567" s="21">
        <f>(SUM(G567:G578)*3.412)/E567</f>
        <v>4.5740575402441674</v>
      </c>
      <c r="R567" s="21">
        <f>(SUM(I567:I578)*100)/E567</f>
        <v>0</v>
      </c>
      <c r="S567" s="21">
        <f>(SUM(J567:J578)*100)/E567</f>
        <v>0</v>
      </c>
      <c r="T567" s="21">
        <f>(SUM(K567:K578)*12)/E567</f>
        <v>0</v>
      </c>
      <c r="U567" s="21"/>
      <c r="V567" s="34">
        <f>SUM(Q567:T567)</f>
        <v>4.5740575402441674</v>
      </c>
      <c r="W567" s="19" t="s">
        <v>217</v>
      </c>
      <c r="X567" s="20"/>
      <c r="Y567" s="21" t="s">
        <v>427</v>
      </c>
      <c r="Z567" s="211" t="b">
        <f>IFERROR(INDEX(Outliers!$X$3:$X$61,MATCH('SkYSPark Data_w Will''s Data'!C567,Outliers!$B$3:$B$61,0)),0)</f>
        <v>0</v>
      </c>
      <c r="AA567" s="1" t="b">
        <f>IFERROR(INDEX(Outliers!$AP$3:$AP$61,MATCH('SkYSPark Data_w Will''s Data'!C567,Outliers!$B$3:$B$61,0)),0)</f>
        <v>1</v>
      </c>
      <c r="AB567" s="112" t="b">
        <f>IFERROR(INDEX(Outliers!$AY$3:$AY$61,MATCH('SkYSPark Data_w Will''s Data'!C567,Outliers!$B$3:$B$61,0)),0)</f>
        <v>1</v>
      </c>
      <c r="AC567" s="112"/>
      <c r="AD567" s="138"/>
      <c r="AE567" s="138"/>
      <c r="AF567" s="138"/>
      <c r="AG567" s="15">
        <v>3.4180830153775522E-2</v>
      </c>
    </row>
    <row r="568" spans="1:34" x14ac:dyDescent="0.3">
      <c r="A568" s="2">
        <v>44958</v>
      </c>
      <c r="B568" s="3">
        <f t="shared" si="49"/>
        <v>2</v>
      </c>
      <c r="C568" s="3" t="s">
        <v>174</v>
      </c>
      <c r="D568" s="3" t="str">
        <f>VLOOKUP(C568,'Data availability'!$A$2:$B$91,2,FALSE)</f>
        <v>South campus</v>
      </c>
      <c r="E568" s="3">
        <v>768</v>
      </c>
      <c r="F568" s="3" t="str">
        <f>VLOOKUP(C568,'Data availability'!$A$2:$H$91,8,FALSE)</f>
        <v>Storage</v>
      </c>
      <c r="G568" s="1">
        <v>86.994768709678411</v>
      </c>
      <c r="M568" s="21">
        <f t="shared" si="50"/>
        <v>0.3864923839028942</v>
      </c>
      <c r="N568" s="21">
        <f t="shared" si="51"/>
        <v>0</v>
      </c>
      <c r="O568" s="21">
        <f t="shared" si="52"/>
        <v>0</v>
      </c>
      <c r="P568" s="21">
        <f t="shared" si="53"/>
        <v>0</v>
      </c>
      <c r="Z568" s="211" t="b">
        <f>IFERROR(INDEX(Outliers!$X$3:$X$61,MATCH('SkYSPark Data_w Will''s Data'!C568,Outliers!$B$3:$B$61,0)),0)</f>
        <v>0</v>
      </c>
      <c r="AA568" s="1" t="b">
        <f>IFERROR(INDEX(Outliers!$AP$3:$AP$61,MATCH('SkYSPark Data_w Will''s Data'!C568,Outliers!$B$3:$B$61,0)),0)</f>
        <v>1</v>
      </c>
      <c r="AB568" s="112" t="b">
        <f>IFERROR(INDEX(Outliers!$AY$3:$AY$61,MATCH('SkYSPark Data_w Will''s Data'!C568,Outliers!$B$3:$B$61,0)),0)</f>
        <v>1</v>
      </c>
      <c r="AG568">
        <v>3.6141561059908248E-2</v>
      </c>
    </row>
    <row r="569" spans="1:34" x14ac:dyDescent="0.3">
      <c r="A569" s="2">
        <v>44986</v>
      </c>
      <c r="B569" s="3">
        <f t="shared" si="49"/>
        <v>3</v>
      </c>
      <c r="C569" s="3" t="s">
        <v>174</v>
      </c>
      <c r="D569" s="3" t="str">
        <f>VLOOKUP(C569,'Data availability'!$A$2:$B$91,2,FALSE)</f>
        <v>South campus</v>
      </c>
      <c r="E569" s="3">
        <v>768</v>
      </c>
      <c r="F569" s="3" t="str">
        <f>VLOOKUP(C569,'Data availability'!$A$2:$H$91,8,FALSE)</f>
        <v>Storage</v>
      </c>
      <c r="G569" s="1">
        <v>90.268298057552983</v>
      </c>
      <c r="M569" s="21">
        <f t="shared" si="50"/>
        <v>0.40103572001610782</v>
      </c>
      <c r="N569" s="21">
        <f t="shared" si="51"/>
        <v>0</v>
      </c>
      <c r="O569" s="21">
        <f t="shared" si="52"/>
        <v>0</v>
      </c>
      <c r="P569" s="21">
        <f t="shared" si="53"/>
        <v>0</v>
      </c>
      <c r="Z569" s="211" t="b">
        <f>IFERROR(INDEX(Outliers!$X$3:$X$61,MATCH('SkYSPark Data_w Will''s Data'!C569,Outliers!$B$3:$B$61,0)),0)</f>
        <v>0</v>
      </c>
      <c r="AA569" s="1" t="b">
        <f>IFERROR(INDEX(Outliers!$AP$3:$AP$61,MATCH('SkYSPark Data_w Will''s Data'!C569,Outliers!$B$3:$B$61,0)),0)</f>
        <v>1</v>
      </c>
      <c r="AB569" s="112" t="b">
        <f>IFERROR(INDEX(Outliers!$AY$3:$AY$61,MATCH('SkYSPark Data_w Will''s Data'!C569,Outliers!$B$3:$B$61,0)),0)</f>
        <v>1</v>
      </c>
      <c r="AG569">
        <v>3.5933179701191711E-2</v>
      </c>
    </row>
    <row r="570" spans="1:34" x14ac:dyDescent="0.3">
      <c r="A570" s="2">
        <v>45017</v>
      </c>
      <c r="B570" s="3">
        <f t="shared" si="49"/>
        <v>4</v>
      </c>
      <c r="C570" s="3" t="s">
        <v>174</v>
      </c>
      <c r="D570" s="3" t="str">
        <f>VLOOKUP(C570,'Data availability'!$A$2:$B$91,2,FALSE)</f>
        <v>South campus</v>
      </c>
      <c r="E570" s="3">
        <v>768</v>
      </c>
      <c r="F570" s="3" t="str">
        <f>VLOOKUP(C570,'Data availability'!$A$2:$H$91,8,FALSE)</f>
        <v>Storage</v>
      </c>
      <c r="G570" s="1">
        <v>91.303290692446353</v>
      </c>
      <c r="M570" s="21">
        <f t="shared" si="50"/>
        <v>0.40563389042008718</v>
      </c>
      <c r="N570" s="21">
        <f t="shared" si="51"/>
        <v>0</v>
      </c>
      <c r="O570" s="21">
        <f t="shared" si="52"/>
        <v>0</v>
      </c>
      <c r="P570" s="21">
        <f t="shared" si="53"/>
        <v>0</v>
      </c>
      <c r="Z570" s="211" t="b">
        <f>IFERROR(INDEX(Outliers!$X$3:$X$61,MATCH('SkYSPark Data_w Will''s Data'!C570,Outliers!$B$3:$B$61,0)),0)</f>
        <v>0</v>
      </c>
      <c r="AA570" s="1" t="b">
        <f>IFERROR(INDEX(Outliers!$AP$3:$AP$61,MATCH('SkYSPark Data_w Will''s Data'!C570,Outliers!$B$3:$B$61,0)),0)</f>
        <v>1</v>
      </c>
      <c r="AB570" s="112" t="b">
        <f>IFERROR(INDEX(Outliers!$AY$3:$AY$61,MATCH('SkYSPark Data_w Will''s Data'!C570,Outliers!$B$3:$B$61,0)),0)</f>
        <v>1</v>
      </c>
      <c r="AG570">
        <v>3.7230934002797443E-2</v>
      </c>
    </row>
    <row r="571" spans="1:34" x14ac:dyDescent="0.3">
      <c r="A571" s="2">
        <v>45047</v>
      </c>
      <c r="B571" s="3">
        <f t="shared" si="49"/>
        <v>5</v>
      </c>
      <c r="C571" s="3" t="s">
        <v>174</v>
      </c>
      <c r="D571" s="3" t="str">
        <f>VLOOKUP(C571,'Data availability'!$A$2:$B$91,2,FALSE)</f>
        <v>South campus</v>
      </c>
      <c r="E571" s="3">
        <v>768</v>
      </c>
      <c r="F571" s="3" t="str">
        <f>VLOOKUP(C571,'Data availability'!$A$2:$H$91,8,FALSE)</f>
        <v>Storage</v>
      </c>
      <c r="G571" s="1">
        <v>82.403861250000503</v>
      </c>
      <c r="M571" s="21">
        <f t="shared" si="50"/>
        <v>0.36609632107422097</v>
      </c>
      <c r="N571" s="21">
        <f t="shared" si="51"/>
        <v>0</v>
      </c>
      <c r="O571" s="21">
        <f t="shared" si="52"/>
        <v>0</v>
      </c>
      <c r="P571" s="21">
        <f t="shared" si="53"/>
        <v>0</v>
      </c>
      <c r="Z571" s="211" t="b">
        <f>IFERROR(INDEX(Outliers!$X$3:$X$61,MATCH('SkYSPark Data_w Will''s Data'!C571,Outliers!$B$3:$B$61,0)),0)</f>
        <v>0</v>
      </c>
      <c r="AA571" s="1" t="b">
        <f>IFERROR(INDEX(Outliers!$AP$3:$AP$61,MATCH('SkYSPark Data_w Will''s Data'!C571,Outliers!$B$3:$B$61,0)),0)</f>
        <v>1</v>
      </c>
      <c r="AB571" s="112" t="b">
        <f>IFERROR(INDEX(Outliers!$AY$3:$AY$61,MATCH('SkYSPark Data_w Will''s Data'!C571,Outliers!$B$3:$B$61,0)),0)</f>
        <v>1</v>
      </c>
      <c r="AG571">
        <v>3.4484375000000067E-2</v>
      </c>
    </row>
    <row r="572" spans="1:34" x14ac:dyDescent="0.3">
      <c r="A572" s="2">
        <v>45078</v>
      </c>
      <c r="B572" s="3">
        <f t="shared" si="49"/>
        <v>6</v>
      </c>
      <c r="C572" s="3" t="s">
        <v>174</v>
      </c>
      <c r="D572" s="3" t="str">
        <f>VLOOKUP(C572,'Data availability'!$A$2:$B$91,2,FALSE)</f>
        <v>South campus</v>
      </c>
      <c r="E572" s="3">
        <v>768</v>
      </c>
      <c r="F572" s="3" t="str">
        <f>VLOOKUP(C572,'Data availability'!$A$2:$H$91,8,FALSE)</f>
        <v>Storage</v>
      </c>
      <c r="G572" s="1">
        <v>71.050701818181707</v>
      </c>
      <c r="M572" s="21">
        <f t="shared" si="50"/>
        <v>0.3156575450568177</v>
      </c>
      <c r="N572" s="21">
        <f t="shared" si="51"/>
        <v>0</v>
      </c>
      <c r="O572" s="21">
        <f t="shared" si="52"/>
        <v>0</v>
      </c>
      <c r="P572" s="21">
        <f t="shared" si="53"/>
        <v>0</v>
      </c>
      <c r="Z572" s="211" t="b">
        <f>IFERROR(INDEX(Outliers!$X$3:$X$61,MATCH('SkYSPark Data_w Will''s Data'!C572,Outliers!$B$3:$B$61,0)),0)</f>
        <v>0</v>
      </c>
      <c r="AA572" s="1" t="b">
        <f>IFERROR(INDEX(Outliers!$AP$3:$AP$61,MATCH('SkYSPark Data_w Will''s Data'!C572,Outliers!$B$3:$B$61,0)),0)</f>
        <v>1</v>
      </c>
      <c r="AB572" s="112" t="b">
        <f>IFERROR(INDEX(Outliers!$AY$3:$AY$61,MATCH('SkYSPark Data_w Will''s Data'!C572,Outliers!$B$3:$B$61,0)),0)</f>
        <v>1</v>
      </c>
      <c r="AG572">
        <v>3.3173989898989419E-2</v>
      </c>
    </row>
    <row r="573" spans="1:34" x14ac:dyDescent="0.3">
      <c r="A573" s="2">
        <v>45108</v>
      </c>
      <c r="B573" s="3">
        <f t="shared" si="49"/>
        <v>7</v>
      </c>
      <c r="C573" s="3" t="s">
        <v>174</v>
      </c>
      <c r="D573" s="3" t="str">
        <f>VLOOKUP(C573,'Data availability'!$A$2:$B$91,2,FALSE)</f>
        <v>South campus</v>
      </c>
      <c r="E573" s="3">
        <v>768</v>
      </c>
      <c r="F573" s="3" t="str">
        <f>VLOOKUP(C573,'Data availability'!$A$2:$H$91,8,FALSE)</f>
        <v>Storage</v>
      </c>
      <c r="G573" s="1">
        <v>77.226063009403589</v>
      </c>
      <c r="M573" s="21">
        <f t="shared" si="50"/>
        <v>0.34309287368240238</v>
      </c>
      <c r="N573" s="21">
        <f t="shared" si="51"/>
        <v>0</v>
      </c>
      <c r="O573" s="21">
        <f t="shared" si="52"/>
        <v>0</v>
      </c>
      <c r="P573" s="21">
        <f t="shared" si="53"/>
        <v>0</v>
      </c>
      <c r="Z573" s="211" t="b">
        <f>IFERROR(INDEX(Outliers!$X$3:$X$61,MATCH('SkYSPark Data_w Will''s Data'!C573,Outliers!$B$3:$B$61,0)),0)</f>
        <v>0</v>
      </c>
      <c r="AA573" s="1" t="b">
        <f>IFERROR(INDEX(Outliers!$AP$3:$AP$61,MATCH('SkYSPark Data_w Will''s Data'!C573,Outliers!$B$3:$B$61,0)),0)</f>
        <v>1</v>
      </c>
      <c r="AB573" s="112" t="b">
        <f>IFERROR(INDEX(Outliers!$AY$3:$AY$61,MATCH('SkYSPark Data_w Will''s Data'!C573,Outliers!$B$3:$B$61,0)),0)</f>
        <v>1</v>
      </c>
      <c r="AG573">
        <v>3.5825875551960318E-2</v>
      </c>
    </row>
    <row r="574" spans="1:34" x14ac:dyDescent="0.3">
      <c r="A574" s="2">
        <v>45139</v>
      </c>
      <c r="B574" s="3">
        <f t="shared" si="49"/>
        <v>8</v>
      </c>
      <c r="C574" s="3" t="s">
        <v>174</v>
      </c>
      <c r="D574" s="3" t="str">
        <f>VLOOKUP(C574,'Data availability'!$A$2:$B$91,2,FALSE)</f>
        <v>South campus</v>
      </c>
      <c r="E574" s="3">
        <v>768</v>
      </c>
      <c r="F574" s="3" t="str">
        <f>VLOOKUP(C574,'Data availability'!$A$2:$H$91,8,FALSE)</f>
        <v>Storage</v>
      </c>
      <c r="G574" s="1">
        <v>97.502015172413124</v>
      </c>
      <c r="M574" s="21">
        <f t="shared" si="50"/>
        <v>0.4331730153232729</v>
      </c>
      <c r="N574" s="21">
        <f t="shared" si="51"/>
        <v>0</v>
      </c>
      <c r="O574" s="21">
        <f t="shared" si="52"/>
        <v>0</v>
      </c>
      <c r="P574" s="21">
        <f t="shared" si="53"/>
        <v>0</v>
      </c>
      <c r="Z574" s="211" t="b">
        <f>IFERROR(INDEX(Outliers!$X$3:$X$61,MATCH('SkYSPark Data_w Will''s Data'!C574,Outliers!$B$3:$B$61,0)),0)</f>
        <v>0</v>
      </c>
      <c r="AA574" s="1" t="b">
        <f>IFERROR(INDEX(Outliers!$AP$3:$AP$61,MATCH('SkYSPark Data_w Will''s Data'!C574,Outliers!$B$3:$B$61,0)),0)</f>
        <v>1</v>
      </c>
      <c r="AB574" s="112" t="b">
        <f>IFERROR(INDEX(Outliers!$AY$3:$AY$61,MATCH('SkYSPark Data_w Will''s Data'!C574,Outliers!$B$3:$B$61,0)),0)</f>
        <v>1</v>
      </c>
      <c r="AG574">
        <v>4.2387467556544857E-2</v>
      </c>
    </row>
    <row r="575" spans="1:34" x14ac:dyDescent="0.3">
      <c r="A575" s="2">
        <v>45170</v>
      </c>
      <c r="B575" s="3">
        <f t="shared" si="49"/>
        <v>9</v>
      </c>
      <c r="C575" s="3" t="s">
        <v>174</v>
      </c>
      <c r="D575" s="3" t="str">
        <f>VLOOKUP(C575,'Data availability'!$A$2:$B$91,2,FALSE)</f>
        <v>South campus</v>
      </c>
      <c r="E575" s="3">
        <v>768</v>
      </c>
      <c r="F575" s="3" t="str">
        <f>VLOOKUP(C575,'Data availability'!$A$2:$H$91,8,FALSE)</f>
        <v>Storage</v>
      </c>
      <c r="G575" s="1">
        <v>84.041564999998414</v>
      </c>
      <c r="M575" s="21">
        <f t="shared" si="50"/>
        <v>0.37337216117186794</v>
      </c>
      <c r="N575" s="21">
        <f t="shared" si="51"/>
        <v>0</v>
      </c>
      <c r="O575" s="21">
        <f t="shared" si="52"/>
        <v>0</v>
      </c>
      <c r="P575" s="21">
        <f t="shared" si="53"/>
        <v>0</v>
      </c>
      <c r="Z575" s="211" t="b">
        <f>IFERROR(INDEX(Outliers!$X$3:$X$61,MATCH('SkYSPark Data_w Will''s Data'!C575,Outliers!$B$3:$B$61,0)),0)</f>
        <v>0</v>
      </c>
      <c r="AA575" s="1" t="b">
        <f>IFERROR(INDEX(Outliers!$AP$3:$AP$61,MATCH('SkYSPark Data_w Will''s Data'!C575,Outliers!$B$3:$B$61,0)),0)</f>
        <v>1</v>
      </c>
      <c r="AB575" s="112" t="b">
        <f>IFERROR(INDEX(Outliers!$AY$3:$AY$61,MATCH('SkYSPark Data_w Will''s Data'!C575,Outliers!$B$3:$B$61,0)),0)</f>
        <v>1</v>
      </c>
      <c r="AG575">
        <v>-7.6805555555546818E-4</v>
      </c>
    </row>
    <row r="576" spans="1:34" x14ac:dyDescent="0.3">
      <c r="A576" s="2">
        <v>45200</v>
      </c>
      <c r="B576" s="3">
        <f t="shared" si="49"/>
        <v>10</v>
      </c>
      <c r="C576" s="3" t="s">
        <v>174</v>
      </c>
      <c r="D576" s="3" t="str">
        <f>VLOOKUP(C576,'Data availability'!$A$2:$B$91,2,FALSE)</f>
        <v>South campus</v>
      </c>
      <c r="E576" s="3">
        <v>768</v>
      </c>
      <c r="F576" s="3" t="str">
        <f>VLOOKUP(C576,'Data availability'!$A$2:$H$91,8,FALSE)</f>
        <v>Storage</v>
      </c>
      <c r="G576" s="1">
        <v>93.637637410330157</v>
      </c>
      <c r="M576" s="21">
        <f t="shared" si="50"/>
        <v>0.4160047120365189</v>
      </c>
      <c r="N576" s="21">
        <f t="shared" si="51"/>
        <v>0</v>
      </c>
      <c r="O576" s="21">
        <f t="shared" si="52"/>
        <v>0</v>
      </c>
      <c r="P576" s="21">
        <f t="shared" si="53"/>
        <v>0</v>
      </c>
      <c r="Z576" s="211" t="b">
        <f>IFERROR(INDEX(Outliers!$X$3:$X$61,MATCH('SkYSPark Data_w Will''s Data'!C576,Outliers!$B$3:$B$61,0)),0)</f>
        <v>0</v>
      </c>
      <c r="AA576" s="1" t="b">
        <f>IFERROR(INDEX(Outliers!$AP$3:$AP$61,MATCH('SkYSPark Data_w Will''s Data'!C576,Outliers!$B$3:$B$61,0)),0)</f>
        <v>1</v>
      </c>
      <c r="AB576" s="112" t="b">
        <f>IFERROR(INDEX(Outliers!$AY$3:$AY$61,MATCH('SkYSPark Data_w Will''s Data'!C576,Outliers!$B$3:$B$61,0)),0)</f>
        <v>1</v>
      </c>
      <c r="AG576">
        <v>2.6848214698940141E-2</v>
      </c>
    </row>
    <row r="577" spans="1:34" x14ac:dyDescent="0.3">
      <c r="A577" s="2">
        <v>45231</v>
      </c>
      <c r="B577" s="3">
        <f t="shared" si="49"/>
        <v>11</v>
      </c>
      <c r="C577" s="3" t="s">
        <v>174</v>
      </c>
      <c r="D577" s="3" t="str">
        <f>VLOOKUP(C577,'Data availability'!$A$2:$B$91,2,FALSE)</f>
        <v>South campus</v>
      </c>
      <c r="E577" s="3">
        <v>768</v>
      </c>
      <c r="F577" s="3" t="str">
        <f>VLOOKUP(C577,'Data availability'!$A$2:$H$91,8,FALSE)</f>
        <v>Storage</v>
      </c>
      <c r="G577" s="1">
        <v>85.69695371870138</v>
      </c>
      <c r="M577" s="21">
        <f t="shared" si="50"/>
        <v>0.38072657042735564</v>
      </c>
      <c r="N577" s="21">
        <f t="shared" si="51"/>
        <v>0</v>
      </c>
      <c r="O577" s="21">
        <f t="shared" si="52"/>
        <v>0</v>
      </c>
      <c r="P577" s="21">
        <f t="shared" si="53"/>
        <v>0</v>
      </c>
      <c r="Z577" s="211" t="b">
        <f>IFERROR(INDEX(Outliers!$X$3:$X$61,MATCH('SkYSPark Data_w Will''s Data'!C577,Outliers!$B$3:$B$61,0)),0)</f>
        <v>0</v>
      </c>
      <c r="AA577" s="1" t="b">
        <f>IFERROR(INDEX(Outliers!$AP$3:$AP$61,MATCH('SkYSPark Data_w Will''s Data'!C577,Outliers!$B$3:$B$61,0)),0)</f>
        <v>1</v>
      </c>
      <c r="AB577" s="112" t="b">
        <f>IFERROR(INDEX(Outliers!$AY$3:$AY$61,MATCH('SkYSPark Data_w Will''s Data'!C577,Outliers!$B$3:$B$61,0)),0)</f>
        <v>1</v>
      </c>
      <c r="AG577">
        <v>3.7900218164004199E-2</v>
      </c>
    </row>
    <row r="578" spans="1:34" x14ac:dyDescent="0.3">
      <c r="A578" s="2">
        <v>45261</v>
      </c>
      <c r="B578" s="3">
        <f t="shared" si="49"/>
        <v>12</v>
      </c>
      <c r="C578" s="3" t="s">
        <v>174</v>
      </c>
      <c r="D578" s="3" t="str">
        <f>VLOOKUP(C578,'Data availability'!$A$2:$B$91,2,FALSE)</f>
        <v>South campus</v>
      </c>
      <c r="E578" s="3">
        <v>768</v>
      </c>
      <c r="F578" s="3" t="str">
        <f>VLOOKUP(C578,'Data availability'!$A$2:$H$91,8,FALSE)</f>
        <v>Storage</v>
      </c>
      <c r="G578" s="1">
        <v>80.695370967742178</v>
      </c>
      <c r="M578" s="21">
        <f t="shared" si="50"/>
        <v>0.35850599705981295</v>
      </c>
      <c r="N578" s="21">
        <f t="shared" si="51"/>
        <v>0</v>
      </c>
      <c r="O578" s="21">
        <f t="shared" si="52"/>
        <v>0</v>
      </c>
      <c r="P578" s="21">
        <f t="shared" si="53"/>
        <v>0</v>
      </c>
      <c r="Z578" s="211" t="b">
        <f>IFERROR(INDEX(Outliers!$X$3:$X$61,MATCH('SkYSPark Data_w Will''s Data'!C578,Outliers!$B$3:$B$61,0)),0)</f>
        <v>0</v>
      </c>
      <c r="AA578" s="1" t="b">
        <f>IFERROR(INDEX(Outliers!$AP$3:$AP$61,MATCH('SkYSPark Data_w Will''s Data'!C578,Outliers!$B$3:$B$61,0)),0)</f>
        <v>1</v>
      </c>
      <c r="AB578" s="112" t="b">
        <f>IFERROR(INDEX(Outliers!$AY$3:$AY$61,MATCH('SkYSPark Data_w Will''s Data'!C578,Outliers!$B$3:$B$61,0)),0)</f>
        <v>1</v>
      </c>
      <c r="AG578">
        <v>3.6983177245923773E-2</v>
      </c>
    </row>
    <row r="579" spans="1:34" s="15" customFormat="1" x14ac:dyDescent="0.3">
      <c r="A579" s="38">
        <v>44927</v>
      </c>
      <c r="B579" s="3">
        <f t="shared" si="49"/>
        <v>1</v>
      </c>
      <c r="C579" s="22" t="s">
        <v>175</v>
      </c>
      <c r="D579" s="3" t="str">
        <f>VLOOKUP(C579,'Data availability'!$A$2:$B$91,2,FALSE)</f>
        <v>South campus</v>
      </c>
      <c r="E579" s="22">
        <v>22203</v>
      </c>
      <c r="F579" s="3" t="str">
        <f>VLOOKUP(C579,'Data availability'!$A$2:$H$91,8,FALSE)</f>
        <v>Office</v>
      </c>
      <c r="G579" s="1" cm="1">
        <f t="array" ref="G579">_xlfn._xlws.FILTER('Split meters'!$AD$35:$AD$106,('Split meters'!$A$35:$A$106='SkYSPark Data_w Will''s Data'!B579)*('Split meters'!$B$35:$B$106='SkYSPark Data_w Will''s Data'!C579))</f>
        <v>15144.13613290698</v>
      </c>
      <c r="H579" s="21"/>
      <c r="I579" s="21">
        <v>1373.087500000006</v>
      </c>
      <c r="J579" s="21"/>
      <c r="K579" s="21"/>
      <c r="L579" s="20"/>
      <c r="M579" s="21">
        <f t="shared" si="50"/>
        <v>2.327243727670973</v>
      </c>
      <c r="N579" s="21">
        <f t="shared" si="51"/>
        <v>6.1842431202990866</v>
      </c>
      <c r="O579" s="21">
        <f t="shared" si="52"/>
        <v>0</v>
      </c>
      <c r="P579" s="21">
        <f t="shared" si="53"/>
        <v>0</v>
      </c>
      <c r="Q579" s="21">
        <f>(SUM(G579:G590)*3.412)/E579</f>
        <v>32.115158874063965</v>
      </c>
      <c r="R579" s="21">
        <f>(SUM(I579:I590)*100)/E579</f>
        <v>51.848603587557918</v>
      </c>
      <c r="S579" s="21">
        <f>(SUM(J579:J590)*100)/E579</f>
        <v>0</v>
      </c>
      <c r="T579" s="21">
        <f>(SUM(K579:K590)*12)/E579</f>
        <v>0</v>
      </c>
      <c r="U579" s="21"/>
      <c r="V579" s="34">
        <f>SUM(Q579:T579)</f>
        <v>83.963762461621883</v>
      </c>
      <c r="W579" s="10" t="s">
        <v>218</v>
      </c>
      <c r="X579" s="20"/>
      <c r="Y579" s="21" t="s">
        <v>447</v>
      </c>
      <c r="Z579" s="211" t="b">
        <f>IFERROR(INDEX(Outliers!$X$3:$X$61,MATCH('SkYSPark Data_w Will''s Data'!C579,Outliers!$B$3:$B$61,0)),0)</f>
        <v>0</v>
      </c>
      <c r="AA579" s="1" t="b">
        <f>IFERROR(INDEX(Outliers!$AP$3:$AP$61,MATCH('SkYSPark Data_w Will''s Data'!C579,Outliers!$B$3:$B$61,0)),0)</f>
        <v>1</v>
      </c>
      <c r="AB579" s="112" t="b">
        <f>IFERROR(INDEX(Outliers!$AY$3:$AY$61,MATCH('SkYSPark Data_w Will''s Data'!C579,Outliers!$B$3:$B$61,0)),0)</f>
        <v>1</v>
      </c>
      <c r="AC579" s="112"/>
      <c r="AD579" s="138"/>
      <c r="AE579" s="138"/>
      <c r="AF579" s="138" t="s">
        <v>552</v>
      </c>
      <c r="AG579" s="15">
        <v>2.452172216441181</v>
      </c>
      <c r="AH579" s="15">
        <v>4.5653472782257971</v>
      </c>
    </row>
    <row r="580" spans="1:34" x14ac:dyDescent="0.3">
      <c r="A580" s="2">
        <v>44958</v>
      </c>
      <c r="B580" s="3">
        <f t="shared" si="49"/>
        <v>2</v>
      </c>
      <c r="C580" s="3" t="s">
        <v>175</v>
      </c>
      <c r="D580" s="3" t="str">
        <f>VLOOKUP(C580,'Data availability'!$A$2:$B$91,2,FALSE)</f>
        <v>South campus</v>
      </c>
      <c r="E580" s="3">
        <v>22203</v>
      </c>
      <c r="F580" s="3" t="str">
        <f>VLOOKUP(C580,'Data availability'!$A$2:$H$91,8,FALSE)</f>
        <v>Office</v>
      </c>
      <c r="G580" s="1" cm="1">
        <f t="array" ref="G580">_xlfn._xlws.FILTER('Split meters'!$AD$35:$AD$106,('Split meters'!$A$35:$A$106='SkYSPark Data_w Will''s Data'!B580)*('Split meters'!$B$35:$B$106='SkYSPark Data_w Will''s Data'!C580))</f>
        <v>14578.051585004594</v>
      </c>
      <c r="I580" s="1">
        <v>1383.284683588296</v>
      </c>
      <c r="M580" s="21">
        <f t="shared" si="50"/>
        <v>2.2402518582189646</v>
      </c>
      <c r="N580" s="21">
        <f t="shared" si="51"/>
        <v>6.2301701733472781</v>
      </c>
      <c r="O580" s="21">
        <f t="shared" si="52"/>
        <v>0</v>
      </c>
      <c r="P580" s="21">
        <f t="shared" si="53"/>
        <v>0</v>
      </c>
      <c r="W580" s="10" t="s">
        <v>220</v>
      </c>
      <c r="Z580" s="211" t="b">
        <f>IFERROR(INDEX(Outliers!$X$3:$X$61,MATCH('SkYSPark Data_w Will''s Data'!C580,Outliers!$B$3:$B$61,0)),0)</f>
        <v>0</v>
      </c>
      <c r="AA580" s="1" t="b">
        <f>IFERROR(INDEX(Outliers!$AP$3:$AP$61,MATCH('SkYSPark Data_w Will''s Data'!C580,Outliers!$B$3:$B$61,0)),0)</f>
        <v>1</v>
      </c>
      <c r="AB580" s="112" t="b">
        <f>IFERROR(INDEX(Outliers!$AY$3:$AY$61,MATCH('SkYSPark Data_w Will''s Data'!C580,Outliers!$B$3:$B$61,0)),0)</f>
        <v>1</v>
      </c>
      <c r="AG580">
        <v>2.4508822484639321</v>
      </c>
      <c r="AH580">
        <v>4.8971510207112354</v>
      </c>
    </row>
    <row r="581" spans="1:34" x14ac:dyDescent="0.3">
      <c r="A581" s="2">
        <v>44986</v>
      </c>
      <c r="B581" s="3">
        <f t="shared" si="49"/>
        <v>3</v>
      </c>
      <c r="C581" s="3" t="s">
        <v>175</v>
      </c>
      <c r="D581" s="3" t="str">
        <f>VLOOKUP(C581,'Data availability'!$A$2:$B$91,2,FALSE)</f>
        <v>South campus</v>
      </c>
      <c r="E581" s="3">
        <v>22203</v>
      </c>
      <c r="F581" s="3" t="str">
        <f>VLOOKUP(C581,'Data availability'!$A$2:$H$91,8,FALSE)</f>
        <v>Office</v>
      </c>
      <c r="G581" s="1" cm="1">
        <f t="array" ref="G581">_xlfn._xlws.FILTER('Split meters'!$AD$35:$AD$106,('Split meters'!$A$35:$A$106='SkYSPark Data_w Will''s Data'!B581)*('Split meters'!$B$35:$B$106='SkYSPark Data_w Will''s Data'!C581))</f>
        <v>15173.884482091802</v>
      </c>
      <c r="I581" s="1">
        <v>1423.527816411688</v>
      </c>
      <c r="M581" s="21">
        <f t="shared" si="50"/>
        <v>2.33181524356606</v>
      </c>
      <c r="N581" s="21">
        <f t="shared" si="51"/>
        <v>6.4114210530634965</v>
      </c>
      <c r="O581" s="21">
        <f t="shared" si="52"/>
        <v>0</v>
      </c>
      <c r="P581" s="21">
        <f t="shared" si="53"/>
        <v>0</v>
      </c>
      <c r="Z581" s="211" t="b">
        <f>IFERROR(INDEX(Outliers!$X$3:$X$61,MATCH('SkYSPark Data_w Will''s Data'!C581,Outliers!$B$3:$B$61,0)),0)</f>
        <v>0</v>
      </c>
      <c r="AA581" s="1" t="b">
        <f>IFERROR(INDEX(Outliers!$AP$3:$AP$61,MATCH('SkYSPark Data_w Will''s Data'!C581,Outliers!$B$3:$B$61,0)),0)</f>
        <v>1</v>
      </c>
      <c r="AB581" s="112" t="b">
        <f>IFERROR(INDEX(Outliers!$AY$3:$AY$61,MATCH('SkYSPark Data_w Will''s Data'!C581,Outliers!$B$3:$B$61,0)),0)</f>
        <v>1</v>
      </c>
      <c r="AG581">
        <v>2.436592455241688</v>
      </c>
      <c r="AH581">
        <v>3.617698706705327</v>
      </c>
    </row>
    <row r="582" spans="1:34" x14ac:dyDescent="0.3">
      <c r="A582" s="2">
        <v>45017</v>
      </c>
      <c r="B582" s="3">
        <f t="shared" si="49"/>
        <v>4</v>
      </c>
      <c r="C582" s="3" t="s">
        <v>175</v>
      </c>
      <c r="D582" s="3" t="str">
        <f>VLOOKUP(C582,'Data availability'!$A$2:$B$91,2,FALSE)</f>
        <v>South campus</v>
      </c>
      <c r="E582" s="3">
        <v>22203</v>
      </c>
      <c r="F582" s="3" t="str">
        <f>VLOOKUP(C582,'Data availability'!$A$2:$H$91,8,FALSE)</f>
        <v>Office</v>
      </c>
      <c r="G582" s="1" cm="1">
        <f t="array" ref="G582">_xlfn._xlws.FILTER('Split meters'!$AD$35:$AD$106,('Split meters'!$A$35:$A$106='SkYSPark Data_w Will''s Data'!B582)*('Split meters'!$B$35:$B$106='SkYSPark Data_w Will''s Data'!C582))</f>
        <v>14587.402736063157</v>
      </c>
      <c r="I582" s="1">
        <v>1145.499999999998</v>
      </c>
      <c r="M582" s="21">
        <f t="shared" si="50"/>
        <v>2.2416888769737193</v>
      </c>
      <c r="N582" s="21">
        <f t="shared" si="51"/>
        <v>5.1592127190019275</v>
      </c>
      <c r="O582" s="21">
        <f t="shared" si="52"/>
        <v>0</v>
      </c>
      <c r="P582" s="21">
        <f t="shared" si="53"/>
        <v>0</v>
      </c>
      <c r="Z582" s="211" t="b">
        <f>IFERROR(INDEX(Outliers!$X$3:$X$61,MATCH('SkYSPark Data_w Will''s Data'!C582,Outliers!$B$3:$B$61,0)),0)</f>
        <v>0</v>
      </c>
      <c r="AA582" s="1" t="b">
        <f>IFERROR(INDEX(Outliers!$AP$3:$AP$61,MATCH('SkYSPark Data_w Will''s Data'!C582,Outliers!$B$3:$B$61,0)),0)</f>
        <v>1</v>
      </c>
      <c r="AB582" s="112" t="b">
        <f>IFERROR(INDEX(Outliers!$AY$3:$AY$61,MATCH('SkYSPark Data_w Will''s Data'!C582,Outliers!$B$3:$B$61,0)),0)</f>
        <v>1</v>
      </c>
      <c r="AG582">
        <v>2.6009301121602548</v>
      </c>
      <c r="AH582">
        <v>2.2726824712643401</v>
      </c>
    </row>
    <row r="583" spans="1:34" x14ac:dyDescent="0.3">
      <c r="A583" s="2">
        <v>45047</v>
      </c>
      <c r="B583" s="3">
        <f t="shared" si="49"/>
        <v>5</v>
      </c>
      <c r="C583" s="3" t="s">
        <v>175</v>
      </c>
      <c r="D583" s="3" t="str">
        <f>VLOOKUP(C583,'Data availability'!$A$2:$B$91,2,FALSE)</f>
        <v>South campus</v>
      </c>
      <c r="E583" s="3">
        <v>22203</v>
      </c>
      <c r="F583" s="3" t="str">
        <f>VLOOKUP(C583,'Data availability'!$A$2:$H$91,8,FALSE)</f>
        <v>Office</v>
      </c>
      <c r="G583" s="1" cm="1">
        <f t="array" ref="G583">_xlfn._xlws.FILTER('Split meters'!$AD$35:$AD$106,('Split meters'!$A$35:$A$106='SkYSPark Data_w Will''s Data'!B583)*('Split meters'!$B$35:$B$106='SkYSPark Data_w Will''s Data'!C583))</f>
        <v>14636.702253986596</v>
      </c>
      <c r="I583" s="1">
        <v>719.33333333334303</v>
      </c>
      <c r="M583" s="21">
        <f t="shared" si="50"/>
        <v>2.2492648781967421</v>
      </c>
      <c r="N583" s="21">
        <f t="shared" si="51"/>
        <v>3.2398024291012164</v>
      </c>
      <c r="O583" s="21">
        <f t="shared" si="52"/>
        <v>0</v>
      </c>
      <c r="P583" s="21">
        <f t="shared" si="53"/>
        <v>0</v>
      </c>
      <c r="Z583" s="211" t="b">
        <f>IFERROR(INDEX(Outliers!$X$3:$X$61,MATCH('SkYSPark Data_w Will''s Data'!C583,Outliers!$B$3:$B$61,0)),0)</f>
        <v>0</v>
      </c>
      <c r="AA583" s="1" t="b">
        <f>IFERROR(INDEX(Outliers!$AP$3:$AP$61,MATCH('SkYSPark Data_w Will''s Data'!C583,Outliers!$B$3:$B$61,0)),0)</f>
        <v>1</v>
      </c>
      <c r="AB583" s="112" t="b">
        <f>IFERROR(INDEX(Outliers!$AY$3:$AY$61,MATCH('SkYSPark Data_w Will''s Data'!C583,Outliers!$B$3:$B$61,0)),0)</f>
        <v>1</v>
      </c>
      <c r="AG583">
        <v>1.662863201309394</v>
      </c>
      <c r="AH583">
        <v>1.1780384686689189</v>
      </c>
    </row>
    <row r="584" spans="1:34" x14ac:dyDescent="0.3">
      <c r="A584" s="2">
        <v>45078</v>
      </c>
      <c r="B584" s="3">
        <f t="shared" si="49"/>
        <v>6</v>
      </c>
      <c r="C584" s="3" t="s">
        <v>175</v>
      </c>
      <c r="D584" s="3" t="str">
        <f>VLOOKUP(C584,'Data availability'!$A$2:$B$91,2,FALSE)</f>
        <v>South campus</v>
      </c>
      <c r="E584" s="3">
        <v>22203</v>
      </c>
      <c r="F584" s="3" t="str">
        <f>VLOOKUP(C584,'Data availability'!$A$2:$H$91,8,FALSE)</f>
        <v>Office</v>
      </c>
      <c r="G584" s="1" cm="1">
        <f t="array" ref="G584">_xlfn._xlws.FILTER('Split meters'!$AD$35:$AD$106,('Split meters'!$A$35:$A$106='SkYSPark Data_w Will''s Data'!B584)*('Split meters'!$B$35:$B$106='SkYSPark Data_w Will''s Data'!C584))</f>
        <v>15829.037870671807</v>
      </c>
      <c r="I584" s="1">
        <v>532.87878787878742</v>
      </c>
      <c r="M584" s="21">
        <f t="shared" si="50"/>
        <v>2.4324945824767918</v>
      </c>
      <c r="N584" s="21">
        <f t="shared" si="51"/>
        <v>2.4000305718992361</v>
      </c>
      <c r="O584" s="21">
        <f t="shared" si="52"/>
        <v>0</v>
      </c>
      <c r="P584" s="21">
        <f t="shared" si="53"/>
        <v>0</v>
      </c>
      <c r="Z584" s="211" t="b">
        <f>IFERROR(INDEX(Outliers!$X$3:$X$61,MATCH('SkYSPark Data_w Will''s Data'!C584,Outliers!$B$3:$B$61,0)),0)</f>
        <v>0</v>
      </c>
      <c r="AA584" s="1" t="b">
        <f>IFERROR(INDEX(Outliers!$AP$3:$AP$61,MATCH('SkYSPark Data_w Will''s Data'!C584,Outliers!$B$3:$B$61,0)),0)</f>
        <v>1</v>
      </c>
      <c r="AB584" s="112" t="b">
        <f>IFERROR(INDEX(Outliers!$AY$3:$AY$61,MATCH('SkYSPark Data_w Will''s Data'!C584,Outliers!$B$3:$B$61,0)),0)</f>
        <v>1</v>
      </c>
      <c r="AG584">
        <v>1.7644762544802819</v>
      </c>
      <c r="AH584">
        <v>0.93960875420874856</v>
      </c>
    </row>
    <row r="585" spans="1:34" x14ac:dyDescent="0.3">
      <c r="A585" s="2">
        <v>45108</v>
      </c>
      <c r="B585" s="3">
        <f t="shared" ref="B585:B648" si="54">MONTH(A585)</f>
        <v>7</v>
      </c>
      <c r="C585" s="3" t="s">
        <v>175</v>
      </c>
      <c r="D585" s="3" t="str">
        <f>VLOOKUP(C585,'Data availability'!$A$2:$B$91,2,FALSE)</f>
        <v>South campus</v>
      </c>
      <c r="E585" s="3">
        <v>22203</v>
      </c>
      <c r="F585" s="3" t="str">
        <f>VLOOKUP(C585,'Data availability'!$A$2:$H$91,8,FALSE)</f>
        <v>Office</v>
      </c>
      <c r="G585" s="1" cm="1">
        <f t="array" ref="G585">_xlfn._xlws.FILTER('Split meters'!$AD$35:$AD$106,('Split meters'!$A$35:$A$106='SkYSPark Data_w Will''s Data'!B585)*('Split meters'!$B$35:$B$106='SkYSPark Data_w Will''s Data'!C585))</f>
        <v>16426.628513879194</v>
      </c>
      <c r="I585" s="1">
        <v>572.13270637408061</v>
      </c>
      <c r="M585" s="21">
        <f t="shared" si="50"/>
        <v>2.5243280858152417</v>
      </c>
      <c r="N585" s="21">
        <f t="shared" si="51"/>
        <v>2.5768261332886575</v>
      </c>
      <c r="O585" s="21">
        <f t="shared" si="52"/>
        <v>0</v>
      </c>
      <c r="P585" s="21">
        <f t="shared" si="53"/>
        <v>0</v>
      </c>
      <c r="Z585" s="211" t="b">
        <f>IFERROR(INDEX(Outliers!$X$3:$X$61,MATCH('SkYSPark Data_w Will''s Data'!C585,Outliers!$B$3:$B$61,0)),0)</f>
        <v>0</v>
      </c>
      <c r="AA585" s="1" t="b">
        <f>IFERROR(INDEX(Outliers!$AP$3:$AP$61,MATCH('SkYSPark Data_w Will''s Data'!C585,Outliers!$B$3:$B$61,0)),0)</f>
        <v>1</v>
      </c>
      <c r="AB585" s="112" t="b">
        <f>IFERROR(INDEX(Outliers!$AY$3:$AY$61,MATCH('SkYSPark Data_w Will''s Data'!C585,Outliers!$B$3:$B$61,0)),0)</f>
        <v>1</v>
      </c>
      <c r="AG585">
        <v>2.7221245828698049</v>
      </c>
      <c r="AH585">
        <v>1.010948332041224</v>
      </c>
    </row>
    <row r="586" spans="1:34" x14ac:dyDescent="0.3">
      <c r="A586" s="2">
        <v>45139</v>
      </c>
      <c r="B586" s="3">
        <f t="shared" si="54"/>
        <v>8</v>
      </c>
      <c r="C586" s="3" t="s">
        <v>175</v>
      </c>
      <c r="D586" s="3" t="str">
        <f>VLOOKUP(C586,'Data availability'!$A$2:$B$91,2,FALSE)</f>
        <v>South campus</v>
      </c>
      <c r="E586" s="3">
        <v>22203</v>
      </c>
      <c r="F586" s="3" t="str">
        <f>VLOOKUP(C586,'Data availability'!$A$2:$H$91,8,FALSE)</f>
        <v>Office</v>
      </c>
      <c r="G586" s="1" cm="1">
        <f t="array" ref="G586">_xlfn._xlws.FILTER('Split meters'!$AD$35:$AD$106,('Split meters'!$A$35:$A$106='SkYSPark Data_w Will''s Data'!B586)*('Split meters'!$B$35:$B$106='SkYSPark Data_w Will''s Data'!C586))</f>
        <v>23761.599557571768</v>
      </c>
      <c r="I586" s="1">
        <v>565.32183908046477</v>
      </c>
      <c r="M586" s="21">
        <f t="shared" si="50"/>
        <v>3.6515145561606484</v>
      </c>
      <c r="N586" s="21">
        <f t="shared" si="51"/>
        <v>2.5461506962143168</v>
      </c>
      <c r="O586" s="21">
        <f t="shared" si="52"/>
        <v>0</v>
      </c>
      <c r="P586" s="21">
        <f t="shared" si="53"/>
        <v>0</v>
      </c>
      <c r="Z586" s="211" t="b">
        <f>IFERROR(INDEX(Outliers!$X$3:$X$61,MATCH('SkYSPark Data_w Will''s Data'!C586,Outliers!$B$3:$B$61,0)),0)</f>
        <v>0</v>
      </c>
      <c r="AA586" s="1" t="b">
        <f>IFERROR(INDEX(Outliers!$AP$3:$AP$61,MATCH('SkYSPark Data_w Will''s Data'!C586,Outliers!$B$3:$B$61,0)),0)</f>
        <v>1</v>
      </c>
      <c r="AB586" s="112" t="b">
        <f>IFERROR(INDEX(Outliers!$AY$3:$AY$61,MATCH('SkYSPark Data_w Will''s Data'!C586,Outliers!$B$3:$B$61,0)),0)</f>
        <v>1</v>
      </c>
      <c r="AG586">
        <v>4.0324829440119103</v>
      </c>
      <c r="AH586">
        <v>1.0577501853911919</v>
      </c>
    </row>
    <row r="587" spans="1:34" x14ac:dyDescent="0.3">
      <c r="A587" s="2">
        <v>45170</v>
      </c>
      <c r="B587" s="3">
        <f t="shared" si="54"/>
        <v>9</v>
      </c>
      <c r="C587" s="3" t="s">
        <v>175</v>
      </c>
      <c r="D587" s="3" t="str">
        <f>VLOOKUP(C587,'Data availability'!$A$2:$B$91,2,FALSE)</f>
        <v>South campus</v>
      </c>
      <c r="E587" s="3">
        <v>22203</v>
      </c>
      <c r="F587" s="3" t="str">
        <f>VLOOKUP(C587,'Data availability'!$A$2:$H$91,8,FALSE)</f>
        <v>Office</v>
      </c>
      <c r="G587" s="1" cm="1">
        <f t="array" ref="G587">_xlfn._xlws.FILTER('Split meters'!$AD$35:$AD$106,('Split meters'!$A$35:$A$106='SkYSPark Data_w Will''s Data'!B587)*('Split meters'!$B$35:$B$106='SkYSPark Data_w Will''s Data'!C587))</f>
        <v>22989.88101261418</v>
      </c>
      <c r="I587" s="1">
        <v>584.33333333333519</v>
      </c>
      <c r="M587" s="21">
        <f t="shared" si="50"/>
        <v>3.5329223084736108</v>
      </c>
      <c r="N587" s="21">
        <f t="shared" si="51"/>
        <v>2.6317764866609701</v>
      </c>
      <c r="O587" s="21">
        <f t="shared" si="52"/>
        <v>0</v>
      </c>
      <c r="P587" s="21">
        <f t="shared" si="53"/>
        <v>0</v>
      </c>
      <c r="Z587" s="211" t="b">
        <f>IFERROR(INDEX(Outliers!$X$3:$X$61,MATCH('SkYSPark Data_w Will''s Data'!C587,Outliers!$B$3:$B$61,0)),0)</f>
        <v>0</v>
      </c>
      <c r="AA587" s="1" t="b">
        <f>IFERROR(INDEX(Outliers!$AP$3:$AP$61,MATCH('SkYSPark Data_w Will''s Data'!C587,Outliers!$B$3:$B$61,0)),0)</f>
        <v>1</v>
      </c>
      <c r="AB587" s="112" t="b">
        <f>IFERROR(INDEX(Outliers!$AY$3:$AY$61,MATCH('SkYSPark Data_w Will''s Data'!C587,Outliers!$B$3:$B$61,0)),0)</f>
        <v>1</v>
      </c>
      <c r="AG587">
        <v>3.8613048611111198</v>
      </c>
      <c r="AH587">
        <v>1.2460597222222061</v>
      </c>
    </row>
    <row r="588" spans="1:34" x14ac:dyDescent="0.3">
      <c r="A588" s="2">
        <v>45200</v>
      </c>
      <c r="B588" s="3">
        <f t="shared" si="54"/>
        <v>10</v>
      </c>
      <c r="C588" s="3" t="s">
        <v>175</v>
      </c>
      <c r="D588" s="3" t="str">
        <f>VLOOKUP(C588,'Data availability'!$A$2:$B$91,2,FALSE)</f>
        <v>South campus</v>
      </c>
      <c r="E588" s="3">
        <v>22203</v>
      </c>
      <c r="F588" s="3" t="str">
        <f>VLOOKUP(C588,'Data availability'!$A$2:$H$91,8,FALSE)</f>
        <v>Office</v>
      </c>
      <c r="G588" s="1" cm="1">
        <f t="array" ref="G588">_xlfn._xlws.FILTER('Split meters'!$AD$35:$AD$106,('Split meters'!$A$35:$A$106='SkYSPark Data_w Will''s Data'!B588)*('Split meters'!$B$35:$B$106='SkYSPark Data_w Will''s Data'!C588))</f>
        <v>21685.462247626554</v>
      </c>
      <c r="I588" s="1">
        <v>901.24820659971908</v>
      </c>
      <c r="M588" s="21">
        <f t="shared" si="50"/>
        <v>3.3324684587173712</v>
      </c>
      <c r="N588" s="21">
        <f t="shared" si="51"/>
        <v>4.05912807548403</v>
      </c>
      <c r="O588" s="21">
        <f t="shared" si="52"/>
        <v>0</v>
      </c>
      <c r="P588" s="21">
        <f t="shared" si="53"/>
        <v>0</v>
      </c>
      <c r="Z588" s="211" t="b">
        <f>IFERROR(INDEX(Outliers!$X$3:$X$61,MATCH('SkYSPark Data_w Will''s Data'!C588,Outliers!$B$3:$B$61,0)),0)</f>
        <v>0</v>
      </c>
      <c r="AA588" s="1" t="b">
        <f>IFERROR(INDEX(Outliers!$AP$3:$AP$61,MATCH('SkYSPark Data_w Will''s Data'!C588,Outliers!$B$3:$B$61,0)),0)</f>
        <v>1</v>
      </c>
      <c r="AB588" s="112" t="b">
        <f>IFERROR(INDEX(Outliers!$AY$3:$AY$61,MATCH('SkYSPark Data_w Will''s Data'!C588,Outliers!$B$3:$B$61,0)),0)</f>
        <v>1</v>
      </c>
      <c r="AG588">
        <v>3.3598008409697249</v>
      </c>
      <c r="AH588">
        <v>2.069629084324494</v>
      </c>
    </row>
    <row r="589" spans="1:34" x14ac:dyDescent="0.3">
      <c r="A589" s="2">
        <v>45231</v>
      </c>
      <c r="B589" s="3">
        <f t="shared" si="54"/>
        <v>11</v>
      </c>
      <c r="C589" s="3" t="s">
        <v>175</v>
      </c>
      <c r="D589" s="3" t="str">
        <f>VLOOKUP(C589,'Data availability'!$A$2:$B$91,2,FALSE)</f>
        <v>South campus</v>
      </c>
      <c r="E589" s="3">
        <v>22203</v>
      </c>
      <c r="F589" s="3" t="str">
        <f>VLOOKUP(C589,'Data availability'!$A$2:$H$91,8,FALSE)</f>
        <v>Office</v>
      </c>
      <c r="G589" s="1" cm="1">
        <f t="array" ref="G589">_xlfn._xlws.FILTER('Split meters'!$AD$35:$AD$106,('Split meters'!$A$35:$A$106='SkYSPark Data_w Will''s Data'!B589)*('Split meters'!$B$35:$B$106='SkYSPark Data_w Will''s Data'!C589))</f>
        <v>18505.168187552386</v>
      </c>
      <c r="I589" s="1">
        <v>1164.0851267336279</v>
      </c>
      <c r="M589" s="21">
        <f t="shared" si="50"/>
        <v>2.843743361524512</v>
      </c>
      <c r="N589" s="21">
        <f t="shared" si="51"/>
        <v>5.2429181945396026</v>
      </c>
      <c r="O589" s="21">
        <f t="shared" si="52"/>
        <v>0</v>
      </c>
      <c r="P589" s="21">
        <f t="shared" si="53"/>
        <v>0</v>
      </c>
      <c r="Z589" s="211" t="b">
        <f>IFERROR(INDEX(Outliers!$X$3:$X$61,MATCH('SkYSPark Data_w Will''s Data'!C589,Outliers!$B$3:$B$61,0)),0)</f>
        <v>0</v>
      </c>
      <c r="AA589" s="1" t="b">
        <f>IFERROR(INDEX(Outliers!$AP$3:$AP$61,MATCH('SkYSPark Data_w Will''s Data'!C589,Outliers!$B$3:$B$61,0)),0)</f>
        <v>1</v>
      </c>
      <c r="AB589" s="112" t="b">
        <f>IFERROR(INDEX(Outliers!$AY$3:$AY$61,MATCH('SkYSPark Data_w Will''s Data'!C589,Outliers!$B$3:$B$61,0)),0)</f>
        <v>1</v>
      </c>
      <c r="AG589">
        <v>2.985897315729702</v>
      </c>
      <c r="AH589">
        <v>3.029404014696123</v>
      </c>
    </row>
    <row r="590" spans="1:34" x14ac:dyDescent="0.3">
      <c r="A590" s="2">
        <v>45261</v>
      </c>
      <c r="B590" s="3">
        <f t="shared" si="54"/>
        <v>12</v>
      </c>
      <c r="C590" s="3" t="s">
        <v>175</v>
      </c>
      <c r="D590" s="3" t="str">
        <f>VLOOKUP(C590,'Data availability'!$A$2:$B$91,2,FALSE)</f>
        <v>South campus</v>
      </c>
      <c r="E590" s="3">
        <v>22203</v>
      </c>
      <c r="F590" s="3" t="str">
        <f>VLOOKUP(C590,'Data availability'!$A$2:$H$91,8,FALSE)</f>
        <v>Office</v>
      </c>
      <c r="G590" s="1" cm="1">
        <f t="array" ref="G590">_xlfn._xlws.FILTER('Split meters'!$AD$35:$AD$106,('Split meters'!$A$35:$A$106='SkYSPark Data_w Will''s Data'!B590)*('Split meters'!$B$35:$B$106='SkYSPark Data_w Will''s Data'!C590))</f>
        <v>15665.888468343463</v>
      </c>
      <c r="I590" s="1">
        <v>1147.212121212139</v>
      </c>
      <c r="M590" s="21">
        <f t="shared" si="50"/>
        <v>2.4074229362693282</v>
      </c>
      <c r="N590" s="21">
        <f t="shared" si="51"/>
        <v>5.1669239346581053</v>
      </c>
      <c r="O590" s="21">
        <f t="shared" si="52"/>
        <v>0</v>
      </c>
      <c r="P590" s="21">
        <f t="shared" si="53"/>
        <v>0</v>
      </c>
      <c r="Z590" s="211" t="b">
        <f>IFERROR(INDEX(Outliers!$X$3:$X$61,MATCH('SkYSPark Data_w Will''s Data'!C590,Outliers!$B$3:$B$61,0)),0)</f>
        <v>0</v>
      </c>
      <c r="AA590" s="1" t="b">
        <f>IFERROR(INDEX(Outliers!$AP$3:$AP$61,MATCH('SkYSPark Data_w Will''s Data'!C590,Outliers!$B$3:$B$61,0)),0)</f>
        <v>1</v>
      </c>
      <c r="AB590" s="112" t="b">
        <f>IFERROR(INDEX(Outliers!$AY$3:$AY$61,MATCH('SkYSPark Data_w Will''s Data'!C590,Outliers!$B$3:$B$61,0)),0)</f>
        <v>1</v>
      </c>
      <c r="AG590">
        <v>2.5095330385015182</v>
      </c>
      <c r="AH590">
        <v>3.183782258064543</v>
      </c>
    </row>
    <row r="591" spans="1:34" s="15" customFormat="1" x14ac:dyDescent="0.3">
      <c r="A591" s="38">
        <v>44927</v>
      </c>
      <c r="B591" s="3">
        <f t="shared" si="54"/>
        <v>1</v>
      </c>
      <c r="C591" s="22" t="s">
        <v>384</v>
      </c>
      <c r="D591" s="3" t="str">
        <f>VLOOKUP(C591,'Data availability'!$A$2:$B$91,2,FALSE)</f>
        <v>South campus</v>
      </c>
      <c r="E591" s="22">
        <v>55234</v>
      </c>
      <c r="F591" s="3" t="str">
        <f>VLOOKUP(C591,'Data availability'!$A$2:$H$91,8,FALSE)</f>
        <v>Office</v>
      </c>
      <c r="G591" s="21"/>
      <c r="H591" s="21"/>
      <c r="I591" s="21"/>
      <c r="J591" s="21"/>
      <c r="K591" s="21"/>
      <c r="L591" s="20"/>
      <c r="M591" s="21">
        <f t="shared" si="50"/>
        <v>0</v>
      </c>
      <c r="N591" s="21">
        <f t="shared" si="51"/>
        <v>0</v>
      </c>
      <c r="O591" s="21">
        <f t="shared" si="52"/>
        <v>0</v>
      </c>
      <c r="P591" s="21">
        <f t="shared" si="53"/>
        <v>0</v>
      </c>
      <c r="Q591" s="21"/>
      <c r="R591" s="21"/>
      <c r="S591" s="21"/>
      <c r="T591" s="21"/>
      <c r="U591" s="21"/>
      <c r="V591" s="34"/>
      <c r="W591" s="19"/>
      <c r="X591" s="20"/>
      <c r="Y591" s="21"/>
      <c r="Z591" s="211" t="b">
        <f>IFERROR(INDEX(Outliers!$X$3:$X$61,MATCH('SkYSPark Data_w Will''s Data'!C591,Outliers!$B$3:$B$61,0)),0)</f>
        <v>1</v>
      </c>
      <c r="AA591" s="1" t="b">
        <f>IFERROR(INDEX(Outliers!$AP$3:$AP$61,MATCH('SkYSPark Data_w Will''s Data'!C591,Outliers!$B$3:$B$61,0)),0)</f>
        <v>1</v>
      </c>
      <c r="AB591" s="112" t="b">
        <f>IFERROR(INDEX(Outliers!$AY$3:$AY$61,MATCH('SkYSPark Data_w Will''s Data'!C591,Outliers!$B$3:$B$61,0)),0)</f>
        <v>1</v>
      </c>
      <c r="AC591" s="112"/>
      <c r="AD591" s="138"/>
      <c r="AE591" s="138"/>
      <c r="AF591" s="138" t="s">
        <v>562</v>
      </c>
    </row>
    <row r="592" spans="1:34" x14ac:dyDescent="0.3">
      <c r="A592" s="2">
        <v>44958</v>
      </c>
      <c r="B592" s="3">
        <f t="shared" si="54"/>
        <v>2</v>
      </c>
      <c r="C592" s="3" t="s">
        <v>384</v>
      </c>
      <c r="D592" s="3" t="str">
        <f>VLOOKUP(C592,'Data availability'!$A$2:$B$91,2,FALSE)</f>
        <v>South campus</v>
      </c>
      <c r="E592" s="3">
        <v>55234</v>
      </c>
      <c r="F592" s="3" t="str">
        <f>VLOOKUP(C592,'Data availability'!$A$2:$H$91,8,FALSE)</f>
        <v>Office</v>
      </c>
      <c r="M592" s="21">
        <f t="shared" si="50"/>
        <v>0</v>
      </c>
      <c r="N592" s="21">
        <f t="shared" si="51"/>
        <v>0</v>
      </c>
      <c r="O592" s="21">
        <f t="shared" si="52"/>
        <v>0</v>
      </c>
      <c r="P592" s="21">
        <f t="shared" si="53"/>
        <v>0</v>
      </c>
      <c r="Z592" s="211" t="b">
        <f>IFERROR(INDEX(Outliers!$X$3:$X$61,MATCH('SkYSPark Data_w Will''s Data'!C592,Outliers!$B$3:$B$61,0)),0)</f>
        <v>1</v>
      </c>
      <c r="AA592" s="1" t="b">
        <f>IFERROR(INDEX(Outliers!$AP$3:$AP$61,MATCH('SkYSPark Data_w Will''s Data'!C592,Outliers!$B$3:$B$61,0)),0)</f>
        <v>1</v>
      </c>
      <c r="AB592" s="112" t="b">
        <f>IFERROR(INDEX(Outliers!$AY$3:$AY$61,MATCH('SkYSPark Data_w Will''s Data'!C592,Outliers!$B$3:$B$61,0)),0)</f>
        <v>1</v>
      </c>
    </row>
    <row r="593" spans="1:120" x14ac:dyDescent="0.3">
      <c r="A593" s="2">
        <v>44986</v>
      </c>
      <c r="B593" s="3">
        <f t="shared" si="54"/>
        <v>3</v>
      </c>
      <c r="C593" s="3" t="s">
        <v>384</v>
      </c>
      <c r="D593" s="3" t="str">
        <f>VLOOKUP(C593,'Data availability'!$A$2:$B$91,2,FALSE)</f>
        <v>South campus</v>
      </c>
      <c r="E593" s="3">
        <v>55234</v>
      </c>
      <c r="F593" s="3" t="str">
        <f>VLOOKUP(C593,'Data availability'!$A$2:$H$91,8,FALSE)</f>
        <v>Office</v>
      </c>
      <c r="M593" s="21">
        <f t="shared" si="50"/>
        <v>0</v>
      </c>
      <c r="N593" s="21">
        <f t="shared" si="51"/>
        <v>0</v>
      </c>
      <c r="O593" s="21">
        <f t="shared" si="52"/>
        <v>0</v>
      </c>
      <c r="P593" s="21">
        <f t="shared" si="53"/>
        <v>0</v>
      </c>
      <c r="Z593" s="211" t="b">
        <f>IFERROR(INDEX(Outliers!$X$3:$X$61,MATCH('SkYSPark Data_w Will''s Data'!C593,Outliers!$B$3:$B$61,0)),0)</f>
        <v>1</v>
      </c>
      <c r="AA593" s="1" t="b">
        <f>IFERROR(INDEX(Outliers!$AP$3:$AP$61,MATCH('SkYSPark Data_w Will''s Data'!C593,Outliers!$B$3:$B$61,0)),0)</f>
        <v>1</v>
      </c>
      <c r="AB593" s="112" t="b">
        <f>IFERROR(INDEX(Outliers!$AY$3:$AY$61,MATCH('SkYSPark Data_w Will''s Data'!C593,Outliers!$B$3:$B$61,0)),0)</f>
        <v>1</v>
      </c>
    </row>
    <row r="594" spans="1:120" x14ac:dyDescent="0.3">
      <c r="A594" s="2">
        <v>45017</v>
      </c>
      <c r="B594" s="3">
        <f t="shared" si="54"/>
        <v>4</v>
      </c>
      <c r="C594" s="3" t="s">
        <v>384</v>
      </c>
      <c r="D594" s="3" t="str">
        <f>VLOOKUP(C594,'Data availability'!$A$2:$B$91,2,FALSE)</f>
        <v>South campus</v>
      </c>
      <c r="E594" s="3">
        <v>55234</v>
      </c>
      <c r="F594" s="3" t="str">
        <f>VLOOKUP(C594,'Data availability'!$A$2:$H$91,8,FALSE)</f>
        <v>Office</v>
      </c>
      <c r="M594" s="21">
        <f t="shared" si="50"/>
        <v>0</v>
      </c>
      <c r="N594" s="21">
        <f t="shared" si="51"/>
        <v>0</v>
      </c>
      <c r="O594" s="21">
        <f t="shared" si="52"/>
        <v>0</v>
      </c>
      <c r="P594" s="21">
        <f t="shared" si="53"/>
        <v>0</v>
      </c>
      <c r="Z594" s="211" t="b">
        <f>IFERROR(INDEX(Outliers!$X$3:$X$61,MATCH('SkYSPark Data_w Will''s Data'!C594,Outliers!$B$3:$B$61,0)),0)</f>
        <v>1</v>
      </c>
      <c r="AA594" s="1" t="b">
        <f>IFERROR(INDEX(Outliers!$AP$3:$AP$61,MATCH('SkYSPark Data_w Will''s Data'!C594,Outliers!$B$3:$B$61,0)),0)</f>
        <v>1</v>
      </c>
      <c r="AB594" s="112" t="b">
        <f>IFERROR(INDEX(Outliers!$AY$3:$AY$61,MATCH('SkYSPark Data_w Will''s Data'!C594,Outliers!$B$3:$B$61,0)),0)</f>
        <v>1</v>
      </c>
    </row>
    <row r="595" spans="1:120" x14ac:dyDescent="0.3">
      <c r="A595" s="2">
        <v>45047</v>
      </c>
      <c r="B595" s="3">
        <f t="shared" si="54"/>
        <v>5</v>
      </c>
      <c r="C595" s="3" t="s">
        <v>384</v>
      </c>
      <c r="D595" s="3" t="str">
        <f>VLOOKUP(C595,'Data availability'!$A$2:$B$91,2,FALSE)</f>
        <v>South campus</v>
      </c>
      <c r="E595" s="3">
        <v>55234</v>
      </c>
      <c r="F595" s="3" t="str">
        <f>VLOOKUP(C595,'Data availability'!$A$2:$H$91,8,FALSE)</f>
        <v>Office</v>
      </c>
      <c r="M595" s="21">
        <f t="shared" si="50"/>
        <v>0</v>
      </c>
      <c r="N595" s="21">
        <f t="shared" si="51"/>
        <v>0</v>
      </c>
      <c r="O595" s="21">
        <f t="shared" si="52"/>
        <v>0</v>
      </c>
      <c r="P595" s="21">
        <f t="shared" si="53"/>
        <v>0</v>
      </c>
      <c r="Z595" s="211" t="b">
        <f>IFERROR(INDEX(Outliers!$X$3:$X$61,MATCH('SkYSPark Data_w Will''s Data'!C595,Outliers!$B$3:$B$61,0)),0)</f>
        <v>1</v>
      </c>
      <c r="AA595" s="1" t="b">
        <f>IFERROR(INDEX(Outliers!$AP$3:$AP$61,MATCH('SkYSPark Data_w Will''s Data'!C595,Outliers!$B$3:$B$61,0)),0)</f>
        <v>1</v>
      </c>
      <c r="AB595" s="112" t="b">
        <f>IFERROR(INDEX(Outliers!$AY$3:$AY$61,MATCH('SkYSPark Data_w Will''s Data'!C595,Outliers!$B$3:$B$61,0)),0)</f>
        <v>1</v>
      </c>
    </row>
    <row r="596" spans="1:120" x14ac:dyDescent="0.3">
      <c r="A596" s="2">
        <v>45078</v>
      </c>
      <c r="B596" s="3">
        <f t="shared" si="54"/>
        <v>6</v>
      </c>
      <c r="C596" s="3" t="s">
        <v>384</v>
      </c>
      <c r="D596" s="3" t="str">
        <f>VLOOKUP(C596,'Data availability'!$A$2:$B$91,2,FALSE)</f>
        <v>South campus</v>
      </c>
      <c r="E596" s="3">
        <v>55234</v>
      </c>
      <c r="F596" s="3" t="str">
        <f>VLOOKUP(C596,'Data availability'!$A$2:$H$91,8,FALSE)</f>
        <v>Office</v>
      </c>
      <c r="M596" s="21">
        <f t="shared" si="50"/>
        <v>0</v>
      </c>
      <c r="N596" s="21">
        <f t="shared" si="51"/>
        <v>0</v>
      </c>
      <c r="O596" s="21">
        <f t="shared" si="52"/>
        <v>0</v>
      </c>
      <c r="P596" s="21">
        <f t="shared" si="53"/>
        <v>0</v>
      </c>
      <c r="Z596" s="211" t="b">
        <f>IFERROR(INDEX(Outliers!$X$3:$X$61,MATCH('SkYSPark Data_w Will''s Data'!C596,Outliers!$B$3:$B$61,0)),0)</f>
        <v>1</v>
      </c>
      <c r="AA596" s="1" t="b">
        <f>IFERROR(INDEX(Outliers!$AP$3:$AP$61,MATCH('SkYSPark Data_w Will''s Data'!C596,Outliers!$B$3:$B$61,0)),0)</f>
        <v>1</v>
      </c>
      <c r="AB596" s="112" t="b">
        <f>IFERROR(INDEX(Outliers!$AY$3:$AY$61,MATCH('SkYSPark Data_w Will''s Data'!C596,Outliers!$B$3:$B$61,0)),0)</f>
        <v>1</v>
      </c>
    </row>
    <row r="597" spans="1:120" x14ac:dyDescent="0.3">
      <c r="A597" s="2">
        <v>45108</v>
      </c>
      <c r="B597" s="3">
        <f t="shared" si="54"/>
        <v>7</v>
      </c>
      <c r="C597" s="3" t="s">
        <v>384</v>
      </c>
      <c r="D597" s="3" t="str">
        <f>VLOOKUP(C597,'Data availability'!$A$2:$B$91,2,FALSE)</f>
        <v>South campus</v>
      </c>
      <c r="E597" s="3">
        <v>55234</v>
      </c>
      <c r="F597" s="3" t="str">
        <f>VLOOKUP(C597,'Data availability'!$A$2:$H$91,8,FALSE)</f>
        <v>Office</v>
      </c>
      <c r="M597" s="21">
        <f t="shared" si="50"/>
        <v>0</v>
      </c>
      <c r="N597" s="21">
        <f t="shared" si="51"/>
        <v>0</v>
      </c>
      <c r="O597" s="21">
        <f t="shared" si="52"/>
        <v>0</v>
      </c>
      <c r="P597" s="21">
        <f t="shared" si="53"/>
        <v>0</v>
      </c>
      <c r="Z597" s="211" t="b">
        <f>IFERROR(INDEX(Outliers!$X$3:$X$61,MATCH('SkYSPark Data_w Will''s Data'!C597,Outliers!$B$3:$B$61,0)),0)</f>
        <v>1</v>
      </c>
      <c r="AA597" s="1" t="b">
        <f>IFERROR(INDEX(Outliers!$AP$3:$AP$61,MATCH('SkYSPark Data_w Will''s Data'!C597,Outliers!$B$3:$B$61,0)),0)</f>
        <v>1</v>
      </c>
      <c r="AB597" s="112" t="b">
        <f>IFERROR(INDEX(Outliers!$AY$3:$AY$61,MATCH('SkYSPark Data_w Will''s Data'!C597,Outliers!$B$3:$B$61,0)),0)</f>
        <v>1</v>
      </c>
    </row>
    <row r="598" spans="1:120" x14ac:dyDescent="0.3">
      <c r="A598" s="2">
        <v>45139</v>
      </c>
      <c r="B598" s="3">
        <f t="shared" si="54"/>
        <v>8</v>
      </c>
      <c r="C598" s="3" t="s">
        <v>384</v>
      </c>
      <c r="D598" s="3" t="str">
        <f>VLOOKUP(C598,'Data availability'!$A$2:$B$91,2,FALSE)</f>
        <v>South campus</v>
      </c>
      <c r="E598" s="3">
        <v>55234</v>
      </c>
      <c r="F598" s="3" t="str">
        <f>VLOOKUP(C598,'Data availability'!$A$2:$H$91,8,FALSE)</f>
        <v>Office</v>
      </c>
      <c r="M598" s="21">
        <f t="shared" si="50"/>
        <v>0</v>
      </c>
      <c r="N598" s="21">
        <f t="shared" si="51"/>
        <v>0</v>
      </c>
      <c r="O598" s="21">
        <f t="shared" si="52"/>
        <v>0</v>
      </c>
      <c r="P598" s="21">
        <f t="shared" si="53"/>
        <v>0</v>
      </c>
      <c r="Z598" s="211" t="b">
        <f>IFERROR(INDEX(Outliers!$X$3:$X$61,MATCH('SkYSPark Data_w Will''s Data'!C598,Outliers!$B$3:$B$61,0)),0)</f>
        <v>1</v>
      </c>
      <c r="AA598" s="1" t="b">
        <f>IFERROR(INDEX(Outliers!$AP$3:$AP$61,MATCH('SkYSPark Data_w Will''s Data'!C598,Outliers!$B$3:$B$61,0)),0)</f>
        <v>1</v>
      </c>
      <c r="AB598" s="112" t="b">
        <f>IFERROR(INDEX(Outliers!$AY$3:$AY$61,MATCH('SkYSPark Data_w Will''s Data'!C598,Outliers!$B$3:$B$61,0)),0)</f>
        <v>1</v>
      </c>
    </row>
    <row r="599" spans="1:120" x14ac:dyDescent="0.3">
      <c r="A599" s="2">
        <v>45170</v>
      </c>
      <c r="B599" s="3">
        <f t="shared" si="54"/>
        <v>9</v>
      </c>
      <c r="C599" s="3" t="s">
        <v>384</v>
      </c>
      <c r="D599" s="3" t="str">
        <f>VLOOKUP(C599,'Data availability'!$A$2:$B$91,2,FALSE)</f>
        <v>South campus</v>
      </c>
      <c r="E599" s="3">
        <v>55234</v>
      </c>
      <c r="F599" s="3" t="str">
        <f>VLOOKUP(C599,'Data availability'!$A$2:$H$91,8,FALSE)</f>
        <v>Office</v>
      </c>
      <c r="M599" s="21">
        <f t="shared" si="50"/>
        <v>0</v>
      </c>
      <c r="N599" s="21">
        <f t="shared" si="51"/>
        <v>0</v>
      </c>
      <c r="O599" s="21">
        <f t="shared" si="52"/>
        <v>0</v>
      </c>
      <c r="P599" s="21">
        <f t="shared" si="53"/>
        <v>0</v>
      </c>
      <c r="Z599" s="211" t="b">
        <f>IFERROR(INDEX(Outliers!$X$3:$X$61,MATCH('SkYSPark Data_w Will''s Data'!C599,Outliers!$B$3:$B$61,0)),0)</f>
        <v>1</v>
      </c>
      <c r="AA599" s="1" t="b">
        <f>IFERROR(INDEX(Outliers!$AP$3:$AP$61,MATCH('SkYSPark Data_w Will''s Data'!C599,Outliers!$B$3:$B$61,0)),0)</f>
        <v>1</v>
      </c>
      <c r="AB599" s="112" t="b">
        <f>IFERROR(INDEX(Outliers!$AY$3:$AY$61,MATCH('SkYSPark Data_w Will''s Data'!C599,Outliers!$B$3:$B$61,0)),0)</f>
        <v>1</v>
      </c>
    </row>
    <row r="600" spans="1:120" x14ac:dyDescent="0.3">
      <c r="A600" s="2">
        <v>45200</v>
      </c>
      <c r="B600" s="3">
        <f t="shared" si="54"/>
        <v>10</v>
      </c>
      <c r="C600" s="3" t="s">
        <v>384</v>
      </c>
      <c r="D600" s="3" t="str">
        <f>VLOOKUP(C600,'Data availability'!$A$2:$B$91,2,FALSE)</f>
        <v>South campus</v>
      </c>
      <c r="E600" s="3">
        <v>55234</v>
      </c>
      <c r="F600" s="3" t="str">
        <f>VLOOKUP(C600,'Data availability'!$A$2:$H$91,8,FALSE)</f>
        <v>Office</v>
      </c>
      <c r="M600" s="21">
        <f t="shared" si="50"/>
        <v>0</v>
      </c>
      <c r="N600" s="21">
        <f t="shared" si="51"/>
        <v>0</v>
      </c>
      <c r="O600" s="21">
        <f t="shared" si="52"/>
        <v>0</v>
      </c>
      <c r="P600" s="21">
        <f t="shared" si="53"/>
        <v>0</v>
      </c>
      <c r="Z600" s="211" t="b">
        <f>IFERROR(INDEX(Outliers!$X$3:$X$61,MATCH('SkYSPark Data_w Will''s Data'!C600,Outliers!$B$3:$B$61,0)),0)</f>
        <v>1</v>
      </c>
      <c r="AA600" s="1" t="b">
        <f>IFERROR(INDEX(Outliers!$AP$3:$AP$61,MATCH('SkYSPark Data_w Will''s Data'!C600,Outliers!$B$3:$B$61,0)),0)</f>
        <v>1</v>
      </c>
      <c r="AB600" s="112" t="b">
        <f>IFERROR(INDEX(Outliers!$AY$3:$AY$61,MATCH('SkYSPark Data_w Will''s Data'!C600,Outliers!$B$3:$B$61,0)),0)</f>
        <v>1</v>
      </c>
    </row>
    <row r="601" spans="1:120" x14ac:dyDescent="0.3">
      <c r="A601" s="2">
        <v>45231</v>
      </c>
      <c r="B601" s="3">
        <f t="shared" si="54"/>
        <v>11</v>
      </c>
      <c r="C601" s="3" t="s">
        <v>384</v>
      </c>
      <c r="D601" s="3" t="str">
        <f>VLOOKUP(C601,'Data availability'!$A$2:$B$91,2,FALSE)</f>
        <v>South campus</v>
      </c>
      <c r="E601" s="3">
        <v>55234</v>
      </c>
      <c r="F601" s="3" t="str">
        <f>VLOOKUP(C601,'Data availability'!$A$2:$H$91,8,FALSE)</f>
        <v>Office</v>
      </c>
      <c r="M601" s="21">
        <f t="shared" si="50"/>
        <v>0</v>
      </c>
      <c r="N601" s="21">
        <f t="shared" si="51"/>
        <v>0</v>
      </c>
      <c r="O601" s="21">
        <f t="shared" si="52"/>
        <v>0</v>
      </c>
      <c r="P601" s="21">
        <f t="shared" si="53"/>
        <v>0</v>
      </c>
      <c r="Z601" s="211" t="b">
        <f>IFERROR(INDEX(Outliers!$X$3:$X$61,MATCH('SkYSPark Data_w Will''s Data'!C601,Outliers!$B$3:$B$61,0)),0)</f>
        <v>1</v>
      </c>
      <c r="AA601" s="1" t="b">
        <f>IFERROR(INDEX(Outliers!$AP$3:$AP$61,MATCH('SkYSPark Data_w Will''s Data'!C601,Outliers!$B$3:$B$61,0)),0)</f>
        <v>1</v>
      </c>
      <c r="AB601" s="112" t="b">
        <f>IFERROR(INDEX(Outliers!$AY$3:$AY$61,MATCH('SkYSPark Data_w Will''s Data'!C601,Outliers!$B$3:$B$61,0)),0)</f>
        <v>1</v>
      </c>
    </row>
    <row r="602" spans="1:120" x14ac:dyDescent="0.3">
      <c r="A602" s="2">
        <v>45261</v>
      </c>
      <c r="B602" s="3">
        <f t="shared" si="54"/>
        <v>12</v>
      </c>
      <c r="C602" s="3" t="s">
        <v>384</v>
      </c>
      <c r="D602" s="3" t="str">
        <f>VLOOKUP(C602,'Data availability'!$A$2:$B$91,2,FALSE)</f>
        <v>South campus</v>
      </c>
      <c r="E602" s="3">
        <v>55234</v>
      </c>
      <c r="F602" s="3" t="str">
        <f>VLOOKUP(C602,'Data availability'!$A$2:$H$91,8,FALSE)</f>
        <v>Office</v>
      </c>
      <c r="M602" s="21">
        <f t="shared" si="50"/>
        <v>0</v>
      </c>
      <c r="N602" s="21">
        <f t="shared" si="51"/>
        <v>0</v>
      </c>
      <c r="O602" s="21">
        <f t="shared" si="52"/>
        <v>0</v>
      </c>
      <c r="P602" s="21">
        <f t="shared" si="53"/>
        <v>0</v>
      </c>
      <c r="Z602" s="211" t="b">
        <f>IFERROR(INDEX(Outliers!$X$3:$X$61,MATCH('SkYSPark Data_w Will''s Data'!C602,Outliers!$B$3:$B$61,0)),0)</f>
        <v>1</v>
      </c>
      <c r="AA602" s="1" t="b">
        <f>IFERROR(INDEX(Outliers!$AP$3:$AP$61,MATCH('SkYSPark Data_w Will''s Data'!C602,Outliers!$B$3:$B$61,0)),0)</f>
        <v>1</v>
      </c>
      <c r="AB602" s="112" t="b">
        <f>IFERROR(INDEX(Outliers!$AY$3:$AY$61,MATCH('SkYSPark Data_w Will''s Data'!C602,Outliers!$B$3:$B$61,0)),0)</f>
        <v>1</v>
      </c>
    </row>
    <row r="603" spans="1:120" s="15" customFormat="1" x14ac:dyDescent="0.3">
      <c r="A603" s="38">
        <v>44927</v>
      </c>
      <c r="B603" s="3">
        <f t="shared" si="54"/>
        <v>1</v>
      </c>
      <c r="C603" s="22" t="s">
        <v>176</v>
      </c>
      <c r="D603" s="3" t="str">
        <f>VLOOKUP(C603,'Data availability'!$A$2:$B$91,2,FALSE)</f>
        <v>Main campus</v>
      </c>
      <c r="E603" s="22">
        <v>121426</v>
      </c>
      <c r="F603" s="3" t="str">
        <f>VLOOKUP(C603,'Data availability'!$A$2:$H$91,8,FALSE)</f>
        <v>Athletics</v>
      </c>
      <c r="G603" s="259">
        <f>'Solar Data-Main Campus'!I37</f>
        <v>119714.59090909077</v>
      </c>
      <c r="H603" s="21"/>
      <c r="I603" s="21"/>
      <c r="J603" s="21">
        <v>31587.09753787837</v>
      </c>
      <c r="K603" s="21">
        <v>3801.0382605350551</v>
      </c>
      <c r="L603" s="20"/>
      <c r="M603" s="21">
        <f t="shared" si="50"/>
        <v>3.3639103995999018</v>
      </c>
      <c r="N603" s="21">
        <f t="shared" si="51"/>
        <v>0</v>
      </c>
      <c r="O603" s="21">
        <f t="shared" si="52"/>
        <v>26.013454727882309</v>
      </c>
      <c r="P603" s="21">
        <f t="shared" si="53"/>
        <v>0.37563997106402797</v>
      </c>
      <c r="Q603" s="21">
        <f>(SUM(G603:G614)*3.412)/E603</f>
        <v>38.434216748237382</v>
      </c>
      <c r="R603" s="21">
        <f>(SUM(I603:I614)*100)/E603</f>
        <v>0</v>
      </c>
      <c r="S603" s="21">
        <f>(SUM(J603:J614)*100)/E603</f>
        <v>170.47389345400825</v>
      </c>
      <c r="T603" s="21">
        <f>(SUM(K603:K614)*12)/E603</f>
        <v>19.781748750195053</v>
      </c>
      <c r="U603" s="21"/>
      <c r="V603" s="34">
        <f>SUM(Q603:T603)</f>
        <v>228.68985895244069</v>
      </c>
      <c r="W603" s="19" t="s">
        <v>222</v>
      </c>
      <c r="X603" s="20"/>
      <c r="Y603" s="21"/>
      <c r="Z603" s="211" t="b">
        <f>IFERROR(INDEX(Outliers!$X$3:$X$61,MATCH('SkYSPark Data_w Will''s Data'!C603,Outliers!$B$3:$B$61,0)),0)</f>
        <v>0</v>
      </c>
      <c r="AA603" s="1" t="b">
        <f>IFERROR(INDEX(Outliers!$AP$3:$AP$61,MATCH('SkYSPark Data_w Will''s Data'!C603,Outliers!$B$3:$B$61,0)),0)</f>
        <v>0</v>
      </c>
      <c r="AB603" s="112" t="b">
        <f>IFERROR(INDEX(Outliers!$AY$3:$AY$61,MATCH('SkYSPark Data_w Will''s Data'!C603,Outliers!$B$3:$B$61,0)),0)</f>
        <v>0</v>
      </c>
      <c r="AC603" s="112" t="s">
        <v>392</v>
      </c>
      <c r="AD603" s="138"/>
      <c r="AE603" s="138"/>
      <c r="AF603" s="138"/>
      <c r="DP603" s="15">
        <v>3801.0382605350551</v>
      </c>
    </row>
    <row r="604" spans="1:120" x14ac:dyDescent="0.3">
      <c r="A604" s="2">
        <v>44958</v>
      </c>
      <c r="B604" s="3">
        <f t="shared" si="54"/>
        <v>2</v>
      </c>
      <c r="C604" s="3" t="s">
        <v>176</v>
      </c>
      <c r="D604" s="3" t="str">
        <f>VLOOKUP(C604,'Data availability'!$A$2:$B$91,2,FALSE)</f>
        <v>Main campus</v>
      </c>
      <c r="E604" s="3">
        <v>121426</v>
      </c>
      <c r="F604" s="3" t="str">
        <f>VLOOKUP(C604,'Data availability'!$A$2:$H$91,8,FALSE)</f>
        <v>Athletics</v>
      </c>
      <c r="G604" s="259">
        <f>'Solar Data-Main Campus'!I38</f>
        <v>113345.75000000127</v>
      </c>
      <c r="J604" s="1">
        <v>29049.453124999742</v>
      </c>
      <c r="K604" s="1">
        <v>3699.7727539062748</v>
      </c>
      <c r="M604" s="21">
        <f t="shared" si="50"/>
        <v>3.1849496730519355</v>
      </c>
      <c r="N604" s="21">
        <f t="shared" si="51"/>
        <v>0</v>
      </c>
      <c r="O604" s="21">
        <f t="shared" si="52"/>
        <v>23.923585661225555</v>
      </c>
      <c r="P604" s="21">
        <f t="shared" si="53"/>
        <v>0.36563234436508901</v>
      </c>
      <c r="W604" s="10" t="s">
        <v>223</v>
      </c>
      <c r="Z604" s="211" t="b">
        <f>IFERROR(INDEX(Outliers!$X$3:$X$61,MATCH('SkYSPark Data_w Will''s Data'!C604,Outliers!$B$3:$B$61,0)),0)</f>
        <v>0</v>
      </c>
      <c r="AA604" s="1" t="b">
        <f>IFERROR(INDEX(Outliers!$AP$3:$AP$61,MATCH('SkYSPark Data_w Will''s Data'!C604,Outliers!$B$3:$B$61,0)),0)</f>
        <v>0</v>
      </c>
      <c r="AB604" s="112" t="b">
        <f>IFERROR(INDEX(Outliers!$AY$3:$AY$61,MATCH('SkYSPark Data_w Will''s Data'!C604,Outliers!$B$3:$B$61,0)),0)</f>
        <v>0</v>
      </c>
      <c r="AC604" s="112" t="s">
        <v>392</v>
      </c>
      <c r="DP604">
        <v>3699.7727539062748</v>
      </c>
    </row>
    <row r="605" spans="1:120" x14ac:dyDescent="0.3">
      <c r="A605" s="2">
        <v>44986</v>
      </c>
      <c r="B605" s="3">
        <f t="shared" si="54"/>
        <v>3</v>
      </c>
      <c r="C605" s="3" t="s">
        <v>176</v>
      </c>
      <c r="D605" s="3" t="str">
        <f>VLOOKUP(C605,'Data availability'!$A$2:$B$91,2,FALSE)</f>
        <v>Main campus</v>
      </c>
      <c r="E605" s="3">
        <v>121426</v>
      </c>
      <c r="F605" s="3" t="str">
        <f>VLOOKUP(C605,'Data availability'!$A$2:$H$91,8,FALSE)</f>
        <v>Athletics</v>
      </c>
      <c r="G605" s="259">
        <f>'Solar Data-Main Campus'!I39</f>
        <v>115561.12389380456</v>
      </c>
      <c r="J605" s="1">
        <v>28763.730937894721</v>
      </c>
      <c r="K605" s="1">
        <v>3075.8589584485335</v>
      </c>
      <c r="M605" s="21">
        <f t="shared" si="50"/>
        <v>3.2472003913960856</v>
      </c>
      <c r="N605" s="21">
        <f t="shared" si="51"/>
        <v>0</v>
      </c>
      <c r="O605" s="21">
        <f t="shared" si="52"/>
        <v>23.688280053608555</v>
      </c>
      <c r="P605" s="21">
        <f t="shared" si="53"/>
        <v>0.30397367533627395</v>
      </c>
      <c r="W605" s="10" t="s">
        <v>96</v>
      </c>
      <c r="Z605" s="211" t="b">
        <f>IFERROR(INDEX(Outliers!$X$3:$X$61,MATCH('SkYSPark Data_w Will''s Data'!C605,Outliers!$B$3:$B$61,0)),0)</f>
        <v>0</v>
      </c>
      <c r="AA605" s="1" t="b">
        <f>IFERROR(INDEX(Outliers!$AP$3:$AP$61,MATCH('SkYSPark Data_w Will''s Data'!C605,Outliers!$B$3:$B$61,0)),0)</f>
        <v>0</v>
      </c>
      <c r="AB605" s="112" t="b">
        <f>IFERROR(INDEX(Outliers!$AY$3:$AY$61,MATCH('SkYSPark Data_w Will''s Data'!C605,Outliers!$B$3:$B$61,0)),0)</f>
        <v>0</v>
      </c>
      <c r="AC605" s="112" t="s">
        <v>392</v>
      </c>
      <c r="DP605">
        <v>3075.858958448533</v>
      </c>
    </row>
    <row r="606" spans="1:120" x14ac:dyDescent="0.3">
      <c r="A606" s="2">
        <v>45017</v>
      </c>
      <c r="B606" s="3">
        <f t="shared" si="54"/>
        <v>4</v>
      </c>
      <c r="C606" s="3" t="s">
        <v>176</v>
      </c>
      <c r="D606" s="3" t="str">
        <f>VLOOKUP(C606,'Data availability'!$A$2:$B$91,2,FALSE)</f>
        <v>Main campus</v>
      </c>
      <c r="E606" s="3">
        <v>121426</v>
      </c>
      <c r="F606" s="3" t="str">
        <f>VLOOKUP(C606,'Data availability'!$A$2:$H$91,8,FALSE)</f>
        <v>Athletics</v>
      </c>
      <c r="G606" s="259">
        <f>'Solar Data-Main Campus'!I40</f>
        <v>113405.12610619432</v>
      </c>
      <c r="J606" s="1">
        <v>17941.737812104951</v>
      </c>
      <c r="K606" s="1">
        <v>7878.09104155157</v>
      </c>
      <c r="M606" s="21">
        <f t="shared" si="50"/>
        <v>3.1866181071132624</v>
      </c>
      <c r="N606" s="21">
        <f t="shared" si="51"/>
        <v>0</v>
      </c>
      <c r="O606" s="21">
        <f t="shared" si="52"/>
        <v>14.775861687039804</v>
      </c>
      <c r="P606" s="21">
        <f t="shared" si="53"/>
        <v>0.77855724884801314</v>
      </c>
      <c r="Z606" s="211" t="b">
        <f>IFERROR(INDEX(Outliers!$X$3:$X$61,MATCH('SkYSPark Data_w Will''s Data'!C606,Outliers!$B$3:$B$61,0)),0)</f>
        <v>0</v>
      </c>
      <c r="AA606" s="1" t="b">
        <f>IFERROR(INDEX(Outliers!$AP$3:$AP$61,MATCH('SkYSPark Data_w Will''s Data'!C606,Outliers!$B$3:$B$61,0)),0)</f>
        <v>0</v>
      </c>
      <c r="AB606" s="112" t="b">
        <f>IFERROR(INDEX(Outliers!$AY$3:$AY$61,MATCH('SkYSPark Data_w Will''s Data'!C606,Outliers!$B$3:$B$61,0)),0)</f>
        <v>0</v>
      </c>
      <c r="AC606" s="112" t="s">
        <v>392</v>
      </c>
      <c r="DP606">
        <v>7878.09104155157</v>
      </c>
    </row>
    <row r="607" spans="1:120" x14ac:dyDescent="0.3">
      <c r="A607" s="2">
        <v>45047</v>
      </c>
      <c r="B607" s="3">
        <f t="shared" si="54"/>
        <v>5</v>
      </c>
      <c r="C607" s="3" t="s">
        <v>176</v>
      </c>
      <c r="D607" s="3" t="str">
        <f>VLOOKUP(C607,'Data availability'!$A$2:$B$91,2,FALSE)</f>
        <v>Main campus</v>
      </c>
      <c r="E607" s="3">
        <v>121426</v>
      </c>
      <c r="F607" s="3" t="str">
        <f>VLOOKUP(C607,'Data availability'!$A$2:$H$91,8,FALSE)</f>
        <v>Athletics</v>
      </c>
      <c r="G607" s="259">
        <f>'Solar Data-Main Campus'!I41</f>
        <v>114789.50000000061</v>
      </c>
      <c r="J607" s="1">
        <v>13205.078124999851</v>
      </c>
      <c r="K607" s="1">
        <v>14006.439453124804</v>
      </c>
      <c r="M607" s="21">
        <f t="shared" si="50"/>
        <v>3.2255182086209055</v>
      </c>
      <c r="N607" s="21">
        <f t="shared" si="51"/>
        <v>0</v>
      </c>
      <c r="O607" s="21">
        <f t="shared" si="52"/>
        <v>10.87500051471666</v>
      </c>
      <c r="P607" s="21">
        <f t="shared" si="53"/>
        <v>1.3841950936166689</v>
      </c>
      <c r="Z607" s="211" t="b">
        <f>IFERROR(INDEX(Outliers!$X$3:$X$61,MATCH('SkYSPark Data_w Will''s Data'!C607,Outliers!$B$3:$B$61,0)),0)</f>
        <v>0</v>
      </c>
      <c r="AA607" s="1" t="b">
        <f>IFERROR(INDEX(Outliers!$AP$3:$AP$61,MATCH('SkYSPark Data_w Will''s Data'!C607,Outliers!$B$3:$B$61,0)),0)</f>
        <v>0</v>
      </c>
      <c r="AB607" s="112" t="b">
        <f>IFERROR(INDEX(Outliers!$AY$3:$AY$61,MATCH('SkYSPark Data_w Will''s Data'!C607,Outliers!$B$3:$B$61,0)),0)</f>
        <v>0</v>
      </c>
      <c r="AC607" s="112" t="s">
        <v>392</v>
      </c>
      <c r="DP607">
        <v>14006.4394531248</v>
      </c>
    </row>
    <row r="608" spans="1:120" x14ac:dyDescent="0.3">
      <c r="A608" s="2">
        <v>45078</v>
      </c>
      <c r="B608" s="3">
        <f t="shared" si="54"/>
        <v>6</v>
      </c>
      <c r="C608" s="3" t="s">
        <v>176</v>
      </c>
      <c r="D608" s="3" t="str">
        <f>VLOOKUP(C608,'Data availability'!$A$2:$B$91,2,FALSE)</f>
        <v>Main campus</v>
      </c>
      <c r="E608" s="3">
        <v>121426</v>
      </c>
      <c r="F608" s="3" t="str">
        <f>VLOOKUP(C608,'Data availability'!$A$2:$H$91,8,FALSE)</f>
        <v>Athletics</v>
      </c>
      <c r="G608" s="259">
        <f>'Solar Data-Main Campus'!I42</f>
        <v>106044.35714285707</v>
      </c>
      <c r="J608" s="1">
        <v>8201.25</v>
      </c>
      <c r="K608" s="1">
        <v>21896.162695312723</v>
      </c>
      <c r="M608" s="21">
        <f t="shared" si="50"/>
        <v>2.9797847789717875</v>
      </c>
      <c r="N608" s="21">
        <f t="shared" si="51"/>
        <v>0</v>
      </c>
      <c r="O608" s="21">
        <f t="shared" si="52"/>
        <v>6.7541136165236439</v>
      </c>
      <c r="P608" s="21">
        <f t="shared" si="53"/>
        <v>2.1639019019300041</v>
      </c>
      <c r="Z608" s="211" t="b">
        <f>IFERROR(INDEX(Outliers!$X$3:$X$61,MATCH('SkYSPark Data_w Will''s Data'!C608,Outliers!$B$3:$B$61,0)),0)</f>
        <v>0</v>
      </c>
      <c r="AA608" s="1" t="b">
        <f>IFERROR(INDEX(Outliers!$AP$3:$AP$61,MATCH('SkYSPark Data_w Will''s Data'!C608,Outliers!$B$3:$B$61,0)),0)</f>
        <v>0</v>
      </c>
      <c r="AB608" s="112" t="b">
        <f>IFERROR(INDEX(Outliers!$AY$3:$AY$61,MATCH('SkYSPark Data_w Will''s Data'!C608,Outliers!$B$3:$B$61,0)),0)</f>
        <v>0</v>
      </c>
      <c r="AC608" s="112" t="s">
        <v>392</v>
      </c>
      <c r="DP608">
        <v>21896.16269531272</v>
      </c>
    </row>
    <row r="609" spans="1:120" x14ac:dyDescent="0.3">
      <c r="A609" s="2">
        <v>45108</v>
      </c>
      <c r="B609" s="3">
        <f t="shared" si="54"/>
        <v>7</v>
      </c>
      <c r="C609" s="3" t="s">
        <v>176</v>
      </c>
      <c r="D609" s="3" t="str">
        <f>VLOOKUP(C609,'Data availability'!$A$2:$B$91,2,FALSE)</f>
        <v>Main campus</v>
      </c>
      <c r="E609" s="3">
        <v>121426</v>
      </c>
      <c r="F609" s="3" t="str">
        <f>VLOOKUP(C609,'Data availability'!$A$2:$H$91,8,FALSE)</f>
        <v>Athletics</v>
      </c>
      <c r="G609" s="259">
        <f>'Solar Data-Main Campus'!I43</f>
        <v>113135.14285714272</v>
      </c>
      <c r="J609" s="1">
        <v>4881.6406250000564</v>
      </c>
      <c r="K609" s="1">
        <v>35118.457226562627</v>
      </c>
      <c r="M609" s="21">
        <f t="shared" si="50"/>
        <v>3.1790317347896742</v>
      </c>
      <c r="N609" s="21">
        <f t="shared" si="51"/>
        <v>0</v>
      </c>
      <c r="O609" s="21">
        <f t="shared" si="52"/>
        <v>4.0202597672657063</v>
      </c>
      <c r="P609" s="21">
        <f t="shared" si="53"/>
        <v>3.4706033857555343</v>
      </c>
      <c r="Z609" s="211" t="b">
        <f>IFERROR(INDEX(Outliers!$X$3:$X$61,MATCH('SkYSPark Data_w Will''s Data'!C609,Outliers!$B$3:$B$61,0)),0)</f>
        <v>0</v>
      </c>
      <c r="AA609" s="1" t="b">
        <f>IFERROR(INDEX(Outliers!$AP$3:$AP$61,MATCH('SkYSPark Data_w Will''s Data'!C609,Outliers!$B$3:$B$61,0)),0)</f>
        <v>0</v>
      </c>
      <c r="AB609" s="112" t="b">
        <f>IFERROR(INDEX(Outliers!$AY$3:$AY$61,MATCH('SkYSPark Data_w Will''s Data'!C609,Outliers!$B$3:$B$61,0)),0)</f>
        <v>0</v>
      </c>
      <c r="AC609" s="112" t="s">
        <v>392</v>
      </c>
      <c r="DP609">
        <v>35118.457226562627</v>
      </c>
    </row>
    <row r="610" spans="1:120" x14ac:dyDescent="0.3">
      <c r="A610" s="2">
        <v>45139</v>
      </c>
      <c r="B610" s="3">
        <f t="shared" si="54"/>
        <v>8</v>
      </c>
      <c r="C610" s="3" t="s">
        <v>176</v>
      </c>
      <c r="D610" s="3" t="str">
        <f>VLOOKUP(C610,'Data availability'!$A$2:$B$91,2,FALSE)</f>
        <v>Main campus</v>
      </c>
      <c r="E610" s="3">
        <v>121426</v>
      </c>
      <c r="F610" s="3" t="str">
        <f>VLOOKUP(C610,'Data availability'!$A$2:$H$91,8,FALSE)</f>
        <v>Athletics</v>
      </c>
      <c r="G610" s="259">
        <f>'Solar Data-Main Campus'!I44</f>
        <v>120413.54999999993</v>
      </c>
      <c r="J610" s="1">
        <v>4396.6718750000264</v>
      </c>
      <c r="K610" s="1">
        <v>45108.400312499813</v>
      </c>
      <c r="M610" s="21">
        <f t="shared" si="50"/>
        <v>3.3835507436628047</v>
      </c>
      <c r="N610" s="21">
        <f t="shared" si="51"/>
        <v>0</v>
      </c>
      <c r="O610" s="21">
        <f t="shared" si="52"/>
        <v>3.6208652800883057</v>
      </c>
      <c r="P610" s="21">
        <f t="shared" si="53"/>
        <v>4.4578657268624324</v>
      </c>
      <c r="Z610" s="211" t="b">
        <f>IFERROR(INDEX(Outliers!$X$3:$X$61,MATCH('SkYSPark Data_w Will''s Data'!C610,Outliers!$B$3:$B$61,0)),0)</f>
        <v>0</v>
      </c>
      <c r="AA610" s="1" t="b">
        <f>IFERROR(INDEX(Outliers!$AP$3:$AP$61,MATCH('SkYSPark Data_w Will''s Data'!C610,Outliers!$B$3:$B$61,0)),0)</f>
        <v>0</v>
      </c>
      <c r="AB610" s="112" t="b">
        <f>IFERROR(INDEX(Outliers!$AY$3:$AY$61,MATCH('SkYSPark Data_w Will''s Data'!C610,Outliers!$B$3:$B$61,0)),0)</f>
        <v>0</v>
      </c>
      <c r="AC610" s="112" t="s">
        <v>392</v>
      </c>
      <c r="DP610">
        <v>45108.400312499813</v>
      </c>
    </row>
    <row r="611" spans="1:120" x14ac:dyDescent="0.3">
      <c r="A611" s="2">
        <v>45170</v>
      </c>
      <c r="B611" s="3">
        <f t="shared" si="54"/>
        <v>9</v>
      </c>
      <c r="C611" s="3" t="s">
        <v>176</v>
      </c>
      <c r="D611" s="3" t="str">
        <f>VLOOKUP(C611,'Data availability'!$A$2:$B$91,2,FALSE)</f>
        <v>Main campus</v>
      </c>
      <c r="E611" s="3">
        <v>121426</v>
      </c>
      <c r="F611" s="3" t="str">
        <f>VLOOKUP(C611,'Data availability'!$A$2:$H$91,8,FALSE)</f>
        <v>Athletics</v>
      </c>
      <c r="G611" s="259">
        <f>'Solar Data-Main Campus'!I45</f>
        <v>108200.32500000042</v>
      </c>
      <c r="J611" s="1">
        <v>8376.9609374999291</v>
      </c>
      <c r="K611" s="1">
        <v>27645.980058593985</v>
      </c>
      <c r="M611" s="21">
        <f t="shared" si="50"/>
        <v>3.0403662222258943</v>
      </c>
      <c r="N611" s="21">
        <f t="shared" si="51"/>
        <v>0</v>
      </c>
      <c r="O611" s="21">
        <f t="shared" si="52"/>
        <v>6.898819805889949</v>
      </c>
      <c r="P611" s="21">
        <f t="shared" si="53"/>
        <v>2.732131180333107</v>
      </c>
      <c r="Z611" s="211" t="b">
        <f>IFERROR(INDEX(Outliers!$X$3:$X$61,MATCH('SkYSPark Data_w Will''s Data'!C611,Outliers!$B$3:$B$61,0)),0)</f>
        <v>0</v>
      </c>
      <c r="AA611" s="1" t="b">
        <f>IFERROR(INDEX(Outliers!$AP$3:$AP$61,MATCH('SkYSPark Data_w Will''s Data'!C611,Outliers!$B$3:$B$61,0)),0)</f>
        <v>0</v>
      </c>
      <c r="AB611" s="112" t="b">
        <f>IFERROR(INDEX(Outliers!$AY$3:$AY$61,MATCH('SkYSPark Data_w Will''s Data'!C611,Outliers!$B$3:$B$61,0)),0)</f>
        <v>0</v>
      </c>
      <c r="AC611" s="112" t="s">
        <v>392</v>
      </c>
      <c r="DP611">
        <v>27645.980058593981</v>
      </c>
    </row>
    <row r="612" spans="1:120" x14ac:dyDescent="0.3">
      <c r="A612" s="2">
        <v>45200</v>
      </c>
      <c r="B612" s="3">
        <f t="shared" si="54"/>
        <v>10</v>
      </c>
      <c r="C612" s="3" t="s">
        <v>176</v>
      </c>
      <c r="D612" s="3" t="str">
        <f>VLOOKUP(C612,'Data availability'!$A$2:$B$91,2,FALSE)</f>
        <v>Main campus</v>
      </c>
      <c r="E612" s="3">
        <v>121426</v>
      </c>
      <c r="F612" s="3" t="str">
        <f>VLOOKUP(C612,'Data availability'!$A$2:$H$91,8,FALSE)</f>
        <v>Athletics</v>
      </c>
      <c r="G612" s="259">
        <f>'Solar Data-Main Campus'!I46</f>
        <v>120408.62500000003</v>
      </c>
      <c r="J612" s="1">
        <v>11863.39843750006</v>
      </c>
      <c r="K612" s="1">
        <v>24451.676074218649</v>
      </c>
      <c r="M612" s="21">
        <f t="shared" si="50"/>
        <v>3.3834123540263215</v>
      </c>
      <c r="N612" s="21">
        <f t="shared" si="51"/>
        <v>0</v>
      </c>
      <c r="O612" s="21">
        <f t="shared" si="52"/>
        <v>9.7700644322468495</v>
      </c>
      <c r="P612" s="21">
        <f t="shared" si="53"/>
        <v>2.4164521016143476</v>
      </c>
      <c r="Z612" s="211" t="b">
        <f>IFERROR(INDEX(Outliers!$X$3:$X$61,MATCH('SkYSPark Data_w Will''s Data'!C612,Outliers!$B$3:$B$61,0)),0)</f>
        <v>0</v>
      </c>
      <c r="AA612" s="1" t="b">
        <f>IFERROR(INDEX(Outliers!$AP$3:$AP$61,MATCH('SkYSPark Data_w Will''s Data'!C612,Outliers!$B$3:$B$61,0)),0)</f>
        <v>0</v>
      </c>
      <c r="AB612" s="112" t="b">
        <f>IFERROR(INDEX(Outliers!$AY$3:$AY$61,MATCH('SkYSPark Data_w Will''s Data'!C612,Outliers!$B$3:$B$61,0)),0)</f>
        <v>0</v>
      </c>
      <c r="AC612" s="112" t="s">
        <v>392</v>
      </c>
      <c r="DP612">
        <v>24451.676074218649</v>
      </c>
    </row>
    <row r="613" spans="1:120" x14ac:dyDescent="0.3">
      <c r="A613" s="2">
        <v>45231</v>
      </c>
      <c r="B613" s="3">
        <f t="shared" si="54"/>
        <v>11</v>
      </c>
      <c r="C613" s="3" t="s">
        <v>176</v>
      </c>
      <c r="D613" s="3" t="str">
        <f>VLOOKUP(C613,'Data availability'!$A$2:$B$91,2,FALSE)</f>
        <v>Main campus</v>
      </c>
      <c r="E613" s="3">
        <v>121426</v>
      </c>
      <c r="F613" s="3" t="str">
        <f>VLOOKUP(C613,'Data availability'!$A$2:$H$91,8,FALSE)</f>
        <v>Athletics</v>
      </c>
      <c r="G613" s="259">
        <f>'Solar Data-Main Campus'!I47</f>
        <v>110973.39848675868</v>
      </c>
      <c r="J613" s="1">
        <v>20983.114458543521</v>
      </c>
      <c r="K613" s="1">
        <v>7379.6066125472244</v>
      </c>
      <c r="M613" s="21">
        <f t="shared" si="50"/>
        <v>3.1182879748721084</v>
      </c>
      <c r="N613" s="21">
        <f t="shared" si="51"/>
        <v>0</v>
      </c>
      <c r="O613" s="21">
        <f t="shared" si="52"/>
        <v>17.280577848684402</v>
      </c>
      <c r="P613" s="21">
        <f t="shared" si="53"/>
        <v>0.72929421499980807</v>
      </c>
      <c r="Z613" s="211" t="b">
        <f>IFERROR(INDEX(Outliers!$X$3:$X$61,MATCH('SkYSPark Data_w Will''s Data'!C613,Outliers!$B$3:$B$61,0)),0)</f>
        <v>0</v>
      </c>
      <c r="AA613" s="1" t="b">
        <f>IFERROR(INDEX(Outliers!$AP$3:$AP$61,MATCH('SkYSPark Data_w Will''s Data'!C613,Outliers!$B$3:$B$61,0)),0)</f>
        <v>0</v>
      </c>
      <c r="AB613" s="112" t="b">
        <f>IFERROR(INDEX(Outliers!$AY$3:$AY$61,MATCH('SkYSPark Data_w Will''s Data'!C613,Outliers!$B$3:$B$61,0)),0)</f>
        <v>0</v>
      </c>
      <c r="AC613" s="112" t="s">
        <v>392</v>
      </c>
      <c r="DP613">
        <v>7379.6066125472244</v>
      </c>
    </row>
    <row r="614" spans="1:120" s="69" customFormat="1" x14ac:dyDescent="0.3">
      <c r="A614" s="65">
        <v>45261</v>
      </c>
      <c r="B614" s="64">
        <f t="shared" si="54"/>
        <v>12</v>
      </c>
      <c r="C614" s="64" t="s">
        <v>176</v>
      </c>
      <c r="D614" s="64" t="str">
        <f>VLOOKUP(C614,'Data availability'!$A$2:$B$91,2,FALSE)</f>
        <v>Main campus</v>
      </c>
      <c r="E614" s="64">
        <v>121426</v>
      </c>
      <c r="F614" s="3" t="str">
        <f>VLOOKUP(C614,'Data availability'!$A$2:$H$91,8,FALSE)</f>
        <v>Athletics</v>
      </c>
      <c r="G614" s="259">
        <f>'Solar Data-Main Campus'!I48</f>
        <v>111802.53254772307</v>
      </c>
      <c r="H614" s="66"/>
      <c r="I614" s="66"/>
      <c r="J614" s="66">
        <v>27749.495994042809</v>
      </c>
      <c r="K614" s="66">
        <v>6106.7351977974558</v>
      </c>
      <c r="L614" s="67"/>
      <c r="M614" s="21">
        <f t="shared" si="50"/>
        <v>3.1415861599067014</v>
      </c>
      <c r="N614" s="21">
        <f t="shared" si="51"/>
        <v>0</v>
      </c>
      <c r="O614" s="21">
        <f t="shared" si="52"/>
        <v>22.853010058836503</v>
      </c>
      <c r="P614" s="21">
        <f t="shared" si="53"/>
        <v>0.6035019054697468</v>
      </c>
      <c r="Q614" s="66"/>
      <c r="R614" s="66"/>
      <c r="S614" s="66"/>
      <c r="T614" s="66"/>
      <c r="U614" s="66"/>
      <c r="V614" s="68"/>
      <c r="W614" s="66"/>
      <c r="X614" s="67"/>
      <c r="Y614" s="66"/>
      <c r="Z614" s="211" t="b">
        <f>IFERROR(INDEX(Outliers!$X$3:$X$61,MATCH('SkYSPark Data_w Will''s Data'!C614,Outliers!$B$3:$B$61,0)),0)</f>
        <v>0</v>
      </c>
      <c r="AA614" s="1" t="b">
        <f>IFERROR(INDEX(Outliers!$AP$3:$AP$61,MATCH('SkYSPark Data_w Will''s Data'!C614,Outliers!$B$3:$B$61,0)),0)</f>
        <v>0</v>
      </c>
      <c r="AB614" s="112" t="b">
        <f>IFERROR(INDEX(Outliers!$AY$3:$AY$61,MATCH('SkYSPark Data_w Will''s Data'!C614,Outliers!$B$3:$B$61,0)),0)</f>
        <v>0</v>
      </c>
      <c r="AC614" s="112" t="s">
        <v>392</v>
      </c>
      <c r="AD614" s="134"/>
      <c r="AE614" s="134"/>
      <c r="AF614" s="134"/>
      <c r="DP614" s="69">
        <v>6106.7351977974558</v>
      </c>
    </row>
    <row r="615" spans="1:120" x14ac:dyDescent="0.3">
      <c r="A615" s="2">
        <v>43101</v>
      </c>
      <c r="B615" s="3">
        <f t="shared" si="54"/>
        <v>1</v>
      </c>
      <c r="C615" s="3" t="s">
        <v>430</v>
      </c>
      <c r="D615" s="98" t="s">
        <v>529</v>
      </c>
      <c r="E615" s="98">
        <f t="shared" ref="E615:E626" si="55">86252+29240</f>
        <v>115492</v>
      </c>
      <c r="F615" s="3" t="s">
        <v>153</v>
      </c>
      <c r="G615" s="259">
        <f>'Solar Data-Main Campus'!H37</f>
        <v>61362.749999999389</v>
      </c>
      <c r="J615" s="1">
        <v>747.73925781249136</v>
      </c>
      <c r="K615" s="1">
        <v>414.83237304687719</v>
      </c>
      <c r="M615" s="21">
        <f t="shared" si="50"/>
        <v>1.8128502666851203</v>
      </c>
      <c r="N615" s="21">
        <f t="shared" si="51"/>
        <v>0</v>
      </c>
      <c r="O615" s="21">
        <f t="shared" si="52"/>
        <v>0.64743814100759478</v>
      </c>
      <c r="P615" s="21">
        <f t="shared" si="53"/>
        <v>4.3102452780820547E-2</v>
      </c>
      <c r="Q615" s="1">
        <f>(SUM(G615:G626)*3.412)/E615</f>
        <v>30.716431795893168</v>
      </c>
      <c r="R615" s="1">
        <f>(SUM(I615:I626)*100)/E615</f>
        <v>0</v>
      </c>
      <c r="S615" s="1">
        <f>(SUM(J615:J626)*100)/E615</f>
        <v>5.8624992524298651</v>
      </c>
      <c r="T615" s="1">
        <f>(SUM(K615:K626)*12)/E615</f>
        <v>4.9027686751123403</v>
      </c>
      <c r="V615" s="33">
        <f>SUM(Q615:T615)</f>
        <v>41.481699723435376</v>
      </c>
      <c r="W615" s="10" t="s">
        <v>226</v>
      </c>
      <c r="Y615" s="177" t="s">
        <v>454</v>
      </c>
      <c r="Z615" s="211" t="b">
        <f>IFERROR(INDEX(Outliers!$X$3:$X$61,MATCH('SkYSPark Data_w Will''s Data'!C615,Outliers!$B$3:$B$61,0)),0)</f>
        <v>0</v>
      </c>
      <c r="AA615" s="1" t="b">
        <f>IFERROR(INDEX(Outliers!$AP$3:$AP$61,MATCH('SkYSPark Data_w Will''s Data'!C615,Outliers!$B$3:$B$61,0)),0)</f>
        <v>0</v>
      </c>
      <c r="AB615" s="112" t="b">
        <f>IFERROR(INDEX(Outliers!$AY$3:$AY$61,MATCH('SkYSPark Data_w Will''s Data'!C615,Outliers!$B$3:$B$61,0)),0)</f>
        <v>0</v>
      </c>
      <c r="AC615" s="112" t="s">
        <v>392</v>
      </c>
      <c r="AD615" s="203"/>
      <c r="AE615" s="203"/>
      <c r="AF615" s="135"/>
      <c r="AH615">
        <v>0.35897849462365</v>
      </c>
    </row>
    <row r="616" spans="1:120" x14ac:dyDescent="0.3">
      <c r="A616" s="2">
        <v>43132</v>
      </c>
      <c r="B616" s="3">
        <f t="shared" si="54"/>
        <v>2</v>
      </c>
      <c r="C616" s="3" t="s">
        <v>430</v>
      </c>
      <c r="D616" s="98" t="s">
        <v>529</v>
      </c>
      <c r="E616" s="98">
        <f t="shared" si="55"/>
        <v>115492</v>
      </c>
      <c r="F616" s="3" t="s">
        <v>153</v>
      </c>
      <c r="G616" s="259">
        <f>'Solar Data-Main Campus'!H38</f>
        <v>76827</v>
      </c>
      <c r="J616" s="1">
        <v>1518.3801269531371</v>
      </c>
      <c r="K616" s="1">
        <v>1455.258728027344</v>
      </c>
      <c r="M616" s="21">
        <f t="shared" ref="M616:M679" si="56">IFERROR((G616*3.412)/E616,0)</f>
        <v>2.2697132615246076</v>
      </c>
      <c r="N616" s="21">
        <f t="shared" ref="N616:N679" si="57">IFERROR((I616*100)/E616,0)</f>
        <v>0</v>
      </c>
      <c r="O616" s="21">
        <f t="shared" ref="O616:O679" si="58">IFERROR((J616*100)/E616,0)</f>
        <v>1.3147058904107098</v>
      </c>
      <c r="P616" s="21">
        <f t="shared" ref="P616:P679" si="59">IFERROR((K616*12)/E616,0)</f>
        <v>0.15120618515852291</v>
      </c>
      <c r="W616" s="10"/>
      <c r="Z616" s="211" t="b">
        <f>IFERROR(INDEX(Outliers!$X$3:$X$61,MATCH('SkYSPark Data_w Will''s Data'!C616,Outliers!$B$3:$B$61,0)),0)</f>
        <v>0</v>
      </c>
      <c r="AA616" s="1" t="b">
        <f>IFERROR(INDEX(Outliers!$AP$3:$AP$61,MATCH('SkYSPark Data_w Will''s Data'!C616,Outliers!$B$3:$B$61,0)),0)</f>
        <v>0</v>
      </c>
      <c r="AB616" s="112" t="b">
        <f>IFERROR(INDEX(Outliers!$AY$3:$AY$61,MATCH('SkYSPark Data_w Will''s Data'!C616,Outliers!$B$3:$B$61,0)),0)</f>
        <v>0</v>
      </c>
      <c r="AC616" s="112" t="s">
        <v>392</v>
      </c>
      <c r="AF616" s="132"/>
      <c r="AH616">
        <v>0.28666666666666363</v>
      </c>
    </row>
    <row r="617" spans="1:120" x14ac:dyDescent="0.3">
      <c r="A617" s="2">
        <v>43160</v>
      </c>
      <c r="B617" s="3">
        <f t="shared" si="54"/>
        <v>3</v>
      </c>
      <c r="C617" s="3" t="s">
        <v>430</v>
      </c>
      <c r="D617" s="98" t="s">
        <v>529</v>
      </c>
      <c r="E617" s="98">
        <f t="shared" si="55"/>
        <v>115492</v>
      </c>
      <c r="F617" s="3" t="s">
        <v>153</v>
      </c>
      <c r="G617" s="259">
        <f>'Solar Data-Main Campus'!H39</f>
        <v>86979.874999999185</v>
      </c>
      <c r="J617" s="1">
        <v>1607.810058593765</v>
      </c>
      <c r="K617" s="1">
        <v>1825.929492187528</v>
      </c>
      <c r="M617" s="21">
        <f t="shared" si="56"/>
        <v>2.5696613921310325</v>
      </c>
      <c r="N617" s="21">
        <f t="shared" si="57"/>
        <v>0</v>
      </c>
      <c r="O617" s="21">
        <f t="shared" si="58"/>
        <v>1.3921397660390029</v>
      </c>
      <c r="P617" s="21">
        <f t="shared" si="59"/>
        <v>0.18972010101349301</v>
      </c>
      <c r="W617" s="10" t="s">
        <v>227</v>
      </c>
      <c r="Z617" s="211" t="b">
        <f>IFERROR(INDEX(Outliers!$X$3:$X$61,MATCH('SkYSPark Data_w Will''s Data'!C617,Outliers!$B$3:$B$61,0)),0)</f>
        <v>0</v>
      </c>
      <c r="AA617" s="1" t="b">
        <f>IFERROR(INDEX(Outliers!$AP$3:$AP$61,MATCH('SkYSPark Data_w Will''s Data'!C617,Outliers!$B$3:$B$61,0)),0)</f>
        <v>0</v>
      </c>
      <c r="AB617" s="112" t="b">
        <f>IFERROR(INDEX(Outliers!$AY$3:$AY$61,MATCH('SkYSPark Data_w Will''s Data'!C617,Outliers!$B$3:$B$61,0)),0)</f>
        <v>0</v>
      </c>
      <c r="AC617" s="112" t="s">
        <v>392</v>
      </c>
      <c r="AF617" s="132"/>
      <c r="AH617">
        <v>0.13854643337819561</v>
      </c>
    </row>
    <row r="618" spans="1:120" x14ac:dyDescent="0.3">
      <c r="A618" s="2">
        <v>43191</v>
      </c>
      <c r="B618" s="3">
        <f t="shared" si="54"/>
        <v>4</v>
      </c>
      <c r="C618" s="3" t="s">
        <v>430</v>
      </c>
      <c r="D618" s="98" t="s">
        <v>529</v>
      </c>
      <c r="E618" s="98">
        <f t="shared" si="55"/>
        <v>115492</v>
      </c>
      <c r="F618" s="3" t="s">
        <v>153</v>
      </c>
      <c r="G618" s="259">
        <f>'Solar Data-Main Campus'!H40</f>
        <v>102450.74999999983</v>
      </c>
      <c r="J618" s="1">
        <v>797.13012695311454</v>
      </c>
      <c r="K618" s="1">
        <v>2341.5617797851519</v>
      </c>
      <c r="M618" s="21">
        <f t="shared" si="56"/>
        <v>3.0267201104838377</v>
      </c>
      <c r="N618" s="21">
        <f t="shared" si="57"/>
        <v>0</v>
      </c>
      <c r="O618" s="21">
        <f t="shared" si="58"/>
        <v>0.69020376039302678</v>
      </c>
      <c r="P618" s="21">
        <f t="shared" si="59"/>
        <v>0.24329599762253509</v>
      </c>
      <c r="W618" s="10" t="s">
        <v>228</v>
      </c>
      <c r="Z618" s="211" t="b">
        <f>IFERROR(INDEX(Outliers!$X$3:$X$61,MATCH('SkYSPark Data_w Will''s Data'!C618,Outliers!$B$3:$B$61,0)),0)</f>
        <v>0</v>
      </c>
      <c r="AA618" s="1" t="b">
        <f>IFERROR(INDEX(Outliers!$AP$3:$AP$61,MATCH('SkYSPark Data_w Will''s Data'!C618,Outliers!$B$3:$B$61,0)),0)</f>
        <v>0</v>
      </c>
      <c r="AB618" s="112" t="b">
        <f>IFERROR(INDEX(Outliers!$AY$3:$AY$61,MATCH('SkYSPark Data_w Will''s Data'!C618,Outliers!$B$3:$B$61,0)),0)</f>
        <v>0</v>
      </c>
      <c r="AC618" s="112" t="s">
        <v>392</v>
      </c>
      <c r="AF618" s="132"/>
      <c r="AH618">
        <v>2.1058558558558961E-2</v>
      </c>
    </row>
    <row r="619" spans="1:120" x14ac:dyDescent="0.3">
      <c r="A619" s="2">
        <v>43221</v>
      </c>
      <c r="B619" s="3">
        <f t="shared" si="54"/>
        <v>5</v>
      </c>
      <c r="C619" s="3" t="s">
        <v>430</v>
      </c>
      <c r="D619" s="98" t="s">
        <v>529</v>
      </c>
      <c r="E619" s="98">
        <f t="shared" si="55"/>
        <v>115492</v>
      </c>
      <c r="F619" s="3" t="s">
        <v>153</v>
      </c>
      <c r="G619" s="259">
        <f>'Solar Data-Main Campus'!H41</f>
        <v>97976.999999999112</v>
      </c>
      <c r="J619" s="1">
        <v>374.520263671875</v>
      </c>
      <c r="K619" s="1">
        <v>3097.9322875976668</v>
      </c>
      <c r="M619" s="21">
        <f t="shared" si="56"/>
        <v>2.894551345547717</v>
      </c>
      <c r="N619" s="21">
        <f t="shared" si="57"/>
        <v>0</v>
      </c>
      <c r="O619" s="21">
        <f t="shared" si="58"/>
        <v>0.32428242966774756</v>
      </c>
      <c r="P619" s="21">
        <f t="shared" si="59"/>
        <v>0.32188538990728366</v>
      </c>
      <c r="Z619" s="211" t="b">
        <f>IFERROR(INDEX(Outliers!$X$3:$X$61,MATCH('SkYSPark Data_w Will''s Data'!C619,Outliers!$B$3:$B$61,0)),0)</f>
        <v>0</v>
      </c>
      <c r="AA619" s="1" t="b">
        <f>IFERROR(INDEX(Outliers!$AP$3:$AP$61,MATCH('SkYSPark Data_w Will''s Data'!C619,Outliers!$B$3:$B$61,0)),0)</f>
        <v>0</v>
      </c>
      <c r="AB619" s="112" t="b">
        <f>IFERROR(INDEX(Outliers!$AY$3:$AY$61,MATCH('SkYSPark Data_w Will''s Data'!C619,Outliers!$B$3:$B$61,0)),0)</f>
        <v>0</v>
      </c>
      <c r="AC619" s="112" t="s">
        <v>392</v>
      </c>
      <c r="AF619" s="132"/>
      <c r="AH619">
        <v>2.358311537343771E-2</v>
      </c>
    </row>
    <row r="620" spans="1:120" x14ac:dyDescent="0.3">
      <c r="A620" s="2">
        <v>43252</v>
      </c>
      <c r="B620" s="3">
        <f t="shared" si="54"/>
        <v>6</v>
      </c>
      <c r="C620" s="3" t="s">
        <v>430</v>
      </c>
      <c r="D620" s="98" t="s">
        <v>529</v>
      </c>
      <c r="E620" s="98">
        <f t="shared" si="55"/>
        <v>115492</v>
      </c>
      <c r="F620" s="3" t="s">
        <v>153</v>
      </c>
      <c r="G620" s="259">
        <f>'Solar Data-Main Campus'!H42</f>
        <v>101428.75000000012</v>
      </c>
      <c r="J620" s="1">
        <v>73.020019531249872</v>
      </c>
      <c r="K620" s="1">
        <v>5839.3279663085596</v>
      </c>
      <c r="M620" s="21">
        <f t="shared" si="56"/>
        <v>2.99652698888235</v>
      </c>
      <c r="N620" s="21">
        <f t="shared" si="57"/>
        <v>0</v>
      </c>
      <c r="O620" s="21">
        <f t="shared" si="58"/>
        <v>6.3225175363877908E-2</v>
      </c>
      <c r="P620" s="21">
        <f t="shared" si="59"/>
        <v>0.60672544934456685</v>
      </c>
      <c r="Z620" s="211" t="b">
        <f>IFERROR(INDEX(Outliers!$X$3:$X$61,MATCH('SkYSPark Data_w Will''s Data'!C620,Outliers!$B$3:$B$61,0)),0)</f>
        <v>0</v>
      </c>
      <c r="AA620" s="1" t="b">
        <f>IFERROR(INDEX(Outliers!$AP$3:$AP$61,MATCH('SkYSPark Data_w Will''s Data'!C620,Outliers!$B$3:$B$61,0)),0)</f>
        <v>0</v>
      </c>
      <c r="AB620" s="112" t="b">
        <f>IFERROR(INDEX(Outliers!$AY$3:$AY$61,MATCH('SkYSPark Data_w Will''s Data'!C620,Outliers!$B$3:$B$61,0)),0)</f>
        <v>0</v>
      </c>
      <c r="AC620" s="112" t="s">
        <v>392</v>
      </c>
      <c r="AF620" s="132"/>
      <c r="AH620">
        <v>2.4241666666666779E-2</v>
      </c>
    </row>
    <row r="621" spans="1:120" x14ac:dyDescent="0.3">
      <c r="A621" s="2">
        <v>43282</v>
      </c>
      <c r="B621" s="3">
        <f t="shared" si="54"/>
        <v>7</v>
      </c>
      <c r="C621" s="3" t="s">
        <v>430</v>
      </c>
      <c r="D621" s="98" t="s">
        <v>529</v>
      </c>
      <c r="E621" s="98">
        <f t="shared" si="55"/>
        <v>115492</v>
      </c>
      <c r="F621" s="3" t="s">
        <v>153</v>
      </c>
      <c r="G621" s="259">
        <f>'Solar Data-Main Campus'!H43</f>
        <v>105617.00000000064</v>
      </c>
      <c r="J621" s="1">
        <v>50.000000000000512</v>
      </c>
      <c r="K621" s="1">
        <v>9496.2000000001262</v>
      </c>
      <c r="M621" s="21">
        <f t="shared" si="56"/>
        <v>3.1202611782634482</v>
      </c>
      <c r="N621" s="21">
        <f t="shared" si="57"/>
        <v>0</v>
      </c>
      <c r="O621" s="21">
        <f t="shared" si="58"/>
        <v>4.3293041942299472E-2</v>
      </c>
      <c r="P621" s="21">
        <f t="shared" si="59"/>
        <v>0.98668652374191723</v>
      </c>
      <c r="Z621" s="211" t="b">
        <f>IFERROR(INDEX(Outliers!$X$3:$X$61,MATCH('SkYSPark Data_w Will''s Data'!C621,Outliers!$B$3:$B$61,0)),0)</f>
        <v>0</v>
      </c>
      <c r="AA621" s="1" t="b">
        <f>IFERROR(INDEX(Outliers!$AP$3:$AP$61,MATCH('SkYSPark Data_w Will''s Data'!C621,Outliers!$B$3:$B$61,0)),0)</f>
        <v>0</v>
      </c>
      <c r="AB621" s="112" t="b">
        <f>IFERROR(INDEX(Outliers!$AY$3:$AY$61,MATCH('SkYSPark Data_w Will''s Data'!C621,Outliers!$B$3:$B$61,0)),0)</f>
        <v>0</v>
      </c>
      <c r="AC621" s="112" t="s">
        <v>392</v>
      </c>
      <c r="AF621" s="132"/>
      <c r="AH621">
        <v>2.4242455775233769E-2</v>
      </c>
    </row>
    <row r="622" spans="1:120" x14ac:dyDescent="0.3">
      <c r="A622" s="2">
        <v>43313</v>
      </c>
      <c r="B622" s="3">
        <f t="shared" si="54"/>
        <v>8</v>
      </c>
      <c r="C622" s="3" t="s">
        <v>430</v>
      </c>
      <c r="D622" s="98" t="s">
        <v>529</v>
      </c>
      <c r="E622" s="98">
        <f t="shared" si="55"/>
        <v>115492</v>
      </c>
      <c r="F622" s="3" t="s">
        <v>153</v>
      </c>
      <c r="G622" s="259">
        <f>'Solar Data-Main Campus'!H44</f>
        <v>100120.99999999948</v>
      </c>
      <c r="J622" s="1">
        <v>100.00000000000099</v>
      </c>
      <c r="K622" s="1">
        <v>8163.4000000000706</v>
      </c>
      <c r="M622" s="21">
        <f t="shared" si="56"/>
        <v>2.957891905932863</v>
      </c>
      <c r="N622" s="21">
        <f t="shared" si="57"/>
        <v>0</v>
      </c>
      <c r="O622" s="21">
        <f t="shared" si="58"/>
        <v>8.658608388459893E-2</v>
      </c>
      <c r="P622" s="21">
        <f t="shared" si="59"/>
        <v>0.84820420462024082</v>
      </c>
      <c r="Z622" s="211" t="b">
        <f>IFERROR(INDEX(Outliers!$X$3:$X$61,MATCH('SkYSPark Data_w Will''s Data'!C622,Outliers!$B$3:$B$61,0)),0)</f>
        <v>0</v>
      </c>
      <c r="AA622" s="1" t="b">
        <f>IFERROR(INDEX(Outliers!$AP$3:$AP$61,MATCH('SkYSPark Data_w Will''s Data'!C622,Outliers!$B$3:$B$61,0)),0)</f>
        <v>0</v>
      </c>
      <c r="AB622" s="112" t="b">
        <f>IFERROR(INDEX(Outliers!$AY$3:$AY$61,MATCH('SkYSPark Data_w Will''s Data'!C622,Outliers!$B$3:$B$61,0)),0)</f>
        <v>0</v>
      </c>
      <c r="AC622" s="112" t="s">
        <v>392</v>
      </c>
      <c r="AF622" s="132"/>
      <c r="AH622">
        <v>2.540712799167541E-2</v>
      </c>
    </row>
    <row r="623" spans="1:120" x14ac:dyDescent="0.3">
      <c r="A623" s="2">
        <v>43344</v>
      </c>
      <c r="B623" s="3">
        <f t="shared" si="54"/>
        <v>9</v>
      </c>
      <c r="C623" s="3" t="s">
        <v>430</v>
      </c>
      <c r="D623" s="98" t="s">
        <v>529</v>
      </c>
      <c r="E623" s="98">
        <f t="shared" si="55"/>
        <v>115492</v>
      </c>
      <c r="F623" s="3" t="s">
        <v>153</v>
      </c>
      <c r="G623" s="259">
        <f>'Solar Data-Main Campus'!H45</f>
        <v>87855.000000000262</v>
      </c>
      <c r="J623" s="1">
        <v>99.999999999998536</v>
      </c>
      <c r="K623" s="1">
        <v>6330.7999999999556</v>
      </c>
      <c r="M623" s="21">
        <f t="shared" si="56"/>
        <v>2.5955153603712886</v>
      </c>
      <c r="N623" s="21">
        <f t="shared" si="57"/>
        <v>0</v>
      </c>
      <c r="O623" s="21">
        <f t="shared" si="58"/>
        <v>8.6586083884596807E-2</v>
      </c>
      <c r="P623" s="21">
        <f t="shared" si="59"/>
        <v>0.65779101582793154</v>
      </c>
      <c r="Z623" s="211" t="b">
        <f>IFERROR(INDEX(Outliers!$X$3:$X$61,MATCH('SkYSPark Data_w Will''s Data'!C623,Outliers!$B$3:$B$61,0)),0)</f>
        <v>0</v>
      </c>
      <c r="AA623" s="1" t="b">
        <f>IFERROR(INDEX(Outliers!$AP$3:$AP$61,MATCH('SkYSPark Data_w Will''s Data'!C623,Outliers!$B$3:$B$61,0)),0)</f>
        <v>0</v>
      </c>
      <c r="AB623" s="112" t="b">
        <f>IFERROR(INDEX(Outliers!$AY$3:$AY$61,MATCH('SkYSPark Data_w Will''s Data'!C623,Outliers!$B$3:$B$61,0)),0)</f>
        <v>0</v>
      </c>
      <c r="AC623" s="112" t="s">
        <v>392</v>
      </c>
      <c r="AF623" s="132"/>
      <c r="AH623">
        <v>2.472330367074484E-2</v>
      </c>
    </row>
    <row r="624" spans="1:120" x14ac:dyDescent="0.3">
      <c r="A624" s="2">
        <v>43374</v>
      </c>
      <c r="B624" s="3">
        <f t="shared" si="54"/>
        <v>10</v>
      </c>
      <c r="C624" s="3" t="s">
        <v>430</v>
      </c>
      <c r="D624" s="98" t="s">
        <v>529</v>
      </c>
      <c r="E624" s="98">
        <f t="shared" si="55"/>
        <v>115492</v>
      </c>
      <c r="F624" s="3" t="s">
        <v>153</v>
      </c>
      <c r="G624" s="259">
        <f>'Solar Data-Main Campus'!H46</f>
        <v>88599.000000000204</v>
      </c>
      <c r="J624" s="1">
        <v>169.99999999999949</v>
      </c>
      <c r="K624" s="1">
        <v>6164.2000000000498</v>
      </c>
      <c r="M624" s="21">
        <f t="shared" si="56"/>
        <v>2.6174954802064274</v>
      </c>
      <c r="N624" s="21">
        <f t="shared" si="57"/>
        <v>0</v>
      </c>
      <c r="O624" s="21">
        <f t="shared" si="58"/>
        <v>0.14719634260381628</v>
      </c>
      <c r="P624" s="21">
        <f t="shared" si="59"/>
        <v>0.64048072593773253</v>
      </c>
      <c r="Z624" s="211" t="b">
        <f>IFERROR(INDEX(Outliers!$X$3:$X$61,MATCH('SkYSPark Data_w Will''s Data'!C624,Outliers!$B$3:$B$61,0)),0)</f>
        <v>0</v>
      </c>
      <c r="AA624" s="1" t="b">
        <f>IFERROR(INDEX(Outliers!$AP$3:$AP$61,MATCH('SkYSPark Data_w Will''s Data'!C624,Outliers!$B$3:$B$61,0)),0)</f>
        <v>0</v>
      </c>
      <c r="AB624" s="112" t="b">
        <f>IFERROR(INDEX(Outliers!$AY$3:$AY$61,MATCH('SkYSPark Data_w Will''s Data'!C624,Outliers!$B$3:$B$61,0)),0)</f>
        <v>0</v>
      </c>
      <c r="AC624" s="112" t="s">
        <v>392</v>
      </c>
      <c r="AF624" s="132"/>
      <c r="AH624">
        <v>2.4365795834412458E-2</v>
      </c>
    </row>
    <row r="625" spans="1:123" x14ac:dyDescent="0.3">
      <c r="A625" s="2">
        <v>43405</v>
      </c>
      <c r="B625" s="3">
        <f t="shared" si="54"/>
        <v>11</v>
      </c>
      <c r="C625" s="3" t="s">
        <v>430</v>
      </c>
      <c r="D625" s="98" t="s">
        <v>529</v>
      </c>
      <c r="E625" s="98">
        <f t="shared" si="55"/>
        <v>115492</v>
      </c>
      <c r="F625" s="3" t="s">
        <v>153</v>
      </c>
      <c r="G625" s="259">
        <f>'Solar Data-Main Campus'!H47</f>
        <v>74132.00000000064</v>
      </c>
      <c r="J625" s="1">
        <v>549.99999999999341</v>
      </c>
      <c r="K625" s="1">
        <v>1749.299999999967</v>
      </c>
      <c r="M625" s="21">
        <f t="shared" si="56"/>
        <v>2.1900944134658866</v>
      </c>
      <c r="N625" s="21">
        <f t="shared" si="57"/>
        <v>0</v>
      </c>
      <c r="O625" s="21">
        <f t="shared" si="58"/>
        <v>0.47622346136528365</v>
      </c>
      <c r="P625" s="21">
        <f t="shared" si="59"/>
        <v>0.18175804384718947</v>
      </c>
      <c r="Z625" s="211" t="b">
        <f>IFERROR(INDEX(Outliers!$X$3:$X$61,MATCH('SkYSPark Data_w Will''s Data'!C625,Outliers!$B$3:$B$61,0)),0)</f>
        <v>0</v>
      </c>
      <c r="AA625" s="1" t="b">
        <f>IFERROR(INDEX(Outliers!$AP$3:$AP$61,MATCH('SkYSPark Data_w Will''s Data'!C625,Outliers!$B$3:$B$61,0)),0)</f>
        <v>0</v>
      </c>
      <c r="AB625" s="112" t="b">
        <f>IFERROR(INDEX(Outliers!$AY$3:$AY$61,MATCH('SkYSPark Data_w Will''s Data'!C625,Outliers!$B$3:$B$61,0)),0)</f>
        <v>0</v>
      </c>
      <c r="AC625" s="112" t="s">
        <v>392</v>
      </c>
      <c r="AF625" s="132"/>
      <c r="AH625">
        <v>2.878471419373128E-2</v>
      </c>
    </row>
    <row r="626" spans="1:123" s="69" customFormat="1" x14ac:dyDescent="0.3">
      <c r="A626" s="65">
        <v>43435</v>
      </c>
      <c r="B626" s="64">
        <f t="shared" si="54"/>
        <v>12</v>
      </c>
      <c r="C626" s="64" t="s">
        <v>430</v>
      </c>
      <c r="D626" s="99" t="s">
        <v>529</v>
      </c>
      <c r="E626" s="99">
        <f t="shared" si="55"/>
        <v>115492</v>
      </c>
      <c r="F626" s="3" t="s">
        <v>153</v>
      </c>
      <c r="G626" s="259">
        <f>'Solar Data-Main Campus'!H48</f>
        <v>56363.280911868918</v>
      </c>
      <c r="H626" s="66"/>
      <c r="I626" s="66"/>
      <c r="J626" s="66">
        <v>682.11778310067405</v>
      </c>
      <c r="K626" s="66">
        <v>307.13735855290179</v>
      </c>
      <c r="L626" s="67"/>
      <c r="M626" s="21">
        <f t="shared" si="56"/>
        <v>1.6651500923985796</v>
      </c>
      <c r="N626" s="21">
        <f t="shared" si="57"/>
        <v>0</v>
      </c>
      <c r="O626" s="21">
        <f t="shared" si="58"/>
        <v>0.59061907586731033</v>
      </c>
      <c r="P626" s="21">
        <f t="shared" si="59"/>
        <v>3.191258531010651E-2</v>
      </c>
      <c r="Q626" s="66"/>
      <c r="R626" s="66"/>
      <c r="S626" s="66"/>
      <c r="T626" s="66"/>
      <c r="U626" s="66"/>
      <c r="V626" s="68"/>
      <c r="W626" s="66"/>
      <c r="X626" s="67"/>
      <c r="Y626" s="66"/>
      <c r="Z626" s="211" t="b">
        <f>IFERROR(INDEX(Outliers!$X$3:$X$61,MATCH('SkYSPark Data_w Will''s Data'!C626,Outliers!$B$3:$B$61,0)),0)</f>
        <v>0</v>
      </c>
      <c r="AA626" s="1" t="b">
        <f>IFERROR(INDEX(Outliers!$AP$3:$AP$61,MATCH('SkYSPark Data_w Will''s Data'!C626,Outliers!$B$3:$B$61,0)),0)</f>
        <v>0</v>
      </c>
      <c r="AB626" s="112" t="b">
        <f>IFERROR(INDEX(Outliers!$AY$3:$AY$61,MATCH('SkYSPark Data_w Will''s Data'!C626,Outliers!$B$3:$B$61,0)),0)</f>
        <v>0</v>
      </c>
      <c r="AC626" s="112" t="s">
        <v>392</v>
      </c>
      <c r="AD626" s="134"/>
      <c r="AE626" s="134"/>
      <c r="AF626" s="133"/>
      <c r="AH626" s="69">
        <v>2.8574092741935411E-2</v>
      </c>
    </row>
    <row r="627" spans="1:123" x14ac:dyDescent="0.3">
      <c r="A627" s="2">
        <v>44927</v>
      </c>
      <c r="B627" s="3">
        <f t="shared" si="54"/>
        <v>1</v>
      </c>
      <c r="C627" s="3" t="s">
        <v>431</v>
      </c>
      <c r="D627" s="98" t="s">
        <v>529</v>
      </c>
      <c r="F627" s="3" t="s">
        <v>153</v>
      </c>
      <c r="J627" s="1">
        <v>2124.1827182112138</v>
      </c>
      <c r="M627" s="21">
        <f t="shared" si="56"/>
        <v>0</v>
      </c>
      <c r="N627" s="21">
        <f t="shared" si="57"/>
        <v>0</v>
      </c>
      <c r="O627" s="21">
        <f t="shared" si="58"/>
        <v>0</v>
      </c>
      <c r="P627" s="21">
        <f t="shared" si="59"/>
        <v>0</v>
      </c>
      <c r="Q627" s="1" t="e">
        <f>(SUM(G627:G638)*3.412)/E627</f>
        <v>#DIV/0!</v>
      </c>
      <c r="R627" s="1" t="e">
        <f>(SUM(I627:I638)*100)/E627</f>
        <v>#DIV/0!</v>
      </c>
      <c r="S627" s="1" t="e">
        <f>(SUM(J627:J638)*100)/E627</f>
        <v>#DIV/0!</v>
      </c>
      <c r="T627" s="1" t="e">
        <f>(SUM(K627:K638)*12)/E627</f>
        <v>#DIV/0!</v>
      </c>
      <c r="V627" s="33" t="e">
        <f>SUM(Q627:T627)</f>
        <v>#DIV/0!</v>
      </c>
      <c r="W627" s="10" t="s">
        <v>229</v>
      </c>
      <c r="Y627" s="1" t="s">
        <v>432</v>
      </c>
      <c r="Z627" s="211">
        <f>IFERROR(INDEX(Outliers!$X$3:$X$61,MATCH('SkYSPark Data_w Will''s Data'!C627,Outliers!$B$3:$B$61,0)),0)</f>
        <v>0</v>
      </c>
      <c r="AA627" s="1" t="b">
        <f>IFERROR(INDEX(Outliers!$AP$3:$AP$61,MATCH('SkYSPark Data_w Will''s Data'!C627,Outliers!$B$3:$B$61,0)),0)</f>
        <v>1</v>
      </c>
      <c r="AB627" s="112" t="b">
        <f>IFERROR(INDEX(Outliers!$AY$3:$AY$61,MATCH('SkYSPark Data_w Will''s Data'!C627,Outliers!$B$3:$B$61,0)),0)</f>
        <v>1</v>
      </c>
      <c r="AC627" s="112" t="s">
        <v>392</v>
      </c>
      <c r="AF627" s="132"/>
      <c r="DS627">
        <v>210.53515625</v>
      </c>
    </row>
    <row r="628" spans="1:123" x14ac:dyDescent="0.3">
      <c r="A628" s="2">
        <v>44958</v>
      </c>
      <c r="B628" s="3">
        <f t="shared" si="54"/>
        <v>2</v>
      </c>
      <c r="C628" s="3" t="s">
        <v>431</v>
      </c>
      <c r="D628" s="98" t="s">
        <v>529</v>
      </c>
      <c r="F628" s="3" t="s">
        <v>153</v>
      </c>
      <c r="J628" s="1">
        <v>2170.7031249999982</v>
      </c>
      <c r="M628" s="21">
        <f t="shared" si="56"/>
        <v>0</v>
      </c>
      <c r="N628" s="21">
        <f t="shared" si="57"/>
        <v>0</v>
      </c>
      <c r="O628" s="21">
        <f t="shared" si="58"/>
        <v>0</v>
      </c>
      <c r="P628" s="21">
        <f t="shared" si="59"/>
        <v>0</v>
      </c>
      <c r="Z628" s="211">
        <f>IFERROR(INDEX(Outliers!$X$3:$X$61,MATCH('SkYSPark Data_w Will''s Data'!C628,Outliers!$B$3:$B$61,0)),0)</f>
        <v>0</v>
      </c>
      <c r="AA628" s="1" t="b">
        <f>IFERROR(INDEX(Outliers!$AP$3:$AP$61,MATCH('SkYSPark Data_w Will''s Data'!C628,Outliers!$B$3:$B$61,0)),0)</f>
        <v>1</v>
      </c>
      <c r="AB628" s="112" t="b">
        <f>IFERROR(INDEX(Outliers!$AY$3:$AY$61,MATCH('SkYSPark Data_w Will''s Data'!C628,Outliers!$B$3:$B$61,0)),0)</f>
        <v>1</v>
      </c>
      <c r="AC628" s="112" t="s">
        <v>392</v>
      </c>
      <c r="AF628" s="132"/>
      <c r="DS628">
        <v>213.0703125</v>
      </c>
    </row>
    <row r="629" spans="1:123" x14ac:dyDescent="0.3">
      <c r="A629" s="2">
        <v>44986</v>
      </c>
      <c r="B629" s="3">
        <f t="shared" si="54"/>
        <v>3</v>
      </c>
      <c r="C629" s="3" t="s">
        <v>431</v>
      </c>
      <c r="D629" s="98" t="s">
        <v>529</v>
      </c>
      <c r="F629" s="3" t="s">
        <v>153</v>
      </c>
      <c r="J629" s="1">
        <v>2036.0253288953579</v>
      </c>
      <c r="M629" s="21">
        <f t="shared" si="56"/>
        <v>0</v>
      </c>
      <c r="N629" s="21">
        <f t="shared" si="57"/>
        <v>0</v>
      </c>
      <c r="O629" s="21">
        <f t="shared" si="58"/>
        <v>0</v>
      </c>
      <c r="P629" s="21">
        <f t="shared" si="59"/>
        <v>0</v>
      </c>
      <c r="Z629" s="211">
        <f>IFERROR(INDEX(Outliers!$X$3:$X$61,MATCH('SkYSPark Data_w Will''s Data'!C629,Outliers!$B$3:$B$61,0)),0)</f>
        <v>0</v>
      </c>
      <c r="AA629" s="1" t="b">
        <f>IFERROR(INDEX(Outliers!$AP$3:$AP$61,MATCH('SkYSPark Data_w Will''s Data'!C629,Outliers!$B$3:$B$61,0)),0)</f>
        <v>1</v>
      </c>
      <c r="AB629" s="112" t="b">
        <f>IFERROR(INDEX(Outliers!$AY$3:$AY$61,MATCH('SkYSPark Data_w Will''s Data'!C629,Outliers!$B$3:$B$61,0)),0)</f>
        <v>1</v>
      </c>
      <c r="AC629" s="112" t="s">
        <v>392</v>
      </c>
      <c r="AF629" s="132"/>
      <c r="DS629">
        <v>198.5966796875</v>
      </c>
    </row>
    <row r="630" spans="1:123" x14ac:dyDescent="0.3">
      <c r="A630" s="2">
        <v>45017</v>
      </c>
      <c r="B630" s="3">
        <f t="shared" si="54"/>
        <v>4</v>
      </c>
      <c r="C630" s="3" t="s">
        <v>431</v>
      </c>
      <c r="D630" s="98" t="s">
        <v>529</v>
      </c>
      <c r="F630" s="3" t="s">
        <v>153</v>
      </c>
      <c r="J630" s="1">
        <v>1261.035217979613</v>
      </c>
      <c r="M630" s="21">
        <f t="shared" si="56"/>
        <v>0</v>
      </c>
      <c r="N630" s="21">
        <f t="shared" si="57"/>
        <v>0</v>
      </c>
      <c r="O630" s="21">
        <f t="shared" si="58"/>
        <v>0</v>
      </c>
      <c r="P630" s="21">
        <f t="shared" si="59"/>
        <v>0</v>
      </c>
      <c r="Z630" s="211">
        <f>IFERROR(INDEX(Outliers!$X$3:$X$61,MATCH('SkYSPark Data_w Will''s Data'!C630,Outliers!$B$3:$B$61,0)),0)</f>
        <v>0</v>
      </c>
      <c r="AA630" s="1" t="b">
        <f>IFERROR(INDEX(Outliers!$AP$3:$AP$61,MATCH('SkYSPark Data_w Will''s Data'!C630,Outliers!$B$3:$B$61,0)),0)</f>
        <v>1</v>
      </c>
      <c r="AB630" s="112" t="b">
        <f>IFERROR(INDEX(Outliers!$AY$3:$AY$61,MATCH('SkYSPark Data_w Will''s Data'!C630,Outliers!$B$3:$B$61,0)),0)</f>
        <v>1</v>
      </c>
      <c r="AC630" s="112" t="s">
        <v>392</v>
      </c>
      <c r="AF630" s="132"/>
      <c r="DS630">
        <v>127.2646484375</v>
      </c>
    </row>
    <row r="631" spans="1:123" x14ac:dyDescent="0.3">
      <c r="A631" s="2">
        <v>45047</v>
      </c>
      <c r="B631" s="3">
        <f t="shared" si="54"/>
        <v>5</v>
      </c>
      <c r="C631" s="3" t="s">
        <v>431</v>
      </c>
      <c r="D631" s="98" t="s">
        <v>529</v>
      </c>
      <c r="F631" s="3" t="s">
        <v>153</v>
      </c>
      <c r="J631" s="1">
        <v>927.24609375000864</v>
      </c>
      <c r="M631" s="21">
        <f t="shared" si="56"/>
        <v>0</v>
      </c>
      <c r="N631" s="21">
        <f t="shared" si="57"/>
        <v>0</v>
      </c>
      <c r="O631" s="21">
        <f t="shared" si="58"/>
        <v>0</v>
      </c>
      <c r="P631" s="21">
        <f t="shared" si="59"/>
        <v>0</v>
      </c>
      <c r="Z631" s="211">
        <f>IFERROR(INDEX(Outliers!$X$3:$X$61,MATCH('SkYSPark Data_w Will''s Data'!C631,Outliers!$B$3:$B$61,0)),0)</f>
        <v>0</v>
      </c>
      <c r="AA631" s="1" t="b">
        <f>IFERROR(INDEX(Outliers!$AP$3:$AP$61,MATCH('SkYSPark Data_w Will''s Data'!C631,Outliers!$B$3:$B$61,0)),0)</f>
        <v>1</v>
      </c>
      <c r="AB631" s="112" t="b">
        <f>IFERROR(INDEX(Outliers!$AY$3:$AY$61,MATCH('SkYSPark Data_w Will''s Data'!C631,Outliers!$B$3:$B$61,0)),0)</f>
        <v>1</v>
      </c>
      <c r="AC631" s="112" t="s">
        <v>392</v>
      </c>
      <c r="AF631" s="132"/>
      <c r="DS631">
        <v>92.9375</v>
      </c>
    </row>
    <row r="632" spans="1:123" x14ac:dyDescent="0.3">
      <c r="A632" s="2">
        <v>45078</v>
      </c>
      <c r="B632" s="3">
        <f t="shared" si="54"/>
        <v>6</v>
      </c>
      <c r="C632" s="3" t="s">
        <v>431</v>
      </c>
      <c r="D632" s="98" t="s">
        <v>529</v>
      </c>
      <c r="F632" s="3" t="s">
        <v>153</v>
      </c>
      <c r="J632" s="1">
        <v>811.70758928570376</v>
      </c>
      <c r="M632" s="21">
        <f t="shared" si="56"/>
        <v>0</v>
      </c>
      <c r="N632" s="21">
        <f t="shared" si="57"/>
        <v>0</v>
      </c>
      <c r="O632" s="21">
        <f t="shared" si="58"/>
        <v>0</v>
      </c>
      <c r="P632" s="21">
        <f t="shared" si="59"/>
        <v>0</v>
      </c>
      <c r="Z632" s="211">
        <f>IFERROR(INDEX(Outliers!$X$3:$X$61,MATCH('SkYSPark Data_w Will''s Data'!C632,Outliers!$B$3:$B$61,0)),0)</f>
        <v>0</v>
      </c>
      <c r="AA632" s="1" t="b">
        <f>IFERROR(INDEX(Outliers!$AP$3:$AP$61,MATCH('SkYSPark Data_w Will''s Data'!C632,Outliers!$B$3:$B$61,0)),0)</f>
        <v>1</v>
      </c>
      <c r="AB632" s="112" t="b">
        <f>IFERROR(INDEX(Outliers!$AY$3:$AY$61,MATCH('SkYSPark Data_w Will''s Data'!C632,Outliers!$B$3:$B$61,0)),0)</f>
        <v>1</v>
      </c>
      <c r="AC632" s="112" t="s">
        <v>392</v>
      </c>
      <c r="AF632" s="132"/>
      <c r="DS632">
        <v>80.7978515625</v>
      </c>
    </row>
    <row r="633" spans="1:123" x14ac:dyDescent="0.3">
      <c r="A633" s="2">
        <v>45108</v>
      </c>
      <c r="B633" s="3">
        <f t="shared" si="54"/>
        <v>7</v>
      </c>
      <c r="C633" s="3" t="s">
        <v>431</v>
      </c>
      <c r="D633" s="98" t="s">
        <v>529</v>
      </c>
      <c r="F633" s="3" t="s">
        <v>153</v>
      </c>
      <c r="J633" s="1">
        <v>719.70842633929271</v>
      </c>
      <c r="M633" s="21">
        <f t="shared" si="56"/>
        <v>0</v>
      </c>
      <c r="N633" s="21">
        <f t="shared" si="57"/>
        <v>0</v>
      </c>
      <c r="O633" s="21">
        <f t="shared" si="58"/>
        <v>0</v>
      </c>
      <c r="P633" s="21">
        <f t="shared" si="59"/>
        <v>0</v>
      </c>
      <c r="Z633" s="211">
        <f>IFERROR(INDEX(Outliers!$X$3:$X$61,MATCH('SkYSPark Data_w Will''s Data'!C633,Outliers!$B$3:$B$61,0)),0)</f>
        <v>0</v>
      </c>
      <c r="AA633" s="1" t="b">
        <f>IFERROR(INDEX(Outliers!$AP$3:$AP$61,MATCH('SkYSPark Data_w Will''s Data'!C633,Outliers!$B$3:$B$61,0)),0)</f>
        <v>1</v>
      </c>
      <c r="AB633" s="112" t="b">
        <f>IFERROR(INDEX(Outliers!$AY$3:$AY$61,MATCH('SkYSPark Data_w Will''s Data'!C633,Outliers!$B$3:$B$61,0)),0)</f>
        <v>1</v>
      </c>
      <c r="AC633" s="112" t="s">
        <v>392</v>
      </c>
      <c r="AF633" s="132"/>
      <c r="DS633">
        <v>68.51171875</v>
      </c>
    </row>
    <row r="634" spans="1:123" x14ac:dyDescent="0.3">
      <c r="A634" s="2">
        <v>45139</v>
      </c>
      <c r="B634" s="3">
        <f t="shared" si="54"/>
        <v>8</v>
      </c>
      <c r="C634" s="3" t="s">
        <v>431</v>
      </c>
      <c r="D634" s="98" t="s">
        <v>529</v>
      </c>
      <c r="F634" s="3" t="s">
        <v>153</v>
      </c>
      <c r="J634" s="1">
        <v>308.26768663194741</v>
      </c>
      <c r="M634" s="21">
        <f t="shared" si="56"/>
        <v>0</v>
      </c>
      <c r="N634" s="21">
        <f t="shared" si="57"/>
        <v>0</v>
      </c>
      <c r="O634" s="21">
        <f t="shared" si="58"/>
        <v>0</v>
      </c>
      <c r="P634" s="21">
        <f t="shared" si="59"/>
        <v>0</v>
      </c>
      <c r="Z634" s="211">
        <f>IFERROR(INDEX(Outliers!$X$3:$X$61,MATCH('SkYSPark Data_w Will''s Data'!C634,Outliers!$B$3:$B$61,0)),0)</f>
        <v>0</v>
      </c>
      <c r="AA634" s="1" t="b">
        <f>IFERROR(INDEX(Outliers!$AP$3:$AP$61,MATCH('SkYSPark Data_w Will''s Data'!C634,Outliers!$B$3:$B$61,0)),0)</f>
        <v>1</v>
      </c>
      <c r="AB634" s="112" t="b">
        <f>IFERROR(INDEX(Outliers!$AY$3:$AY$61,MATCH('SkYSPark Data_w Will''s Data'!C634,Outliers!$B$3:$B$61,0)),0)</f>
        <v>1</v>
      </c>
      <c r="AC634" s="112" t="s">
        <v>392</v>
      </c>
      <c r="AF634" s="132"/>
      <c r="DS634">
        <v>32.484375</v>
      </c>
    </row>
    <row r="635" spans="1:123" x14ac:dyDescent="0.3">
      <c r="A635" s="2">
        <v>45170</v>
      </c>
      <c r="B635" s="3">
        <f t="shared" si="54"/>
        <v>9</v>
      </c>
      <c r="C635" s="3" t="s">
        <v>431</v>
      </c>
      <c r="D635" s="98" t="s">
        <v>529</v>
      </c>
      <c r="F635" s="3" t="s">
        <v>153</v>
      </c>
      <c r="J635" s="1">
        <v>268.31687644676202</v>
      </c>
      <c r="M635" s="21">
        <f t="shared" si="56"/>
        <v>0</v>
      </c>
      <c r="N635" s="21">
        <f t="shared" si="57"/>
        <v>0</v>
      </c>
      <c r="O635" s="21">
        <f t="shared" si="58"/>
        <v>0</v>
      </c>
      <c r="P635" s="21">
        <f t="shared" si="59"/>
        <v>0</v>
      </c>
      <c r="Z635" s="211">
        <f>IFERROR(INDEX(Outliers!$X$3:$X$61,MATCH('SkYSPark Data_w Will''s Data'!C635,Outliers!$B$3:$B$61,0)),0)</f>
        <v>0</v>
      </c>
      <c r="AA635" s="1" t="b">
        <f>IFERROR(INDEX(Outliers!$AP$3:$AP$61,MATCH('SkYSPark Data_w Will''s Data'!C635,Outliers!$B$3:$B$61,0)),0)</f>
        <v>1</v>
      </c>
      <c r="AB635" s="112" t="b">
        <f>IFERROR(INDEX(Outliers!$AY$3:$AY$61,MATCH('SkYSPark Data_w Will''s Data'!C635,Outliers!$B$3:$B$61,0)),0)</f>
        <v>1</v>
      </c>
      <c r="AC635" s="112" t="s">
        <v>392</v>
      </c>
      <c r="AF635" s="132"/>
      <c r="DS635">
        <v>24.380859375</v>
      </c>
    </row>
    <row r="636" spans="1:123" x14ac:dyDescent="0.3">
      <c r="A636" s="2">
        <v>45200</v>
      </c>
      <c r="B636" s="3">
        <f t="shared" si="54"/>
        <v>10</v>
      </c>
      <c r="C636" s="3" t="s">
        <v>431</v>
      </c>
      <c r="D636" s="98" t="s">
        <v>529</v>
      </c>
      <c r="F636" s="3" t="s">
        <v>153</v>
      </c>
      <c r="J636" s="1">
        <v>543.23965567129426</v>
      </c>
      <c r="M636" s="21">
        <f t="shared" si="56"/>
        <v>0</v>
      </c>
      <c r="N636" s="21">
        <f t="shared" si="57"/>
        <v>0</v>
      </c>
      <c r="O636" s="21">
        <f t="shared" si="58"/>
        <v>0</v>
      </c>
      <c r="P636" s="21">
        <f t="shared" si="59"/>
        <v>0</v>
      </c>
      <c r="Z636" s="211">
        <f>IFERROR(INDEX(Outliers!$X$3:$X$61,MATCH('SkYSPark Data_w Will''s Data'!C636,Outliers!$B$3:$B$61,0)),0)</f>
        <v>0</v>
      </c>
      <c r="AA636" s="1" t="b">
        <f>IFERROR(INDEX(Outliers!$AP$3:$AP$61,MATCH('SkYSPark Data_w Will''s Data'!C636,Outliers!$B$3:$B$61,0)),0)</f>
        <v>1</v>
      </c>
      <c r="AB636" s="112" t="b">
        <f>IFERROR(INDEX(Outliers!$AY$3:$AY$61,MATCH('SkYSPark Data_w Will''s Data'!C636,Outliers!$B$3:$B$61,0)),0)</f>
        <v>1</v>
      </c>
      <c r="AC636" s="112" t="s">
        <v>392</v>
      </c>
      <c r="AF636" s="132"/>
      <c r="DS636">
        <v>49.39453125</v>
      </c>
    </row>
    <row r="637" spans="1:123" x14ac:dyDescent="0.3">
      <c r="A637" s="2">
        <v>45231</v>
      </c>
      <c r="B637" s="3">
        <f t="shared" si="54"/>
        <v>11</v>
      </c>
      <c r="C637" s="3" t="s">
        <v>431</v>
      </c>
      <c r="D637" s="98" t="s">
        <v>529</v>
      </c>
      <c r="F637" s="3" t="s">
        <v>153</v>
      </c>
      <c r="J637" s="1">
        <v>1162.362468474143</v>
      </c>
      <c r="M637" s="21">
        <f t="shared" si="56"/>
        <v>0</v>
      </c>
      <c r="N637" s="21">
        <f t="shared" si="57"/>
        <v>0</v>
      </c>
      <c r="O637" s="21">
        <f t="shared" si="58"/>
        <v>0</v>
      </c>
      <c r="P637" s="21">
        <f t="shared" si="59"/>
        <v>0</v>
      </c>
      <c r="Z637" s="211">
        <f>IFERROR(INDEX(Outliers!$X$3:$X$61,MATCH('SkYSPark Data_w Will''s Data'!C637,Outliers!$B$3:$B$61,0)),0)</f>
        <v>0</v>
      </c>
      <c r="AA637" s="1" t="b">
        <f>IFERROR(INDEX(Outliers!$AP$3:$AP$61,MATCH('SkYSPark Data_w Will''s Data'!C637,Outliers!$B$3:$B$61,0)),0)</f>
        <v>1</v>
      </c>
      <c r="AB637" s="112" t="b">
        <f>IFERROR(INDEX(Outliers!$AY$3:$AY$61,MATCH('SkYSPark Data_w Will''s Data'!C637,Outliers!$B$3:$B$61,0)),0)</f>
        <v>1</v>
      </c>
      <c r="AC637" s="112" t="s">
        <v>392</v>
      </c>
      <c r="AF637" s="132"/>
      <c r="DS637">
        <v>112.1923828125</v>
      </c>
    </row>
    <row r="638" spans="1:123" s="69" customFormat="1" x14ac:dyDescent="0.3">
      <c r="A638" s="65">
        <v>45261</v>
      </c>
      <c r="B638" s="64">
        <f t="shared" si="54"/>
        <v>12</v>
      </c>
      <c r="C638" s="64" t="s">
        <v>431</v>
      </c>
      <c r="D638" s="99" t="s">
        <v>529</v>
      </c>
      <c r="E638" s="64"/>
      <c r="F638" s="3" t="s">
        <v>153</v>
      </c>
      <c r="G638" s="66"/>
      <c r="H638" s="66"/>
      <c r="I638" s="66"/>
      <c r="J638" s="66">
        <v>1532.5755703189709</v>
      </c>
      <c r="K638" s="66"/>
      <c r="L638" s="67"/>
      <c r="M638" s="21">
        <f t="shared" si="56"/>
        <v>0</v>
      </c>
      <c r="N638" s="21">
        <f t="shared" si="57"/>
        <v>0</v>
      </c>
      <c r="O638" s="21">
        <f t="shared" si="58"/>
        <v>0</v>
      </c>
      <c r="P638" s="21">
        <f t="shared" si="59"/>
        <v>0</v>
      </c>
      <c r="Q638" s="66"/>
      <c r="R638" s="66"/>
      <c r="S638" s="66"/>
      <c r="T638" s="66"/>
      <c r="U638" s="66"/>
      <c r="V638" s="68"/>
      <c r="W638" s="66"/>
      <c r="X638" s="67"/>
      <c r="Y638" s="66"/>
      <c r="Z638" s="211">
        <f>IFERROR(INDEX(Outliers!$X$3:$X$61,MATCH('SkYSPark Data_w Will''s Data'!C638,Outliers!$B$3:$B$61,0)),0)</f>
        <v>0</v>
      </c>
      <c r="AA638" s="1" t="b">
        <f>IFERROR(INDEX(Outliers!$AP$3:$AP$61,MATCH('SkYSPark Data_w Will''s Data'!C638,Outliers!$B$3:$B$61,0)),0)</f>
        <v>1</v>
      </c>
      <c r="AB638" s="112" t="b">
        <f>IFERROR(INDEX(Outliers!$AY$3:$AY$61,MATCH('SkYSPark Data_w Will''s Data'!C638,Outliers!$B$3:$B$61,0)),0)</f>
        <v>1</v>
      </c>
      <c r="AC638" s="112" t="s">
        <v>392</v>
      </c>
      <c r="AD638" s="134"/>
      <c r="AE638" s="134"/>
      <c r="AF638" s="133"/>
      <c r="DS638" s="69">
        <v>153.98828125</v>
      </c>
    </row>
    <row r="639" spans="1:123" x14ac:dyDescent="0.3">
      <c r="A639" s="2">
        <v>43466</v>
      </c>
      <c r="B639" s="3">
        <f t="shared" si="54"/>
        <v>1</v>
      </c>
      <c r="C639" s="3" t="s">
        <v>179</v>
      </c>
      <c r="D639" s="3" t="str">
        <f>VLOOKUP(C639,'Data availability'!$A$2:$B$91,2,FALSE)</f>
        <v>South campus</v>
      </c>
      <c r="E639" s="3">
        <v>3135</v>
      </c>
      <c r="F639" s="3" t="str">
        <f>VLOOKUP(C639,'Data availability'!$A$2:$H$91,8,FALSE)</f>
        <v>Storage</v>
      </c>
      <c r="G639" s="1">
        <v>3598.6235000000361</v>
      </c>
      <c r="M639" s="21">
        <f t="shared" si="56"/>
        <v>3.9165880006379976</v>
      </c>
      <c r="N639" s="21">
        <f t="shared" si="57"/>
        <v>0</v>
      </c>
      <c r="O639" s="21">
        <f t="shared" si="58"/>
        <v>0</v>
      </c>
      <c r="P639" s="21">
        <f t="shared" si="59"/>
        <v>0</v>
      </c>
      <c r="Q639" s="1">
        <f>(SUM(G639:G650)*3.412)/E639</f>
        <v>54.749545698883516</v>
      </c>
      <c r="R639" s="1">
        <f>(SUM(I639:I650)*100)/E639</f>
        <v>0</v>
      </c>
      <c r="S639" s="1">
        <f>(SUM(J639:J650)*100)/E639</f>
        <v>0</v>
      </c>
      <c r="T639" s="1">
        <f>(SUM(K639:K650)*12)/E639</f>
        <v>0</v>
      </c>
      <c r="V639" s="33">
        <f>SUM(Q639:T639)</f>
        <v>54.749545698883516</v>
      </c>
      <c r="W639" s="10" t="s">
        <v>231</v>
      </c>
      <c r="Z639" s="211" t="b">
        <f>IFERROR(INDEX(Outliers!$X$3:$X$61,MATCH('SkYSPark Data_w Will''s Data'!C639,Outliers!$B$3:$B$61,0)),0)</f>
        <v>0</v>
      </c>
      <c r="AA639" s="1" t="b">
        <f>IFERROR(INDEX(Outliers!$AP$3:$AP$61,MATCH('SkYSPark Data_w Will''s Data'!C639,Outliers!$B$3:$B$61,0)),0)</f>
        <v>1</v>
      </c>
      <c r="AB639" s="112" t="b">
        <f>IFERROR(INDEX(Outliers!$AY$3:$AY$61,MATCH('SkYSPark Data_w Will''s Data'!C639,Outliers!$B$3:$B$61,0)),0)</f>
        <v>1</v>
      </c>
      <c r="AD639" s="112" t="s">
        <v>568</v>
      </c>
      <c r="AG639">
        <v>1.1273434979838759</v>
      </c>
    </row>
    <row r="640" spans="1:123" x14ac:dyDescent="0.3">
      <c r="A640" s="2">
        <v>43497</v>
      </c>
      <c r="B640" s="3">
        <f t="shared" si="54"/>
        <v>2</v>
      </c>
      <c r="C640" s="3" t="s">
        <v>179</v>
      </c>
      <c r="D640" s="3" t="str">
        <f>VLOOKUP(C640,'Data availability'!$A$2:$B$91,2,FALSE)</f>
        <v>South campus</v>
      </c>
      <c r="E640" s="3">
        <v>3135</v>
      </c>
      <c r="F640" s="3" t="str">
        <f>VLOOKUP(C640,'Data availability'!$A$2:$H$91,8,FALSE)</f>
        <v>Storage</v>
      </c>
      <c r="G640" s="1">
        <v>3539.8026466165802</v>
      </c>
      <c r="M640" s="21">
        <f t="shared" si="56"/>
        <v>3.8525698980082206</v>
      </c>
      <c r="N640" s="21">
        <f t="shared" si="57"/>
        <v>0</v>
      </c>
      <c r="O640" s="21">
        <f t="shared" si="58"/>
        <v>0</v>
      </c>
      <c r="P640" s="21">
        <f t="shared" si="59"/>
        <v>0</v>
      </c>
      <c r="Z640" s="211" t="b">
        <f>IFERROR(INDEX(Outliers!$X$3:$X$61,MATCH('SkYSPark Data_w Will''s Data'!C640,Outliers!$B$3:$B$61,0)),0)</f>
        <v>0</v>
      </c>
      <c r="AA640" s="1" t="b">
        <f>IFERROR(INDEX(Outliers!$AP$3:$AP$61,MATCH('SkYSPark Data_w Will''s Data'!C640,Outliers!$B$3:$B$61,0)),0)</f>
        <v>1</v>
      </c>
      <c r="AB640" s="112" t="b">
        <f>IFERROR(INDEX(Outliers!$AY$3:$AY$61,MATCH('SkYSPark Data_w Will''s Data'!C640,Outliers!$B$3:$B$61,0)),0)</f>
        <v>1</v>
      </c>
      <c r="AG640">
        <v>1.238045493197276</v>
      </c>
    </row>
    <row r="641" spans="1:124" x14ac:dyDescent="0.3">
      <c r="A641" s="2">
        <v>43525</v>
      </c>
      <c r="B641" s="3">
        <f t="shared" si="54"/>
        <v>3</v>
      </c>
      <c r="C641" s="3" t="s">
        <v>179</v>
      </c>
      <c r="D641" s="3" t="str">
        <f>VLOOKUP(C641,'Data availability'!$A$2:$B$91,2,FALSE)</f>
        <v>South campus</v>
      </c>
      <c r="E641" s="3">
        <v>3135</v>
      </c>
      <c r="F641" s="3" t="str">
        <f>VLOOKUP(C641,'Data availability'!$A$2:$H$91,8,FALSE)</f>
        <v>Storage</v>
      </c>
      <c r="G641" s="1">
        <v>3992.5254818865792</v>
      </c>
      <c r="M641" s="21">
        <f t="shared" si="56"/>
        <v>4.3452940810835754</v>
      </c>
      <c r="N641" s="21">
        <f t="shared" si="57"/>
        <v>0</v>
      </c>
      <c r="O641" s="21">
        <f t="shared" si="58"/>
        <v>0</v>
      </c>
      <c r="P641" s="21">
        <f t="shared" si="59"/>
        <v>0</v>
      </c>
      <c r="Z641" s="211" t="b">
        <f>IFERROR(INDEX(Outliers!$X$3:$X$61,MATCH('SkYSPark Data_w Will''s Data'!C641,Outliers!$B$3:$B$61,0)),0)</f>
        <v>0</v>
      </c>
      <c r="AA641" s="1" t="b">
        <f>IFERROR(INDEX(Outliers!$AP$3:$AP$61,MATCH('SkYSPark Data_w Will''s Data'!C641,Outliers!$B$3:$B$61,0)),0)</f>
        <v>1</v>
      </c>
      <c r="AB641" s="112" t="b">
        <f>IFERROR(INDEX(Outliers!$AY$3:$AY$61,MATCH('SkYSPark Data_w Will''s Data'!C641,Outliers!$B$3:$B$61,0)),0)</f>
        <v>1</v>
      </c>
      <c r="AG641">
        <v>1.265584415584408</v>
      </c>
    </row>
    <row r="642" spans="1:124" x14ac:dyDescent="0.3">
      <c r="A642" s="2">
        <v>43556</v>
      </c>
      <c r="B642" s="3">
        <f t="shared" si="54"/>
        <v>4</v>
      </c>
      <c r="C642" s="3" t="s">
        <v>179</v>
      </c>
      <c r="D642" s="3" t="str">
        <f>VLOOKUP(C642,'Data availability'!$A$2:$B$91,2,FALSE)</f>
        <v>South campus</v>
      </c>
      <c r="E642" s="3">
        <v>3135</v>
      </c>
      <c r="F642" s="3" t="str">
        <f>VLOOKUP(C642,'Data availability'!$A$2:$H$91,8,FALSE)</f>
        <v>Storage</v>
      </c>
      <c r="G642" s="1">
        <v>3691.6478714968998</v>
      </c>
      <c r="M642" s="21">
        <f t="shared" si="56"/>
        <v>4.0178317504138503</v>
      </c>
      <c r="N642" s="21">
        <f t="shared" si="57"/>
        <v>0</v>
      </c>
      <c r="O642" s="21">
        <f t="shared" si="58"/>
        <v>0</v>
      </c>
      <c r="P642" s="21">
        <f t="shared" si="59"/>
        <v>0</v>
      </c>
      <c r="Z642" s="211" t="b">
        <f>IFERROR(INDEX(Outliers!$X$3:$X$61,MATCH('SkYSPark Data_w Will''s Data'!C642,Outliers!$B$3:$B$61,0)),0)</f>
        <v>0</v>
      </c>
      <c r="AA642" s="1" t="b">
        <f>IFERROR(INDEX(Outliers!$AP$3:$AP$61,MATCH('SkYSPark Data_w Will''s Data'!C642,Outliers!$B$3:$B$61,0)),0)</f>
        <v>1</v>
      </c>
      <c r="AB642" s="112" t="b">
        <f>IFERROR(INDEX(Outliers!$AY$3:$AY$61,MATCH('SkYSPark Data_w Will''s Data'!C642,Outliers!$B$3:$B$61,0)),0)</f>
        <v>1</v>
      </c>
      <c r="AG642">
        <v>1.250601214526212</v>
      </c>
    </row>
    <row r="643" spans="1:124" x14ac:dyDescent="0.3">
      <c r="A643" s="2">
        <v>43586</v>
      </c>
      <c r="B643" s="3">
        <f t="shared" si="54"/>
        <v>5</v>
      </c>
      <c r="C643" s="3" t="s">
        <v>179</v>
      </c>
      <c r="D643" s="3" t="str">
        <f>VLOOKUP(C643,'Data availability'!$A$2:$B$91,2,FALSE)</f>
        <v>South campus</v>
      </c>
      <c r="E643" s="3">
        <v>3135</v>
      </c>
      <c r="F643" s="3" t="str">
        <f>VLOOKUP(C643,'Data availability'!$A$2:$H$91,8,FALSE)</f>
        <v>Storage</v>
      </c>
      <c r="G643" s="1">
        <v>3528.6717499999459</v>
      </c>
      <c r="M643" s="21">
        <f t="shared" si="56"/>
        <v>3.8404555059010579</v>
      </c>
      <c r="N643" s="21">
        <f t="shared" si="57"/>
        <v>0</v>
      </c>
      <c r="O643" s="21">
        <f t="shared" si="58"/>
        <v>0</v>
      </c>
      <c r="P643" s="21">
        <f t="shared" si="59"/>
        <v>0</v>
      </c>
      <c r="Z643" s="211" t="b">
        <f>IFERROR(INDEX(Outliers!$X$3:$X$61,MATCH('SkYSPark Data_w Will''s Data'!C643,Outliers!$B$3:$B$61,0)),0)</f>
        <v>0</v>
      </c>
      <c r="AA643" s="1" t="b">
        <f>IFERROR(INDEX(Outliers!$AP$3:$AP$61,MATCH('SkYSPark Data_w Will''s Data'!C643,Outliers!$B$3:$B$61,0)),0)</f>
        <v>1</v>
      </c>
      <c r="AB643" s="112" t="b">
        <f>IFERROR(INDEX(Outliers!$AY$3:$AY$61,MATCH('SkYSPark Data_w Will''s Data'!C643,Outliers!$B$3:$B$61,0)),0)</f>
        <v>1</v>
      </c>
      <c r="AG643">
        <v>1.195209957437291</v>
      </c>
    </row>
    <row r="644" spans="1:124" x14ac:dyDescent="0.3">
      <c r="A644" s="2">
        <v>43617</v>
      </c>
      <c r="B644" s="3">
        <f t="shared" si="54"/>
        <v>6</v>
      </c>
      <c r="C644" s="3" t="s">
        <v>179</v>
      </c>
      <c r="D644" s="3" t="str">
        <f>VLOOKUP(C644,'Data availability'!$A$2:$B$91,2,FALSE)</f>
        <v>South campus</v>
      </c>
      <c r="E644" s="3">
        <v>3135</v>
      </c>
      <c r="F644" s="3" t="str">
        <f>VLOOKUP(C644,'Data availability'!$A$2:$H$91,8,FALSE)</f>
        <v>Storage</v>
      </c>
      <c r="G644" s="1">
        <v>3535.9462500000332</v>
      </c>
      <c r="M644" s="21">
        <f t="shared" si="56"/>
        <v>3.8483727607655864</v>
      </c>
      <c r="N644" s="21">
        <f t="shared" si="57"/>
        <v>0</v>
      </c>
      <c r="O644" s="21">
        <f t="shared" si="58"/>
        <v>0</v>
      </c>
      <c r="P644" s="21">
        <f t="shared" si="59"/>
        <v>0</v>
      </c>
      <c r="Z644" s="211" t="b">
        <f>IFERROR(INDEX(Outliers!$X$3:$X$61,MATCH('SkYSPark Data_w Will''s Data'!C644,Outliers!$B$3:$B$61,0)),0)</f>
        <v>0</v>
      </c>
      <c r="AA644" s="1" t="b">
        <f>IFERROR(INDEX(Outliers!$AP$3:$AP$61,MATCH('SkYSPark Data_w Will''s Data'!C644,Outliers!$B$3:$B$61,0)),0)</f>
        <v>1</v>
      </c>
      <c r="AB644" s="112" t="b">
        <f>IFERROR(INDEX(Outliers!$AY$3:$AY$61,MATCH('SkYSPark Data_w Will''s Data'!C644,Outliers!$B$3:$B$61,0)),0)</f>
        <v>1</v>
      </c>
      <c r="AG644">
        <v>1.2526960069444431</v>
      </c>
    </row>
    <row r="645" spans="1:124" x14ac:dyDescent="0.3">
      <c r="A645" s="2">
        <v>43647</v>
      </c>
      <c r="B645" s="3">
        <f t="shared" si="54"/>
        <v>7</v>
      </c>
      <c r="C645" s="3" t="s">
        <v>179</v>
      </c>
      <c r="D645" s="3" t="str">
        <f>VLOOKUP(C645,'Data availability'!$A$2:$B$91,2,FALSE)</f>
        <v>South campus</v>
      </c>
      <c r="E645" s="3">
        <v>3135</v>
      </c>
      <c r="F645" s="3" t="str">
        <f>VLOOKUP(C645,'Data availability'!$A$2:$H$91,8,FALSE)</f>
        <v>Storage</v>
      </c>
      <c r="G645" s="1">
        <v>4422.4286666666258</v>
      </c>
      <c r="M645" s="21">
        <f t="shared" si="56"/>
        <v>4.8131823319510456</v>
      </c>
      <c r="N645" s="21">
        <f t="shared" si="57"/>
        <v>0</v>
      </c>
      <c r="O645" s="21">
        <f t="shared" si="58"/>
        <v>0</v>
      </c>
      <c r="P645" s="21">
        <f t="shared" si="59"/>
        <v>0</v>
      </c>
      <c r="Z645" s="211" t="b">
        <f>IFERROR(INDEX(Outliers!$X$3:$X$61,MATCH('SkYSPark Data_w Will''s Data'!C645,Outliers!$B$3:$B$61,0)),0)</f>
        <v>0</v>
      </c>
      <c r="AA645" s="1" t="b">
        <f>IFERROR(INDEX(Outliers!$AP$3:$AP$61,MATCH('SkYSPark Data_w Will''s Data'!C645,Outliers!$B$3:$B$61,0)),0)</f>
        <v>1</v>
      </c>
      <c r="AB645" s="112" t="b">
        <f>IFERROR(INDEX(Outliers!$AY$3:$AY$61,MATCH('SkYSPark Data_w Will''s Data'!C645,Outliers!$B$3:$B$61,0)),0)</f>
        <v>1</v>
      </c>
      <c r="AG645">
        <v>1.5192177419354971</v>
      </c>
    </row>
    <row r="646" spans="1:124" x14ac:dyDescent="0.3">
      <c r="A646" s="2">
        <v>43678</v>
      </c>
      <c r="B646" s="3">
        <f t="shared" si="54"/>
        <v>8</v>
      </c>
      <c r="C646" s="3" t="s">
        <v>179</v>
      </c>
      <c r="D646" s="3" t="str">
        <f>VLOOKUP(C646,'Data availability'!$A$2:$B$91,2,FALSE)</f>
        <v>South campus</v>
      </c>
      <c r="E646" s="3">
        <v>3135</v>
      </c>
      <c r="F646" s="3" t="str">
        <f>VLOOKUP(C646,'Data availability'!$A$2:$H$91,8,FALSE)</f>
        <v>Storage</v>
      </c>
      <c r="G646" s="1">
        <v>5257.2763333332787</v>
      </c>
      <c r="M646" s="21">
        <f t="shared" si="56"/>
        <v>5.7217948482721352</v>
      </c>
      <c r="N646" s="21">
        <f t="shared" si="57"/>
        <v>0</v>
      </c>
      <c r="O646" s="21">
        <f t="shared" si="58"/>
        <v>0</v>
      </c>
      <c r="P646" s="21">
        <f t="shared" si="59"/>
        <v>0</v>
      </c>
      <c r="Z646" s="211" t="b">
        <f>IFERROR(INDEX(Outliers!$X$3:$X$61,MATCH('SkYSPark Data_w Will''s Data'!C646,Outliers!$B$3:$B$61,0)),0)</f>
        <v>0</v>
      </c>
      <c r="AA646" s="1" t="b">
        <f>IFERROR(INDEX(Outliers!$AP$3:$AP$61,MATCH('SkYSPark Data_w Will''s Data'!C646,Outliers!$B$3:$B$61,0)),0)</f>
        <v>1</v>
      </c>
      <c r="AB646" s="112" t="b">
        <f>IFERROR(INDEX(Outliers!$AY$3:$AY$61,MATCH('SkYSPark Data_w Will''s Data'!C646,Outliers!$B$3:$B$61,0)),0)</f>
        <v>1</v>
      </c>
      <c r="AG646">
        <v>1.790179267473119</v>
      </c>
    </row>
    <row r="647" spans="1:124" x14ac:dyDescent="0.3">
      <c r="A647" s="2">
        <v>43709</v>
      </c>
      <c r="B647" s="3">
        <f t="shared" si="54"/>
        <v>9</v>
      </c>
      <c r="C647" s="3" t="s">
        <v>179</v>
      </c>
      <c r="D647" s="3" t="str">
        <f>VLOOKUP(C647,'Data availability'!$A$2:$B$91,2,FALSE)</f>
        <v>South campus</v>
      </c>
      <c r="E647" s="3">
        <v>3135</v>
      </c>
      <c r="F647" s="3" t="str">
        <f>VLOOKUP(C647,'Data availability'!$A$2:$H$91,8,FALSE)</f>
        <v>Storage</v>
      </c>
      <c r="G647" s="1">
        <v>5656.3381034482672</v>
      </c>
      <c r="M647" s="21">
        <f t="shared" si="56"/>
        <v>6.1561166216795815</v>
      </c>
      <c r="N647" s="21">
        <f t="shared" si="57"/>
        <v>0</v>
      </c>
      <c r="O647" s="21">
        <f t="shared" si="58"/>
        <v>0</v>
      </c>
      <c r="P647" s="21">
        <f t="shared" si="59"/>
        <v>0</v>
      </c>
      <c r="Z647" s="211" t="b">
        <f>IFERROR(INDEX(Outliers!$X$3:$X$61,MATCH('SkYSPark Data_w Will''s Data'!C647,Outliers!$B$3:$B$61,0)),0)</f>
        <v>0</v>
      </c>
      <c r="AA647" s="1" t="b">
        <f>IFERROR(INDEX(Outliers!$AP$3:$AP$61,MATCH('SkYSPark Data_w Will''s Data'!C647,Outliers!$B$3:$B$61,0)),0)</f>
        <v>1</v>
      </c>
      <c r="AB647" s="112" t="b">
        <f>IFERROR(INDEX(Outliers!$AY$3:$AY$61,MATCH('SkYSPark Data_w Will''s Data'!C647,Outliers!$B$3:$B$61,0)),0)</f>
        <v>1</v>
      </c>
      <c r="AG647">
        <v>1.9926134159482509</v>
      </c>
    </row>
    <row r="648" spans="1:124" x14ac:dyDescent="0.3">
      <c r="A648" s="2">
        <v>43739</v>
      </c>
      <c r="B648" s="3">
        <f t="shared" si="54"/>
        <v>10</v>
      </c>
      <c r="C648" s="3" t="s">
        <v>179</v>
      </c>
      <c r="D648" s="3" t="str">
        <f>VLOOKUP(C648,'Data availability'!$A$2:$B$91,2,FALSE)</f>
        <v>South campus</v>
      </c>
      <c r="E648" s="3">
        <v>3135</v>
      </c>
      <c r="F648" s="3" t="str">
        <f>VLOOKUP(C648,'Data availability'!$A$2:$H$91,8,FALSE)</f>
        <v>Storage</v>
      </c>
      <c r="G648" s="1">
        <v>5177.9970830653901</v>
      </c>
      <c r="M648" s="21">
        <f t="shared" si="56"/>
        <v>5.6355107009311363</v>
      </c>
      <c r="N648" s="21">
        <f t="shared" si="57"/>
        <v>0</v>
      </c>
      <c r="O648" s="21">
        <f t="shared" si="58"/>
        <v>0</v>
      </c>
      <c r="P648" s="21">
        <f t="shared" si="59"/>
        <v>0</v>
      </c>
      <c r="Z648" s="211" t="b">
        <f>IFERROR(INDEX(Outliers!$X$3:$X$61,MATCH('SkYSPark Data_w Will''s Data'!C648,Outliers!$B$3:$B$61,0)),0)</f>
        <v>0</v>
      </c>
      <c r="AA648" s="1" t="b">
        <f>IFERROR(INDEX(Outliers!$AP$3:$AP$61,MATCH('SkYSPark Data_w Will''s Data'!C648,Outliers!$B$3:$B$61,0)),0)</f>
        <v>1</v>
      </c>
      <c r="AB648" s="112" t="b">
        <f>IFERROR(INDEX(Outliers!$AY$3:$AY$61,MATCH('SkYSPark Data_w Will''s Data'!C648,Outliers!$B$3:$B$61,0)),0)</f>
        <v>1</v>
      </c>
      <c r="AG648">
        <v>1.762171805752615</v>
      </c>
    </row>
    <row r="649" spans="1:124" x14ac:dyDescent="0.3">
      <c r="A649" s="2">
        <v>43770</v>
      </c>
      <c r="B649" s="3">
        <f t="shared" ref="B649:B712" si="60">MONTH(A649)</f>
        <v>11</v>
      </c>
      <c r="C649" s="3" t="s">
        <v>179</v>
      </c>
      <c r="D649" s="3" t="str">
        <f>VLOOKUP(C649,'Data availability'!$A$2:$B$91,2,FALSE)</f>
        <v>South campus</v>
      </c>
      <c r="E649" s="3">
        <v>3135</v>
      </c>
      <c r="F649" s="3" t="str">
        <f>VLOOKUP(C649,'Data availability'!$A$2:$H$91,8,FALSE)</f>
        <v>Storage</v>
      </c>
      <c r="G649" s="1">
        <v>4257.6198134863616</v>
      </c>
      <c r="M649" s="21">
        <f t="shared" si="56"/>
        <v>4.6338114206109937</v>
      </c>
      <c r="N649" s="21">
        <f t="shared" si="57"/>
        <v>0</v>
      </c>
      <c r="O649" s="21">
        <f t="shared" si="58"/>
        <v>0</v>
      </c>
      <c r="P649" s="21">
        <f t="shared" si="59"/>
        <v>0</v>
      </c>
      <c r="Z649" s="211" t="b">
        <f>IFERROR(INDEX(Outliers!$X$3:$X$61,MATCH('SkYSPark Data_w Will''s Data'!C649,Outliers!$B$3:$B$61,0)),0)</f>
        <v>0</v>
      </c>
      <c r="AA649" s="1" t="b">
        <f>IFERROR(INDEX(Outliers!$AP$3:$AP$61,MATCH('SkYSPark Data_w Will''s Data'!C649,Outliers!$B$3:$B$61,0)),0)</f>
        <v>1</v>
      </c>
      <c r="AB649" s="112" t="b">
        <f>IFERROR(INDEX(Outliers!$AY$3:$AY$61,MATCH('SkYSPark Data_w Will''s Data'!C649,Outliers!$B$3:$B$61,0)),0)</f>
        <v>1</v>
      </c>
      <c r="AG649">
        <v>1.412455814198736</v>
      </c>
    </row>
    <row r="650" spans="1:124" ht="15" customHeight="1" x14ac:dyDescent="0.3">
      <c r="A650" s="2">
        <v>43800</v>
      </c>
      <c r="B650" s="3">
        <f t="shared" si="60"/>
        <v>12</v>
      </c>
      <c r="C650" s="3" t="s">
        <v>179</v>
      </c>
      <c r="D650" s="3" t="str">
        <f>VLOOKUP(C650,'Data availability'!$A$2:$B$91,2,FALSE)</f>
        <v>South campus</v>
      </c>
      <c r="E650" s="3">
        <v>3135</v>
      </c>
      <c r="F650" s="3" t="str">
        <f>VLOOKUP(C650,'Data availability'!$A$2:$H$91,8,FALSE)</f>
        <v>Storage</v>
      </c>
      <c r="G650" s="1">
        <v>3645.8779999999551</v>
      </c>
      <c r="M650" s="21">
        <f t="shared" si="56"/>
        <v>3.9680177786283402</v>
      </c>
      <c r="N650" s="21">
        <f t="shared" si="57"/>
        <v>0</v>
      </c>
      <c r="O650" s="21">
        <f t="shared" si="58"/>
        <v>0</v>
      </c>
      <c r="P650" s="21">
        <f t="shared" si="59"/>
        <v>0</v>
      </c>
      <c r="Z650" s="211" t="b">
        <f>IFERROR(INDEX(Outliers!$X$3:$X$61,MATCH('SkYSPark Data_w Will''s Data'!C650,Outliers!$B$3:$B$61,0)),0)</f>
        <v>0</v>
      </c>
      <c r="AA650" s="1" t="b">
        <f>IFERROR(INDEX(Outliers!$AP$3:$AP$61,MATCH('SkYSPark Data_w Will''s Data'!C650,Outliers!$B$3:$B$61,0)),0)</f>
        <v>1</v>
      </c>
      <c r="AB650" s="112" t="b">
        <f>IFERROR(INDEX(Outliers!$AY$3:$AY$61,MATCH('SkYSPark Data_w Will''s Data'!C650,Outliers!$B$3:$B$61,0)),0)</f>
        <v>1</v>
      </c>
      <c r="AG650">
        <v>1.1615042562724109</v>
      </c>
    </row>
    <row r="651" spans="1:124" s="15" customFormat="1" x14ac:dyDescent="0.3">
      <c r="A651" s="38">
        <v>44927</v>
      </c>
      <c r="B651" s="22">
        <f t="shared" si="60"/>
        <v>1</v>
      </c>
      <c r="C651" s="22" t="s">
        <v>180</v>
      </c>
      <c r="D651" s="22" t="str">
        <f>VLOOKUP(C651,'Data availability'!$A$2:$B$91,2,FALSE)</f>
        <v>Main campus</v>
      </c>
      <c r="E651" s="22">
        <v>99853</v>
      </c>
      <c r="F651" s="3" t="str">
        <f>VLOOKUP(C651,'Data availability'!$A$2:$H$91,8,FALSE)</f>
        <v>Office</v>
      </c>
      <c r="G651" s="21">
        <v>92265.63636363743</v>
      </c>
      <c r="H651" s="21"/>
      <c r="I651" s="21">
        <v>2307.4571746384772</v>
      </c>
      <c r="J651" s="21"/>
      <c r="K651" s="21"/>
      <c r="L651" s="20"/>
      <c r="M651" s="21">
        <f t="shared" si="56"/>
        <v>3.1527380376426439</v>
      </c>
      <c r="N651" s="21">
        <f t="shared" si="57"/>
        <v>2.3108541302098855</v>
      </c>
      <c r="O651" s="21">
        <f t="shared" si="58"/>
        <v>0</v>
      </c>
      <c r="P651" s="21">
        <f t="shared" si="59"/>
        <v>0</v>
      </c>
      <c r="Q651" s="21">
        <f>(SUM(G651:G662)*3.412)/E651</f>
        <v>46.805604248904125</v>
      </c>
      <c r="R651" s="21">
        <f>(SUM(I651:I662)*100)/E651</f>
        <v>17.304508595377154</v>
      </c>
      <c r="S651" s="21">
        <f>(SUM(J651:J662)*100)/E651</f>
        <v>0</v>
      </c>
      <c r="T651" s="21">
        <f>(SUM(K651:K662)*12)/E651</f>
        <v>0</v>
      </c>
      <c r="U651" s="21"/>
      <c r="V651" s="34">
        <f>SUM(Q651:T651)</f>
        <v>64.110112844281275</v>
      </c>
      <c r="W651" s="19" t="s">
        <v>233</v>
      </c>
      <c r="X651" s="20"/>
      <c r="Y651" s="21"/>
      <c r="Z651" s="211" t="b">
        <f>IFERROR(INDEX(Outliers!$X$3:$X$61,MATCH('SkYSPark Data_w Will''s Data'!C651,Outliers!$B$3:$B$61,0)),0)</f>
        <v>0</v>
      </c>
      <c r="AA651" s="1" t="b">
        <f>IFERROR(INDEX(Outliers!$AP$3:$AP$61,MATCH('SkYSPark Data_w Will''s Data'!C651,Outliers!$B$3:$B$61,0)),0)</f>
        <v>1</v>
      </c>
      <c r="AB651" s="112" t="b">
        <f>IFERROR(INDEX(Outliers!$AY$3:$AY$61,MATCH('SkYSPark Data_w Will''s Data'!C651,Outliers!$B$3:$B$61,0)),0)</f>
        <v>1</v>
      </c>
      <c r="AC651" s="112" t="s">
        <v>392</v>
      </c>
      <c r="AD651" s="138"/>
      <c r="AE651" s="138"/>
      <c r="AF651" s="138"/>
      <c r="AH651" s="15">
        <v>7.5795449992226134</v>
      </c>
      <c r="DT651" s="15">
        <v>29968.939393938981</v>
      </c>
    </row>
    <row r="652" spans="1:124" x14ac:dyDescent="0.3">
      <c r="A652" s="2">
        <v>44958</v>
      </c>
      <c r="B652" s="3">
        <f t="shared" si="60"/>
        <v>2</v>
      </c>
      <c r="C652" s="3" t="s">
        <v>180</v>
      </c>
      <c r="D652" s="3" t="str">
        <f>VLOOKUP(C652,'Data availability'!$A$2:$B$91,2,FALSE)</f>
        <v>Main campus</v>
      </c>
      <c r="E652" s="3">
        <v>99853</v>
      </c>
      <c r="F652" s="3" t="str">
        <f>VLOOKUP(C652,'Data availability'!$A$2:$H$91,8,FALSE)</f>
        <v>Office</v>
      </c>
      <c r="G652" s="1">
        <v>90699</v>
      </c>
      <c r="I652" s="1">
        <v>2079.6054489052422</v>
      </c>
      <c r="M652" s="21">
        <f t="shared" si="56"/>
        <v>3.0992057123972239</v>
      </c>
      <c r="N652" s="21">
        <f t="shared" si="57"/>
        <v>2.0826669693501869</v>
      </c>
      <c r="O652" s="21">
        <f t="shared" si="58"/>
        <v>0</v>
      </c>
      <c r="P652" s="21">
        <f t="shared" si="59"/>
        <v>0</v>
      </c>
      <c r="W652" s="10" t="s">
        <v>234</v>
      </c>
      <c r="Z652" s="211" t="b">
        <f>IFERROR(INDEX(Outliers!$X$3:$X$61,MATCH('SkYSPark Data_w Will''s Data'!C652,Outliers!$B$3:$B$61,0)),0)</f>
        <v>0</v>
      </c>
      <c r="AA652" s="1" t="b">
        <f>IFERROR(INDEX(Outliers!$AP$3:$AP$61,MATCH('SkYSPark Data_w Will''s Data'!C652,Outliers!$B$3:$B$61,0)),0)</f>
        <v>1</v>
      </c>
      <c r="AB652" s="112" t="b">
        <f>IFERROR(INDEX(Outliers!$AY$3:$AY$61,MATCH('SkYSPark Data_w Will''s Data'!C652,Outliers!$B$3:$B$61,0)),0)</f>
        <v>1</v>
      </c>
      <c r="AC652" s="112" t="s">
        <v>392</v>
      </c>
      <c r="AH652">
        <v>7.3111348072588358</v>
      </c>
      <c r="DT652">
        <v>26565.999999999771</v>
      </c>
    </row>
    <row r="653" spans="1:124" x14ac:dyDescent="0.3">
      <c r="A653" s="2">
        <v>44986</v>
      </c>
      <c r="B653" s="3">
        <f t="shared" si="60"/>
        <v>3</v>
      </c>
      <c r="C653" s="3" t="s">
        <v>180</v>
      </c>
      <c r="D653" s="3" t="str">
        <f>VLOOKUP(C653,'Data availability'!$A$2:$B$91,2,FALSE)</f>
        <v>Main campus</v>
      </c>
      <c r="E653" s="3">
        <v>99853</v>
      </c>
      <c r="F653" s="3" t="str">
        <f>VLOOKUP(C653,'Data availability'!$A$2:$H$91,8,FALSE)</f>
        <v>Office</v>
      </c>
      <c r="G653" s="1">
        <v>99974.829962072516</v>
      </c>
      <c r="I653" s="1">
        <v>2749.1833441981698</v>
      </c>
      <c r="M653" s="21">
        <f t="shared" si="56"/>
        <v>3.4161629578539596</v>
      </c>
      <c r="N653" s="21">
        <f t="shared" si="57"/>
        <v>2.7532305931701297</v>
      </c>
      <c r="O653" s="21">
        <f t="shared" si="58"/>
        <v>0</v>
      </c>
      <c r="P653" s="21">
        <f t="shared" si="59"/>
        <v>0</v>
      </c>
      <c r="Z653" s="211" t="b">
        <f>IFERROR(INDEX(Outliers!$X$3:$X$61,MATCH('SkYSPark Data_w Will''s Data'!C653,Outliers!$B$3:$B$61,0)),0)</f>
        <v>0</v>
      </c>
      <c r="AA653" s="1" t="b">
        <f>IFERROR(INDEX(Outliers!$AP$3:$AP$61,MATCH('SkYSPark Data_w Will''s Data'!C653,Outliers!$B$3:$B$61,0)),0)</f>
        <v>1</v>
      </c>
      <c r="AB653" s="112" t="b">
        <f>IFERROR(INDEX(Outliers!$AY$3:$AY$61,MATCH('SkYSPark Data_w Will''s Data'!C653,Outliers!$B$3:$B$61,0)),0)</f>
        <v>1</v>
      </c>
      <c r="AC653" s="112" t="s">
        <v>392</v>
      </c>
      <c r="AH653">
        <v>6.7165874542228536</v>
      </c>
      <c r="DT653">
        <v>28881.659292035751</v>
      </c>
    </row>
    <row r="654" spans="1:124" x14ac:dyDescent="0.3">
      <c r="A654" s="2">
        <v>45017</v>
      </c>
      <c r="B654" s="3">
        <f t="shared" si="60"/>
        <v>4</v>
      </c>
      <c r="C654" s="3" t="s">
        <v>180</v>
      </c>
      <c r="D654" s="3" t="str">
        <f>VLOOKUP(C654,'Data availability'!$A$2:$B$91,2,FALSE)</f>
        <v>Main campus</v>
      </c>
      <c r="E654" s="3">
        <v>99853</v>
      </c>
      <c r="F654" s="3" t="str">
        <f>VLOOKUP(C654,'Data availability'!$A$2:$H$91,8,FALSE)</f>
        <v>Office</v>
      </c>
      <c r="G654" s="1">
        <v>108658.67003792569</v>
      </c>
      <c r="I654" s="1">
        <v>2273.4027777778128</v>
      </c>
      <c r="M654" s="21">
        <f t="shared" si="56"/>
        <v>3.7128917725997459</v>
      </c>
      <c r="N654" s="21">
        <f t="shared" si="57"/>
        <v>2.2767495996893561</v>
      </c>
      <c r="O654" s="21">
        <f t="shared" si="58"/>
        <v>0</v>
      </c>
      <c r="P654" s="21">
        <f t="shared" si="59"/>
        <v>0</v>
      </c>
      <c r="Z654" s="211" t="b">
        <f>IFERROR(INDEX(Outliers!$X$3:$X$61,MATCH('SkYSPark Data_w Will''s Data'!C654,Outliers!$B$3:$B$61,0)),0)</f>
        <v>0</v>
      </c>
      <c r="AA654" s="1" t="b">
        <f>IFERROR(INDEX(Outliers!$AP$3:$AP$61,MATCH('SkYSPark Data_w Will''s Data'!C654,Outliers!$B$3:$B$61,0)),0)</f>
        <v>1</v>
      </c>
      <c r="AB654" s="112" t="b">
        <f>IFERROR(INDEX(Outliers!$AY$3:$AY$61,MATCH('SkYSPark Data_w Will''s Data'!C654,Outliers!$B$3:$B$61,0)),0)</f>
        <v>1</v>
      </c>
      <c r="AC654" s="112" t="s">
        <v>392</v>
      </c>
      <c r="AH654">
        <v>4.5299709362139948</v>
      </c>
      <c r="DT654">
        <v>27422.340707964919</v>
      </c>
    </row>
    <row r="655" spans="1:124" x14ac:dyDescent="0.3">
      <c r="A655" s="2">
        <v>45047</v>
      </c>
      <c r="B655" s="3">
        <f t="shared" si="60"/>
        <v>5</v>
      </c>
      <c r="C655" s="3" t="s">
        <v>180</v>
      </c>
      <c r="D655" s="3" t="str">
        <f>VLOOKUP(C655,'Data availability'!$A$2:$B$91,2,FALSE)</f>
        <v>Main campus</v>
      </c>
      <c r="E655" s="3">
        <v>99853</v>
      </c>
      <c r="F655" s="3" t="str">
        <f>VLOOKUP(C655,'Data availability'!$A$2:$H$91,8,FALSE)</f>
        <v>Office</v>
      </c>
      <c r="G655" s="1">
        <v>126200.0000000008</v>
      </c>
      <c r="I655" s="1">
        <v>1283.57706093192</v>
      </c>
      <c r="M655" s="21">
        <f t="shared" si="56"/>
        <v>4.3122830560924825</v>
      </c>
      <c r="N655" s="21">
        <f t="shared" si="57"/>
        <v>1.2854666969764754</v>
      </c>
      <c r="O655" s="21">
        <f t="shared" si="58"/>
        <v>0</v>
      </c>
      <c r="P655" s="21">
        <f t="shared" si="59"/>
        <v>0</v>
      </c>
      <c r="Z655" s="211" t="b">
        <f>IFERROR(INDEX(Outliers!$X$3:$X$61,MATCH('SkYSPark Data_w Will''s Data'!C655,Outliers!$B$3:$B$61,0)),0)</f>
        <v>0</v>
      </c>
      <c r="AA655" s="1" t="b">
        <f>IFERROR(INDEX(Outliers!$AP$3:$AP$61,MATCH('SkYSPark Data_w Will''s Data'!C655,Outliers!$B$3:$B$61,0)),0)</f>
        <v>1</v>
      </c>
      <c r="AB655" s="112" t="b">
        <f>IFERROR(INDEX(Outliers!$AY$3:$AY$61,MATCH('SkYSPark Data_w Will''s Data'!C655,Outliers!$B$3:$B$61,0)),0)</f>
        <v>1</v>
      </c>
      <c r="AC655" s="112" t="s">
        <v>392</v>
      </c>
      <c r="AH655">
        <v>2.0490475938130208</v>
      </c>
      <c r="DT655">
        <v>29196.000000000138</v>
      </c>
    </row>
    <row r="656" spans="1:124" x14ac:dyDescent="0.3">
      <c r="A656" s="2">
        <v>45078</v>
      </c>
      <c r="B656" s="3">
        <f t="shared" si="60"/>
        <v>6</v>
      </c>
      <c r="C656" s="3" t="s">
        <v>180</v>
      </c>
      <c r="D656" s="3" t="str">
        <f>VLOOKUP(C656,'Data availability'!$A$2:$B$91,2,FALSE)</f>
        <v>Main campus</v>
      </c>
      <c r="E656" s="3">
        <v>99853</v>
      </c>
      <c r="F656" s="3" t="str">
        <f>VLOOKUP(C656,'Data availability'!$A$2:$H$91,8,FALSE)</f>
        <v>Office</v>
      </c>
      <c r="G656" s="1">
        <v>119129.085365853</v>
      </c>
      <c r="I656" s="1">
        <v>974.23891129032177</v>
      </c>
      <c r="M656" s="21">
        <f t="shared" si="56"/>
        <v>4.0706682750472236</v>
      </c>
      <c r="N656" s="21">
        <f t="shared" si="57"/>
        <v>0.9756731508220301</v>
      </c>
      <c r="O656" s="21">
        <f t="shared" si="58"/>
        <v>0</v>
      </c>
      <c r="P656" s="21">
        <f t="shared" si="59"/>
        <v>0</v>
      </c>
      <c r="Z656" s="211" t="b">
        <f>IFERROR(INDEX(Outliers!$X$3:$X$61,MATCH('SkYSPark Data_w Will''s Data'!C656,Outliers!$B$3:$B$61,0)),0)</f>
        <v>0</v>
      </c>
      <c r="AA656" s="1" t="b">
        <f>IFERROR(INDEX(Outliers!$AP$3:$AP$61,MATCH('SkYSPark Data_w Will''s Data'!C656,Outliers!$B$3:$B$61,0)),0)</f>
        <v>1</v>
      </c>
      <c r="AB656" s="112" t="b">
        <f>IFERROR(INDEX(Outliers!$AY$3:$AY$61,MATCH('SkYSPark Data_w Will''s Data'!C656,Outliers!$B$3:$B$61,0)),0)</f>
        <v>1</v>
      </c>
      <c r="AC656" s="112" t="s">
        <v>392</v>
      </c>
      <c r="AH656">
        <v>1.65714559531808</v>
      </c>
      <c r="DT656">
        <v>26113.170731707141</v>
      </c>
    </row>
    <row r="657" spans="1:124" x14ac:dyDescent="0.3">
      <c r="A657" s="2">
        <v>45108</v>
      </c>
      <c r="B657" s="3">
        <f t="shared" si="60"/>
        <v>7</v>
      </c>
      <c r="C657" s="3" t="s">
        <v>180</v>
      </c>
      <c r="D657" s="3" t="str">
        <f>VLOOKUP(C657,'Data availability'!$A$2:$B$91,2,FALSE)</f>
        <v>Main campus</v>
      </c>
      <c r="E657" s="3">
        <v>99853</v>
      </c>
      <c r="F657" s="3" t="str">
        <f>VLOOKUP(C657,'Data availability'!$A$2:$H$91,8,FALSE)</f>
        <v>Office</v>
      </c>
      <c r="G657" s="1">
        <v>141154.9146341451</v>
      </c>
      <c r="I657" s="1">
        <v>1033.4062500000109</v>
      </c>
      <c r="M657" s="21">
        <f t="shared" si="56"/>
        <v>4.823295932337567</v>
      </c>
      <c r="N657" s="21">
        <f t="shared" si="57"/>
        <v>1.0349275935625479</v>
      </c>
      <c r="O657" s="21">
        <f t="shared" si="58"/>
        <v>0</v>
      </c>
      <c r="P657" s="21">
        <f t="shared" si="59"/>
        <v>0</v>
      </c>
      <c r="Z657" s="211" t="b">
        <f>IFERROR(INDEX(Outliers!$X$3:$X$61,MATCH('SkYSPark Data_w Will''s Data'!C657,Outliers!$B$3:$B$61,0)),0)</f>
        <v>0</v>
      </c>
      <c r="AA657" s="1" t="b">
        <f>IFERROR(INDEX(Outliers!$AP$3:$AP$61,MATCH('SkYSPark Data_w Will''s Data'!C657,Outliers!$B$3:$B$61,0)),0)</f>
        <v>1</v>
      </c>
      <c r="AB657" s="112" t="b">
        <f>IFERROR(INDEX(Outliers!$AY$3:$AY$61,MATCH('SkYSPark Data_w Will''s Data'!C657,Outliers!$B$3:$B$61,0)),0)</f>
        <v>1</v>
      </c>
      <c r="AC657" s="112" t="s">
        <v>392</v>
      </c>
      <c r="AH657">
        <v>1.774069640456978</v>
      </c>
      <c r="DT657">
        <v>27376.079268292691</v>
      </c>
    </row>
    <row r="658" spans="1:124" x14ac:dyDescent="0.3">
      <c r="A658" s="2">
        <v>45139</v>
      </c>
      <c r="B658" s="3">
        <f t="shared" si="60"/>
        <v>8</v>
      </c>
      <c r="C658" s="3" t="s">
        <v>180</v>
      </c>
      <c r="D658" s="3" t="str">
        <f>VLOOKUP(C658,'Data availability'!$A$2:$B$91,2,FALSE)</f>
        <v>Main campus</v>
      </c>
      <c r="E658" s="3">
        <v>99853</v>
      </c>
      <c r="F658" s="3" t="str">
        <f>VLOOKUP(C658,'Data availability'!$A$2:$H$91,8,FALSE)</f>
        <v>Office</v>
      </c>
      <c r="G658" s="1">
        <v>146382.8857142858</v>
      </c>
      <c r="I658" s="1">
        <v>990.62068965518233</v>
      </c>
      <c r="M658" s="21">
        <f t="shared" si="56"/>
        <v>5.0019369078259359</v>
      </c>
      <c r="N658" s="21">
        <f t="shared" si="57"/>
        <v>0.99207904585258566</v>
      </c>
      <c r="O658" s="21">
        <f t="shared" si="58"/>
        <v>0</v>
      </c>
      <c r="P658" s="21">
        <f t="shared" si="59"/>
        <v>0</v>
      </c>
      <c r="Z658" s="211" t="b">
        <f>IFERROR(INDEX(Outliers!$X$3:$X$61,MATCH('SkYSPark Data_w Will''s Data'!C658,Outliers!$B$3:$B$61,0)),0)</f>
        <v>0</v>
      </c>
      <c r="AA658" s="1" t="b">
        <f>IFERROR(INDEX(Outliers!$AP$3:$AP$61,MATCH('SkYSPark Data_w Will''s Data'!C658,Outliers!$B$3:$B$61,0)),0)</f>
        <v>1</v>
      </c>
      <c r="AB658" s="112" t="b">
        <f>IFERROR(INDEX(Outliers!$AY$3:$AY$61,MATCH('SkYSPark Data_w Will''s Data'!C658,Outliers!$B$3:$B$61,0)),0)</f>
        <v>1</v>
      </c>
      <c r="AC658" s="112" t="s">
        <v>392</v>
      </c>
      <c r="AH658">
        <v>1.7919773996570469</v>
      </c>
      <c r="DT658">
        <v>27874.53571428527</v>
      </c>
    </row>
    <row r="659" spans="1:124" x14ac:dyDescent="0.3">
      <c r="A659" s="2">
        <v>45170</v>
      </c>
      <c r="B659" s="3">
        <f t="shared" si="60"/>
        <v>9</v>
      </c>
      <c r="C659" s="3" t="s">
        <v>180</v>
      </c>
      <c r="D659" s="3" t="str">
        <f>VLOOKUP(C659,'Data availability'!$A$2:$B$91,2,FALSE)</f>
        <v>Main campus</v>
      </c>
      <c r="E659" s="3">
        <v>99853</v>
      </c>
      <c r="F659" s="3" t="str">
        <f>VLOOKUP(C659,'Data availability'!$A$2:$H$91,8,FALSE)</f>
        <v>Office</v>
      </c>
      <c r="G659" s="1">
        <v>122037.8179894166</v>
      </c>
      <c r="I659" s="1">
        <v>470.66963292546302</v>
      </c>
      <c r="M659" s="21">
        <f t="shared" si="56"/>
        <v>4.1700603384964836</v>
      </c>
      <c r="N659" s="21">
        <f t="shared" si="57"/>
        <v>0.47136253585316717</v>
      </c>
      <c r="O659" s="21">
        <f t="shared" si="58"/>
        <v>0</v>
      </c>
      <c r="P659" s="21">
        <f t="shared" si="59"/>
        <v>0</v>
      </c>
      <c r="Z659" s="211" t="b">
        <f>IFERROR(INDEX(Outliers!$X$3:$X$61,MATCH('SkYSPark Data_w Will''s Data'!C659,Outliers!$B$3:$B$61,0)),0)</f>
        <v>0</v>
      </c>
      <c r="AA659" s="1" t="b">
        <f>IFERROR(INDEX(Outliers!$AP$3:$AP$61,MATCH('SkYSPark Data_w Will''s Data'!C659,Outliers!$B$3:$B$61,0)),0)</f>
        <v>1</v>
      </c>
      <c r="AB659" s="112" t="b">
        <f>IFERROR(INDEX(Outliers!$AY$3:$AY$61,MATCH('SkYSPark Data_w Will''s Data'!C659,Outliers!$B$3:$B$61,0)),0)</f>
        <v>1</v>
      </c>
      <c r="AC659" s="112" t="s">
        <v>392</v>
      </c>
      <c r="AH659">
        <v>0.97336744530958075</v>
      </c>
      <c r="DT659">
        <v>27802.9550264553</v>
      </c>
    </row>
    <row r="660" spans="1:124" x14ac:dyDescent="0.3">
      <c r="A660" s="2">
        <v>45200</v>
      </c>
      <c r="B660" s="3">
        <f t="shared" si="60"/>
        <v>10</v>
      </c>
      <c r="C660" s="3" t="s">
        <v>180</v>
      </c>
      <c r="D660" s="3" t="str">
        <f>VLOOKUP(C660,'Data availability'!$A$2:$B$91,2,FALSE)</f>
        <v>Main campus</v>
      </c>
      <c r="E660" s="3">
        <v>99853</v>
      </c>
      <c r="F660" s="3" t="str">
        <f>VLOOKUP(C660,'Data availability'!$A$2:$H$91,8,FALSE)</f>
        <v>Office</v>
      </c>
      <c r="G660" s="1">
        <v>121262.7962962957</v>
      </c>
      <c r="I660" s="1">
        <v>338.82732447817642</v>
      </c>
      <c r="M660" s="21">
        <f t="shared" si="56"/>
        <v>4.1435776688027488</v>
      </c>
      <c r="N660" s="21">
        <f t="shared" si="57"/>
        <v>0.3393261338950021</v>
      </c>
      <c r="O660" s="21">
        <f t="shared" si="58"/>
        <v>0</v>
      </c>
      <c r="P660" s="21">
        <f t="shared" si="59"/>
        <v>0</v>
      </c>
      <c r="Z660" s="211" t="b">
        <f>IFERROR(INDEX(Outliers!$X$3:$X$61,MATCH('SkYSPark Data_w Will''s Data'!C660,Outliers!$B$3:$B$61,0)),0)</f>
        <v>0</v>
      </c>
      <c r="AA660" s="1" t="b">
        <f>IFERROR(INDEX(Outliers!$AP$3:$AP$61,MATCH('SkYSPark Data_w Will''s Data'!C660,Outliers!$B$3:$B$61,0)),0)</f>
        <v>1</v>
      </c>
      <c r="AB660" s="112" t="b">
        <f>IFERROR(INDEX(Outliers!$AY$3:$AY$61,MATCH('SkYSPark Data_w Will''s Data'!C660,Outliers!$B$3:$B$61,0)),0)</f>
        <v>1</v>
      </c>
      <c r="AC660" s="112" t="s">
        <v>392</v>
      </c>
      <c r="AH660">
        <v>0.82228421718171174</v>
      </c>
      <c r="DT660">
        <v>29214.259259259121</v>
      </c>
    </row>
    <row r="661" spans="1:124" x14ac:dyDescent="0.3">
      <c r="A661" s="2">
        <v>45231</v>
      </c>
      <c r="B661" s="3">
        <f t="shared" si="60"/>
        <v>11</v>
      </c>
      <c r="C661" s="3" t="s">
        <v>180</v>
      </c>
      <c r="D661" s="3" t="str">
        <f>VLOOKUP(C661,'Data availability'!$A$2:$B$91,2,FALSE)</f>
        <v>Main campus</v>
      </c>
      <c r="E661" s="3">
        <v>99853</v>
      </c>
      <c r="F661" s="3" t="str">
        <f>VLOOKUP(C661,'Data availability'!$A$2:$H$91,8,FALSE)</f>
        <v>Office</v>
      </c>
      <c r="G661" s="1">
        <v>103366.66960908061</v>
      </c>
      <c r="I661" s="1">
        <v>1159.817836812156</v>
      </c>
      <c r="M661" s="21">
        <f t="shared" si="56"/>
        <v>3.5320628995241306</v>
      </c>
      <c r="N661" s="21">
        <f t="shared" si="57"/>
        <v>1.1615252789722452</v>
      </c>
      <c r="O661" s="21">
        <f t="shared" si="58"/>
        <v>0</v>
      </c>
      <c r="P661" s="21">
        <f t="shared" si="59"/>
        <v>0</v>
      </c>
      <c r="Z661" s="211" t="b">
        <f>IFERROR(INDEX(Outliers!$X$3:$X$61,MATCH('SkYSPark Data_w Will''s Data'!C661,Outliers!$B$3:$B$61,0)),0)</f>
        <v>0</v>
      </c>
      <c r="AA661" s="1" t="b">
        <f>IFERROR(INDEX(Outliers!$AP$3:$AP$61,MATCH('SkYSPark Data_w Will''s Data'!C661,Outliers!$B$3:$B$61,0)),0)</f>
        <v>1</v>
      </c>
      <c r="AB661" s="112" t="b">
        <f>IFERROR(INDEX(Outliers!$AY$3:$AY$61,MATCH('SkYSPark Data_w Will''s Data'!C661,Outliers!$B$3:$B$61,0)),0)</f>
        <v>1</v>
      </c>
      <c r="AC661" s="112" t="s">
        <v>392</v>
      </c>
      <c r="AH661">
        <v>3.0994857865384411</v>
      </c>
      <c r="DT661">
        <v>28890.2336065571</v>
      </c>
    </row>
    <row r="662" spans="1:124" s="69" customFormat="1" x14ac:dyDescent="0.3">
      <c r="A662" s="65">
        <v>45261</v>
      </c>
      <c r="B662" s="64">
        <f t="shared" si="60"/>
        <v>12</v>
      </c>
      <c r="C662" s="64" t="s">
        <v>180</v>
      </c>
      <c r="D662" s="64" t="str">
        <f>VLOOKUP(C662,'Data availability'!$A$2:$B$91,2,FALSE)</f>
        <v>Main campus</v>
      </c>
      <c r="E662" s="64">
        <v>99853</v>
      </c>
      <c r="F662" s="3" t="str">
        <f>VLOOKUP(C662,'Data availability'!$A$2:$H$91,8,FALSE)</f>
        <v>Office</v>
      </c>
      <c r="G662" s="66">
        <v>98644.951080576109</v>
      </c>
      <c r="H662" s="66"/>
      <c r="I662" s="66">
        <v>1618.2645161290191</v>
      </c>
      <c r="J662" s="66"/>
      <c r="K662" s="66"/>
      <c r="L662" s="67"/>
      <c r="M662" s="21">
        <f t="shared" si="56"/>
        <v>3.3707206902839739</v>
      </c>
      <c r="N662" s="21">
        <f t="shared" si="57"/>
        <v>1.6206468670235437</v>
      </c>
      <c r="O662" s="21">
        <f t="shared" si="58"/>
        <v>0</v>
      </c>
      <c r="P662" s="21">
        <f t="shared" si="59"/>
        <v>0</v>
      </c>
      <c r="Q662" s="66"/>
      <c r="R662" s="66"/>
      <c r="S662" s="66"/>
      <c r="T662" s="66"/>
      <c r="U662" s="66"/>
      <c r="V662" s="68"/>
      <c r="W662" s="66"/>
      <c r="X662" s="67"/>
      <c r="Y662" s="66"/>
      <c r="Z662" s="211" t="b">
        <f>IFERROR(INDEX(Outliers!$X$3:$X$61,MATCH('SkYSPark Data_w Will''s Data'!C662,Outliers!$B$3:$B$61,0)),0)</f>
        <v>0</v>
      </c>
      <c r="AA662" s="1" t="b">
        <f>IFERROR(INDEX(Outliers!$AP$3:$AP$61,MATCH('SkYSPark Data_w Will''s Data'!C662,Outliers!$B$3:$B$61,0)),0)</f>
        <v>1</v>
      </c>
      <c r="AB662" s="112" t="b">
        <f>IFERROR(INDEX(Outliers!$AY$3:$AY$61,MATCH('SkYSPark Data_w Will''s Data'!C662,Outliers!$B$3:$B$61,0)),0)</f>
        <v>1</v>
      </c>
      <c r="AC662" s="112" t="s">
        <v>392</v>
      </c>
      <c r="AD662" s="134"/>
      <c r="AE662" s="134"/>
      <c r="AF662" s="134"/>
      <c r="AH662" s="69">
        <v>4.4593791478784164</v>
      </c>
      <c r="DT662" s="69">
        <v>29973.809496890612</v>
      </c>
    </row>
    <row r="663" spans="1:124" x14ac:dyDescent="0.3">
      <c r="A663" s="2">
        <v>44927</v>
      </c>
      <c r="B663" s="3">
        <f t="shared" si="60"/>
        <v>1</v>
      </c>
      <c r="C663" s="3" t="s">
        <v>418</v>
      </c>
      <c r="D663" s="3" t="str">
        <f>VLOOKUP(C663,'Data availability'!$A$2:$B$91,2,FALSE)</f>
        <v>Main campus</v>
      </c>
      <c r="E663" s="3">
        <v>226256</v>
      </c>
      <c r="F663" s="3" t="str">
        <f>VLOOKUP(C663,'Data availability'!$A$2:$H$91,8,FALSE)</f>
        <v>Office</v>
      </c>
      <c r="G663" s="1">
        <v>233848.48484848716</v>
      </c>
      <c r="I663" s="1">
        <v>974.69999999999004</v>
      </c>
      <c r="J663" s="1">
        <v>2408.0224609375382</v>
      </c>
      <c r="K663" s="185">
        <f>'Climate Normalization'!D85</f>
        <v>8472.5210937500724</v>
      </c>
      <c r="M663" s="21">
        <f t="shared" si="56"/>
        <v>3.5264966688310508</v>
      </c>
      <c r="N663" s="21">
        <f t="shared" si="57"/>
        <v>0.4307952054310118</v>
      </c>
      <c r="O663" s="21">
        <f t="shared" si="58"/>
        <v>1.0642910954571538</v>
      </c>
      <c r="P663" s="21">
        <f t="shared" si="59"/>
        <v>0.44935936781787383</v>
      </c>
      <c r="Q663" s="1">
        <f>(SUM(G663:G674)*3.412)/E663</f>
        <v>46.05248676456339</v>
      </c>
      <c r="R663" s="1">
        <f>(SUM(I663:I674)*100)/E663</f>
        <v>6.3626452631826913</v>
      </c>
      <c r="S663" s="1">
        <f>(SUM(J663:J674)*100)/E663</f>
        <v>12.740912982694374</v>
      </c>
      <c r="T663" s="1">
        <f>(SUM(K663:K674)*12)/E663</f>
        <v>18.463141387837346</v>
      </c>
      <c r="V663" s="33">
        <f>SUM(Q663:T663)</f>
        <v>83.619186398277805</v>
      </c>
      <c r="W663" s="25" t="s">
        <v>424</v>
      </c>
      <c r="Y663" s="1" t="s">
        <v>582</v>
      </c>
      <c r="Z663" s="211" t="b">
        <v>1</v>
      </c>
      <c r="AA663" s="1" t="b">
        <v>1</v>
      </c>
      <c r="AB663" s="112" t="b">
        <v>1</v>
      </c>
      <c r="AC663" s="112" t="s">
        <v>392</v>
      </c>
      <c r="AE663" s="136" t="s">
        <v>392</v>
      </c>
      <c r="AF663" s="132"/>
    </row>
    <row r="664" spans="1:124" x14ac:dyDescent="0.3">
      <c r="A664" s="2">
        <v>44958</v>
      </c>
      <c r="B664" s="3">
        <f t="shared" si="60"/>
        <v>2</v>
      </c>
      <c r="C664" s="3" t="s">
        <v>418</v>
      </c>
      <c r="D664" s="3" t="str">
        <f>VLOOKUP(C664,'Data availability'!$A$2:$B$91,2,FALSE)</f>
        <v>Main campus</v>
      </c>
      <c r="E664" s="3">
        <v>226257</v>
      </c>
      <c r="F664" s="3" t="str">
        <f>VLOOKUP(C664,'Data availability'!$A$2:$H$91,8,FALSE)</f>
        <v>Office</v>
      </c>
      <c r="G664" s="1">
        <v>233799.4999999975</v>
      </c>
      <c r="I664" s="1">
        <v>1444.8488917861696</v>
      </c>
      <c r="J664" s="1">
        <v>2197.0263671875373</v>
      </c>
      <c r="K664" s="185">
        <f>'Climate Normalization'!D86</f>
        <v>8204.0738281251342</v>
      </c>
      <c r="M664" s="21">
        <f t="shared" si="56"/>
        <v>3.5257423814511437</v>
      </c>
      <c r="N664" s="21">
        <f t="shared" si="57"/>
        <v>0.63858748758543138</v>
      </c>
      <c r="O664" s="21">
        <f t="shared" si="58"/>
        <v>0.97103133480402248</v>
      </c>
      <c r="P664" s="21">
        <f t="shared" si="59"/>
        <v>0.43511973524576752</v>
      </c>
      <c r="W664" s="25" t="s">
        <v>425</v>
      </c>
      <c r="Z664" s="211" t="b">
        <v>1</v>
      </c>
      <c r="AA664" s="1" t="b">
        <v>1</v>
      </c>
      <c r="AB664" s="112" t="b">
        <v>1</v>
      </c>
      <c r="AC664" s="112" t="s">
        <v>392</v>
      </c>
      <c r="AF664" s="132"/>
    </row>
    <row r="665" spans="1:124" x14ac:dyDescent="0.3">
      <c r="A665" s="2">
        <v>44986</v>
      </c>
      <c r="B665" s="3">
        <f t="shared" si="60"/>
        <v>3</v>
      </c>
      <c r="C665" s="3" t="s">
        <v>418</v>
      </c>
      <c r="D665" s="3" t="str">
        <f>VLOOKUP(C665,'Data availability'!$A$2:$B$91,2,FALSE)</f>
        <v>Main campus</v>
      </c>
      <c r="E665" s="3">
        <v>226258</v>
      </c>
      <c r="F665" s="3" t="str">
        <f>VLOOKUP(C665,'Data availability'!$A$2:$H$91,8,FALSE)</f>
        <v>Office</v>
      </c>
      <c r="G665" s="1">
        <v>258178.87989886731</v>
      </c>
      <c r="I665" s="1">
        <v>1676.8511082138039</v>
      </c>
      <c r="J665" s="1">
        <v>2458.3300781249663</v>
      </c>
      <c r="K665" s="185">
        <f>'Climate Normalization'!D87</f>
        <v>9923.9538953874944</v>
      </c>
      <c r="M665" s="21">
        <f t="shared" si="56"/>
        <v>3.893371011035788</v>
      </c>
      <c r="N665" s="21">
        <f t="shared" si="57"/>
        <v>0.74112345561872017</v>
      </c>
      <c r="O665" s="21">
        <f t="shared" si="58"/>
        <v>1.0865163124066182</v>
      </c>
      <c r="P665" s="21">
        <f t="shared" si="59"/>
        <v>0.52633474504614175</v>
      </c>
      <c r="W665" s="25" t="s">
        <v>426</v>
      </c>
      <c r="Z665" s="211" t="b">
        <v>1</v>
      </c>
      <c r="AA665" s="1" t="b">
        <v>1</v>
      </c>
      <c r="AB665" s="112" t="b">
        <v>1</v>
      </c>
      <c r="AC665" s="112" t="s">
        <v>392</v>
      </c>
      <c r="AF665" s="132"/>
    </row>
    <row r="666" spans="1:124" x14ac:dyDescent="0.3">
      <c r="A666" s="2">
        <v>45017</v>
      </c>
      <c r="B666" s="3">
        <f t="shared" si="60"/>
        <v>4</v>
      </c>
      <c r="C666" s="3" t="s">
        <v>418</v>
      </c>
      <c r="D666" s="3" t="str">
        <f>VLOOKUP(C666,'Data availability'!$A$2:$B$91,2,FALSE)</f>
        <v>Main campus</v>
      </c>
      <c r="E666" s="3">
        <v>226259</v>
      </c>
      <c r="F666" s="3" t="str">
        <f>VLOOKUP(C666,'Data availability'!$A$2:$H$91,8,FALSE)</f>
        <v>Office</v>
      </c>
      <c r="G666" s="1">
        <v>269621.78676780593</v>
      </c>
      <c r="I666" s="1">
        <v>1664.4275862069014</v>
      </c>
      <c r="J666" s="1">
        <v>1761.8945312499754</v>
      </c>
      <c r="K666" s="185">
        <f>'Climate Normalization'!D88</f>
        <v>19430.808511301439</v>
      </c>
      <c r="M666" s="21">
        <f t="shared" si="56"/>
        <v>4.0659135612362549</v>
      </c>
      <c r="N666" s="21">
        <f t="shared" si="57"/>
        <v>0.73562933903486782</v>
      </c>
      <c r="O666" s="21">
        <f t="shared" si="58"/>
        <v>0.77870693817703407</v>
      </c>
      <c r="P666" s="21">
        <f t="shared" si="59"/>
        <v>1.0305433248428451</v>
      </c>
      <c r="W666" s="10" t="s">
        <v>550</v>
      </c>
      <c r="Z666" s="211" t="b">
        <v>1</v>
      </c>
      <c r="AA666" s="1" t="b">
        <v>1</v>
      </c>
      <c r="AB666" s="112" t="b">
        <v>1</v>
      </c>
      <c r="AC666" s="112" t="s">
        <v>392</v>
      </c>
      <c r="AF666" s="132"/>
    </row>
    <row r="667" spans="1:124" x14ac:dyDescent="0.3">
      <c r="A667" s="2">
        <v>45047</v>
      </c>
      <c r="B667" s="3">
        <f t="shared" si="60"/>
        <v>5</v>
      </c>
      <c r="C667" s="3" t="s">
        <v>418</v>
      </c>
      <c r="D667" s="3" t="str">
        <f>VLOOKUP(C667,'Data availability'!$A$2:$B$91,2,FALSE)</f>
        <v>Main campus</v>
      </c>
      <c r="E667" s="3">
        <v>226260</v>
      </c>
      <c r="F667" s="3" t="str">
        <f>VLOOKUP(C667,'Data availability'!$A$2:$H$91,8,FALSE)</f>
        <v>Office</v>
      </c>
      <c r="G667" s="1">
        <v>257307.33333333093</v>
      </c>
      <c r="I667" s="1">
        <v>1085.5474137931169</v>
      </c>
      <c r="J667" s="1">
        <v>2113.9941406249818</v>
      </c>
      <c r="K667" s="185">
        <f>'Climate Normalization'!D89</f>
        <v>31103.221974828477</v>
      </c>
      <c r="M667" s="21">
        <f t="shared" si="56"/>
        <v>3.880193676890856</v>
      </c>
      <c r="N667" s="21">
        <f t="shared" si="57"/>
        <v>0.47977875620662813</v>
      </c>
      <c r="O667" s="21">
        <f t="shared" si="58"/>
        <v>0.93432075515998492</v>
      </c>
      <c r="P667" s="21">
        <f t="shared" si="59"/>
        <v>1.6496007411736131</v>
      </c>
      <c r="W667" s="10" t="s">
        <v>713</v>
      </c>
      <c r="Z667" s="211" t="b">
        <v>1</v>
      </c>
      <c r="AA667" s="1" t="b">
        <v>1</v>
      </c>
      <c r="AB667" s="112" t="b">
        <v>1</v>
      </c>
      <c r="AC667" s="112" t="s">
        <v>392</v>
      </c>
      <c r="AF667" s="132"/>
    </row>
    <row r="668" spans="1:124" x14ac:dyDescent="0.3">
      <c r="A668" s="2">
        <v>45078</v>
      </c>
      <c r="B668" s="3">
        <f t="shared" si="60"/>
        <v>6</v>
      </c>
      <c r="C668" s="3" t="s">
        <v>418</v>
      </c>
      <c r="D668" s="3" t="str">
        <f>VLOOKUP(C668,'Data availability'!$A$2:$B$91,2,FALSE)</f>
        <v>Main campus</v>
      </c>
      <c r="E668" s="3">
        <v>226261</v>
      </c>
      <c r="F668" s="3" t="str">
        <f>VLOOKUP(C668,'Data availability'!$A$2:$H$91,8,FALSE)</f>
        <v>Office</v>
      </c>
      <c r="G668" s="1">
        <v>240170.48780488173</v>
      </c>
      <c r="I668" s="1">
        <v>489.20564516129048</v>
      </c>
      <c r="J668" s="1">
        <v>2215.2539062499882</v>
      </c>
      <c r="K668" s="185">
        <f>'Climate Normalization'!D90</f>
        <v>23162.023832255989</v>
      </c>
      <c r="M668" s="21">
        <f t="shared" si="56"/>
        <v>3.621754099868101</v>
      </c>
      <c r="N668" s="21">
        <f t="shared" si="57"/>
        <v>0.21621297756188226</v>
      </c>
      <c r="O668" s="21">
        <f t="shared" si="58"/>
        <v>0.97907014741824183</v>
      </c>
      <c r="P668" s="21">
        <f t="shared" si="59"/>
        <v>1.2284233075389566</v>
      </c>
      <c r="Z668" s="211" t="b">
        <v>1</v>
      </c>
      <c r="AA668" s="1" t="b">
        <v>1</v>
      </c>
      <c r="AB668" s="112" t="b">
        <v>1</v>
      </c>
      <c r="AC668" s="112" t="s">
        <v>392</v>
      </c>
      <c r="AF668" s="132"/>
    </row>
    <row r="669" spans="1:124" x14ac:dyDescent="0.3">
      <c r="A669" s="2">
        <v>45108</v>
      </c>
      <c r="B669" s="3">
        <f t="shared" si="60"/>
        <v>7</v>
      </c>
      <c r="C669" s="3" t="s">
        <v>418</v>
      </c>
      <c r="D669" s="3" t="str">
        <f>VLOOKUP(C669,'Data availability'!$A$2:$B$91,2,FALSE)</f>
        <v>Main campus</v>
      </c>
      <c r="E669" s="3">
        <v>226262</v>
      </c>
      <c r="F669" s="3" t="str">
        <f>VLOOKUP(C669,'Data availability'!$A$2:$H$91,8,FALSE)</f>
        <v>Office</v>
      </c>
      <c r="G669" s="1">
        <v>255332.98838559529</v>
      </c>
      <c r="I669" s="1">
        <v>347.5917686318171</v>
      </c>
      <c r="J669" s="1">
        <v>2100.2539062500168</v>
      </c>
      <c r="K669" s="185">
        <f>'Climate Normalization'!D91</f>
        <v>39600.264821918114</v>
      </c>
      <c r="M669" s="21">
        <f t="shared" si="56"/>
        <v>3.8503865269981308</v>
      </c>
      <c r="N669" s="21">
        <f t="shared" si="57"/>
        <v>0.15362357295163001</v>
      </c>
      <c r="O669" s="21">
        <f t="shared" si="58"/>
        <v>0.9282397867295511</v>
      </c>
      <c r="P669" s="21">
        <f t="shared" si="59"/>
        <v>2.1002341438819481</v>
      </c>
      <c r="Z669" s="211" t="b">
        <v>1</v>
      </c>
      <c r="AA669" s="1" t="b">
        <v>1</v>
      </c>
      <c r="AB669" s="112" t="b">
        <v>1</v>
      </c>
      <c r="AC669" s="112" t="s">
        <v>392</v>
      </c>
      <c r="AF669" s="132"/>
    </row>
    <row r="670" spans="1:124" x14ac:dyDescent="0.3">
      <c r="A670" s="2">
        <v>45139</v>
      </c>
      <c r="B670" s="3">
        <f t="shared" si="60"/>
        <v>8</v>
      </c>
      <c r="C670" s="3" t="s">
        <v>418</v>
      </c>
      <c r="D670" s="3" t="str">
        <f>VLOOKUP(C670,'Data availability'!$A$2:$B$91,2,FALSE)</f>
        <v>Main campus</v>
      </c>
      <c r="E670" s="3">
        <v>226263</v>
      </c>
      <c r="F670" s="3" t="str">
        <f>VLOOKUP(C670,'Data availability'!$A$2:$H$91,8,FALSE)</f>
        <v>Office</v>
      </c>
      <c r="G670" s="1">
        <v>275927.29219187959</v>
      </c>
      <c r="I670" s="1">
        <v>1061.2025862068897</v>
      </c>
      <c r="J670" s="1">
        <v>2581.7089843749782</v>
      </c>
      <c r="K670" s="185">
        <f>'Climate Normalization'!D92</f>
        <v>91808.270222003252</v>
      </c>
      <c r="M670" s="21">
        <f t="shared" si="56"/>
        <v>4.1609274205623237</v>
      </c>
      <c r="N670" s="21">
        <f t="shared" si="57"/>
        <v>0.46901286830232503</v>
      </c>
      <c r="O670" s="21">
        <f t="shared" si="58"/>
        <v>1.1410212824787871</v>
      </c>
      <c r="P670" s="21">
        <f t="shared" si="59"/>
        <v>4.8691091458348872</v>
      </c>
      <c r="Z670" s="211" t="b">
        <v>1</v>
      </c>
      <c r="AA670" s="1" t="b">
        <v>1</v>
      </c>
      <c r="AB670" s="112" t="b">
        <v>1</v>
      </c>
      <c r="AC670" s="112" t="s">
        <v>392</v>
      </c>
      <c r="AF670" s="132"/>
    </row>
    <row r="671" spans="1:124" x14ac:dyDescent="0.3">
      <c r="A671" s="2">
        <v>45170</v>
      </c>
      <c r="B671" s="3">
        <f t="shared" si="60"/>
        <v>9</v>
      </c>
      <c r="C671" s="3" t="s">
        <v>418</v>
      </c>
      <c r="D671" s="3" t="str">
        <f>VLOOKUP(C671,'Data availability'!$A$2:$B$91,2,FALSE)</f>
        <v>Main campus</v>
      </c>
      <c r="E671" s="3">
        <v>226264</v>
      </c>
      <c r="F671" s="3" t="str">
        <f>VLOOKUP(C671,'Data availability'!$A$2:$H$91,8,FALSE)</f>
        <v>Office</v>
      </c>
      <c r="G671" s="1">
        <v>276750.11819171696</v>
      </c>
      <c r="I671" s="1">
        <v>1703.624999999977</v>
      </c>
      <c r="J671" s="1">
        <v>2140.5957031249914</v>
      </c>
      <c r="K671" s="185">
        <f>'Climate Normalization'!D93</f>
        <v>45318.283020954441</v>
      </c>
      <c r="M671" s="21">
        <f t="shared" si="56"/>
        <v>4.173317024670907</v>
      </c>
      <c r="N671" s="21">
        <f t="shared" si="57"/>
        <v>0.75293683484777829</v>
      </c>
      <c r="O671" s="21">
        <f t="shared" si="58"/>
        <v>0.94606110699227064</v>
      </c>
      <c r="P671" s="21">
        <f t="shared" si="59"/>
        <v>2.4034729177043337</v>
      </c>
      <c r="Z671" s="211" t="b">
        <v>1</v>
      </c>
      <c r="AA671" s="1" t="b">
        <v>1</v>
      </c>
      <c r="AB671" s="112" t="b">
        <v>1</v>
      </c>
      <c r="AC671" s="112" t="s">
        <v>392</v>
      </c>
      <c r="AF671" s="132"/>
    </row>
    <row r="672" spans="1:124" x14ac:dyDescent="0.3">
      <c r="A672" s="2">
        <v>45200</v>
      </c>
      <c r="B672" s="3">
        <f t="shared" si="60"/>
        <v>10</v>
      </c>
      <c r="C672" s="3" t="s">
        <v>418</v>
      </c>
      <c r="D672" s="3" t="str">
        <f>VLOOKUP(C672,'Data availability'!$A$2:$B$91,2,FALSE)</f>
        <v>Main campus</v>
      </c>
      <c r="E672" s="3">
        <v>226265</v>
      </c>
      <c r="F672" s="3" t="str">
        <f>VLOOKUP(C672,'Data availability'!$A$2:$H$91,8,FALSE)</f>
        <v>Office</v>
      </c>
      <c r="G672" s="1">
        <v>279557.8634259277</v>
      </c>
      <c r="I672" s="1">
        <v>1845.3342898135245</v>
      </c>
      <c r="J672" s="1">
        <v>2779.9999999999641</v>
      </c>
      <c r="K672" s="185">
        <f>'Climate Normalization'!D94</f>
        <v>52634.304696403684</v>
      </c>
      <c r="M672" s="21">
        <f t="shared" si="56"/>
        <v>4.2156384328520335</v>
      </c>
      <c r="N672" s="21">
        <f t="shared" si="57"/>
        <v>0.81556329516872894</v>
      </c>
      <c r="O672" s="21">
        <f t="shared" si="58"/>
        <v>1.2286478244536114</v>
      </c>
      <c r="P672" s="21">
        <f t="shared" si="59"/>
        <v>2.7914686600085927</v>
      </c>
      <c r="Z672" s="211" t="b">
        <v>1</v>
      </c>
      <c r="AA672" s="1" t="b">
        <v>1</v>
      </c>
      <c r="AB672" s="112" t="b">
        <v>1</v>
      </c>
      <c r="AC672" s="112" t="s">
        <v>392</v>
      </c>
      <c r="AF672" s="132"/>
    </row>
    <row r="673" spans="1:133" x14ac:dyDescent="0.3">
      <c r="A673" s="2">
        <v>45231</v>
      </c>
      <c r="B673" s="3">
        <f t="shared" si="60"/>
        <v>11</v>
      </c>
      <c r="C673" s="3" t="s">
        <v>418</v>
      </c>
      <c r="D673" s="3" t="str">
        <f>VLOOKUP(C673,'Data availability'!$A$2:$B$91,2,FALSE)</f>
        <v>Main campus</v>
      </c>
      <c r="E673" s="3">
        <v>226266</v>
      </c>
      <c r="F673" s="3" t="str">
        <f>VLOOKUP(C673,'Data availability'!$A$2:$H$91,8,FALSE)</f>
        <v>Office</v>
      </c>
      <c r="G673" s="1">
        <v>242316.34851828276</v>
      </c>
      <c r="I673" s="1">
        <v>1381.5407101865062</v>
      </c>
      <c r="J673" s="1">
        <v>2830.0000000000236</v>
      </c>
      <c r="K673" s="185">
        <f>'Climate Normalization'!D95</f>
        <v>15134.297269969953</v>
      </c>
      <c r="M673" s="21">
        <f t="shared" si="56"/>
        <v>3.6540327806404003</v>
      </c>
      <c r="N673" s="21">
        <f t="shared" si="57"/>
        <v>0.61058254894085118</v>
      </c>
      <c r="O673" s="21">
        <f t="shared" si="58"/>
        <v>1.2507402791404911</v>
      </c>
      <c r="P673" s="21">
        <f t="shared" si="59"/>
        <v>0.80264629789557174</v>
      </c>
      <c r="Z673" s="211" t="b">
        <v>1</v>
      </c>
      <c r="AA673" s="1" t="b">
        <v>1</v>
      </c>
      <c r="AB673" s="112" t="b">
        <v>1</v>
      </c>
      <c r="AC673" s="112" t="s">
        <v>392</v>
      </c>
      <c r="AF673" s="132"/>
    </row>
    <row r="674" spans="1:133" x14ac:dyDescent="0.3">
      <c r="A674" s="2">
        <v>45261</v>
      </c>
      <c r="B674" s="3">
        <f t="shared" si="60"/>
        <v>12</v>
      </c>
      <c r="C674" s="3" t="s">
        <v>418</v>
      </c>
      <c r="D674" s="3" t="str">
        <f>VLOOKUP(C674,'Data availability'!$A$2:$B$91,2,FALSE)</f>
        <v>Main campus</v>
      </c>
      <c r="E674" s="3">
        <v>226267</v>
      </c>
      <c r="F674" s="3" t="str">
        <f>VLOOKUP(C674,'Data availability'!$A$2:$H$91,8,FALSE)</f>
        <v>Office</v>
      </c>
      <c r="G674" s="1">
        <v>231014.07648171912</v>
      </c>
      <c r="I674" s="1">
        <v>720.99166666664235</v>
      </c>
      <c r="J674" s="1">
        <v>3240.0000000000168</v>
      </c>
      <c r="K674" s="185">
        <f>'Climate Normalization'!D96</f>
        <v>3324.353320312528</v>
      </c>
      <c r="M674" s="21">
        <f t="shared" si="56"/>
        <v>3.4835836819139585</v>
      </c>
      <c r="N674" s="21">
        <f t="shared" si="57"/>
        <v>0.31864640741541739</v>
      </c>
      <c r="O674" s="21">
        <f t="shared" si="58"/>
        <v>1.4319366058682959</v>
      </c>
      <c r="P674" s="21">
        <f t="shared" si="59"/>
        <v>0.17630604482204801</v>
      </c>
      <c r="Z674" s="211" t="b">
        <v>1</v>
      </c>
      <c r="AA674" s="1" t="b">
        <v>1</v>
      </c>
      <c r="AB674" s="112" t="b">
        <v>1</v>
      </c>
      <c r="AC674" s="112" t="s">
        <v>392</v>
      </c>
      <c r="AF674" s="132"/>
    </row>
    <row r="675" spans="1:133" s="15" customFormat="1" x14ac:dyDescent="0.3">
      <c r="A675" s="38">
        <v>44927</v>
      </c>
      <c r="B675" s="22">
        <f t="shared" si="60"/>
        <v>1</v>
      </c>
      <c r="C675" s="22" t="s">
        <v>181</v>
      </c>
      <c r="D675" s="22" t="str">
        <f>VLOOKUP(C675,'Data availability'!$A$2:$B$91,2,FALSE)</f>
        <v>Main campus</v>
      </c>
      <c r="E675" s="22">
        <v>52700</v>
      </c>
      <c r="F675" s="3" t="str">
        <f>VLOOKUP(C675,'Data availability'!$A$2:$H$91,8,FALSE)</f>
        <v>Office</v>
      </c>
      <c r="G675" s="260">
        <f>'Solar Data-Main Campus'!J37</f>
        <v>18817.29545454547</v>
      </c>
      <c r="H675" s="21"/>
      <c r="I675" s="21"/>
      <c r="J675" s="21">
        <v>2273.7742660984482</v>
      </c>
      <c r="K675" s="21">
        <v>1904.5963734019854</v>
      </c>
      <c r="L675" s="20"/>
      <c r="M675" s="21">
        <f t="shared" si="56"/>
        <v>1.2183038347421089</v>
      </c>
      <c r="N675" s="21">
        <f t="shared" si="57"/>
        <v>0</v>
      </c>
      <c r="O675" s="21">
        <f t="shared" si="58"/>
        <v>4.3145621747598639</v>
      </c>
      <c r="P675" s="21">
        <f t="shared" si="59"/>
        <v>0.4336841836968468</v>
      </c>
      <c r="Q675" s="21">
        <f>(SUM(G675:G686)*3.412)/E675</f>
        <v>15.005001850554946</v>
      </c>
      <c r="R675" s="21">
        <f>(SUM(I675:I686)*100)/E675</f>
        <v>0</v>
      </c>
      <c r="S675" s="21">
        <f>(SUM(J675:J686)*100)/E675</f>
        <v>27.686710933456911</v>
      </c>
      <c r="T675" s="21">
        <f>(SUM(K675:K686)*12)/E675</f>
        <v>8.9511196801685973</v>
      </c>
      <c r="U675" s="21"/>
      <c r="V675" s="34">
        <f>SUM(Q675:T675)</f>
        <v>51.642832464180451</v>
      </c>
      <c r="W675" s="19" t="s">
        <v>235</v>
      </c>
      <c r="X675" s="20"/>
      <c r="Y675" s="21"/>
      <c r="Z675" s="211" t="b">
        <f>IFERROR(INDEX(Outliers!$X$3:$X$61,MATCH('SkYSPark Data_w Will''s Data'!C675,Outliers!$B$3:$B$61,0)),0)</f>
        <v>0</v>
      </c>
      <c r="AA675" s="1" t="b">
        <f>IFERROR(INDEX(Outliers!$AP$3:$AP$61,MATCH('SkYSPark Data_w Will''s Data'!C675,Outliers!$B$3:$B$61,0)),0)</f>
        <v>0</v>
      </c>
      <c r="AB675" s="112" t="b">
        <f>IFERROR(INDEX(Outliers!$AY$3:$AY$61,MATCH('SkYSPark Data_w Will''s Data'!C675,Outliers!$B$3:$B$61,0)),0)</f>
        <v>0</v>
      </c>
      <c r="AC675" s="112" t="s">
        <v>392</v>
      </c>
      <c r="AD675" s="138"/>
      <c r="AE675" s="138"/>
      <c r="AF675" s="138"/>
      <c r="DV675" s="15">
        <v>1904.5963734019849</v>
      </c>
    </row>
    <row r="676" spans="1:133" x14ac:dyDescent="0.3">
      <c r="A676" s="2">
        <v>44958</v>
      </c>
      <c r="B676" s="3">
        <f t="shared" si="60"/>
        <v>2</v>
      </c>
      <c r="C676" s="3" t="s">
        <v>181</v>
      </c>
      <c r="D676" s="3" t="str">
        <f>VLOOKUP(C676,'Data availability'!$A$2:$B$91,2,FALSE)</f>
        <v>Main campus</v>
      </c>
      <c r="E676" s="3">
        <v>52700</v>
      </c>
      <c r="F676" s="3" t="str">
        <f>VLOOKUP(C676,'Data availability'!$A$2:$H$91,8,FALSE)</f>
        <v>Office</v>
      </c>
      <c r="G676" s="260">
        <f>'Solar Data-Main Campus'!J38</f>
        <v>17968.000000000149</v>
      </c>
      <c r="J676" s="1">
        <v>2212.6562500000109</v>
      </c>
      <c r="K676" s="1">
        <v>1514.4899902343655</v>
      </c>
      <c r="M676" s="21">
        <f t="shared" si="56"/>
        <v>1.1633171916508636</v>
      </c>
      <c r="N676" s="21">
        <f t="shared" si="57"/>
        <v>0</v>
      </c>
      <c r="O676" s="21">
        <f t="shared" si="58"/>
        <v>4.1985887096774404</v>
      </c>
      <c r="P676" s="21">
        <f t="shared" si="59"/>
        <v>0.34485540574596552</v>
      </c>
      <c r="W676" s="10" t="s">
        <v>236</v>
      </c>
      <c r="Z676" s="211" t="b">
        <f>IFERROR(INDEX(Outliers!$X$3:$X$61,MATCH('SkYSPark Data_w Will''s Data'!C676,Outliers!$B$3:$B$61,0)),0)</f>
        <v>0</v>
      </c>
      <c r="AA676" s="1" t="b">
        <f>IFERROR(INDEX(Outliers!$AP$3:$AP$61,MATCH('SkYSPark Data_w Will''s Data'!C676,Outliers!$B$3:$B$61,0)),0)</f>
        <v>0</v>
      </c>
      <c r="AB676" s="112" t="b">
        <f>IFERROR(INDEX(Outliers!$AY$3:$AY$61,MATCH('SkYSPark Data_w Will''s Data'!C676,Outliers!$B$3:$B$61,0)),0)</f>
        <v>0</v>
      </c>
      <c r="AC676" s="112" t="s">
        <v>392</v>
      </c>
      <c r="DV676">
        <v>1514.489990234365</v>
      </c>
    </row>
    <row r="677" spans="1:133" x14ac:dyDescent="0.3">
      <c r="A677" s="2">
        <v>44986</v>
      </c>
      <c r="B677" s="3">
        <f t="shared" si="60"/>
        <v>3</v>
      </c>
      <c r="C677" s="3" t="s">
        <v>181</v>
      </c>
      <c r="D677" s="3" t="str">
        <f>VLOOKUP(C677,'Data availability'!$A$2:$B$91,2,FALSE)</f>
        <v>Main campus</v>
      </c>
      <c r="E677" s="3">
        <v>52700</v>
      </c>
      <c r="F677" s="3" t="str">
        <f>VLOOKUP(C677,'Data availability'!$A$2:$H$91,8,FALSE)</f>
        <v>Office</v>
      </c>
      <c r="G677" s="260">
        <f>'Solar Data-Main Campus'!J39</f>
        <v>19346.955436157001</v>
      </c>
      <c r="J677" s="1">
        <v>1924.031919149026</v>
      </c>
      <c r="K677" s="1">
        <v>2649.9043759506339</v>
      </c>
      <c r="M677" s="21">
        <f t="shared" si="56"/>
        <v>1.2525960521473944</v>
      </c>
      <c r="N677" s="21">
        <f t="shared" si="57"/>
        <v>0</v>
      </c>
      <c r="O677" s="21">
        <f t="shared" si="58"/>
        <v>3.6509144575882844</v>
      </c>
      <c r="P677" s="21">
        <f t="shared" si="59"/>
        <v>0.60339378579521075</v>
      </c>
      <c r="W677" s="10" t="s">
        <v>102</v>
      </c>
      <c r="Z677" s="211" t="b">
        <f>IFERROR(INDEX(Outliers!$X$3:$X$61,MATCH('SkYSPark Data_w Will''s Data'!C677,Outliers!$B$3:$B$61,0)),0)</f>
        <v>0</v>
      </c>
      <c r="AA677" s="1" t="b">
        <f>IFERROR(INDEX(Outliers!$AP$3:$AP$61,MATCH('SkYSPark Data_w Will''s Data'!C677,Outliers!$B$3:$B$61,0)),0)</f>
        <v>0</v>
      </c>
      <c r="AB677" s="112" t="b">
        <f>IFERROR(INDEX(Outliers!$AY$3:$AY$61,MATCH('SkYSPark Data_w Will''s Data'!C677,Outliers!$B$3:$B$61,0)),0)</f>
        <v>0</v>
      </c>
      <c r="AC677" s="112" t="s">
        <v>392</v>
      </c>
      <c r="DV677">
        <v>2649.9043759506339</v>
      </c>
    </row>
    <row r="678" spans="1:133" x14ac:dyDescent="0.3">
      <c r="A678" s="2">
        <v>45017</v>
      </c>
      <c r="B678" s="3">
        <f t="shared" si="60"/>
        <v>4</v>
      </c>
      <c r="C678" s="3" t="s">
        <v>181</v>
      </c>
      <c r="D678" s="3" t="str">
        <f>VLOOKUP(C678,'Data availability'!$A$2:$B$91,2,FALSE)</f>
        <v>Main campus</v>
      </c>
      <c r="E678" s="3">
        <v>52700</v>
      </c>
      <c r="F678" s="3" t="str">
        <f>VLOOKUP(C678,'Data availability'!$A$2:$H$91,8,FALSE)</f>
        <v>Office</v>
      </c>
      <c r="G678" s="260">
        <f>'Solar Data-Main Campus'!J40</f>
        <v>18978.169563843039</v>
      </c>
      <c r="J678" s="1">
        <v>1179.386049601002</v>
      </c>
      <c r="K678" s="1">
        <v>3497.293963893082</v>
      </c>
      <c r="M678" s="21">
        <f t="shared" si="56"/>
        <v>1.2287194412112419</v>
      </c>
      <c r="N678" s="21">
        <f t="shared" si="57"/>
        <v>0</v>
      </c>
      <c r="O678" s="21">
        <f t="shared" si="58"/>
        <v>2.237924192791275</v>
      </c>
      <c r="P678" s="21">
        <f t="shared" si="59"/>
        <v>0.79634777166445891</v>
      </c>
      <c r="Z678" s="211" t="b">
        <f>IFERROR(INDEX(Outliers!$X$3:$X$61,MATCH('SkYSPark Data_w Will''s Data'!C678,Outliers!$B$3:$B$61,0)),0)</f>
        <v>0</v>
      </c>
      <c r="AA678" s="1" t="b">
        <f>IFERROR(INDEX(Outliers!$AP$3:$AP$61,MATCH('SkYSPark Data_w Will''s Data'!C678,Outliers!$B$3:$B$61,0)),0)</f>
        <v>0</v>
      </c>
      <c r="AB678" s="112" t="b">
        <f>IFERROR(INDEX(Outliers!$AY$3:$AY$61,MATCH('SkYSPark Data_w Will''s Data'!C678,Outliers!$B$3:$B$61,0)),0)</f>
        <v>0</v>
      </c>
      <c r="AC678" s="112" t="s">
        <v>392</v>
      </c>
      <c r="DV678">
        <v>3497.293963893082</v>
      </c>
    </row>
    <row r="679" spans="1:133" x14ac:dyDescent="0.3">
      <c r="A679" s="2">
        <v>45047</v>
      </c>
      <c r="B679" s="3">
        <f t="shared" si="60"/>
        <v>5</v>
      </c>
      <c r="C679" s="3" t="s">
        <v>181</v>
      </c>
      <c r="D679" s="3" t="str">
        <f>VLOOKUP(C679,'Data availability'!$A$2:$B$91,2,FALSE)</f>
        <v>Main campus</v>
      </c>
      <c r="E679" s="3">
        <v>52700</v>
      </c>
      <c r="F679" s="3" t="str">
        <f>VLOOKUP(C679,'Data availability'!$A$2:$H$91,8,FALSE)</f>
        <v>Office</v>
      </c>
      <c r="G679" s="260">
        <f>'Solar Data-Main Campus'!J41</f>
        <v>19768.12500000016</v>
      </c>
      <c r="J679" s="1">
        <v>878.73046874998363</v>
      </c>
      <c r="K679" s="1">
        <v>4064.7796875000431</v>
      </c>
      <c r="M679" s="21">
        <f t="shared" si="56"/>
        <v>1.2798641840607314</v>
      </c>
      <c r="N679" s="21">
        <f t="shared" si="57"/>
        <v>0</v>
      </c>
      <c r="O679" s="21">
        <f t="shared" si="58"/>
        <v>1.6674202443073693</v>
      </c>
      <c r="P679" s="21">
        <f t="shared" si="59"/>
        <v>0.92556653225807439</v>
      </c>
      <c r="Z679" s="211" t="b">
        <f>IFERROR(INDEX(Outliers!$X$3:$X$61,MATCH('SkYSPark Data_w Will''s Data'!C679,Outliers!$B$3:$B$61,0)),0)</f>
        <v>0</v>
      </c>
      <c r="AA679" s="1" t="b">
        <f>IFERROR(INDEX(Outliers!$AP$3:$AP$61,MATCH('SkYSPark Data_w Will''s Data'!C679,Outliers!$B$3:$B$61,0)),0)</f>
        <v>0</v>
      </c>
      <c r="AB679" s="112" t="b">
        <f>IFERROR(INDEX(Outliers!$AY$3:$AY$61,MATCH('SkYSPark Data_w Will''s Data'!C679,Outliers!$B$3:$B$61,0)),0)</f>
        <v>0</v>
      </c>
      <c r="AC679" s="112" t="s">
        <v>392</v>
      </c>
      <c r="DV679">
        <v>4064.7796875000431</v>
      </c>
    </row>
    <row r="680" spans="1:133" x14ac:dyDescent="0.3">
      <c r="A680" s="2">
        <v>45078</v>
      </c>
      <c r="B680" s="3">
        <f t="shared" si="60"/>
        <v>6</v>
      </c>
      <c r="C680" s="3" t="s">
        <v>181</v>
      </c>
      <c r="D680" s="3" t="str">
        <f>VLOOKUP(C680,'Data availability'!$A$2:$B$91,2,FALSE)</f>
        <v>Main campus</v>
      </c>
      <c r="E680" s="3">
        <v>52700</v>
      </c>
      <c r="F680" s="3" t="str">
        <f>VLOOKUP(C680,'Data availability'!$A$2:$H$91,8,FALSE)</f>
        <v>Office</v>
      </c>
      <c r="G680" s="260">
        <f>'Solar Data-Main Campus'!J42</f>
        <v>18130.59756097573</v>
      </c>
      <c r="J680" s="1">
        <v>550.25962271342132</v>
      </c>
      <c r="K680" s="1">
        <v>3816.7725085747279</v>
      </c>
      <c r="M680" s="21">
        <f t="shared" ref="M680:M743" si="61">IFERROR((G680*3.412)/E680,0)</f>
        <v>1.1738443809876506</v>
      </c>
      <c r="N680" s="21">
        <f t="shared" ref="N680:N698" si="62">IFERROR((I680*100)/E680,0)</f>
        <v>0</v>
      </c>
      <c r="O680" s="21">
        <f t="shared" ref="O680:O698" si="63">IFERROR((J680*100)/E680,0)</f>
        <v>1.0441359064770803</v>
      </c>
      <c r="P680" s="21">
        <f t="shared" ref="P680:P743" si="64">IFERROR((K680*12)/E680,0)</f>
        <v>0.86909430935287924</v>
      </c>
      <c r="Z680" s="211" t="b">
        <f>IFERROR(INDEX(Outliers!$X$3:$X$61,MATCH('SkYSPark Data_w Will''s Data'!C680,Outliers!$B$3:$B$61,0)),0)</f>
        <v>0</v>
      </c>
      <c r="AA680" s="1" t="b">
        <f>IFERROR(INDEX(Outliers!$AP$3:$AP$61,MATCH('SkYSPark Data_w Will''s Data'!C680,Outliers!$B$3:$B$61,0)),0)</f>
        <v>0</v>
      </c>
      <c r="AB680" s="112" t="b">
        <f>IFERROR(INDEX(Outliers!$AY$3:$AY$61,MATCH('SkYSPark Data_w Will''s Data'!C680,Outliers!$B$3:$B$61,0)),0)</f>
        <v>0</v>
      </c>
      <c r="AC680" s="112" t="s">
        <v>392</v>
      </c>
      <c r="DV680">
        <v>3816.7725085747279</v>
      </c>
    </row>
    <row r="681" spans="1:133" x14ac:dyDescent="0.3">
      <c r="A681" s="2">
        <v>45108</v>
      </c>
      <c r="B681" s="3">
        <f t="shared" si="60"/>
        <v>7</v>
      </c>
      <c r="C681" s="3" t="s">
        <v>181</v>
      </c>
      <c r="D681" s="3" t="str">
        <f>VLOOKUP(C681,'Data availability'!$A$2:$B$91,2,FALSE)</f>
        <v>Main campus</v>
      </c>
      <c r="E681" s="3">
        <v>52700</v>
      </c>
      <c r="F681" s="3" t="str">
        <f>VLOOKUP(C681,'Data availability'!$A$2:$H$91,8,FALSE)</f>
        <v>Office</v>
      </c>
      <c r="G681" s="260">
        <f>'Solar Data-Main Campus'!J43</f>
        <v>18982.55720092911</v>
      </c>
      <c r="J681" s="1">
        <v>559.39765035205858</v>
      </c>
      <c r="K681" s="1">
        <v>4324.0089692898036</v>
      </c>
      <c r="M681" s="21">
        <f t="shared" si="61"/>
        <v>1.229003513654082</v>
      </c>
      <c r="N681" s="21">
        <f t="shared" si="62"/>
        <v>0</v>
      </c>
      <c r="O681" s="21">
        <f t="shared" si="63"/>
        <v>1.0614756173663351</v>
      </c>
      <c r="P681" s="21">
        <f t="shared" si="64"/>
        <v>0.98459407270356059</v>
      </c>
      <c r="Z681" s="211" t="b">
        <f>IFERROR(INDEX(Outliers!$X$3:$X$61,MATCH('SkYSPark Data_w Will''s Data'!C681,Outliers!$B$3:$B$61,0)),0)</f>
        <v>0</v>
      </c>
      <c r="AA681" s="1" t="b">
        <f>IFERROR(INDEX(Outliers!$AP$3:$AP$61,MATCH('SkYSPark Data_w Will''s Data'!C681,Outliers!$B$3:$B$61,0)),0)</f>
        <v>0</v>
      </c>
      <c r="AB681" s="112" t="b">
        <f>IFERROR(INDEX(Outliers!$AY$3:$AY$61,MATCH('SkYSPark Data_w Will''s Data'!C681,Outliers!$B$3:$B$61,0)),0)</f>
        <v>0</v>
      </c>
      <c r="AC681" s="112" t="s">
        <v>392</v>
      </c>
      <c r="DV681">
        <v>4324.0089692898036</v>
      </c>
    </row>
    <row r="682" spans="1:133" x14ac:dyDescent="0.3">
      <c r="A682" s="2">
        <v>45139</v>
      </c>
      <c r="B682" s="3">
        <f t="shared" si="60"/>
        <v>8</v>
      </c>
      <c r="C682" s="3" t="s">
        <v>181</v>
      </c>
      <c r="D682" s="3" t="str">
        <f>VLOOKUP(C682,'Data availability'!$A$2:$B$91,2,FALSE)</f>
        <v>Main campus</v>
      </c>
      <c r="E682" s="3">
        <v>52700</v>
      </c>
      <c r="F682" s="3" t="str">
        <f>VLOOKUP(C682,'Data availability'!$A$2:$H$91,8,FALSE)</f>
        <v>Office</v>
      </c>
      <c r="G682" s="260">
        <f>'Solar Data-Main Campus'!J44</f>
        <v>19745.977591036572</v>
      </c>
      <c r="J682" s="1">
        <v>432.27746958157582</v>
      </c>
      <c r="K682" s="1">
        <v>4472.749235025989</v>
      </c>
      <c r="M682" s="21">
        <f t="shared" si="61"/>
        <v>1.2784302759130319</v>
      </c>
      <c r="N682" s="21">
        <f t="shared" si="62"/>
        <v>0</v>
      </c>
      <c r="O682" s="21">
        <f t="shared" si="63"/>
        <v>0.82026085309596919</v>
      </c>
      <c r="P682" s="21">
        <f t="shared" si="64"/>
        <v>1.0184628239148361</v>
      </c>
      <c r="Z682" s="211" t="b">
        <f>IFERROR(INDEX(Outliers!$X$3:$X$61,MATCH('SkYSPark Data_w Will''s Data'!C682,Outliers!$B$3:$B$61,0)),0)</f>
        <v>0</v>
      </c>
      <c r="AA682" s="1" t="b">
        <f>IFERROR(INDEX(Outliers!$AP$3:$AP$61,MATCH('SkYSPark Data_w Will''s Data'!C682,Outliers!$B$3:$B$61,0)),0)</f>
        <v>0</v>
      </c>
      <c r="AB682" s="112" t="b">
        <f>IFERROR(INDEX(Outliers!$AY$3:$AY$61,MATCH('SkYSPark Data_w Will''s Data'!C682,Outliers!$B$3:$B$61,0)),0)</f>
        <v>0</v>
      </c>
      <c r="AC682" s="112" t="s">
        <v>392</v>
      </c>
      <c r="DV682">
        <v>4472.749235025989</v>
      </c>
    </row>
    <row r="683" spans="1:133" x14ac:dyDescent="0.3">
      <c r="A683" s="2">
        <v>45170</v>
      </c>
      <c r="B683" s="3">
        <f t="shared" si="60"/>
        <v>9</v>
      </c>
      <c r="C683" s="3" t="s">
        <v>181</v>
      </c>
      <c r="D683" s="3" t="str">
        <f>VLOOKUP(C683,'Data availability'!$A$2:$B$91,2,FALSE)</f>
        <v>Main campus</v>
      </c>
      <c r="E683" s="3">
        <v>52700</v>
      </c>
      <c r="F683" s="3" t="str">
        <f>VLOOKUP(C683,'Data availability'!$A$2:$H$91,8,FALSE)</f>
        <v>Office</v>
      </c>
      <c r="G683" s="260">
        <f>'Solar Data-Main Campus'!J45</f>
        <v>19835.483718487289</v>
      </c>
      <c r="J683" s="1">
        <v>513.47192587972165</v>
      </c>
      <c r="K683" s="1">
        <v>3924.0323486328602</v>
      </c>
      <c r="M683" s="21">
        <f t="shared" si="61"/>
        <v>1.2842252456827064</v>
      </c>
      <c r="N683" s="21">
        <f t="shared" si="62"/>
        <v>0</v>
      </c>
      <c r="O683" s="21">
        <f t="shared" si="63"/>
        <v>0.97433003013229924</v>
      </c>
      <c r="P683" s="21">
        <f t="shared" si="64"/>
        <v>0.89351780234524336</v>
      </c>
      <c r="Z683" s="211" t="b">
        <f>IFERROR(INDEX(Outliers!$X$3:$X$61,MATCH('SkYSPark Data_w Will''s Data'!C683,Outliers!$B$3:$B$61,0)),0)</f>
        <v>0</v>
      </c>
      <c r="AA683" s="1" t="b">
        <f>IFERROR(INDEX(Outliers!$AP$3:$AP$61,MATCH('SkYSPark Data_w Will''s Data'!C683,Outliers!$B$3:$B$61,0)),0)</f>
        <v>0</v>
      </c>
      <c r="AB683" s="112" t="b">
        <f>IFERROR(INDEX(Outliers!$AY$3:$AY$61,MATCH('SkYSPark Data_w Will''s Data'!C683,Outliers!$B$3:$B$61,0)),0)</f>
        <v>0</v>
      </c>
      <c r="AC683" s="112" t="s">
        <v>392</v>
      </c>
      <c r="DV683">
        <v>3924.0323486328598</v>
      </c>
    </row>
    <row r="684" spans="1:133" x14ac:dyDescent="0.3">
      <c r="A684" s="2">
        <v>45200</v>
      </c>
      <c r="B684" s="3">
        <f t="shared" si="60"/>
        <v>10</v>
      </c>
      <c r="C684" s="3" t="s">
        <v>181</v>
      </c>
      <c r="D684" s="3" t="str">
        <f>VLOOKUP(C684,'Data availability'!$A$2:$B$91,2,FALSE)</f>
        <v>Main campus</v>
      </c>
      <c r="E684" s="3">
        <v>52700</v>
      </c>
      <c r="F684" s="3" t="str">
        <f>VLOOKUP(C684,'Data availability'!$A$2:$H$91,8,FALSE)</f>
        <v>Office</v>
      </c>
      <c r="G684" s="260">
        <f>'Solar Data-Main Campus'!J46</f>
        <v>21283.75892857154</v>
      </c>
      <c r="J684" s="1">
        <v>753.38239397320649</v>
      </c>
      <c r="K684" s="1">
        <v>3918.4439697265511</v>
      </c>
      <c r="M684" s="21">
        <f t="shared" si="61"/>
        <v>1.3779921340471746</v>
      </c>
      <c r="N684" s="21">
        <f t="shared" si="62"/>
        <v>0</v>
      </c>
      <c r="O684" s="21">
        <f t="shared" si="63"/>
        <v>1.4295681100060844</v>
      </c>
      <c r="P684" s="21">
        <f t="shared" si="64"/>
        <v>0.89224530619959419</v>
      </c>
      <c r="Z684" s="211" t="b">
        <f>IFERROR(INDEX(Outliers!$X$3:$X$61,MATCH('SkYSPark Data_w Will''s Data'!C684,Outliers!$B$3:$B$61,0)),0)</f>
        <v>0</v>
      </c>
      <c r="AA684" s="1" t="b">
        <f>IFERROR(INDEX(Outliers!$AP$3:$AP$61,MATCH('SkYSPark Data_w Will''s Data'!C684,Outliers!$B$3:$B$61,0)),0)</f>
        <v>0</v>
      </c>
      <c r="AB684" s="112" t="b">
        <f>IFERROR(INDEX(Outliers!$AY$3:$AY$61,MATCH('SkYSPark Data_w Will''s Data'!C684,Outliers!$B$3:$B$61,0)),0)</f>
        <v>0</v>
      </c>
      <c r="AC684" s="112" t="s">
        <v>392</v>
      </c>
      <c r="DV684">
        <v>3918.4439697265511</v>
      </c>
    </row>
    <row r="685" spans="1:133" x14ac:dyDescent="0.3">
      <c r="A685" s="2">
        <v>45231</v>
      </c>
      <c r="B685" s="3">
        <f t="shared" si="60"/>
        <v>11</v>
      </c>
      <c r="C685" s="3" t="s">
        <v>181</v>
      </c>
      <c r="D685" s="3" t="str">
        <f>VLOOKUP(C685,'Data availability'!$A$2:$B$91,2,FALSE)</f>
        <v>Main campus</v>
      </c>
      <c r="E685" s="3">
        <v>52700</v>
      </c>
      <c r="F685" s="3" t="str">
        <f>VLOOKUP(C685,'Data availability'!$A$2:$H$91,8,FALSE)</f>
        <v>Office</v>
      </c>
      <c r="G685" s="260">
        <f>'Solar Data-Main Campus'!J47</f>
        <v>19397.04035308964</v>
      </c>
      <c r="J685" s="1">
        <v>1357.0958287358069</v>
      </c>
      <c r="K685" s="1">
        <v>2947.9670498206847</v>
      </c>
      <c r="M685" s="21">
        <f t="shared" si="61"/>
        <v>1.2558387416459555</v>
      </c>
      <c r="N685" s="21">
        <f t="shared" si="62"/>
        <v>0</v>
      </c>
      <c r="O685" s="21">
        <f t="shared" si="63"/>
        <v>2.5751343998781913</v>
      </c>
      <c r="P685" s="21">
        <f t="shared" si="64"/>
        <v>0.67126384436144615</v>
      </c>
      <c r="Z685" s="211" t="b">
        <f>IFERROR(INDEX(Outliers!$X$3:$X$61,MATCH('SkYSPark Data_w Will''s Data'!C685,Outliers!$B$3:$B$61,0)),0)</f>
        <v>0</v>
      </c>
      <c r="AA685" s="1" t="b">
        <f>IFERROR(INDEX(Outliers!$AP$3:$AP$61,MATCH('SkYSPark Data_w Will''s Data'!C685,Outliers!$B$3:$B$61,0)),0)</f>
        <v>0</v>
      </c>
      <c r="AB685" s="112" t="b">
        <f>IFERROR(INDEX(Outliers!$AY$3:$AY$61,MATCH('SkYSPark Data_w Will''s Data'!C685,Outliers!$B$3:$B$61,0)),0)</f>
        <v>0</v>
      </c>
      <c r="AC685" s="112" t="s">
        <v>392</v>
      </c>
      <c r="DV685">
        <v>2947.9670498206851</v>
      </c>
    </row>
    <row r="686" spans="1:133" x14ac:dyDescent="0.3">
      <c r="A686" s="2">
        <v>45261</v>
      </c>
      <c r="B686" s="3">
        <f t="shared" si="60"/>
        <v>12</v>
      </c>
      <c r="C686" s="3" t="s">
        <v>181</v>
      </c>
      <c r="D686" s="3" t="str">
        <f>VLOOKUP(C686,'Data availability'!$A$2:$B$91,2,FALSE)</f>
        <v>Main campus</v>
      </c>
      <c r="E686" s="3">
        <v>52700</v>
      </c>
      <c r="F686" s="3" t="str">
        <f>VLOOKUP(C686,'Data availability'!$A$2:$H$91,8,FALSE)</f>
        <v>Office</v>
      </c>
      <c r="G686" s="260">
        <f>'Solar Data-Main Campus'!J48</f>
        <v>19505.592980244019</v>
      </c>
      <c r="J686" s="1">
        <v>1956.432817097535</v>
      </c>
      <c r="K686" s="1">
        <v>2275.2954566896997</v>
      </c>
      <c r="M686" s="21">
        <f t="shared" si="61"/>
        <v>1.2628668548120037</v>
      </c>
      <c r="N686" s="21">
        <f t="shared" si="62"/>
        <v>0</v>
      </c>
      <c r="O686" s="21">
        <f t="shared" si="63"/>
        <v>3.7123962373767267</v>
      </c>
      <c r="P686" s="21">
        <f t="shared" si="64"/>
        <v>0.51809384213048193</v>
      </c>
      <c r="Z686" s="211" t="b">
        <f>IFERROR(INDEX(Outliers!$X$3:$X$61,MATCH('SkYSPark Data_w Will''s Data'!C686,Outliers!$B$3:$B$61,0)),0)</f>
        <v>0</v>
      </c>
      <c r="AA686" s="1" t="b">
        <f>IFERROR(INDEX(Outliers!$AP$3:$AP$61,MATCH('SkYSPark Data_w Will''s Data'!C686,Outliers!$B$3:$B$61,0)),0)</f>
        <v>0</v>
      </c>
      <c r="AB686" s="112" t="b">
        <f>IFERROR(INDEX(Outliers!$AY$3:$AY$61,MATCH('SkYSPark Data_w Will''s Data'!C686,Outliers!$B$3:$B$61,0)),0)</f>
        <v>0</v>
      </c>
      <c r="AC686" s="112" t="s">
        <v>392</v>
      </c>
      <c r="DV686">
        <v>2275.2954566897001</v>
      </c>
    </row>
    <row r="687" spans="1:133" s="15" customFormat="1" x14ac:dyDescent="0.3">
      <c r="A687" s="38">
        <v>44927</v>
      </c>
      <c r="B687" s="22">
        <f t="shared" si="60"/>
        <v>1</v>
      </c>
      <c r="C687" s="22" t="s">
        <v>182</v>
      </c>
      <c r="D687" s="22" t="str">
        <f>VLOOKUP(C687,'Data availability'!$A$2:$B$91,2,FALSE)</f>
        <v>Main campus</v>
      </c>
      <c r="E687" s="22">
        <v>101932</v>
      </c>
      <c r="F687" s="3" t="str">
        <f>VLOOKUP(C687,'Data availability'!$A$2:$H$91,8,FALSE)</f>
        <v>Academic</v>
      </c>
      <c r="G687" s="260">
        <f>'Solar Data-Main Campus'!G37</f>
        <v>35129.258620689521</v>
      </c>
      <c r="H687" s="21"/>
      <c r="I687" s="21"/>
      <c r="J687" s="16">
        <v>4.8864948947642377</v>
      </c>
      <c r="K687" s="21">
        <v>523.90235825047728</v>
      </c>
      <c r="L687" s="20"/>
      <c r="M687" s="21">
        <f t="shared" si="61"/>
        <v>1.1758920693579311</v>
      </c>
      <c r="N687" s="21">
        <f t="shared" si="62"/>
        <v>0</v>
      </c>
      <c r="O687" s="21">
        <f t="shared" si="63"/>
        <v>4.7938771875017045E-3</v>
      </c>
      <c r="P687" s="21">
        <f t="shared" si="64"/>
        <v>6.1676689351780861E-2</v>
      </c>
      <c r="Q687" s="21">
        <f>(SUM(G687:G698)*3.412)/E687</f>
        <v>14.318150966770274</v>
      </c>
      <c r="R687" s="21">
        <f>(SUM(I687:I698)*100)/E687</f>
        <v>0</v>
      </c>
      <c r="S687" s="21">
        <f>(SUM(J687:J698)*100)/E687</f>
        <v>2.8796515243408732E-2</v>
      </c>
      <c r="T687" s="21">
        <f>(SUM(K687:K698)*12)/E687</f>
        <v>6.4619966210343422</v>
      </c>
      <c r="U687" s="21"/>
      <c r="V687" s="34">
        <f>SUM(Q687:T687)</f>
        <v>20.808944103048024</v>
      </c>
      <c r="W687" s="19" t="s">
        <v>239</v>
      </c>
      <c r="X687" s="20"/>
      <c r="Y687" s="21"/>
      <c r="Z687" s="211" t="b">
        <f>IFERROR(INDEX(Outliers!$X$3:$X$61,MATCH('SkYSPark Data_w Will''s Data'!C687,Outliers!$B$3:$B$61,0)),0)</f>
        <v>0</v>
      </c>
      <c r="AA687" s="1" t="b">
        <f>IFERROR(INDEX(Outliers!$AP$3:$AP$61,MATCH('SkYSPark Data_w Will''s Data'!C687,Outliers!$B$3:$B$61,0)),0)</f>
        <v>1</v>
      </c>
      <c r="AB687" s="112" t="b">
        <f>IFERROR(INDEX(Outliers!$AY$3:$AY$61,MATCH('SkYSPark Data_w Will''s Data'!C687,Outliers!$B$3:$B$61,0)),0)</f>
        <v>0</v>
      </c>
      <c r="AC687" s="112" t="s">
        <v>392</v>
      </c>
      <c r="AD687" s="138"/>
      <c r="AE687" s="138"/>
      <c r="AF687" s="137"/>
      <c r="DZ687" s="15">
        <v>0.48864948947642378</v>
      </c>
      <c r="EB687" s="15">
        <v>36.542567397608963</v>
      </c>
      <c r="EC687" s="15">
        <v>5.89990234375</v>
      </c>
    </row>
    <row r="688" spans="1:133" x14ac:dyDescent="0.3">
      <c r="A688" s="2">
        <v>44958</v>
      </c>
      <c r="B688" s="3">
        <f t="shared" si="60"/>
        <v>2</v>
      </c>
      <c r="C688" s="3" t="s">
        <v>182</v>
      </c>
      <c r="D688" s="3" t="str">
        <f>VLOOKUP(C688,'Data availability'!$A$2:$B$91,2,FALSE)</f>
        <v>Main campus</v>
      </c>
      <c r="E688" s="3">
        <v>101932</v>
      </c>
      <c r="F688" s="3" t="str">
        <f>VLOOKUP(C688,'Data availability'!$A$2:$H$91,8,FALSE)</f>
        <v>Academic</v>
      </c>
      <c r="G688" s="260">
        <f>'Solar Data-Main Campus'!G38</f>
        <v>35749.000000000204</v>
      </c>
      <c r="J688" s="9">
        <v>5.3778366815475955</v>
      </c>
      <c r="K688" s="1">
        <v>759.38938232421719</v>
      </c>
      <c r="M688" s="21">
        <f t="shared" si="61"/>
        <v>1.1966368559431846</v>
      </c>
      <c r="N688" s="21">
        <f t="shared" si="62"/>
        <v>0</v>
      </c>
      <c r="O688" s="21">
        <f t="shared" si="63"/>
        <v>5.2759061742608752E-3</v>
      </c>
      <c r="P688" s="21">
        <f t="shared" si="64"/>
        <v>8.9399527016938818E-2</v>
      </c>
      <c r="W688" s="10" t="s">
        <v>106</v>
      </c>
      <c r="Z688" s="211" t="b">
        <f>IFERROR(INDEX(Outliers!$X$3:$X$61,MATCH('SkYSPark Data_w Will''s Data'!C688,Outliers!$B$3:$B$61,0)),0)</f>
        <v>0</v>
      </c>
      <c r="AA688" s="1" t="b">
        <f>IFERROR(INDEX(Outliers!$AP$3:$AP$61,MATCH('SkYSPark Data_w Will''s Data'!C688,Outliers!$B$3:$B$61,0)),0)</f>
        <v>1</v>
      </c>
      <c r="AB688" s="112" t="b">
        <f>IFERROR(INDEX(Outliers!$AY$3:$AY$61,MATCH('SkYSPark Data_w Will''s Data'!C688,Outliers!$B$3:$B$61,0)),0)</f>
        <v>0</v>
      </c>
      <c r="AC688" s="112" t="s">
        <v>392</v>
      </c>
      <c r="AF688" s="132"/>
      <c r="DZ688">
        <v>0.53778366815475953</v>
      </c>
      <c r="EB688">
        <v>123.16401855468921</v>
      </c>
      <c r="EC688">
        <v>6.475830078125</v>
      </c>
    </row>
    <row r="689" spans="1:138" x14ac:dyDescent="0.3">
      <c r="A689" s="2">
        <v>44986</v>
      </c>
      <c r="B689" s="3">
        <f t="shared" si="60"/>
        <v>3</v>
      </c>
      <c r="C689" s="3" t="s">
        <v>182</v>
      </c>
      <c r="D689" s="3" t="str">
        <f>VLOOKUP(C689,'Data availability'!$A$2:$B$91,2,FALSE)</f>
        <v>Main campus</v>
      </c>
      <c r="E689" s="3">
        <v>101932</v>
      </c>
      <c r="F689" s="3" t="str">
        <f>VLOOKUP(C689,'Data availability'!$A$2:$H$91,8,FALSE)</f>
        <v>Academic</v>
      </c>
      <c r="G689" s="260">
        <f>'Solar Data-Main Campus'!G39</f>
        <v>35824.134639696844</v>
      </c>
      <c r="J689" s="9">
        <v>4.1872432048040729</v>
      </c>
      <c r="K689" s="1">
        <v>254.69401998064325</v>
      </c>
      <c r="M689" s="21">
        <f t="shared" si="61"/>
        <v>1.199151859971801</v>
      </c>
      <c r="N689" s="21">
        <f t="shared" si="62"/>
        <v>0</v>
      </c>
      <c r="O689" s="21">
        <f t="shared" si="63"/>
        <v>4.1078789828553081E-3</v>
      </c>
      <c r="P689" s="21">
        <f t="shared" si="64"/>
        <v>2.9983991678449545E-2</v>
      </c>
      <c r="Z689" s="211" t="b">
        <f>IFERROR(INDEX(Outliers!$X$3:$X$61,MATCH('SkYSPark Data_w Will''s Data'!C689,Outliers!$B$3:$B$61,0)),0)</f>
        <v>0</v>
      </c>
      <c r="AA689" s="1" t="b">
        <f>IFERROR(INDEX(Outliers!$AP$3:$AP$61,MATCH('SkYSPark Data_w Will''s Data'!C689,Outliers!$B$3:$B$61,0)),0)</f>
        <v>1</v>
      </c>
      <c r="AB689" s="112" t="b">
        <f>IFERROR(INDEX(Outliers!$AY$3:$AY$61,MATCH('SkYSPark Data_w Will''s Data'!C689,Outliers!$B$3:$B$61,0)),0)</f>
        <v>0</v>
      </c>
      <c r="AC689" s="112" t="s">
        <v>392</v>
      </c>
      <c r="AF689" s="132"/>
      <c r="DZ689">
        <v>0.41872432048040731</v>
      </c>
      <c r="EB689">
        <v>207.9708147846153</v>
      </c>
    </row>
    <row r="690" spans="1:138" x14ac:dyDescent="0.3">
      <c r="A690" s="2">
        <v>45017</v>
      </c>
      <c r="B690" s="3">
        <f t="shared" si="60"/>
        <v>4</v>
      </c>
      <c r="C690" s="3" t="s">
        <v>182</v>
      </c>
      <c r="D690" s="3" t="str">
        <f>VLOOKUP(C690,'Data availability'!$A$2:$B$91,2,FALSE)</f>
        <v>Main campus</v>
      </c>
      <c r="E690" s="3">
        <v>101932</v>
      </c>
      <c r="F690" s="3" t="str">
        <f>VLOOKUP(C690,'Data availability'!$A$2:$H$91,8,FALSE)</f>
        <v>Academic</v>
      </c>
      <c r="G690" s="260">
        <f>'Solar Data-Main Campus'!G40</f>
        <v>36180.365360303258</v>
      </c>
      <c r="J690" s="9">
        <v>2.3230406060147448</v>
      </c>
      <c r="K690" s="1">
        <v>2504.3508872459142</v>
      </c>
      <c r="M690" s="21">
        <f t="shared" si="61"/>
        <v>1.2110760762994419</v>
      </c>
      <c r="N690" s="21">
        <f t="shared" si="62"/>
        <v>0</v>
      </c>
      <c r="O690" s="21">
        <f t="shared" si="63"/>
        <v>2.2790101302973989E-3</v>
      </c>
      <c r="P690" s="21">
        <f t="shared" si="64"/>
        <v>0.2948260668578167</v>
      </c>
      <c r="W690" s="10" t="s">
        <v>237</v>
      </c>
      <c r="Z690" s="211" t="b">
        <f>IFERROR(INDEX(Outliers!$X$3:$X$61,MATCH('SkYSPark Data_w Will''s Data'!C690,Outliers!$B$3:$B$61,0)),0)</f>
        <v>0</v>
      </c>
      <c r="AA690" s="1" t="b">
        <f>IFERROR(INDEX(Outliers!$AP$3:$AP$61,MATCH('SkYSPark Data_w Will''s Data'!C690,Outliers!$B$3:$B$61,0)),0)</f>
        <v>1</v>
      </c>
      <c r="AB690" s="112" t="b">
        <f>IFERROR(INDEX(Outliers!$AY$3:$AY$61,MATCH('SkYSPark Data_w Will''s Data'!C690,Outliers!$B$3:$B$61,0)),0)</f>
        <v>0</v>
      </c>
      <c r="AC690" s="112" t="s">
        <v>392</v>
      </c>
      <c r="AF690" s="132"/>
      <c r="DZ690">
        <v>0.23230406060147449</v>
      </c>
      <c r="EB690">
        <v>1590.0326202739629</v>
      </c>
      <c r="EC690">
        <v>14.107421875</v>
      </c>
    </row>
    <row r="691" spans="1:138" x14ac:dyDescent="0.3">
      <c r="A691" s="2">
        <v>45047</v>
      </c>
      <c r="B691" s="3">
        <f t="shared" si="60"/>
        <v>5</v>
      </c>
      <c r="C691" s="3" t="s">
        <v>182</v>
      </c>
      <c r="D691" s="3" t="str">
        <f>VLOOKUP(C691,'Data availability'!$A$2:$B$91,2,FALSE)</f>
        <v>Main campus</v>
      </c>
      <c r="E691" s="3">
        <v>101932</v>
      </c>
      <c r="F691" s="3" t="str">
        <f>VLOOKUP(C691,'Data availability'!$A$2:$H$91,8,FALSE)</f>
        <v>Academic</v>
      </c>
      <c r="G691" s="260">
        <f>'Solar Data-Main Campus'!G41</f>
        <v>35503.499999999869</v>
      </c>
      <c r="J691" s="9">
        <v>1.6025075604838523</v>
      </c>
      <c r="K691" s="1">
        <v>2958.2963769531152</v>
      </c>
      <c r="M691" s="21">
        <f t="shared" si="61"/>
        <v>1.1884191617941329</v>
      </c>
      <c r="N691" s="21">
        <f t="shared" si="62"/>
        <v>0</v>
      </c>
      <c r="O691" s="21">
        <f t="shared" si="63"/>
        <v>1.57213393290022E-3</v>
      </c>
      <c r="P691" s="21">
        <f t="shared" si="64"/>
        <v>0.34826704590744201</v>
      </c>
      <c r="W691" s="10" t="s">
        <v>108</v>
      </c>
      <c r="Z691" s="211" t="b">
        <f>IFERROR(INDEX(Outliers!$X$3:$X$61,MATCH('SkYSPark Data_w Will''s Data'!C691,Outliers!$B$3:$B$61,0)),0)</f>
        <v>0</v>
      </c>
      <c r="AA691" s="1" t="b">
        <f>IFERROR(INDEX(Outliers!$AP$3:$AP$61,MATCH('SkYSPark Data_w Will''s Data'!C691,Outliers!$B$3:$B$61,0)),0)</f>
        <v>1</v>
      </c>
      <c r="AB691" s="112" t="b">
        <f>IFERROR(INDEX(Outliers!$AY$3:$AY$61,MATCH('SkYSPark Data_w Will''s Data'!C691,Outliers!$B$3:$B$61,0)),0)</f>
        <v>0</v>
      </c>
      <c r="AC691" s="112" t="s">
        <v>392</v>
      </c>
      <c r="AF691" s="132"/>
      <c r="DZ691">
        <v>0.16025075604838521</v>
      </c>
      <c r="EB691">
        <v>1994.752563476545</v>
      </c>
      <c r="EC691">
        <v>8.0615234375</v>
      </c>
    </row>
    <row r="692" spans="1:138" x14ac:dyDescent="0.3">
      <c r="A692" s="2">
        <v>45078</v>
      </c>
      <c r="B692" s="3">
        <f t="shared" si="60"/>
        <v>6</v>
      </c>
      <c r="C692" s="3" t="s">
        <v>182</v>
      </c>
      <c r="D692" s="3" t="str">
        <f>VLOOKUP(C692,'Data availability'!$A$2:$B$91,2,FALSE)</f>
        <v>Main campus</v>
      </c>
      <c r="E692" s="3">
        <v>101932</v>
      </c>
      <c r="F692" s="3" t="str">
        <f>VLOOKUP(C692,'Data availability'!$A$2:$H$91,8,FALSE)</f>
        <v>Academic</v>
      </c>
      <c r="G692" s="260">
        <f>'Solar Data-Main Campus'!G42</f>
        <v>32747.571428571471</v>
      </c>
      <c r="J692" s="9">
        <v>1.0865187872023798</v>
      </c>
      <c r="K692" s="1">
        <v>5871.6261746651544</v>
      </c>
      <c r="M692" s="21">
        <f t="shared" si="61"/>
        <v>1.0961691491806878</v>
      </c>
      <c r="N692" s="21">
        <f t="shared" si="62"/>
        <v>0</v>
      </c>
      <c r="O692" s="21">
        <f t="shared" si="63"/>
        <v>1.0659251139999019E-3</v>
      </c>
      <c r="P692" s="21">
        <f t="shared" si="64"/>
        <v>0.69124037687852546</v>
      </c>
      <c r="Z692" s="211" t="b">
        <f>IFERROR(INDEX(Outliers!$X$3:$X$61,MATCH('SkYSPark Data_w Will''s Data'!C692,Outliers!$B$3:$B$61,0)),0)</f>
        <v>0</v>
      </c>
      <c r="AA692" s="1" t="b">
        <f>IFERROR(INDEX(Outliers!$AP$3:$AP$61,MATCH('SkYSPark Data_w Will''s Data'!C692,Outliers!$B$3:$B$61,0)),0)</f>
        <v>1</v>
      </c>
      <c r="AB692" s="112" t="b">
        <f>IFERROR(INDEX(Outliers!$AY$3:$AY$61,MATCH('SkYSPark Data_w Will''s Data'!C692,Outliers!$B$3:$B$61,0)),0)</f>
        <v>0</v>
      </c>
      <c r="AC692" s="112" t="s">
        <v>392</v>
      </c>
      <c r="AF692" s="132"/>
      <c r="DZ692">
        <v>0.108651878720238</v>
      </c>
      <c r="EB692">
        <v>3498.151083984344</v>
      </c>
      <c r="EC692">
        <v>23.67724609375</v>
      </c>
    </row>
    <row r="693" spans="1:138" x14ac:dyDescent="0.3">
      <c r="A693" s="2">
        <v>45108</v>
      </c>
      <c r="B693" s="3">
        <f t="shared" si="60"/>
        <v>7</v>
      </c>
      <c r="C693" s="3" t="s">
        <v>182</v>
      </c>
      <c r="D693" s="3" t="str">
        <f>VLOOKUP(C693,'Data availability'!$A$2:$B$91,2,FALSE)</f>
        <v>Main campus</v>
      </c>
      <c r="E693" s="3">
        <v>101932</v>
      </c>
      <c r="F693" s="3" t="str">
        <f>VLOOKUP(C693,'Data availability'!$A$2:$H$91,8,FALSE)</f>
        <v>Academic</v>
      </c>
      <c r="G693" s="260">
        <f>'Solar Data-Main Campus'!G43</f>
        <v>33376.928571428551</v>
      </c>
      <c r="J693" s="9">
        <v>0.53680935579877753</v>
      </c>
      <c r="K693" s="1">
        <v>11047.618903459721</v>
      </c>
      <c r="M693" s="21">
        <f t="shared" si="61"/>
        <v>1.1172358070646531</v>
      </c>
      <c r="N693" s="21">
        <f t="shared" si="62"/>
        <v>0</v>
      </c>
      <c r="O693" s="21">
        <f t="shared" si="63"/>
        <v>5.2663477200366672E-4</v>
      </c>
      <c r="P693" s="21">
        <f t="shared" si="64"/>
        <v>1.3005869289478933</v>
      </c>
      <c r="Z693" s="211" t="b">
        <f>IFERROR(INDEX(Outliers!$X$3:$X$61,MATCH('SkYSPark Data_w Will''s Data'!C693,Outliers!$B$3:$B$61,0)),0)</f>
        <v>0</v>
      </c>
      <c r="AA693" s="1" t="b">
        <f>IFERROR(INDEX(Outliers!$AP$3:$AP$61,MATCH('SkYSPark Data_w Will''s Data'!C693,Outliers!$B$3:$B$61,0)),0)</f>
        <v>1</v>
      </c>
      <c r="AB693" s="112" t="b">
        <f>IFERROR(INDEX(Outliers!$AY$3:$AY$61,MATCH('SkYSPark Data_w Will''s Data'!C693,Outliers!$B$3:$B$61,0)),0)</f>
        <v>0</v>
      </c>
      <c r="AC693" s="112" t="s">
        <v>392</v>
      </c>
      <c r="AF693" s="132"/>
      <c r="DZ693">
        <v>5.3680935579877749E-2</v>
      </c>
      <c r="EB693">
        <v>5508.1618261718359</v>
      </c>
      <c r="EC693">
        <v>64.1298828125</v>
      </c>
    </row>
    <row r="694" spans="1:138" x14ac:dyDescent="0.3">
      <c r="A694" s="2">
        <v>45139</v>
      </c>
      <c r="B694" s="3">
        <f t="shared" si="60"/>
        <v>8</v>
      </c>
      <c r="C694" s="3" t="s">
        <v>182</v>
      </c>
      <c r="D694" s="3" t="str">
        <f>VLOOKUP(C694,'Data availability'!$A$2:$B$91,2,FALSE)</f>
        <v>Main campus</v>
      </c>
      <c r="E694" s="3">
        <v>101932</v>
      </c>
      <c r="F694" s="3" t="str">
        <f>VLOOKUP(C694,'Data availability'!$A$2:$H$91,8,FALSE)</f>
        <v>Academic</v>
      </c>
      <c r="G694" s="260">
        <f>'Solar Data-Main Campus'!G44</f>
        <v>33407.842857143012</v>
      </c>
      <c r="J694" s="9">
        <v>0.4274553571428546</v>
      </c>
      <c r="K694" s="1">
        <v>11687.476004394728</v>
      </c>
      <c r="M694" s="21">
        <f t="shared" si="61"/>
        <v>1.1182706100986144</v>
      </c>
      <c r="N694" s="21">
        <f t="shared" si="62"/>
        <v>0</v>
      </c>
      <c r="O694" s="21">
        <f t="shared" si="63"/>
        <v>4.1935344851749655E-4</v>
      </c>
      <c r="P694" s="21">
        <f t="shared" si="64"/>
        <v>1.3759144532898082</v>
      </c>
      <c r="Z694" s="211" t="b">
        <f>IFERROR(INDEX(Outliers!$X$3:$X$61,MATCH('SkYSPark Data_w Will''s Data'!C694,Outliers!$B$3:$B$61,0)),0)</f>
        <v>0</v>
      </c>
      <c r="AA694" s="1" t="b">
        <f>IFERROR(INDEX(Outliers!$AP$3:$AP$61,MATCH('SkYSPark Data_w Will''s Data'!C694,Outliers!$B$3:$B$61,0)),0)</f>
        <v>1</v>
      </c>
      <c r="AB694" s="112" t="b">
        <f>IFERROR(INDEX(Outliers!$AY$3:$AY$61,MATCH('SkYSPark Data_w Will''s Data'!C694,Outliers!$B$3:$B$61,0)),0)</f>
        <v>0</v>
      </c>
      <c r="AC694" s="112" t="s">
        <v>392</v>
      </c>
      <c r="AF694" s="132"/>
      <c r="DZ694">
        <v>4.2745535714285458E-2</v>
      </c>
      <c r="EB694">
        <v>4254.1307719727201</v>
      </c>
      <c r="EC694">
        <v>73.41748046875</v>
      </c>
    </row>
    <row r="695" spans="1:138" x14ac:dyDescent="0.3">
      <c r="A695" s="2">
        <v>45170</v>
      </c>
      <c r="B695" s="3">
        <f t="shared" si="60"/>
        <v>9</v>
      </c>
      <c r="C695" s="3" t="s">
        <v>182</v>
      </c>
      <c r="D695" s="3" t="str">
        <f>VLOOKUP(C695,'Data availability'!$A$2:$B$91,2,FALSE)</f>
        <v>Main campus</v>
      </c>
      <c r="E695" s="3">
        <v>101932</v>
      </c>
      <c r="F695" s="3" t="str">
        <f>VLOOKUP(C695,'Data availability'!$A$2:$H$91,8,FALSE)</f>
        <v>Academic</v>
      </c>
      <c r="G695" s="260">
        <f>'Solar Data-Main Campus'!G45</f>
        <v>36764.050000000178</v>
      </c>
      <c r="J695" s="9">
        <v>0.78687375992062203</v>
      </c>
      <c r="K695" s="1">
        <v>10794.61330608248</v>
      </c>
      <c r="M695" s="21">
        <f t="shared" si="61"/>
        <v>1.2306139249695935</v>
      </c>
      <c r="N695" s="21">
        <f t="shared" si="62"/>
        <v>0</v>
      </c>
      <c r="O695" s="21">
        <f t="shared" si="63"/>
        <v>7.7195950233550014E-4</v>
      </c>
      <c r="P695" s="21">
        <f t="shared" si="64"/>
        <v>1.2708017077364298</v>
      </c>
      <c r="Z695" s="211" t="b">
        <f>IFERROR(INDEX(Outliers!$X$3:$X$61,MATCH('SkYSPark Data_w Will''s Data'!C695,Outliers!$B$3:$B$61,0)),0)</f>
        <v>0</v>
      </c>
      <c r="AA695" s="1" t="b">
        <f>IFERROR(INDEX(Outliers!$AP$3:$AP$61,MATCH('SkYSPark Data_w Will''s Data'!C695,Outliers!$B$3:$B$61,0)),0)</f>
        <v>1</v>
      </c>
      <c r="AB695" s="112" t="b">
        <f>IFERROR(INDEX(Outliers!$AY$3:$AY$61,MATCH('SkYSPark Data_w Will''s Data'!C695,Outliers!$B$3:$B$61,0)),0)</f>
        <v>0</v>
      </c>
      <c r="AC695" s="112" t="s">
        <v>392</v>
      </c>
      <c r="AF695" s="132"/>
      <c r="DZ695">
        <v>7.86873759920622E-2</v>
      </c>
      <c r="EB695">
        <v>4088.4281136997779</v>
      </c>
      <c r="EC695">
        <v>82.2705078125</v>
      </c>
    </row>
    <row r="696" spans="1:138" x14ac:dyDescent="0.3">
      <c r="A696" s="2">
        <v>45200</v>
      </c>
      <c r="B696" s="3">
        <f t="shared" si="60"/>
        <v>10</v>
      </c>
      <c r="C696" s="3" t="s">
        <v>182</v>
      </c>
      <c r="D696" s="3" t="str">
        <f>VLOOKUP(C696,'Data availability'!$A$2:$B$91,2,FALSE)</f>
        <v>Main campus</v>
      </c>
      <c r="E696" s="3">
        <v>101932</v>
      </c>
      <c r="F696" s="3" t="str">
        <f>VLOOKUP(C696,'Data availability'!$A$2:$H$91,8,FALSE)</f>
        <v>Academic</v>
      </c>
      <c r="G696" s="260">
        <f>'Solar Data-Main Campus'!G46</f>
        <v>40554.10714285729</v>
      </c>
      <c r="J696" s="9">
        <v>1.603550127208162</v>
      </c>
      <c r="K696" s="1">
        <v>7115.8274741909518</v>
      </c>
      <c r="M696" s="21">
        <f t="shared" si="61"/>
        <v>1.3574796292766655</v>
      </c>
      <c r="N696" s="21">
        <f t="shared" si="62"/>
        <v>0</v>
      </c>
      <c r="O696" s="21">
        <f t="shared" si="63"/>
        <v>1.5731567390104796E-3</v>
      </c>
      <c r="P696" s="21">
        <f t="shared" si="64"/>
        <v>0.83771464986747457</v>
      </c>
      <c r="Z696" s="211" t="b">
        <f>IFERROR(INDEX(Outliers!$X$3:$X$61,MATCH('SkYSPark Data_w Will''s Data'!C696,Outliers!$B$3:$B$61,0)),0)</f>
        <v>0</v>
      </c>
      <c r="AA696" s="1" t="b">
        <f>IFERROR(INDEX(Outliers!$AP$3:$AP$61,MATCH('SkYSPark Data_w Will''s Data'!C696,Outliers!$B$3:$B$61,0)),0)</f>
        <v>1</v>
      </c>
      <c r="AB696" s="112" t="b">
        <f>IFERROR(INDEX(Outliers!$AY$3:$AY$61,MATCH('SkYSPark Data_w Will''s Data'!C696,Outliers!$B$3:$B$61,0)),0)</f>
        <v>0</v>
      </c>
      <c r="AC696" s="112" t="s">
        <v>392</v>
      </c>
      <c r="AF696" s="132"/>
      <c r="DZ696">
        <v>0.1603550127208162</v>
      </c>
      <c r="EB696">
        <v>3185.320638253384</v>
      </c>
      <c r="EC696">
        <v>39.7998046875</v>
      </c>
    </row>
    <row r="697" spans="1:138" x14ac:dyDescent="0.3">
      <c r="A697" s="2">
        <v>45231</v>
      </c>
      <c r="B697" s="3">
        <f t="shared" si="60"/>
        <v>11</v>
      </c>
      <c r="C697" s="3" t="s">
        <v>182</v>
      </c>
      <c r="D697" s="3" t="str">
        <f>VLOOKUP(C697,'Data availability'!$A$2:$B$91,2,FALSE)</f>
        <v>Main campus</v>
      </c>
      <c r="E697" s="3">
        <v>101932</v>
      </c>
      <c r="F697" s="3" t="str">
        <f>VLOOKUP(C697,'Data availability'!$A$2:$H$91,8,FALSE)</f>
        <v>Academic</v>
      </c>
      <c r="G697" s="260">
        <f>'Solar Data-Main Campus'!G47</f>
        <v>37783.621059268393</v>
      </c>
      <c r="J697" s="9">
        <v>3.1885935529634644</v>
      </c>
      <c r="K697" s="1">
        <v>1189.7701012583195</v>
      </c>
      <c r="M697" s="21">
        <f t="shared" si="61"/>
        <v>1.2647423287507726</v>
      </c>
      <c r="N697" s="21">
        <f t="shared" si="62"/>
        <v>0</v>
      </c>
      <c r="O697" s="21">
        <f t="shared" si="63"/>
        <v>3.128157549114571E-3</v>
      </c>
      <c r="P697" s="21">
        <f t="shared" si="64"/>
        <v>0.14006633064297605</v>
      </c>
      <c r="Z697" s="211" t="b">
        <f>IFERROR(INDEX(Outliers!$X$3:$X$61,MATCH('SkYSPark Data_w Will''s Data'!C697,Outliers!$B$3:$B$61,0)),0)</f>
        <v>0</v>
      </c>
      <c r="AA697" s="1" t="b">
        <f>IFERROR(INDEX(Outliers!$AP$3:$AP$61,MATCH('SkYSPark Data_w Will''s Data'!C697,Outliers!$B$3:$B$61,0)),0)</f>
        <v>1</v>
      </c>
      <c r="AB697" s="112" t="b">
        <f>IFERROR(INDEX(Outliers!$AY$3:$AY$61,MATCH('SkYSPark Data_w Will''s Data'!C697,Outliers!$B$3:$B$61,0)),0)</f>
        <v>0</v>
      </c>
      <c r="AC697" s="112" t="s">
        <v>392</v>
      </c>
      <c r="AF697" s="132"/>
      <c r="DZ697">
        <v>0.31885935529634651</v>
      </c>
      <c r="EB697">
        <v>732.85487720926949</v>
      </c>
      <c r="EC697">
        <v>11.43701171875</v>
      </c>
    </row>
    <row r="698" spans="1:138" x14ac:dyDescent="0.3">
      <c r="A698" s="2">
        <v>45261</v>
      </c>
      <c r="B698" s="3">
        <f t="shared" si="60"/>
        <v>12</v>
      </c>
      <c r="C698" s="3" t="s">
        <v>182</v>
      </c>
      <c r="D698" s="3" t="str">
        <f>VLOOKUP(C698,'Data availability'!$A$2:$B$91,2,FALSE)</f>
        <v>Main campus</v>
      </c>
      <c r="E698" s="3">
        <v>101932</v>
      </c>
      <c r="F698" s="3" t="str">
        <f>VLOOKUP(C698,'Data availability'!$A$2:$H$91,8,FALSE)</f>
        <v>Academic</v>
      </c>
      <c r="G698" s="260">
        <f>'Solar Data-Main Campus'!G48</f>
        <v>34728.085837282822</v>
      </c>
      <c r="J698" s="9">
        <v>3.3459400300606283</v>
      </c>
      <c r="K698" s="1">
        <v>182.78830913364658</v>
      </c>
      <c r="M698" s="21">
        <f t="shared" si="61"/>
        <v>1.1624634940627967</v>
      </c>
      <c r="N698" s="21">
        <f t="shared" si="62"/>
        <v>0</v>
      </c>
      <c r="O698" s="21">
        <f t="shared" si="63"/>
        <v>3.2825217106116121E-3</v>
      </c>
      <c r="P698" s="21">
        <f t="shared" si="64"/>
        <v>2.1518852858805466E-2</v>
      </c>
      <c r="Z698" s="211" t="b">
        <f>IFERROR(INDEX(Outliers!$X$3:$X$61,MATCH('SkYSPark Data_w Will''s Data'!C698,Outliers!$B$3:$B$61,0)),0)</f>
        <v>0</v>
      </c>
      <c r="AA698" s="1" t="b">
        <f>IFERROR(INDEX(Outliers!$AP$3:$AP$61,MATCH('SkYSPark Data_w Will''s Data'!C698,Outliers!$B$3:$B$61,0)),0)</f>
        <v>1</v>
      </c>
      <c r="AB698" s="112" t="b">
        <f>IFERROR(INDEX(Outliers!$AY$3:$AY$61,MATCH('SkYSPark Data_w Will''s Data'!C698,Outliers!$B$3:$B$61,0)),0)</f>
        <v>0</v>
      </c>
      <c r="AC698" s="112" t="s">
        <v>392</v>
      </c>
      <c r="AF698" s="132"/>
      <c r="DZ698">
        <v>0.33459400300606279</v>
      </c>
      <c r="EB698">
        <v>137.16015915926141</v>
      </c>
    </row>
    <row r="699" spans="1:138" s="15" customFormat="1" x14ac:dyDescent="0.3">
      <c r="A699" s="38">
        <v>44927</v>
      </c>
      <c r="B699" s="22">
        <f t="shared" si="60"/>
        <v>1</v>
      </c>
      <c r="C699" s="22" t="s">
        <v>340</v>
      </c>
      <c r="D699" s="22" t="str">
        <f>VLOOKUP(C699,'Data availability'!$A$2:$B$91,2,FALSE)</f>
        <v>Main campus</v>
      </c>
      <c r="E699" s="22">
        <v>39332</v>
      </c>
      <c r="F699" s="3" t="str">
        <f>VLOOKUP(C699,'Data availability'!$A$2:$H$91,8,FALSE)</f>
        <v>Residential</v>
      </c>
      <c r="G699" s="21">
        <v>14832.881543333178</v>
      </c>
      <c r="H699" s="21"/>
      <c r="I699" s="21">
        <v>2117.7580645161338</v>
      </c>
      <c r="K699" s="21"/>
      <c r="L699" s="20"/>
      <c r="M699" s="21">
        <f t="shared" si="61"/>
        <v>1.286733240767131</v>
      </c>
      <c r="N699" s="21">
        <f>IFERROR((#REF!*100)/E699,0)</f>
        <v>0</v>
      </c>
      <c r="O699" s="21">
        <f t="shared" ref="O699:O710" si="65">IFERROR((I699*100)/E699,0)</f>
        <v>5.3843131915898859</v>
      </c>
      <c r="P699" s="21">
        <f t="shared" si="64"/>
        <v>0</v>
      </c>
      <c r="Q699" s="21">
        <f>(SUM(G699:G710)*3.412)/E699</f>
        <v>20.768948018924362</v>
      </c>
      <c r="R699" s="21">
        <f>(SUM(I699:I710)*100)/E699</f>
        <v>39.492779416251466</v>
      </c>
      <c r="S699" s="21"/>
      <c r="T699" s="21">
        <f>(SUM(K699:K710)*12)/E699</f>
        <v>0</v>
      </c>
      <c r="U699" s="21"/>
      <c r="V699" s="34">
        <f>SUM(Q699:T699)</f>
        <v>60.261727435175828</v>
      </c>
      <c r="W699" s="19" t="s">
        <v>113</v>
      </c>
      <c r="X699" s="20"/>
      <c r="Y699" s="21"/>
      <c r="Z699" s="211" t="b">
        <f>IFERROR(INDEX(Outliers!$X$3:$X$61,MATCH('SkYSPark Data_w Will''s Data'!C699,Outliers!$B$3:$B$61,0)),0)</f>
        <v>0</v>
      </c>
      <c r="AA699" s="1" t="b">
        <f>IFERROR(INDEX(Outliers!$AP$3:$AP$61,MATCH('SkYSPark Data_w Will''s Data'!C699,Outliers!$B$3:$B$61,0)),0)</f>
        <v>1</v>
      </c>
      <c r="AB699" s="112" t="b">
        <f>IFERROR(INDEX(Outliers!$AY$3:$AY$61,MATCH('SkYSPark Data_w Will''s Data'!C699,Outliers!$B$3:$B$61,0)),0)</f>
        <v>1</v>
      </c>
      <c r="AC699" s="112" t="s">
        <v>391</v>
      </c>
      <c r="AD699" s="138"/>
      <c r="AE699" s="138"/>
      <c r="AF699" s="138"/>
      <c r="AH699" s="15">
        <v>6.9976388166262726</v>
      </c>
      <c r="EF699" s="15">
        <v>5.8957674731182159</v>
      </c>
      <c r="EG699" s="15">
        <v>14832.88154333318</v>
      </c>
      <c r="EH699" s="15">
        <v>2117.7580645161338</v>
      </c>
    </row>
    <row r="700" spans="1:138" x14ac:dyDescent="0.3">
      <c r="A700" s="2">
        <v>44958</v>
      </c>
      <c r="B700" s="3">
        <f t="shared" si="60"/>
        <v>2</v>
      </c>
      <c r="C700" s="3" t="s">
        <v>340</v>
      </c>
      <c r="D700" s="3" t="str">
        <f>VLOOKUP(C700,'Data availability'!$A$2:$B$91,2,FALSE)</f>
        <v>Main campus</v>
      </c>
      <c r="E700" s="3">
        <v>39332</v>
      </c>
      <c r="F700" s="3" t="str">
        <f>VLOOKUP(C700,'Data availability'!$A$2:$H$91,8,FALSE)</f>
        <v>Residential</v>
      </c>
      <c r="G700" s="1">
        <v>19052.733135610713</v>
      </c>
      <c r="I700" s="1">
        <v>2476.5483870967614</v>
      </c>
      <c r="M700" s="21">
        <f t="shared" si="61"/>
        <v>1.6527998947092379</v>
      </c>
      <c r="N700" s="21">
        <f>IFERROR((#REF!*100)/E700,0)</f>
        <v>0</v>
      </c>
      <c r="O700" s="21">
        <f t="shared" si="65"/>
        <v>6.2965229001748231</v>
      </c>
      <c r="P700" s="21">
        <f t="shared" si="64"/>
        <v>0</v>
      </c>
      <c r="W700" s="10" t="s">
        <v>114</v>
      </c>
      <c r="Z700" s="211" t="b">
        <f>IFERROR(INDEX(Outliers!$X$3:$X$61,MATCH('SkYSPark Data_w Will''s Data'!C700,Outliers!$B$3:$B$61,0)),0)</f>
        <v>0</v>
      </c>
      <c r="AA700" s="1" t="b">
        <f>IFERROR(INDEX(Outliers!$AP$3:$AP$61,MATCH('SkYSPark Data_w Will''s Data'!C700,Outliers!$B$3:$B$61,0)),0)</f>
        <v>1</v>
      </c>
      <c r="AB700" s="112" t="b">
        <f>IFERROR(INDEX(Outliers!$AY$3:$AY$61,MATCH('SkYSPark Data_w Will''s Data'!C700,Outliers!$B$3:$B$61,0)),0)</f>
        <v>1</v>
      </c>
      <c r="AC700" s="112" t="s">
        <v>391</v>
      </c>
      <c r="AH700">
        <v>8.8051617703534397</v>
      </c>
      <c r="EF700">
        <v>7.7117228844602286</v>
      </c>
      <c r="EG700">
        <v>19052.73313561071</v>
      </c>
      <c r="EH700">
        <v>2476.548387096761</v>
      </c>
    </row>
    <row r="701" spans="1:138" x14ac:dyDescent="0.3">
      <c r="A701" s="2">
        <v>44986</v>
      </c>
      <c r="B701" s="3">
        <f t="shared" si="60"/>
        <v>3</v>
      </c>
      <c r="C701" s="3" t="s">
        <v>340</v>
      </c>
      <c r="D701" s="3" t="str">
        <f>VLOOKUP(C701,'Data availability'!$A$2:$B$91,2,FALSE)</f>
        <v>Main campus</v>
      </c>
      <c r="E701" s="3">
        <v>39332</v>
      </c>
      <c r="F701" s="3" t="str">
        <f>VLOOKUP(C701,'Data availability'!$A$2:$H$91,8,FALSE)</f>
        <v>Residential</v>
      </c>
      <c r="G701" s="1">
        <v>20003.276837723006</v>
      </c>
      <c r="I701" s="1">
        <v>2426.3977212634018</v>
      </c>
      <c r="M701" s="21">
        <f t="shared" si="61"/>
        <v>1.7352583283410683</v>
      </c>
      <c r="N701" s="21">
        <f>IFERROR((#REF!*100)/E701,0)</f>
        <v>0</v>
      </c>
      <c r="O701" s="21">
        <f t="shared" si="65"/>
        <v>6.1690168851403486</v>
      </c>
      <c r="P701" s="21">
        <f t="shared" si="64"/>
        <v>0</v>
      </c>
      <c r="Z701" s="211" t="b">
        <f>IFERROR(INDEX(Outliers!$X$3:$X$61,MATCH('SkYSPark Data_w Will''s Data'!C701,Outliers!$B$3:$B$61,0)),0)</f>
        <v>0</v>
      </c>
      <c r="AA701" s="1" t="b">
        <f>IFERROR(INDEX(Outliers!$AP$3:$AP$61,MATCH('SkYSPark Data_w Will''s Data'!C701,Outliers!$B$3:$B$61,0)),0)</f>
        <v>1</v>
      </c>
      <c r="AB701" s="112" t="b">
        <f>IFERROR(INDEX(Outliers!$AY$3:$AY$61,MATCH('SkYSPark Data_w Will''s Data'!C701,Outliers!$B$3:$B$61,0)),0)</f>
        <v>1</v>
      </c>
      <c r="AC701" s="112" t="s">
        <v>391</v>
      </c>
      <c r="AH701">
        <v>6.3734731985333148</v>
      </c>
      <c r="EF701">
        <v>7.3884623889315906</v>
      </c>
      <c r="EG701">
        <v>20003.27683772301</v>
      </c>
      <c r="EH701">
        <v>2426.3977212634022</v>
      </c>
    </row>
    <row r="702" spans="1:138" x14ac:dyDescent="0.3">
      <c r="A702" s="2">
        <v>45017</v>
      </c>
      <c r="B702" s="3">
        <f t="shared" si="60"/>
        <v>4</v>
      </c>
      <c r="C702" s="3" t="s">
        <v>340</v>
      </c>
      <c r="D702" s="3" t="str">
        <f>VLOOKUP(C702,'Data availability'!$A$2:$B$91,2,FALSE)</f>
        <v>Main campus</v>
      </c>
      <c r="E702" s="3">
        <v>39332</v>
      </c>
      <c r="F702" s="3" t="str">
        <f>VLOOKUP(C702,'Data availability'!$A$2:$H$91,8,FALSE)</f>
        <v>Residential</v>
      </c>
      <c r="G702" s="1">
        <v>19028.337078161214</v>
      </c>
      <c r="I702" s="1">
        <v>1837.8895771237133</v>
      </c>
      <c r="M702" s="21">
        <f t="shared" si="61"/>
        <v>1.6506835683587424</v>
      </c>
      <c r="N702" s="21">
        <f>IFERROR((#REF!*100)/E702,0)</f>
        <v>0</v>
      </c>
      <c r="O702" s="21">
        <f t="shared" si="65"/>
        <v>4.672759018416845</v>
      </c>
      <c r="P702" s="21">
        <f t="shared" si="64"/>
        <v>0</v>
      </c>
      <c r="Z702" s="211" t="b">
        <f>IFERROR(INDEX(Outliers!$X$3:$X$61,MATCH('SkYSPark Data_w Will''s Data'!C702,Outliers!$B$3:$B$61,0)),0)</f>
        <v>0</v>
      </c>
      <c r="AA702" s="1" t="b">
        <f>IFERROR(INDEX(Outliers!$AP$3:$AP$61,MATCH('SkYSPark Data_w Will''s Data'!C702,Outliers!$B$3:$B$61,0)),0)</f>
        <v>1</v>
      </c>
      <c r="AB702" s="112" t="b">
        <f>IFERROR(INDEX(Outliers!$AY$3:$AY$61,MATCH('SkYSPark Data_w Will''s Data'!C702,Outliers!$B$3:$B$61,0)),0)</f>
        <v>1</v>
      </c>
      <c r="AC702" s="112" t="s">
        <v>391</v>
      </c>
      <c r="AH702">
        <v>3.352712279040436</v>
      </c>
      <c r="EF702">
        <v>8.018633492975825</v>
      </c>
      <c r="EG702">
        <v>19028.33707816121</v>
      </c>
      <c r="EH702">
        <v>1837.889577123713</v>
      </c>
    </row>
    <row r="703" spans="1:138" x14ac:dyDescent="0.3">
      <c r="A703" s="2">
        <v>45047</v>
      </c>
      <c r="B703" s="3">
        <f t="shared" si="60"/>
        <v>5</v>
      </c>
      <c r="C703" s="3" t="s">
        <v>340</v>
      </c>
      <c r="D703" s="3" t="str">
        <f>VLOOKUP(C703,'Data availability'!$A$2:$B$91,2,FALSE)</f>
        <v>Main campus</v>
      </c>
      <c r="E703" s="3">
        <v>39332</v>
      </c>
      <c r="F703" s="3" t="str">
        <f>VLOOKUP(C703,'Data availability'!$A$2:$H$91,8,FALSE)</f>
        <v>Residential</v>
      </c>
      <c r="G703" s="1">
        <v>17401.796998922218</v>
      </c>
      <c r="I703" s="1">
        <v>1365.7127016129114</v>
      </c>
      <c r="M703" s="21">
        <f t="shared" si="61"/>
        <v>1.5095833255446611</v>
      </c>
      <c r="N703" s="21">
        <f>IFERROR((#REF!*100)/E703,0)</f>
        <v>0</v>
      </c>
      <c r="O703" s="21">
        <f t="shared" si="65"/>
        <v>3.4722686403257184</v>
      </c>
      <c r="P703" s="21">
        <f t="shared" si="64"/>
        <v>0</v>
      </c>
      <c r="Z703" s="211" t="b">
        <f>IFERROR(INDEX(Outliers!$X$3:$X$61,MATCH('SkYSPark Data_w Will''s Data'!C703,Outliers!$B$3:$B$61,0)),0)</f>
        <v>0</v>
      </c>
      <c r="AA703" s="1" t="b">
        <f>IFERROR(INDEX(Outliers!$AP$3:$AP$61,MATCH('SkYSPark Data_w Will''s Data'!C703,Outliers!$B$3:$B$61,0)),0)</f>
        <v>1</v>
      </c>
      <c r="AB703" s="112" t="b">
        <f>IFERROR(INDEX(Outliers!$AY$3:$AY$61,MATCH('SkYSPark Data_w Will''s Data'!C703,Outliers!$B$3:$B$61,0)),0)</f>
        <v>1</v>
      </c>
      <c r="AC703" s="112" t="s">
        <v>391</v>
      </c>
      <c r="AH703">
        <v>2.165480564949704</v>
      </c>
      <c r="EF703">
        <v>7.3521979861883224</v>
      </c>
      <c r="EG703">
        <v>17401.796998922218</v>
      </c>
      <c r="EH703">
        <v>1365.7127016129109</v>
      </c>
    </row>
    <row r="704" spans="1:138" x14ac:dyDescent="0.3">
      <c r="A704" s="2">
        <v>45078</v>
      </c>
      <c r="B704" s="3">
        <f t="shared" si="60"/>
        <v>6</v>
      </c>
      <c r="C704" s="3" t="s">
        <v>340</v>
      </c>
      <c r="D704" s="3" t="str">
        <f>VLOOKUP(C704,'Data availability'!$A$2:$B$91,2,FALSE)</f>
        <v>Main campus</v>
      </c>
      <c r="E704" s="3">
        <v>39332</v>
      </c>
      <c r="F704" s="3" t="str">
        <f>VLOOKUP(C704,'Data availability'!$A$2:$H$91,8,FALSE)</f>
        <v>Residential</v>
      </c>
      <c r="G704" s="1">
        <v>11922.837494959591</v>
      </c>
      <c r="I704" s="1">
        <v>662.2935483870923</v>
      </c>
      <c r="M704" s="21">
        <f t="shared" si="61"/>
        <v>1.0342906928913385</v>
      </c>
      <c r="N704" s="21">
        <f>IFERROR((#REF!*100)/E704,0)</f>
        <v>0</v>
      </c>
      <c r="O704" s="21">
        <f t="shared" si="65"/>
        <v>1.683854236720971</v>
      </c>
      <c r="P704" s="21">
        <f t="shared" si="64"/>
        <v>0</v>
      </c>
      <c r="Z704" s="211" t="b">
        <f>IFERROR(INDEX(Outliers!$X$3:$X$61,MATCH('SkYSPark Data_w Will''s Data'!C704,Outliers!$B$3:$B$61,0)),0)</f>
        <v>0</v>
      </c>
      <c r="AA704" s="1" t="b">
        <f>IFERROR(INDEX(Outliers!$AP$3:$AP$61,MATCH('SkYSPark Data_w Will''s Data'!C704,Outliers!$B$3:$B$61,0)),0)</f>
        <v>1</v>
      </c>
      <c r="AB704" s="112" t="b">
        <f>IFERROR(INDEX(Outliers!$AY$3:$AY$61,MATCH('SkYSPark Data_w Will''s Data'!C704,Outliers!$B$3:$B$61,0)),0)</f>
        <v>1</v>
      </c>
      <c r="AC704" s="112" t="s">
        <v>391</v>
      </c>
      <c r="AH704">
        <v>1.138707004181595</v>
      </c>
      <c r="EF704">
        <v>5.3057925067205094</v>
      </c>
      <c r="EG704">
        <v>11922.837494959589</v>
      </c>
      <c r="EH704">
        <v>662.2935483870923</v>
      </c>
    </row>
    <row r="705" spans="1:138" x14ac:dyDescent="0.3">
      <c r="A705" s="2">
        <v>45108</v>
      </c>
      <c r="B705" s="3">
        <f t="shared" si="60"/>
        <v>7</v>
      </c>
      <c r="C705" s="3" t="s">
        <v>340</v>
      </c>
      <c r="D705" s="3" t="str">
        <f>VLOOKUP(C705,'Data availability'!$A$2:$B$91,2,FALSE)</f>
        <v>Main campus</v>
      </c>
      <c r="E705" s="3">
        <v>39332</v>
      </c>
      <c r="F705" s="3" t="str">
        <f>VLOOKUP(C705,'Data availability'!$A$2:$H$91,8,FALSE)</f>
        <v>Residential</v>
      </c>
      <c r="G705" s="1">
        <v>14108.98921301434</v>
      </c>
      <c r="I705" s="1">
        <v>244.64193548386987</v>
      </c>
      <c r="M705" s="21">
        <f t="shared" si="61"/>
        <v>1.2239365197499472</v>
      </c>
      <c r="N705" s="21">
        <f>IFERROR((#REF!*100)/E705,0)</f>
        <v>0</v>
      </c>
      <c r="O705" s="21">
        <f t="shared" si="65"/>
        <v>0.6219921068948181</v>
      </c>
      <c r="P705" s="21">
        <f t="shared" si="64"/>
        <v>0</v>
      </c>
      <c r="Z705" s="211" t="b">
        <f>IFERROR(INDEX(Outliers!$X$3:$X$61,MATCH('SkYSPark Data_w Will''s Data'!C705,Outliers!$B$3:$B$61,0)),0)</f>
        <v>0</v>
      </c>
      <c r="AA705" s="1" t="b">
        <f>IFERROR(INDEX(Outliers!$AP$3:$AP$61,MATCH('SkYSPark Data_w Will''s Data'!C705,Outliers!$B$3:$B$61,0)),0)</f>
        <v>1</v>
      </c>
      <c r="AB705" s="112" t="b">
        <f>IFERROR(INDEX(Outliers!$AY$3:$AY$61,MATCH('SkYSPark Data_w Will''s Data'!C705,Outliers!$B$3:$B$61,0)),0)</f>
        <v>1</v>
      </c>
      <c r="AC705" s="112" t="s">
        <v>391</v>
      </c>
      <c r="AH705">
        <v>0.46887225401781563</v>
      </c>
      <c r="EF705">
        <v>6.8042041485761668</v>
      </c>
      <c r="EG705">
        <v>14108.98921301434</v>
      </c>
      <c r="EH705">
        <v>244.6419354838699</v>
      </c>
    </row>
    <row r="706" spans="1:138" x14ac:dyDescent="0.3">
      <c r="A706" s="2">
        <v>45139</v>
      </c>
      <c r="B706" s="3">
        <f t="shared" si="60"/>
        <v>8</v>
      </c>
      <c r="C706" s="3" t="s">
        <v>340</v>
      </c>
      <c r="D706" s="3" t="str">
        <f>VLOOKUP(C706,'Data availability'!$A$2:$B$91,2,FALSE)</f>
        <v>Main campus</v>
      </c>
      <c r="E706" s="3">
        <v>39332</v>
      </c>
      <c r="F706" s="3" t="str">
        <f>VLOOKUP(C706,'Data availability'!$A$2:$H$91,8,FALSE)</f>
        <v>Residential</v>
      </c>
      <c r="G706" s="1">
        <v>27071.46397952563</v>
      </c>
      <c r="I706" s="1">
        <v>282.67741935484213</v>
      </c>
      <c r="M706" s="21">
        <f t="shared" si="61"/>
        <v>2.34841439789844</v>
      </c>
      <c r="N706" s="21">
        <f>IFERROR((#REF!*100)/E706,0)</f>
        <v>0</v>
      </c>
      <c r="O706" s="21">
        <f t="shared" si="65"/>
        <v>0.71869576770782606</v>
      </c>
      <c r="P706" s="21">
        <f t="shared" si="64"/>
        <v>0</v>
      </c>
      <c r="Z706" s="211" t="b">
        <f>IFERROR(INDEX(Outliers!$X$3:$X$61,MATCH('SkYSPark Data_w Will''s Data'!C706,Outliers!$B$3:$B$61,0)),0)</f>
        <v>0</v>
      </c>
      <c r="AA706" s="1" t="b">
        <f>IFERROR(INDEX(Outliers!$AP$3:$AP$61,MATCH('SkYSPark Data_w Will''s Data'!C706,Outliers!$B$3:$B$61,0)),0)</f>
        <v>1</v>
      </c>
      <c r="AB706" s="112" t="b">
        <f>IFERROR(INDEX(Outliers!$AY$3:$AY$61,MATCH('SkYSPark Data_w Will''s Data'!C706,Outliers!$B$3:$B$61,0)),0)</f>
        <v>1</v>
      </c>
      <c r="AC706" s="112" t="s">
        <v>391</v>
      </c>
      <c r="AH706">
        <v>0.56259105098856255</v>
      </c>
      <c r="EF706">
        <v>12.20742012247401</v>
      </c>
      <c r="EG706">
        <v>27071.46397952563</v>
      </c>
      <c r="EH706">
        <v>282.67741935484207</v>
      </c>
    </row>
    <row r="707" spans="1:138" x14ac:dyDescent="0.3">
      <c r="A707" s="2">
        <v>45170</v>
      </c>
      <c r="B707" s="3">
        <f t="shared" si="60"/>
        <v>9</v>
      </c>
      <c r="C707" s="3" t="s">
        <v>340</v>
      </c>
      <c r="D707" s="3" t="str">
        <f>VLOOKUP(C707,'Data availability'!$A$2:$B$91,2,FALSE)</f>
        <v>Main campus</v>
      </c>
      <c r="E707" s="3">
        <v>39332</v>
      </c>
      <c r="F707" s="3" t="str">
        <f>VLOOKUP(C707,'Data availability'!$A$2:$H$91,8,FALSE)</f>
        <v>Residential</v>
      </c>
      <c r="G707" s="1">
        <v>32593.763668750318</v>
      </c>
      <c r="I707" s="1">
        <v>420.54616240267467</v>
      </c>
      <c r="M707" s="21">
        <f t="shared" si="61"/>
        <v>2.8274667354260168</v>
      </c>
      <c r="N707" s="21">
        <f>IFERROR((#REF!*100)/E707,0)</f>
        <v>0</v>
      </c>
      <c r="O707" s="21">
        <f t="shared" si="65"/>
        <v>1.0692214034442049</v>
      </c>
      <c r="P707" s="21">
        <f t="shared" si="64"/>
        <v>0</v>
      </c>
      <c r="Z707" s="211" t="b">
        <f>IFERROR(INDEX(Outliers!$X$3:$X$61,MATCH('SkYSPark Data_w Will''s Data'!C707,Outliers!$B$3:$B$61,0)),0)</f>
        <v>0</v>
      </c>
      <c r="AA707" s="1" t="b">
        <f>IFERROR(INDEX(Outliers!$AP$3:$AP$61,MATCH('SkYSPark Data_w Will''s Data'!C707,Outliers!$B$3:$B$61,0)),0)</f>
        <v>1</v>
      </c>
      <c r="AB707" s="112" t="b">
        <f>IFERROR(INDEX(Outliers!$AY$3:$AY$61,MATCH('SkYSPark Data_w Will''s Data'!C707,Outliers!$B$3:$B$61,0)),0)</f>
        <v>1</v>
      </c>
      <c r="AC707" s="112" t="s">
        <v>391</v>
      </c>
      <c r="AH707">
        <v>0.91522452416264832</v>
      </c>
      <c r="EF707">
        <v>14.2446960937501</v>
      </c>
      <c r="EG707">
        <v>32593.763668750322</v>
      </c>
      <c r="EH707">
        <v>420.54616240267472</v>
      </c>
    </row>
    <row r="708" spans="1:138" x14ac:dyDescent="0.3">
      <c r="A708" s="2">
        <v>45200</v>
      </c>
      <c r="B708" s="3">
        <f t="shared" si="60"/>
        <v>10</v>
      </c>
      <c r="C708" s="3" t="s">
        <v>340</v>
      </c>
      <c r="D708" s="3" t="str">
        <f>VLOOKUP(C708,'Data availability'!$A$2:$B$91,2,FALSE)</f>
        <v>Main campus</v>
      </c>
      <c r="E708" s="3">
        <v>39332</v>
      </c>
      <c r="F708" s="3" t="str">
        <f>VLOOKUP(C708,'Data availability'!$A$2:$H$91,8,FALSE)</f>
        <v>Residential</v>
      </c>
      <c r="G708" s="1">
        <v>28446.413320803222</v>
      </c>
      <c r="I708" s="1">
        <v>810.22911363109483</v>
      </c>
      <c r="M708" s="21">
        <f t="shared" si="61"/>
        <v>2.4676894704205377</v>
      </c>
      <c r="N708" s="21">
        <f>IFERROR((#REF!*100)/E708,0)</f>
        <v>0</v>
      </c>
      <c r="O708" s="21">
        <f t="shared" si="65"/>
        <v>2.0599743558199299</v>
      </c>
      <c r="P708" s="21">
        <f t="shared" si="64"/>
        <v>0</v>
      </c>
      <c r="Z708" s="211" t="b">
        <f>IFERROR(INDEX(Outliers!$X$3:$X$61,MATCH('SkYSPark Data_w Will''s Data'!C708,Outliers!$B$3:$B$61,0)),0)</f>
        <v>0</v>
      </c>
      <c r="AA708" s="1" t="b">
        <f>IFERROR(INDEX(Outliers!$AP$3:$AP$61,MATCH('SkYSPark Data_w Will''s Data'!C708,Outliers!$B$3:$B$61,0)),0)</f>
        <v>1</v>
      </c>
      <c r="AB708" s="112" t="b">
        <f>IFERROR(INDEX(Outliers!$AY$3:$AY$61,MATCH('SkYSPark Data_w Will''s Data'!C708,Outliers!$B$3:$B$61,0)),0)</f>
        <v>1</v>
      </c>
      <c r="AC708" s="112" t="s">
        <v>391</v>
      </c>
      <c r="AH708">
        <v>1.852836447656254</v>
      </c>
      <c r="EF708">
        <v>11.74629178236996</v>
      </c>
      <c r="EG708">
        <v>28446.413320803222</v>
      </c>
      <c r="EH708">
        <v>810.22911363109483</v>
      </c>
    </row>
    <row r="709" spans="1:138" x14ac:dyDescent="0.3">
      <c r="A709" s="2">
        <v>45231</v>
      </c>
      <c r="B709" s="3">
        <f t="shared" si="60"/>
        <v>11</v>
      </c>
      <c r="C709" s="3" t="s">
        <v>340</v>
      </c>
      <c r="D709" s="3" t="str">
        <f>VLOOKUP(C709,'Data availability'!$A$2:$B$91,2,FALSE)</f>
        <v>Main campus</v>
      </c>
      <c r="E709" s="3">
        <v>39332</v>
      </c>
      <c r="F709" s="3" t="str">
        <f>VLOOKUP(C709,'Data availability'!$A$2:$H$91,8,FALSE)</f>
        <v>Residential</v>
      </c>
      <c r="G709" s="1">
        <v>19776.704385446283</v>
      </c>
      <c r="I709" s="1">
        <v>1414.0634336436528</v>
      </c>
      <c r="M709" s="21">
        <f t="shared" si="61"/>
        <v>1.7156034618921672</v>
      </c>
      <c r="N709" s="21">
        <f>IFERROR((#REF!*100)/E709,0)</f>
        <v>0</v>
      </c>
      <c r="O709" s="21">
        <f t="shared" si="65"/>
        <v>3.5951983973447899</v>
      </c>
      <c r="P709" s="21">
        <f t="shared" si="64"/>
        <v>0</v>
      </c>
      <c r="Z709" s="211" t="b">
        <f>IFERROR(INDEX(Outliers!$X$3:$X$61,MATCH('SkYSPark Data_w Will''s Data'!C709,Outliers!$B$3:$B$61,0)),0)</f>
        <v>0</v>
      </c>
      <c r="AA709" s="1" t="b">
        <f>IFERROR(INDEX(Outliers!$AP$3:$AP$61,MATCH('SkYSPark Data_w Will''s Data'!C709,Outliers!$B$3:$B$61,0)),0)</f>
        <v>1</v>
      </c>
      <c r="AB709" s="112" t="b">
        <f>IFERROR(INDEX(Outliers!$AY$3:$AY$61,MATCH('SkYSPark Data_w Will''s Data'!C709,Outliers!$B$3:$B$61,0)),0)</f>
        <v>1</v>
      </c>
      <c r="AC709" s="112" t="s">
        <v>391</v>
      </c>
      <c r="AH709">
        <v>3.705103968142204</v>
      </c>
      <c r="EF709">
        <v>8.2804363403837637</v>
      </c>
      <c r="EG709">
        <v>19776.704385446279</v>
      </c>
      <c r="EH709">
        <v>1414.0634336436531</v>
      </c>
    </row>
    <row r="710" spans="1:138" x14ac:dyDescent="0.3">
      <c r="A710" s="2">
        <v>45261</v>
      </c>
      <c r="B710" s="3">
        <f t="shared" si="60"/>
        <v>12</v>
      </c>
      <c r="C710" s="3" t="s">
        <v>340</v>
      </c>
      <c r="D710" s="3" t="str">
        <f>VLOOKUP(C710,'Data availability'!$A$2:$B$91,2,FALSE)</f>
        <v>Main campus</v>
      </c>
      <c r="E710" s="3">
        <v>39332</v>
      </c>
      <c r="F710" s="3" t="str">
        <f>VLOOKUP(C710,'Data availability'!$A$2:$H$91,8,FALSE)</f>
        <v>Residential</v>
      </c>
      <c r="G710" s="1">
        <v>15175.885427083487</v>
      </c>
      <c r="I710" s="1">
        <v>1474.5419354838821</v>
      </c>
      <c r="M710" s="21">
        <f t="shared" si="61"/>
        <v>1.3164883829250702</v>
      </c>
      <c r="N710" s="21">
        <f>IFERROR((#REF!*100)/E710,0)</f>
        <v>0</v>
      </c>
      <c r="O710" s="21">
        <f t="shared" si="65"/>
        <v>3.7489625126713157</v>
      </c>
      <c r="P710" s="21">
        <f t="shared" si="64"/>
        <v>0</v>
      </c>
      <c r="Z710" s="211" t="b">
        <f>IFERROR(INDEX(Outliers!$X$3:$X$61,MATCH('SkYSPark Data_w Will''s Data'!C710,Outliers!$B$3:$B$61,0)),0)</f>
        <v>0</v>
      </c>
      <c r="AA710" s="1" t="b">
        <f>IFERROR(INDEX(Outliers!$AP$3:$AP$61,MATCH('SkYSPark Data_w Will''s Data'!C710,Outliers!$B$3:$B$61,0)),0)</f>
        <v>1</v>
      </c>
      <c r="AB710" s="112" t="b">
        <f>IFERROR(INDEX(Outliers!$AY$3:$AY$61,MATCH('SkYSPark Data_w Will''s Data'!C710,Outliers!$B$3:$B$61,0)),0)</f>
        <v>1</v>
      </c>
      <c r="AC710" s="112" t="s">
        <v>391</v>
      </c>
      <c r="AH710">
        <v>4.0667218175511346</v>
      </c>
      <c r="EF710">
        <v>6.2842902945789536</v>
      </c>
      <c r="EG710">
        <v>15175.885427083491</v>
      </c>
      <c r="EH710">
        <v>1474.5419354838821</v>
      </c>
    </row>
    <row r="711" spans="1:138" s="15" customFormat="1" x14ac:dyDescent="0.3">
      <c r="A711" s="38">
        <v>44927</v>
      </c>
      <c r="B711" s="22">
        <f t="shared" si="60"/>
        <v>1</v>
      </c>
      <c r="C711" s="22" t="s">
        <v>183</v>
      </c>
      <c r="D711" s="22" t="str">
        <f>VLOOKUP(C711,'Data availability'!$A$2:$B$91,2,FALSE)</f>
        <v>Main campus</v>
      </c>
      <c r="E711" s="22">
        <v>71857</v>
      </c>
      <c r="F711" s="3" t="str">
        <f>VLOOKUP(C711,'Data availability'!$A$2:$H$91,8,FALSE)</f>
        <v>Academic</v>
      </c>
      <c r="G711" s="21">
        <v>46348.267588122559</v>
      </c>
      <c r="H711" s="21"/>
      <c r="I711" s="21"/>
      <c r="J711" s="21">
        <v>3364.556551724168</v>
      </c>
      <c r="K711" s="21">
        <v>2042.490148275888</v>
      </c>
      <c r="L711" s="20"/>
      <c r="M711" s="21">
        <f t="shared" si="61"/>
        <v>2.2007638644902259</v>
      </c>
      <c r="N711" s="21">
        <f t="shared" ref="N711:N742" si="66">IFERROR((I711*100)/E711,0)</f>
        <v>0</v>
      </c>
      <c r="O711" s="21">
        <f t="shared" ref="O711:O742" si="67">IFERROR((J711*100)/E711,0)</f>
        <v>4.6822947683930138</v>
      </c>
      <c r="P711" s="21">
        <f t="shared" si="64"/>
        <v>0.3410924722617234</v>
      </c>
      <c r="Q711" s="21">
        <f>(SUM(G711:G722)*3.412)/E711</f>
        <v>45.61153330793541</v>
      </c>
      <c r="R711" s="21">
        <f>(SUM(I711:I722)*100)/E711</f>
        <v>0</v>
      </c>
      <c r="S711" s="21">
        <f>(SUM(J711:J722)*100)/E711</f>
        <v>33.948594022707084</v>
      </c>
      <c r="T711" s="21">
        <f>(SUM(K711:K722)*12)/E711</f>
        <v>23.928188139038639</v>
      </c>
      <c r="U711" s="21"/>
      <c r="V711" s="34">
        <f>SUM(Q711:T711)</f>
        <v>103.48831546968114</v>
      </c>
      <c r="W711" s="19" t="s">
        <v>242</v>
      </c>
      <c r="X711" s="20"/>
      <c r="Y711" s="21"/>
      <c r="Z711" s="211" t="b">
        <f>IFERROR(INDEX(Outliers!$X$3:$X$61,MATCH('SkYSPark Data_w Will''s Data'!C711,Outliers!$B$3:$B$61,0)),0)</f>
        <v>0</v>
      </c>
      <c r="AA711" s="1" t="b">
        <f>IFERROR(INDEX(Outliers!$AP$3:$AP$61,MATCH('SkYSPark Data_w Will''s Data'!C711,Outliers!$B$3:$B$61,0)),0)</f>
        <v>0</v>
      </c>
      <c r="AB711" s="112" t="b">
        <f>IFERROR(INDEX(Outliers!$AY$3:$AY$61,MATCH('SkYSPark Data_w Will''s Data'!C711,Outliers!$B$3:$B$61,0)),0)</f>
        <v>0</v>
      </c>
      <c r="AC711" s="112" t="s">
        <v>392</v>
      </c>
      <c r="AD711" s="138"/>
      <c r="AE711" s="138"/>
      <c r="AF711" s="138"/>
    </row>
    <row r="712" spans="1:138" x14ac:dyDescent="0.3">
      <c r="A712" s="2">
        <v>44958</v>
      </c>
      <c r="B712" s="3">
        <f t="shared" si="60"/>
        <v>2</v>
      </c>
      <c r="C712" s="3" t="s">
        <v>183</v>
      </c>
      <c r="D712" s="3" t="str">
        <f>VLOOKUP(C712,'Data availability'!$A$2:$B$91,2,FALSE)</f>
        <v>Main campus</v>
      </c>
      <c r="E712" s="3">
        <v>71857</v>
      </c>
      <c r="F712" s="3" t="str">
        <f>VLOOKUP(C712,'Data availability'!$A$2:$H$91,8,FALSE)</f>
        <v>Academic</v>
      </c>
      <c r="G712" s="1">
        <v>71099.996566771821</v>
      </c>
      <c r="J712" s="1">
        <v>2587.8700000000008</v>
      </c>
      <c r="K712" s="1">
        <v>855.36604999998997</v>
      </c>
      <c r="M712" s="21">
        <f t="shared" si="61"/>
        <v>3.3760550577650812</v>
      </c>
      <c r="N712" s="21">
        <f t="shared" si="66"/>
        <v>0</v>
      </c>
      <c r="O712" s="21">
        <f t="shared" si="67"/>
        <v>3.6014167026177004</v>
      </c>
      <c r="P712" s="21">
        <f t="shared" si="64"/>
        <v>0.14284471380658639</v>
      </c>
      <c r="W712" s="10" t="s">
        <v>243</v>
      </c>
      <c r="Z712" s="211" t="b">
        <f>IFERROR(INDEX(Outliers!$X$3:$X$61,MATCH('SkYSPark Data_w Will''s Data'!C712,Outliers!$B$3:$B$61,0)),0)</f>
        <v>0</v>
      </c>
      <c r="AA712" s="1" t="b">
        <f>IFERROR(INDEX(Outliers!$AP$3:$AP$61,MATCH('SkYSPark Data_w Will''s Data'!C712,Outliers!$B$3:$B$61,0)),0)</f>
        <v>0</v>
      </c>
      <c r="AB712" s="112" t="b">
        <f>IFERROR(INDEX(Outliers!$AY$3:$AY$61,MATCH('SkYSPark Data_w Will''s Data'!C712,Outliers!$B$3:$B$61,0)),0)</f>
        <v>0</v>
      </c>
      <c r="AC712" s="112" t="s">
        <v>392</v>
      </c>
    </row>
    <row r="713" spans="1:138" x14ac:dyDescent="0.3">
      <c r="A713" s="2">
        <v>44986</v>
      </c>
      <c r="B713" s="3">
        <f t="shared" ref="B713:B776" si="68">MONTH(A713)</f>
        <v>3</v>
      </c>
      <c r="C713" s="3" t="s">
        <v>183</v>
      </c>
      <c r="D713" s="3" t="str">
        <f>VLOOKUP(C713,'Data availability'!$A$2:$B$91,2,FALSE)</f>
        <v>Main campus</v>
      </c>
      <c r="E713" s="3">
        <v>71857</v>
      </c>
      <c r="F713" s="3" t="str">
        <f>VLOOKUP(C713,'Data availability'!$A$2:$H$91,8,FALSE)</f>
        <v>Academic</v>
      </c>
      <c r="G713" s="1">
        <v>80123.738000727375</v>
      </c>
      <c r="J713" s="1">
        <v>2694.7229203539532</v>
      </c>
      <c r="K713" s="1">
        <v>616.19998163715979</v>
      </c>
      <c r="M713" s="21">
        <f t="shared" si="61"/>
        <v>3.8045311390467424</v>
      </c>
      <c r="N713" s="21">
        <f t="shared" si="66"/>
        <v>0</v>
      </c>
      <c r="O713" s="21">
        <f t="shared" si="67"/>
        <v>3.7501188754804033</v>
      </c>
      <c r="P713" s="21">
        <f t="shared" si="64"/>
        <v>0.10290437646500573</v>
      </c>
      <c r="W713" s="10" t="s">
        <v>244</v>
      </c>
      <c r="Z713" s="211" t="b">
        <f>IFERROR(INDEX(Outliers!$X$3:$X$61,MATCH('SkYSPark Data_w Will''s Data'!C713,Outliers!$B$3:$B$61,0)),0)</f>
        <v>0</v>
      </c>
      <c r="AA713" s="1" t="b">
        <f>IFERROR(INDEX(Outliers!$AP$3:$AP$61,MATCH('SkYSPark Data_w Will''s Data'!C713,Outliers!$B$3:$B$61,0)),0)</f>
        <v>0</v>
      </c>
      <c r="AB713" s="112" t="b">
        <f>IFERROR(INDEX(Outliers!$AY$3:$AY$61,MATCH('SkYSPark Data_w Will''s Data'!C713,Outliers!$B$3:$B$61,0)),0)</f>
        <v>0</v>
      </c>
      <c r="AC713" s="112" t="s">
        <v>392</v>
      </c>
    </row>
    <row r="714" spans="1:138" x14ac:dyDescent="0.3">
      <c r="A714" s="2">
        <v>45017</v>
      </c>
      <c r="B714" s="3">
        <f t="shared" si="68"/>
        <v>4</v>
      </c>
      <c r="C714" s="3" t="s">
        <v>183</v>
      </c>
      <c r="D714" s="3" t="str">
        <f>VLOOKUP(C714,'Data availability'!$A$2:$B$91,2,FALSE)</f>
        <v>Main campus</v>
      </c>
      <c r="E714" s="3">
        <v>71857</v>
      </c>
      <c r="F714" s="3" t="str">
        <f>VLOOKUP(C714,'Data availability'!$A$2:$H$91,8,FALSE)</f>
        <v>Academic</v>
      </c>
      <c r="G714" s="1">
        <v>82076.236059330418</v>
      </c>
      <c r="J714" s="1">
        <v>2013.20707964605</v>
      </c>
      <c r="K714" s="1">
        <v>4007.1790933628581</v>
      </c>
      <c r="M714" s="21">
        <f t="shared" si="61"/>
        <v>3.897241986646192</v>
      </c>
      <c r="N714" s="21">
        <f t="shared" si="66"/>
        <v>0</v>
      </c>
      <c r="O714" s="21">
        <f t="shared" si="67"/>
        <v>2.801685402460512</v>
      </c>
      <c r="P714" s="21">
        <f t="shared" si="64"/>
        <v>0.66919227243489565</v>
      </c>
      <c r="Z714" s="211" t="b">
        <f>IFERROR(INDEX(Outliers!$X$3:$X$61,MATCH('SkYSPark Data_w Will''s Data'!C714,Outliers!$B$3:$B$61,0)),0)</f>
        <v>0</v>
      </c>
      <c r="AA714" s="1" t="b">
        <f>IFERROR(INDEX(Outliers!$AP$3:$AP$61,MATCH('SkYSPark Data_w Will''s Data'!C714,Outliers!$B$3:$B$61,0)),0)</f>
        <v>0</v>
      </c>
      <c r="AB714" s="112" t="b">
        <f>IFERROR(INDEX(Outliers!$AY$3:$AY$61,MATCH('SkYSPark Data_w Will''s Data'!C714,Outliers!$B$3:$B$61,0)),0)</f>
        <v>0</v>
      </c>
      <c r="AC714" s="112" t="s">
        <v>392</v>
      </c>
    </row>
    <row r="715" spans="1:138" x14ac:dyDescent="0.3">
      <c r="A715" s="2">
        <v>45047</v>
      </c>
      <c r="B715" s="3">
        <f t="shared" si="68"/>
        <v>5</v>
      </c>
      <c r="C715" s="3" t="s">
        <v>183</v>
      </c>
      <c r="D715" s="3" t="str">
        <f>VLOOKUP(C715,'Data availability'!$A$2:$B$91,2,FALSE)</f>
        <v>Main campus</v>
      </c>
      <c r="E715" s="3">
        <v>71857</v>
      </c>
      <c r="F715" s="3" t="str">
        <f>VLOOKUP(C715,'Data availability'!$A$2:$H$91,8,FALSE)</f>
        <v>Academic</v>
      </c>
      <c r="G715" s="1">
        <v>87100.028991700296</v>
      </c>
      <c r="J715" s="1">
        <v>1764.639999999966</v>
      </c>
      <c r="K715" s="1">
        <v>9035.2177999999949</v>
      </c>
      <c r="M715" s="21">
        <f t="shared" si="61"/>
        <v>4.1357877300705761</v>
      </c>
      <c r="N715" s="21">
        <f t="shared" si="66"/>
        <v>0</v>
      </c>
      <c r="O715" s="21">
        <f t="shared" si="67"/>
        <v>2.4557663136506758</v>
      </c>
      <c r="P715" s="21">
        <f t="shared" si="64"/>
        <v>1.5088664096747699</v>
      </c>
      <c r="Z715" s="211" t="b">
        <f>IFERROR(INDEX(Outliers!$X$3:$X$61,MATCH('SkYSPark Data_w Will''s Data'!C715,Outliers!$B$3:$B$61,0)),0)</f>
        <v>0</v>
      </c>
      <c r="AA715" s="1" t="b">
        <f>IFERROR(INDEX(Outliers!$AP$3:$AP$61,MATCH('SkYSPark Data_w Will''s Data'!C715,Outliers!$B$3:$B$61,0)),0)</f>
        <v>0</v>
      </c>
      <c r="AB715" s="112" t="b">
        <f>IFERROR(INDEX(Outliers!$AY$3:$AY$61,MATCH('SkYSPark Data_w Will''s Data'!C715,Outliers!$B$3:$B$61,0)),0)</f>
        <v>0</v>
      </c>
      <c r="AC715" s="112" t="s">
        <v>392</v>
      </c>
    </row>
    <row r="716" spans="1:138" x14ac:dyDescent="0.3">
      <c r="A716" s="2">
        <v>45078</v>
      </c>
      <c r="B716" s="3">
        <f t="shared" si="68"/>
        <v>6</v>
      </c>
      <c r="C716" s="3" t="s">
        <v>183</v>
      </c>
      <c r="D716" s="3" t="str">
        <f>VLOOKUP(C716,'Data availability'!$A$2:$B$91,2,FALSE)</f>
        <v>Main campus</v>
      </c>
      <c r="E716" s="3">
        <v>71857</v>
      </c>
      <c r="F716" s="3" t="str">
        <f>VLOOKUP(C716,'Data availability'!$A$2:$H$91,8,FALSE)</f>
        <v>Academic</v>
      </c>
      <c r="G716" s="1">
        <v>83853.616947080416</v>
      </c>
      <c r="J716" s="1">
        <v>1154.42195121952</v>
      </c>
      <c r="K716" s="1">
        <v>10410.102585365659</v>
      </c>
      <c r="M716" s="21">
        <f t="shared" si="61"/>
        <v>3.981637711335547</v>
      </c>
      <c r="N716" s="21">
        <f t="shared" si="66"/>
        <v>0</v>
      </c>
      <c r="O716" s="21">
        <f t="shared" si="67"/>
        <v>1.6065546171138789</v>
      </c>
      <c r="P716" s="21">
        <f t="shared" si="64"/>
        <v>1.7384698919296366</v>
      </c>
      <c r="Z716" s="211" t="b">
        <f>IFERROR(INDEX(Outliers!$X$3:$X$61,MATCH('SkYSPark Data_w Will''s Data'!C716,Outliers!$B$3:$B$61,0)),0)</f>
        <v>0</v>
      </c>
      <c r="AA716" s="1" t="b">
        <f>IFERROR(INDEX(Outliers!$AP$3:$AP$61,MATCH('SkYSPark Data_w Will''s Data'!C716,Outliers!$B$3:$B$61,0)),0)</f>
        <v>0</v>
      </c>
      <c r="AB716" s="112" t="b">
        <f>IFERROR(INDEX(Outliers!$AY$3:$AY$61,MATCH('SkYSPark Data_w Will''s Data'!C716,Outliers!$B$3:$B$61,0)),0)</f>
        <v>0</v>
      </c>
      <c r="AC716" s="112" t="s">
        <v>392</v>
      </c>
    </row>
    <row r="717" spans="1:138" x14ac:dyDescent="0.3">
      <c r="A717" s="2">
        <v>45108</v>
      </c>
      <c r="B717" s="3">
        <f t="shared" si="68"/>
        <v>7</v>
      </c>
      <c r="C717" s="3" t="s">
        <v>183</v>
      </c>
      <c r="D717" s="3" t="str">
        <f>VLOOKUP(C717,'Data availability'!$A$2:$B$91,2,FALSE)</f>
        <v>Main campus</v>
      </c>
      <c r="E717" s="3">
        <v>71857</v>
      </c>
      <c r="F717" s="3" t="str">
        <f>VLOOKUP(C717,'Data availability'!$A$2:$H$91,8,FALSE)</f>
        <v>Academic</v>
      </c>
      <c r="G717" s="1">
        <v>87146.386867616311</v>
      </c>
      <c r="J717" s="1">
        <v>722.3530487804677</v>
      </c>
      <c r="K717" s="1">
        <v>11966.06836463424</v>
      </c>
      <c r="M717" s="21">
        <f t="shared" si="61"/>
        <v>4.1379889501691807</v>
      </c>
      <c r="N717" s="21">
        <f t="shared" si="66"/>
        <v>0</v>
      </c>
      <c r="O717" s="21">
        <f t="shared" si="67"/>
        <v>1.0052646906779683</v>
      </c>
      <c r="P717" s="21">
        <f t="shared" si="64"/>
        <v>1.9983136002840489</v>
      </c>
      <c r="Z717" s="211" t="b">
        <f>IFERROR(INDEX(Outliers!$X$3:$X$61,MATCH('SkYSPark Data_w Will''s Data'!C717,Outliers!$B$3:$B$61,0)),0)</f>
        <v>0</v>
      </c>
      <c r="AA717" s="1" t="b">
        <f>IFERROR(INDEX(Outliers!$AP$3:$AP$61,MATCH('SkYSPark Data_w Will''s Data'!C717,Outliers!$B$3:$B$61,0)),0)</f>
        <v>0</v>
      </c>
      <c r="AB717" s="112" t="b">
        <f>IFERROR(INDEX(Outliers!$AY$3:$AY$61,MATCH('SkYSPark Data_w Will''s Data'!C717,Outliers!$B$3:$B$61,0)),0)</f>
        <v>0</v>
      </c>
      <c r="AC717" s="112" t="s">
        <v>392</v>
      </c>
    </row>
    <row r="718" spans="1:138" x14ac:dyDescent="0.3">
      <c r="A718" s="2">
        <v>45139</v>
      </c>
      <c r="B718" s="3">
        <f t="shared" si="68"/>
        <v>8</v>
      </c>
      <c r="C718" s="3" t="s">
        <v>183</v>
      </c>
      <c r="D718" s="3" t="str">
        <f>VLOOKUP(C718,'Data availability'!$A$2:$B$91,2,FALSE)</f>
        <v>Main campus</v>
      </c>
      <c r="E718" s="3">
        <v>71857</v>
      </c>
      <c r="F718" s="3" t="str">
        <f>VLOOKUP(C718,'Data availability'!$A$2:$H$91,8,FALSE)</f>
        <v>Academic</v>
      </c>
      <c r="G718" s="1">
        <v>87597.00230189733</v>
      </c>
      <c r="J718" s="1">
        <v>11.589571428571549</v>
      </c>
      <c r="K718" s="1">
        <v>19501.013140000119</v>
      </c>
      <c r="M718" s="21">
        <f t="shared" si="61"/>
        <v>4.1593856110618823</v>
      </c>
      <c r="N718" s="21">
        <f t="shared" si="66"/>
        <v>0</v>
      </c>
      <c r="O718" s="21">
        <f t="shared" si="67"/>
        <v>1.6128660295547475E-2</v>
      </c>
      <c r="P718" s="21">
        <f t="shared" si="64"/>
        <v>3.2566368993974342</v>
      </c>
      <c r="Z718" s="211" t="b">
        <f>IFERROR(INDEX(Outliers!$X$3:$X$61,MATCH('SkYSPark Data_w Will''s Data'!C718,Outliers!$B$3:$B$61,0)),0)</f>
        <v>0</v>
      </c>
      <c r="AA718" s="1" t="b">
        <f>IFERROR(INDEX(Outliers!$AP$3:$AP$61,MATCH('SkYSPark Data_w Will''s Data'!C718,Outliers!$B$3:$B$61,0)),0)</f>
        <v>0</v>
      </c>
      <c r="AB718" s="112" t="b">
        <f>IFERROR(INDEX(Outliers!$AY$3:$AY$61,MATCH('SkYSPark Data_w Will''s Data'!C718,Outliers!$B$3:$B$61,0)),0)</f>
        <v>0</v>
      </c>
      <c r="AC718" s="112" t="s">
        <v>392</v>
      </c>
    </row>
    <row r="719" spans="1:138" x14ac:dyDescent="0.3">
      <c r="A719" s="2">
        <v>45170</v>
      </c>
      <c r="B719" s="3">
        <f t="shared" si="68"/>
        <v>9</v>
      </c>
      <c r="C719" s="3" t="s">
        <v>183</v>
      </c>
      <c r="D719" s="3" t="str">
        <f>VLOOKUP(C719,'Data availability'!$A$2:$B$91,2,FALSE)</f>
        <v>Main campus</v>
      </c>
      <c r="E719" s="3">
        <v>71857</v>
      </c>
      <c r="F719" s="3" t="str">
        <f>VLOOKUP(C719,'Data availability'!$A$2:$H$91,8,FALSE)</f>
        <v>Academic</v>
      </c>
      <c r="G719" s="1">
        <v>90265.818500013876</v>
      </c>
      <c r="J719" s="1">
        <v>354.23839153438593</v>
      </c>
      <c r="K719" s="1">
        <v>19965.428534074061</v>
      </c>
      <c r="M719" s="21">
        <f t="shared" si="61"/>
        <v>4.2861095331289558</v>
      </c>
      <c r="N719" s="21">
        <f t="shared" si="66"/>
        <v>0</v>
      </c>
      <c r="O719" s="21">
        <f t="shared" si="67"/>
        <v>0.49297687286469788</v>
      </c>
      <c r="P719" s="21">
        <f t="shared" si="64"/>
        <v>3.3341935011048154</v>
      </c>
      <c r="Z719" s="211" t="b">
        <f>IFERROR(INDEX(Outliers!$X$3:$X$61,MATCH('SkYSPark Data_w Will''s Data'!C719,Outliers!$B$3:$B$61,0)),0)</f>
        <v>0</v>
      </c>
      <c r="AA719" s="1" t="b">
        <f>IFERROR(INDEX(Outliers!$AP$3:$AP$61,MATCH('SkYSPark Data_w Will''s Data'!C719,Outliers!$B$3:$B$61,0)),0)</f>
        <v>0</v>
      </c>
      <c r="AB719" s="112" t="b">
        <f>IFERROR(INDEX(Outliers!$AY$3:$AY$61,MATCH('SkYSPark Data_w Will''s Data'!C719,Outliers!$B$3:$B$61,0)),0)</f>
        <v>0</v>
      </c>
      <c r="AC719" s="112" t="s">
        <v>392</v>
      </c>
    </row>
    <row r="720" spans="1:138" x14ac:dyDescent="0.3">
      <c r="A720" s="2">
        <v>45200</v>
      </c>
      <c r="B720" s="3">
        <f t="shared" si="68"/>
        <v>10</v>
      </c>
      <c r="C720" s="3" t="s">
        <v>183</v>
      </c>
      <c r="D720" s="3" t="str">
        <f>VLOOKUP(C720,'Data availability'!$A$2:$B$91,2,FALSE)</f>
        <v>Main campus</v>
      </c>
      <c r="E720" s="3">
        <v>71857</v>
      </c>
      <c r="F720" s="3" t="str">
        <f>VLOOKUP(C720,'Data availability'!$A$2:$H$91,8,FALSE)</f>
        <v>Academic</v>
      </c>
      <c r="G720" s="1">
        <v>91037.096800627536</v>
      </c>
      <c r="J720" s="1">
        <v>1386.0520370370341</v>
      </c>
      <c r="K720" s="1">
        <v>21697.208075925671</v>
      </c>
      <c r="M720" s="21">
        <f t="shared" si="61"/>
        <v>4.3227322916868385</v>
      </c>
      <c r="N720" s="21">
        <f t="shared" si="66"/>
        <v>0</v>
      </c>
      <c r="O720" s="21">
        <f t="shared" si="67"/>
        <v>1.9289032899189142</v>
      </c>
      <c r="P720" s="21">
        <f t="shared" si="64"/>
        <v>3.6233978166512388</v>
      </c>
      <c r="Z720" s="211" t="b">
        <f>IFERROR(INDEX(Outliers!$X$3:$X$61,MATCH('SkYSPark Data_w Will''s Data'!C720,Outliers!$B$3:$B$61,0)),0)</f>
        <v>0</v>
      </c>
      <c r="AA720" s="1" t="b">
        <f>IFERROR(INDEX(Outliers!$AP$3:$AP$61,MATCH('SkYSPark Data_w Will''s Data'!C720,Outliers!$B$3:$B$61,0)),0)</f>
        <v>0</v>
      </c>
      <c r="AB720" s="112" t="b">
        <f>IFERROR(INDEX(Outliers!$AY$3:$AY$61,MATCH('SkYSPark Data_w Will''s Data'!C720,Outliers!$B$3:$B$61,0)),0)</f>
        <v>0</v>
      </c>
      <c r="AC720" s="112" t="s">
        <v>392</v>
      </c>
    </row>
    <row r="721" spans="1:145" x14ac:dyDescent="0.3">
      <c r="A721" s="2">
        <v>45231</v>
      </c>
      <c r="B721" s="3">
        <f t="shared" si="68"/>
        <v>11</v>
      </c>
      <c r="C721" s="3" t="s">
        <v>183</v>
      </c>
      <c r="D721" s="3" t="str">
        <f>VLOOKUP(C721,'Data availability'!$A$2:$B$91,2,FALSE)</f>
        <v>Main campus</v>
      </c>
      <c r="E721" s="3">
        <v>71857</v>
      </c>
      <c r="F721" s="3" t="str">
        <f>VLOOKUP(C721,'Data availability'!$A$2:$H$91,8,FALSE)</f>
        <v>Academic</v>
      </c>
      <c r="G721" s="1">
        <v>77191.462282275606</v>
      </c>
      <c r="J721" s="1">
        <v>3952.952963430062</v>
      </c>
      <c r="K721" s="1">
        <v>20964.217462232278</v>
      </c>
      <c r="M721" s="21">
        <f t="shared" si="61"/>
        <v>3.6652973169924206</v>
      </c>
      <c r="N721" s="21">
        <f t="shared" si="66"/>
        <v>0</v>
      </c>
      <c r="O721" s="21">
        <f t="shared" si="67"/>
        <v>5.5011383211518181</v>
      </c>
      <c r="P721" s="21">
        <f t="shared" si="64"/>
        <v>3.5009895980459431</v>
      </c>
      <c r="Z721" s="211" t="b">
        <f>IFERROR(INDEX(Outliers!$X$3:$X$61,MATCH('SkYSPark Data_w Will''s Data'!C721,Outliers!$B$3:$B$61,0)),0)</f>
        <v>0</v>
      </c>
      <c r="AA721" s="1" t="b">
        <f>IFERROR(INDEX(Outliers!$AP$3:$AP$61,MATCH('SkYSPark Data_w Will''s Data'!C721,Outliers!$B$3:$B$61,0)),0)</f>
        <v>0</v>
      </c>
      <c r="AB721" s="112" t="b">
        <f>IFERROR(INDEX(Outliers!$AY$3:$AY$61,MATCH('SkYSPark Data_w Will''s Data'!C721,Outliers!$B$3:$B$61,0)),0)</f>
        <v>0</v>
      </c>
      <c r="AC721" s="112" t="s">
        <v>392</v>
      </c>
    </row>
    <row r="722" spans="1:145" s="69" customFormat="1" x14ac:dyDescent="0.3">
      <c r="A722" s="65">
        <v>45261</v>
      </c>
      <c r="B722" s="64">
        <f t="shared" si="68"/>
        <v>12</v>
      </c>
      <c r="C722" s="64" t="s">
        <v>183</v>
      </c>
      <c r="D722" s="64" t="str">
        <f>VLOOKUP(C722,'Data availability'!$A$2:$B$91,2,FALSE)</f>
        <v>Main campus</v>
      </c>
      <c r="E722" s="64">
        <v>71857</v>
      </c>
      <c r="F722" s="3" t="str">
        <f>VLOOKUP(C722,'Data availability'!$A$2:$H$91,8,FALSE)</f>
        <v>Academic</v>
      </c>
      <c r="G722" s="66">
        <v>76742.983592170189</v>
      </c>
      <c r="H722" s="66"/>
      <c r="I722" s="66"/>
      <c r="J722" s="66">
        <v>4387.836691742451</v>
      </c>
      <c r="K722" s="66">
        <v>22223.493356733699</v>
      </c>
      <c r="L722" s="67"/>
      <c r="M722" s="21">
        <f t="shared" si="61"/>
        <v>3.6440021155417659</v>
      </c>
      <c r="N722" s="21">
        <f t="shared" si="66"/>
        <v>0</v>
      </c>
      <c r="O722" s="21">
        <f t="shared" si="67"/>
        <v>6.1063455080819553</v>
      </c>
      <c r="P722" s="21">
        <f t="shared" si="64"/>
        <v>3.7112865869825402</v>
      </c>
      <c r="Q722" s="66"/>
      <c r="R722" s="66"/>
      <c r="S722" s="66"/>
      <c r="T722" s="66"/>
      <c r="U722" s="66"/>
      <c r="V722" s="68"/>
      <c r="W722" s="66"/>
      <c r="X722" s="67"/>
      <c r="Y722" s="66"/>
      <c r="Z722" s="211" t="b">
        <f>IFERROR(INDEX(Outliers!$X$3:$X$61,MATCH('SkYSPark Data_w Will''s Data'!C722,Outliers!$B$3:$B$61,0)),0)</f>
        <v>0</v>
      </c>
      <c r="AA722" s="1" t="b">
        <f>IFERROR(INDEX(Outliers!$AP$3:$AP$61,MATCH('SkYSPark Data_w Will''s Data'!C722,Outliers!$B$3:$B$61,0)),0)</f>
        <v>0</v>
      </c>
      <c r="AB722" s="112" t="b">
        <f>IFERROR(INDEX(Outliers!$AY$3:$AY$61,MATCH('SkYSPark Data_w Will''s Data'!C722,Outliers!$B$3:$B$61,0)),0)</f>
        <v>0</v>
      </c>
      <c r="AC722" s="112" t="s">
        <v>392</v>
      </c>
      <c r="AD722" s="134"/>
      <c r="AE722" s="134"/>
      <c r="AF722" s="134"/>
    </row>
    <row r="723" spans="1:145" x14ac:dyDescent="0.3">
      <c r="A723" s="2">
        <v>44927</v>
      </c>
      <c r="B723" s="3">
        <f t="shared" si="68"/>
        <v>1</v>
      </c>
      <c r="C723" s="3" t="s">
        <v>184</v>
      </c>
      <c r="D723" s="3" t="str">
        <f>VLOOKUP(C723,'Data availability'!$A$2:$B$91,2,FALSE)</f>
        <v>Main campus</v>
      </c>
      <c r="E723" s="3">
        <v>76871</v>
      </c>
      <c r="F723" s="3" t="str">
        <f>VLOOKUP(C723,'Data availability'!$A$2:$H$91,8,FALSE)</f>
        <v>Athletics</v>
      </c>
      <c r="G723" s="259">
        <f>'Solar Data-Main Campus'!K37</f>
        <v>32096.163793102911</v>
      </c>
      <c r="J723" s="1">
        <v>1867.650188577551</v>
      </c>
      <c r="K723" s="263">
        <f>'Climate Normalization'!D100</f>
        <v>911.89617202946079</v>
      </c>
      <c r="M723" s="21">
        <f t="shared" si="61"/>
        <v>1.4246219102401052</v>
      </c>
      <c r="N723" s="21">
        <f t="shared" si="66"/>
        <v>0</v>
      </c>
      <c r="O723" s="21">
        <f t="shared" si="67"/>
        <v>2.4295900776333741</v>
      </c>
      <c r="P723" s="21">
        <f t="shared" si="64"/>
        <v>0.14235217525924637</v>
      </c>
      <c r="Q723" s="1">
        <f>(SUM(G723:G734)*3.412)/E723</f>
        <v>17.701798167462798</v>
      </c>
      <c r="R723" s="1">
        <f>(SUM(I723:I734)*100)/E723</f>
        <v>0</v>
      </c>
      <c r="S723" s="1">
        <f>(SUM(J723:J734)*100)/E723</f>
        <v>11.341828404359839</v>
      </c>
      <c r="T723" s="1">
        <f>(SUM(K723:K734)*12)/E723</f>
        <v>9.2170944010683211</v>
      </c>
      <c r="V723" s="33">
        <f>SUM(Q723:T723)</f>
        <v>38.260720972890958</v>
      </c>
      <c r="W723" s="10" t="s">
        <v>245</v>
      </c>
      <c r="X723" s="1"/>
      <c r="Y723" s="1" t="s">
        <v>247</v>
      </c>
      <c r="Z723" s="211" t="b">
        <f>IFERROR(INDEX(Outliers!$X$3:$X$61,MATCH('SkYSPark Data_w Will''s Data'!C723,Outliers!$B$3:$B$61,0)),0)</f>
        <v>0</v>
      </c>
      <c r="AA723" s="1" t="b">
        <f>IFERROR(INDEX(Outliers!$AP$3:$AP$61,MATCH('SkYSPark Data_w Will''s Data'!C723,Outliers!$B$3:$B$61,0)),0)</f>
        <v>0</v>
      </c>
      <c r="AB723" s="112" t="b">
        <f>IFERROR(INDEX(Outliers!$AY$3:$AY$61,MATCH('SkYSPark Data_w Will''s Data'!C723,Outliers!$B$3:$B$61,0)),0)</f>
        <v>0</v>
      </c>
      <c r="AC723" s="112" t="s">
        <v>392</v>
      </c>
      <c r="AE723" s="136" t="s">
        <v>392</v>
      </c>
      <c r="AF723" s="132"/>
      <c r="EM723">
        <v>0</v>
      </c>
      <c r="EO723">
        <v>190.40234375</v>
      </c>
    </row>
    <row r="724" spans="1:145" x14ac:dyDescent="0.3">
      <c r="A724" s="2">
        <v>44958</v>
      </c>
      <c r="B724" s="3">
        <f t="shared" si="68"/>
        <v>2</v>
      </c>
      <c r="C724" s="3" t="s">
        <v>184</v>
      </c>
      <c r="D724" s="3" t="str">
        <f>VLOOKUP(C724,'Data availability'!$A$2:$B$91,2,FALSE)</f>
        <v>Main campus</v>
      </c>
      <c r="E724" s="3">
        <v>76871</v>
      </c>
      <c r="F724" s="3" t="str">
        <f>VLOOKUP(C724,'Data availability'!$A$2:$H$91,8,FALSE)</f>
        <v>Athletics</v>
      </c>
      <c r="G724" s="259">
        <f>'Solar Data-Main Campus'!K38</f>
        <v>30498.499999999811</v>
      </c>
      <c r="J724" s="1">
        <v>1639.2968750000121</v>
      </c>
      <c r="K724" s="185">
        <f>'Climate Normalization'!D101</f>
        <v>1209.517626953118</v>
      </c>
      <c r="M724" s="21">
        <f t="shared" si="61"/>
        <v>1.3537079262660738</v>
      </c>
      <c r="N724" s="21">
        <f t="shared" si="66"/>
        <v>0</v>
      </c>
      <c r="O724" s="21">
        <f t="shared" si="67"/>
        <v>2.1325296600798898</v>
      </c>
      <c r="P724" s="21">
        <f t="shared" si="64"/>
        <v>0.18881257591858328</v>
      </c>
      <c r="V724" s="34"/>
      <c r="W724" s="10" t="s">
        <v>246</v>
      </c>
      <c r="Z724" s="211" t="b">
        <f>IFERROR(INDEX(Outliers!$X$3:$X$61,MATCH('SkYSPark Data_w Will''s Data'!C724,Outliers!$B$3:$B$61,0)),0)</f>
        <v>0</v>
      </c>
      <c r="AA724" s="1" t="b">
        <f>IFERROR(INDEX(Outliers!$AP$3:$AP$61,MATCH('SkYSPark Data_w Will''s Data'!C724,Outliers!$B$3:$B$61,0)),0)</f>
        <v>0</v>
      </c>
      <c r="AB724" s="112" t="b">
        <f>IFERROR(INDEX(Outliers!$AY$3:$AY$61,MATCH('SkYSPark Data_w Will''s Data'!C724,Outliers!$B$3:$B$61,0)),0)</f>
        <v>0</v>
      </c>
      <c r="AC724" s="112" t="s">
        <v>392</v>
      </c>
      <c r="AF724" s="132"/>
      <c r="EM724">
        <v>0</v>
      </c>
      <c r="EO724">
        <v>160.48046875</v>
      </c>
    </row>
    <row r="725" spans="1:145" x14ac:dyDescent="0.3">
      <c r="A725" s="2">
        <v>44986</v>
      </c>
      <c r="B725" s="3">
        <f t="shared" si="68"/>
        <v>3</v>
      </c>
      <c r="C725" s="3" t="s">
        <v>184</v>
      </c>
      <c r="D725" s="3" t="str">
        <f>VLOOKUP(C725,'Data availability'!$A$2:$B$91,2,FALSE)</f>
        <v>Main campus</v>
      </c>
      <c r="E725" s="3">
        <v>76871</v>
      </c>
      <c r="F725" s="3" t="str">
        <f>VLOOKUP(C725,'Data availability'!$A$2:$H$91,8,FALSE)</f>
        <v>Athletics</v>
      </c>
      <c r="G725" s="259">
        <f>'Solar Data-Main Campus'!K39</f>
        <v>33840.052149177951</v>
      </c>
      <c r="J725" s="1">
        <v>806.51949915058515</v>
      </c>
      <c r="K725" s="185">
        <f>'Climate Normalization'!D102</f>
        <v>1798.8205243098068</v>
      </c>
      <c r="M725" s="21">
        <f t="shared" si="61"/>
        <v>1.502026224883183</v>
      </c>
      <c r="N725" s="21">
        <f t="shared" si="66"/>
        <v>0</v>
      </c>
      <c r="O725" s="21">
        <f t="shared" si="67"/>
        <v>1.0491856475791719</v>
      </c>
      <c r="P725" s="21">
        <f t="shared" si="64"/>
        <v>0.2808061075271257</v>
      </c>
      <c r="V725" s="34"/>
      <c r="W725" s="1" t="s">
        <v>560</v>
      </c>
      <c r="Z725" s="211" t="b">
        <f>IFERROR(INDEX(Outliers!$X$3:$X$61,MATCH('SkYSPark Data_w Will''s Data'!C725,Outliers!$B$3:$B$61,0)),0)</f>
        <v>0</v>
      </c>
      <c r="AA725" s="1" t="b">
        <f>IFERROR(INDEX(Outliers!$AP$3:$AP$61,MATCH('SkYSPark Data_w Will''s Data'!C725,Outliers!$B$3:$B$61,0)),0)</f>
        <v>0</v>
      </c>
      <c r="AB725" s="112" t="b">
        <f>IFERROR(INDEX(Outliers!$AY$3:$AY$61,MATCH('SkYSPark Data_w Will''s Data'!C725,Outliers!$B$3:$B$61,0)),0)</f>
        <v>0</v>
      </c>
      <c r="AC725" s="112" t="s">
        <v>392</v>
      </c>
      <c r="AF725" s="132"/>
      <c r="EM725">
        <v>0</v>
      </c>
      <c r="EO725">
        <v>84.7998046875</v>
      </c>
    </row>
    <row r="726" spans="1:145" x14ac:dyDescent="0.3">
      <c r="A726" s="2">
        <v>45017</v>
      </c>
      <c r="B726" s="3">
        <f t="shared" si="68"/>
        <v>4</v>
      </c>
      <c r="C726" s="3" t="s">
        <v>184</v>
      </c>
      <c r="D726" s="3" t="str">
        <f>VLOOKUP(C726,'Data availability'!$A$2:$B$91,2,FALSE)</f>
        <v>Main campus</v>
      </c>
      <c r="E726" s="3">
        <v>76871</v>
      </c>
      <c r="F726" s="3" t="str">
        <f>VLOOKUP(C726,'Data availability'!$A$2:$H$91,8,FALSE)</f>
        <v>Athletics</v>
      </c>
      <c r="G726" s="259">
        <f>'Solar Data-Main Campus'!K40</f>
        <v>33463.19785082194</v>
      </c>
      <c r="J726" s="1">
        <v>453.67581334940252</v>
      </c>
      <c r="K726" s="185">
        <f>'Climate Normalization'!D103</f>
        <v>2971.4547913569045</v>
      </c>
      <c r="M726" s="21">
        <f t="shared" si="61"/>
        <v>1.4852991513965532</v>
      </c>
      <c r="N726" s="21">
        <f t="shared" si="66"/>
        <v>0</v>
      </c>
      <c r="O726" s="21">
        <f t="shared" si="67"/>
        <v>0.59017810793329417</v>
      </c>
      <c r="P726" s="21">
        <f t="shared" si="64"/>
        <v>0.46386098133604164</v>
      </c>
      <c r="V726" s="34"/>
      <c r="Z726" s="211" t="b">
        <f>IFERROR(INDEX(Outliers!$X$3:$X$61,MATCH('SkYSPark Data_w Will''s Data'!C726,Outliers!$B$3:$B$61,0)),0)</f>
        <v>0</v>
      </c>
      <c r="AA726" s="1" t="b">
        <f>IFERROR(INDEX(Outliers!$AP$3:$AP$61,MATCH('SkYSPark Data_w Will''s Data'!C726,Outliers!$B$3:$B$61,0)),0)</f>
        <v>0</v>
      </c>
      <c r="AB726" s="112" t="b">
        <f>IFERROR(INDEX(Outliers!$AY$3:$AY$61,MATCH('SkYSPark Data_w Will''s Data'!C726,Outliers!$B$3:$B$61,0)),0)</f>
        <v>0</v>
      </c>
      <c r="AC726" s="112" t="s">
        <v>392</v>
      </c>
      <c r="AF726" s="132"/>
      <c r="EM726">
        <v>0</v>
      </c>
      <c r="EO726">
        <v>41.435546875</v>
      </c>
    </row>
    <row r="727" spans="1:145" x14ac:dyDescent="0.3">
      <c r="A727" s="2">
        <v>45047</v>
      </c>
      <c r="B727" s="3">
        <f t="shared" si="68"/>
        <v>5</v>
      </c>
      <c r="C727" s="3" t="s">
        <v>184</v>
      </c>
      <c r="D727" s="3" t="str">
        <f>VLOOKUP(C727,'Data availability'!$A$2:$B$91,2,FALSE)</f>
        <v>Main campus</v>
      </c>
      <c r="E727" s="3">
        <v>76871</v>
      </c>
      <c r="F727" s="3" t="str">
        <f>VLOOKUP(C727,'Data availability'!$A$2:$H$91,8,FALSE)</f>
        <v>Athletics</v>
      </c>
      <c r="G727" s="259">
        <f>'Solar Data-Main Campus'!K41</f>
        <v>32042.49999999992</v>
      </c>
      <c r="J727" s="1">
        <v>402.90039062499329</v>
      </c>
      <c r="K727" s="185">
        <f>'Climate Normalization'!D104</f>
        <v>4213.5685904505654</v>
      </c>
      <c r="M727" s="21">
        <f t="shared" si="61"/>
        <v>1.422239986470837</v>
      </c>
      <c r="N727" s="21">
        <f t="shared" si="66"/>
        <v>0</v>
      </c>
      <c r="O727" s="21">
        <f t="shared" si="67"/>
        <v>0.52412534066812366</v>
      </c>
      <c r="P727" s="21">
        <f t="shared" si="64"/>
        <v>0.65776200498766479</v>
      </c>
      <c r="V727" s="34"/>
      <c r="Z727" s="211" t="b">
        <f>IFERROR(INDEX(Outliers!$X$3:$X$61,MATCH('SkYSPark Data_w Will''s Data'!C727,Outliers!$B$3:$B$61,0)),0)</f>
        <v>0</v>
      </c>
      <c r="AA727" s="1" t="b">
        <f>IFERROR(INDEX(Outliers!$AP$3:$AP$61,MATCH('SkYSPark Data_w Will''s Data'!C727,Outliers!$B$3:$B$61,0)),0)</f>
        <v>0</v>
      </c>
      <c r="AB727" s="112" t="b">
        <f>IFERROR(INDEX(Outliers!$AY$3:$AY$61,MATCH('SkYSPark Data_w Will''s Data'!C727,Outliers!$B$3:$B$61,0)),0)</f>
        <v>0</v>
      </c>
      <c r="AC727" s="112" t="s">
        <v>392</v>
      </c>
      <c r="AF727" s="132"/>
      <c r="EM727">
        <v>0</v>
      </c>
      <c r="EO727">
        <v>40.5927734375</v>
      </c>
    </row>
    <row r="728" spans="1:145" x14ac:dyDescent="0.3">
      <c r="A728" s="2">
        <v>45078</v>
      </c>
      <c r="B728" s="3">
        <f t="shared" si="68"/>
        <v>6</v>
      </c>
      <c r="C728" s="3" t="s">
        <v>184</v>
      </c>
      <c r="D728" s="3" t="str">
        <f>VLOOKUP(C728,'Data availability'!$A$2:$B$91,2,FALSE)</f>
        <v>Main campus</v>
      </c>
      <c r="E728" s="3">
        <v>76871</v>
      </c>
      <c r="F728" s="3" t="str">
        <f>VLOOKUP(C728,'Data availability'!$A$2:$H$91,8,FALSE)</f>
        <v>Athletics</v>
      </c>
      <c r="G728" s="259">
        <f>'Solar Data-Main Campus'!K42</f>
        <v>30012.07142857134</v>
      </c>
      <c r="J728" s="1">
        <v>158.38727678571419</v>
      </c>
      <c r="K728" s="185">
        <f>'Climate Normalization'!D105</f>
        <v>3189.2861106652076</v>
      </c>
      <c r="M728" s="21">
        <f t="shared" si="61"/>
        <v>1.3321172836867663</v>
      </c>
      <c r="N728" s="21">
        <f t="shared" si="66"/>
        <v>0</v>
      </c>
      <c r="O728" s="21">
        <f t="shared" si="67"/>
        <v>0.2060429508991872</v>
      </c>
      <c r="P728" s="21">
        <f t="shared" si="64"/>
        <v>0.49786568833477507</v>
      </c>
      <c r="V728" s="34"/>
      <c r="Z728" s="211" t="b">
        <f>IFERROR(INDEX(Outliers!$X$3:$X$61,MATCH('SkYSPark Data_w Will''s Data'!C728,Outliers!$B$3:$B$61,0)),0)</f>
        <v>0</v>
      </c>
      <c r="AA728" s="1" t="b">
        <f>IFERROR(INDEX(Outliers!$AP$3:$AP$61,MATCH('SkYSPark Data_w Will''s Data'!C728,Outliers!$B$3:$B$61,0)),0)</f>
        <v>0</v>
      </c>
      <c r="AB728" s="112" t="b">
        <f>IFERROR(INDEX(Outliers!$AY$3:$AY$61,MATCH('SkYSPark Data_w Will''s Data'!C728,Outliers!$B$3:$B$61,0)),0)</f>
        <v>0</v>
      </c>
      <c r="AC728" s="112" t="s">
        <v>392</v>
      </c>
      <c r="AF728" s="132"/>
      <c r="EM728">
        <v>0</v>
      </c>
      <c r="EO728">
        <v>17.0625</v>
      </c>
    </row>
    <row r="729" spans="1:145" x14ac:dyDescent="0.3">
      <c r="A729" s="2">
        <v>45108</v>
      </c>
      <c r="B729" s="3">
        <f t="shared" si="68"/>
        <v>7</v>
      </c>
      <c r="C729" s="3" t="s">
        <v>184</v>
      </c>
      <c r="D729" s="3" t="str">
        <f>VLOOKUP(C729,'Data availability'!$A$2:$B$91,2,FALSE)</f>
        <v>Main campus</v>
      </c>
      <c r="E729" s="3">
        <v>76871</v>
      </c>
      <c r="F729" s="3" t="str">
        <f>VLOOKUP(C729,'Data availability'!$A$2:$H$91,8,FALSE)</f>
        <v>Athletics</v>
      </c>
      <c r="G729" s="259">
        <f>'Solar Data-Main Campus'!K43</f>
        <v>31897.428571428569</v>
      </c>
      <c r="J729" s="1">
        <v>107.3744419642843</v>
      </c>
      <c r="K729" s="185">
        <f>'Climate Normalization'!D106</f>
        <v>7407.8038191657015</v>
      </c>
      <c r="M729" s="21">
        <f t="shared" si="61"/>
        <v>1.415800838882209</v>
      </c>
      <c r="N729" s="21">
        <f t="shared" si="66"/>
        <v>0</v>
      </c>
      <c r="O729" s="21">
        <f t="shared" si="67"/>
        <v>0.13968133881995071</v>
      </c>
      <c r="P729" s="21">
        <f t="shared" si="64"/>
        <v>1.1564002787785825</v>
      </c>
      <c r="V729" s="34"/>
      <c r="Z729" s="211" t="b">
        <f>IFERROR(INDEX(Outliers!$X$3:$X$61,MATCH('SkYSPark Data_w Will''s Data'!C729,Outliers!$B$3:$B$61,0)),0)</f>
        <v>0</v>
      </c>
      <c r="AA729" s="1" t="b">
        <f>IFERROR(INDEX(Outliers!$AP$3:$AP$61,MATCH('SkYSPark Data_w Will''s Data'!C729,Outliers!$B$3:$B$61,0)),0)</f>
        <v>0</v>
      </c>
      <c r="AB729" s="112" t="b">
        <f>IFERROR(INDEX(Outliers!$AY$3:$AY$61,MATCH('SkYSPark Data_w Will''s Data'!C729,Outliers!$B$3:$B$61,0)),0)</f>
        <v>0</v>
      </c>
      <c r="AC729" s="112" t="s">
        <v>392</v>
      </c>
      <c r="AF729" s="132"/>
      <c r="EM729">
        <v>9.765625E-4</v>
      </c>
      <c r="EO729">
        <v>9.037109375</v>
      </c>
    </row>
    <row r="730" spans="1:145" x14ac:dyDescent="0.3">
      <c r="A730" s="2">
        <v>45139</v>
      </c>
      <c r="B730" s="3">
        <f t="shared" si="68"/>
        <v>8</v>
      </c>
      <c r="C730" s="3" t="s">
        <v>184</v>
      </c>
      <c r="D730" s="3" t="str">
        <f>VLOOKUP(C730,'Data availability'!$A$2:$B$91,2,FALSE)</f>
        <v>Main campus</v>
      </c>
      <c r="E730" s="3">
        <v>76871</v>
      </c>
      <c r="F730" s="3" t="str">
        <f>VLOOKUP(C730,'Data availability'!$A$2:$H$91,8,FALSE)</f>
        <v>Athletics</v>
      </c>
      <c r="G730" s="259">
        <f>'Solar Data-Main Campus'!K44</f>
        <v>34108.349999999969</v>
      </c>
      <c r="J730" s="1">
        <v>60.131696428572553</v>
      </c>
      <c r="K730" s="185">
        <f>'Climate Normalization'!D107</f>
        <v>16542.355588504492</v>
      </c>
      <c r="M730" s="21">
        <f t="shared" si="61"/>
        <v>1.5139349065317207</v>
      </c>
      <c r="N730" s="21">
        <f t="shared" si="66"/>
        <v>0</v>
      </c>
      <c r="O730" s="21">
        <f t="shared" si="67"/>
        <v>7.8224163115573564E-2</v>
      </c>
      <c r="P730" s="21">
        <f t="shared" si="64"/>
        <v>2.5823557266336317</v>
      </c>
      <c r="V730" s="34"/>
      <c r="Z730" s="211" t="b">
        <f>IFERROR(INDEX(Outliers!$X$3:$X$61,MATCH('SkYSPark Data_w Will''s Data'!C730,Outliers!$B$3:$B$61,0)),0)</f>
        <v>0</v>
      </c>
      <c r="AA730" s="1" t="b">
        <f>IFERROR(INDEX(Outliers!$AP$3:$AP$61,MATCH('SkYSPark Data_w Will''s Data'!C730,Outliers!$B$3:$B$61,0)),0)</f>
        <v>0</v>
      </c>
      <c r="AB730" s="112" t="b">
        <f>IFERROR(INDEX(Outliers!$AY$3:$AY$61,MATCH('SkYSPark Data_w Will''s Data'!C730,Outliers!$B$3:$B$61,0)),0)</f>
        <v>0</v>
      </c>
      <c r="AC730" s="112" t="s">
        <v>392</v>
      </c>
      <c r="AF730" s="132"/>
      <c r="EM730">
        <v>7.600830078125</v>
      </c>
      <c r="EO730">
        <v>5.326171875</v>
      </c>
    </row>
    <row r="731" spans="1:145" x14ac:dyDescent="0.3">
      <c r="A731" s="2">
        <v>45170</v>
      </c>
      <c r="B731" s="3">
        <f t="shared" si="68"/>
        <v>9</v>
      </c>
      <c r="C731" s="3" t="s">
        <v>184</v>
      </c>
      <c r="D731" s="3" t="str">
        <f>VLOOKUP(C731,'Data availability'!$A$2:$B$91,2,FALSE)</f>
        <v>Main campus</v>
      </c>
      <c r="E731" s="3">
        <v>76871</v>
      </c>
      <c r="F731" s="3" t="str">
        <f>VLOOKUP(C731,'Data availability'!$A$2:$H$91,8,FALSE)</f>
        <v>Athletics</v>
      </c>
      <c r="G731" s="259">
        <f>'Solar Data-Main Campus'!K45</f>
        <v>33517.233333333708</v>
      </c>
      <c r="J731" s="1">
        <v>97.566509589945824</v>
      </c>
      <c r="K731" s="185">
        <f>'Climate Normalization'!D108</f>
        <v>9124.5455495009155</v>
      </c>
      <c r="M731" s="21">
        <f t="shared" si="61"/>
        <v>1.4876975729902642</v>
      </c>
      <c r="N731" s="21">
        <f t="shared" si="66"/>
        <v>0</v>
      </c>
      <c r="O731" s="21">
        <f t="shared" si="67"/>
        <v>0.12692238892423127</v>
      </c>
      <c r="P731" s="21">
        <f t="shared" si="64"/>
        <v>1.4243934200675286</v>
      </c>
      <c r="V731" s="34"/>
      <c r="Z731" s="211" t="b">
        <f>IFERROR(INDEX(Outliers!$X$3:$X$61,MATCH('SkYSPark Data_w Will''s Data'!C731,Outliers!$B$3:$B$61,0)),0)</f>
        <v>0</v>
      </c>
      <c r="AA731" s="1" t="b">
        <f>IFERROR(INDEX(Outliers!$AP$3:$AP$61,MATCH('SkYSPark Data_w Will''s Data'!C731,Outliers!$B$3:$B$61,0)),0)</f>
        <v>0</v>
      </c>
      <c r="AB731" s="112" t="b">
        <f>IFERROR(INDEX(Outliers!$AY$3:$AY$61,MATCH('SkYSPark Data_w Will''s Data'!C731,Outliers!$B$3:$B$61,0)),0)</f>
        <v>0</v>
      </c>
      <c r="AC731" s="112" t="s">
        <v>392</v>
      </c>
      <c r="AF731" s="132"/>
      <c r="EM731">
        <v>0</v>
      </c>
      <c r="EO731">
        <v>9.546875</v>
      </c>
    </row>
    <row r="732" spans="1:145" x14ac:dyDescent="0.3">
      <c r="A732" s="2">
        <v>45200</v>
      </c>
      <c r="B732" s="3">
        <f t="shared" si="68"/>
        <v>10</v>
      </c>
      <c r="C732" s="3" t="s">
        <v>184</v>
      </c>
      <c r="D732" s="3" t="str">
        <f>VLOOKUP(C732,'Data availability'!$A$2:$B$91,2,FALSE)</f>
        <v>Main campus</v>
      </c>
      <c r="E732" s="3">
        <v>76871</v>
      </c>
      <c r="F732" s="3" t="str">
        <f>VLOOKUP(C732,'Data availability'!$A$2:$H$91,8,FALSE)</f>
        <v>Athletics</v>
      </c>
      <c r="G732" s="259">
        <f>'Solar Data-Main Campus'!K46</f>
        <v>36419.666666666395</v>
      </c>
      <c r="J732" s="1">
        <v>100.9834346064806</v>
      </c>
      <c r="K732" s="185">
        <f>'Climate Normalization'!D109</f>
        <v>8997.3898363349181</v>
      </c>
      <c r="M732" s="21">
        <f t="shared" si="61"/>
        <v>1.6165251221743666</v>
      </c>
      <c r="N732" s="21">
        <f t="shared" si="66"/>
        <v>0</v>
      </c>
      <c r="O732" s="21">
        <f t="shared" si="67"/>
        <v>0.13136740071871136</v>
      </c>
      <c r="P732" s="21">
        <f t="shared" si="64"/>
        <v>1.4045436905467474</v>
      </c>
      <c r="V732" s="34"/>
      <c r="Z732" s="211" t="b">
        <f>IFERROR(INDEX(Outliers!$X$3:$X$61,MATCH('SkYSPark Data_w Will''s Data'!C732,Outliers!$B$3:$B$61,0)),0)</f>
        <v>0</v>
      </c>
      <c r="AA732" s="1" t="b">
        <f>IFERROR(INDEX(Outliers!$AP$3:$AP$61,MATCH('SkYSPark Data_w Will''s Data'!C732,Outliers!$B$3:$B$61,0)),0)</f>
        <v>0</v>
      </c>
      <c r="AB732" s="112" t="b">
        <f>IFERROR(INDEX(Outliers!$AY$3:$AY$61,MATCH('SkYSPark Data_w Will''s Data'!C732,Outliers!$B$3:$B$61,0)),0)</f>
        <v>0</v>
      </c>
      <c r="AC732" s="112" t="s">
        <v>392</v>
      </c>
      <c r="AF732" s="132"/>
      <c r="EM732">
        <v>0</v>
      </c>
      <c r="EO732">
        <v>9.8046875</v>
      </c>
    </row>
    <row r="733" spans="1:145" x14ac:dyDescent="0.3">
      <c r="A733" s="2">
        <v>45231</v>
      </c>
      <c r="B733" s="3">
        <f t="shared" si="68"/>
        <v>11</v>
      </c>
      <c r="C733" s="3" t="s">
        <v>184</v>
      </c>
      <c r="D733" s="3" t="str">
        <f>VLOOKUP(C733,'Data availability'!$A$2:$B$91,2,FALSE)</f>
        <v>Main campus</v>
      </c>
      <c r="E733" s="3">
        <v>76871</v>
      </c>
      <c r="F733" s="3" t="str">
        <f>VLOOKUP(C733,'Data availability'!$A$2:$H$91,8,FALSE)</f>
        <v>Athletics</v>
      </c>
      <c r="G733" s="259">
        <f>'Solar Data-Main Campus'!K47</f>
        <v>34967.328499369614</v>
      </c>
      <c r="J733" s="1">
        <v>1069.63060569042</v>
      </c>
      <c r="K733" s="185">
        <f>'Climate Normalization'!D110</f>
        <v>2063.0253156666854</v>
      </c>
      <c r="M733" s="21">
        <f t="shared" si="61"/>
        <v>1.5520615685999808</v>
      </c>
      <c r="N733" s="21">
        <f t="shared" si="66"/>
        <v>0</v>
      </c>
      <c r="O733" s="21">
        <f t="shared" si="67"/>
        <v>1.3914618070409128</v>
      </c>
      <c r="P733" s="21">
        <f t="shared" si="64"/>
        <v>0.32204997707848504</v>
      </c>
      <c r="V733" s="34"/>
      <c r="Z733" s="211" t="b">
        <f>IFERROR(INDEX(Outliers!$X$3:$X$61,MATCH('SkYSPark Data_w Will''s Data'!C733,Outliers!$B$3:$B$61,0)),0)</f>
        <v>0</v>
      </c>
      <c r="AA733" s="1" t="b">
        <f>IFERROR(INDEX(Outliers!$AP$3:$AP$61,MATCH('SkYSPark Data_w Will''s Data'!C733,Outliers!$B$3:$B$61,0)),0)</f>
        <v>0</v>
      </c>
      <c r="AB733" s="112" t="b">
        <f>IFERROR(INDEX(Outliers!$AY$3:$AY$61,MATCH('SkYSPark Data_w Will''s Data'!C733,Outliers!$B$3:$B$61,0)),0)</f>
        <v>0</v>
      </c>
      <c r="AC733" s="112" t="s">
        <v>392</v>
      </c>
      <c r="AF733" s="132"/>
      <c r="EM733">
        <v>0</v>
      </c>
      <c r="EO733">
        <v>98.166015625</v>
      </c>
    </row>
    <row r="734" spans="1:145" s="69" customFormat="1" x14ac:dyDescent="0.3">
      <c r="A734" s="65">
        <v>45261</v>
      </c>
      <c r="B734" s="64">
        <f t="shared" si="68"/>
        <v>12</v>
      </c>
      <c r="C734" s="64" t="s">
        <v>184</v>
      </c>
      <c r="D734" s="64" t="str">
        <f>VLOOKUP(C734,'Data availability'!$A$2:$B$91,2,FALSE)</f>
        <v>Main campus</v>
      </c>
      <c r="E734" s="64">
        <v>76871</v>
      </c>
      <c r="F734" s="3" t="str">
        <f>VLOOKUP(C734,'Data availability'!$A$2:$H$91,8,FALSE)</f>
        <v>Athletics</v>
      </c>
      <c r="G734" s="259">
        <f>'Solar Data-Main Campus'!K48</f>
        <v>35951.964604079098</v>
      </c>
      <c r="H734" s="66"/>
      <c r="I734" s="66"/>
      <c r="J734" s="66">
        <v>1954.4601809474921</v>
      </c>
      <c r="K734" s="185">
        <f>'Climate Normalization'!D111</f>
        <v>614.27471710580369</v>
      </c>
      <c r="L734" s="67"/>
      <c r="M734" s="21">
        <f t="shared" si="61"/>
        <v>1.5957656753407381</v>
      </c>
      <c r="N734" s="21">
        <f t="shared" si="66"/>
        <v>0</v>
      </c>
      <c r="O734" s="21">
        <f t="shared" si="67"/>
        <v>2.5425195209474212</v>
      </c>
      <c r="P734" s="21">
        <f t="shared" si="64"/>
        <v>9.5891774599909524E-2</v>
      </c>
      <c r="Q734" s="66"/>
      <c r="R734" s="66"/>
      <c r="S734" s="66"/>
      <c r="T734" s="66"/>
      <c r="U734" s="66"/>
      <c r="V734" s="152"/>
      <c r="W734" s="66"/>
      <c r="X734" s="67"/>
      <c r="Y734" s="66"/>
      <c r="Z734" s="211" t="b">
        <f>IFERROR(INDEX(Outliers!$X$3:$X$61,MATCH('SkYSPark Data_w Will''s Data'!C734,Outliers!$B$3:$B$61,0)),0)</f>
        <v>0</v>
      </c>
      <c r="AA734" s="1" t="b">
        <f>IFERROR(INDEX(Outliers!$AP$3:$AP$61,MATCH('SkYSPark Data_w Will''s Data'!C734,Outliers!$B$3:$B$61,0)),0)</f>
        <v>0</v>
      </c>
      <c r="AB734" s="112" t="b">
        <f>IFERROR(INDEX(Outliers!$AY$3:$AY$61,MATCH('SkYSPark Data_w Will''s Data'!C734,Outliers!$B$3:$B$61,0)),0)</f>
        <v>0</v>
      </c>
      <c r="AC734" s="112" t="s">
        <v>392</v>
      </c>
      <c r="AD734" s="134"/>
      <c r="AE734" s="134"/>
      <c r="AF734" s="133"/>
      <c r="EM734" s="69">
        <v>0</v>
      </c>
      <c r="EO734" s="69">
        <v>198.9970703125</v>
      </c>
    </row>
    <row r="735" spans="1:145" x14ac:dyDescent="0.3">
      <c r="A735" s="2">
        <v>44927</v>
      </c>
      <c r="B735" s="3">
        <f t="shared" si="68"/>
        <v>1</v>
      </c>
      <c r="C735" s="3" t="s">
        <v>593</v>
      </c>
      <c r="D735" s="3" t="str">
        <f>VLOOKUP(C735,'Data availability'!$A$2:$B$91,2,FALSE)</f>
        <v>Main campus</v>
      </c>
      <c r="E735" s="3">
        <v>580783</v>
      </c>
      <c r="F735" s="3" t="s">
        <v>352</v>
      </c>
      <c r="G735" s="1">
        <v>29968.940000000021</v>
      </c>
      <c r="M735" s="21">
        <f t="shared" si="61"/>
        <v>0.17606235595738867</v>
      </c>
      <c r="N735" s="21">
        <f t="shared" si="66"/>
        <v>0</v>
      </c>
      <c r="O735" s="21">
        <f t="shared" si="67"/>
        <v>0</v>
      </c>
      <c r="P735" s="21">
        <f t="shared" si="64"/>
        <v>0</v>
      </c>
      <c r="Q735" s="1">
        <f>(SUM(G735:G746)*3.412)/E735</f>
        <v>1.993211450541768</v>
      </c>
      <c r="R735" s="33"/>
      <c r="V735" s="33">
        <f>SUM(Q735:T735)</f>
        <v>1.993211450541768</v>
      </c>
      <c r="Z735" s="211" t="b">
        <v>0</v>
      </c>
      <c r="AA735" s="1">
        <f>IFERROR(INDEX(Outliers!$AP$3:$AP$61,MATCH('SkYSPark Data_w Will''s Data'!C735,Outliers!$B$3:$B$61,0)),0)</f>
        <v>0</v>
      </c>
      <c r="AB735" s="112">
        <f>IFERROR(INDEX(Outliers!$AY$3:$AY$61,MATCH('SkYSPark Data_w Will''s Data'!C735,Outliers!$B$3:$B$61,0)),0)</f>
        <v>0</v>
      </c>
      <c r="AC735" s="112" t="s">
        <v>392</v>
      </c>
    </row>
    <row r="736" spans="1:145" x14ac:dyDescent="0.3">
      <c r="A736" s="2">
        <v>44958</v>
      </c>
      <c r="B736" s="3">
        <f t="shared" si="68"/>
        <v>2</v>
      </c>
      <c r="C736" s="3" t="s">
        <v>593</v>
      </c>
      <c r="D736" s="3" t="str">
        <f>VLOOKUP(C736,'Data availability'!$A$2:$B$91,2,FALSE)</f>
        <v>Main campus</v>
      </c>
      <c r="E736" s="3">
        <v>580783</v>
      </c>
      <c r="F736" s="3" t="s">
        <v>352</v>
      </c>
      <c r="G736" s="1">
        <v>26565.999999999993</v>
      </c>
      <c r="M736" s="21">
        <f t="shared" si="61"/>
        <v>0.15607067011258932</v>
      </c>
      <c r="N736" s="21">
        <f t="shared" si="66"/>
        <v>0</v>
      </c>
      <c r="O736" s="21">
        <f t="shared" si="67"/>
        <v>0</v>
      </c>
      <c r="P736" s="21">
        <f t="shared" si="64"/>
        <v>0</v>
      </c>
      <c r="V736" s="34"/>
      <c r="Z736" s="211" t="b">
        <v>0</v>
      </c>
      <c r="AA736" s="1">
        <f>IFERROR(INDEX(Outliers!$AP$3:$AP$61,MATCH('SkYSPark Data_w Will''s Data'!C736,Outliers!$B$3:$B$61,0)),0)</f>
        <v>0</v>
      </c>
      <c r="AB736" s="112">
        <f>IFERROR(INDEX(Outliers!$AY$3:$AY$61,MATCH('SkYSPark Data_w Will''s Data'!C736,Outliers!$B$3:$B$61,0)),0)</f>
        <v>0</v>
      </c>
      <c r="AC736" s="112" t="s">
        <v>392</v>
      </c>
    </row>
    <row r="737" spans="1:29" x14ac:dyDescent="0.3">
      <c r="A737" s="2">
        <v>44986</v>
      </c>
      <c r="B737" s="3">
        <f t="shared" si="68"/>
        <v>3</v>
      </c>
      <c r="C737" s="3" t="s">
        <v>593</v>
      </c>
      <c r="D737" s="3" t="str">
        <f>VLOOKUP(C737,'Data availability'!$A$2:$B$91,2,FALSE)</f>
        <v>Main campus</v>
      </c>
      <c r="E737" s="3">
        <v>580783</v>
      </c>
      <c r="F737" s="3" t="s">
        <v>352</v>
      </c>
      <c r="G737" s="1">
        <v>28881.659999999993</v>
      </c>
      <c r="M737" s="21">
        <f t="shared" si="61"/>
        <v>0.16967477340073656</v>
      </c>
      <c r="N737" s="21">
        <f t="shared" si="66"/>
        <v>0</v>
      </c>
      <c r="O737" s="21">
        <f t="shared" si="67"/>
        <v>0</v>
      </c>
      <c r="P737" s="21">
        <f t="shared" si="64"/>
        <v>0</v>
      </c>
      <c r="Z737" s="211" t="b">
        <v>0</v>
      </c>
      <c r="AA737" s="1">
        <f>IFERROR(INDEX(Outliers!$AP$3:$AP$61,MATCH('SkYSPark Data_w Will''s Data'!C737,Outliers!$B$3:$B$61,0)),0)</f>
        <v>0</v>
      </c>
      <c r="AB737" s="112">
        <f>IFERROR(INDEX(Outliers!$AY$3:$AY$61,MATCH('SkYSPark Data_w Will''s Data'!C737,Outliers!$B$3:$B$61,0)),0)</f>
        <v>0</v>
      </c>
      <c r="AC737" s="112" t="s">
        <v>392</v>
      </c>
    </row>
    <row r="738" spans="1:29" x14ac:dyDescent="0.3">
      <c r="A738" s="2">
        <v>45017</v>
      </c>
      <c r="B738" s="3">
        <f t="shared" si="68"/>
        <v>4</v>
      </c>
      <c r="C738" s="3" t="s">
        <v>593</v>
      </c>
      <c r="D738" s="3" t="str">
        <f>VLOOKUP(C738,'Data availability'!$A$2:$B$91,2,FALSE)</f>
        <v>Main campus</v>
      </c>
      <c r="E738" s="3">
        <v>580783</v>
      </c>
      <c r="F738" s="3" t="s">
        <v>352</v>
      </c>
      <c r="G738" s="1">
        <v>27422.340000000011</v>
      </c>
      <c r="M738" s="21">
        <f t="shared" si="61"/>
        <v>0.16110151998250644</v>
      </c>
      <c r="N738" s="21">
        <f t="shared" si="66"/>
        <v>0</v>
      </c>
      <c r="O738" s="21">
        <f t="shared" si="67"/>
        <v>0</v>
      </c>
      <c r="P738" s="21">
        <f t="shared" si="64"/>
        <v>0</v>
      </c>
      <c r="Z738" s="211" t="b">
        <v>0</v>
      </c>
      <c r="AA738" s="1">
        <f>IFERROR(INDEX(Outliers!$AP$3:$AP$61,MATCH('SkYSPark Data_w Will''s Data'!C738,Outliers!$B$3:$B$61,0)),0)</f>
        <v>0</v>
      </c>
      <c r="AB738" s="112">
        <f>IFERROR(INDEX(Outliers!$AY$3:$AY$61,MATCH('SkYSPark Data_w Will''s Data'!C738,Outliers!$B$3:$B$61,0)),0)</f>
        <v>0</v>
      </c>
      <c r="AC738" s="112" t="s">
        <v>392</v>
      </c>
    </row>
    <row r="739" spans="1:29" x14ac:dyDescent="0.3">
      <c r="A739" s="2">
        <v>45047</v>
      </c>
      <c r="B739" s="3">
        <f t="shared" si="68"/>
        <v>5</v>
      </c>
      <c r="C739" s="3" t="s">
        <v>593</v>
      </c>
      <c r="D739" s="3" t="str">
        <f>VLOOKUP(C739,'Data availability'!$A$2:$B$91,2,FALSE)</f>
        <v>Main campus</v>
      </c>
      <c r="E739" s="3">
        <v>580783</v>
      </c>
      <c r="F739" s="3" t="s">
        <v>352</v>
      </c>
      <c r="G739" s="1">
        <v>29195.999999999978</v>
      </c>
      <c r="M739" s="21">
        <f t="shared" si="61"/>
        <v>0.17152146670959709</v>
      </c>
      <c r="N739" s="21">
        <f t="shared" si="66"/>
        <v>0</v>
      </c>
      <c r="O739" s="21">
        <f t="shared" si="67"/>
        <v>0</v>
      </c>
      <c r="P739" s="21">
        <f t="shared" si="64"/>
        <v>0</v>
      </c>
      <c r="Z739" s="211" t="b">
        <v>0</v>
      </c>
      <c r="AA739" s="1">
        <f>IFERROR(INDEX(Outliers!$AP$3:$AP$61,MATCH('SkYSPark Data_w Will''s Data'!C739,Outliers!$B$3:$B$61,0)),0)</f>
        <v>0</v>
      </c>
      <c r="AB739" s="112">
        <f>IFERROR(INDEX(Outliers!$AY$3:$AY$61,MATCH('SkYSPark Data_w Will''s Data'!C739,Outliers!$B$3:$B$61,0)),0)</f>
        <v>0</v>
      </c>
      <c r="AC739" s="112" t="s">
        <v>392</v>
      </c>
    </row>
    <row r="740" spans="1:29" x14ac:dyDescent="0.3">
      <c r="A740" s="2">
        <v>45078</v>
      </c>
      <c r="B740" s="3">
        <f t="shared" si="68"/>
        <v>6</v>
      </c>
      <c r="C740" s="3" t="s">
        <v>593</v>
      </c>
      <c r="D740" s="3" t="str">
        <f>VLOOKUP(C740,'Data availability'!$A$2:$B$91,2,FALSE)</f>
        <v>Main campus</v>
      </c>
      <c r="E740" s="3">
        <v>580783</v>
      </c>
      <c r="F740" s="3" t="s">
        <v>352</v>
      </c>
      <c r="G740" s="1">
        <v>26113.169999999987</v>
      </c>
      <c r="M740" s="21">
        <f t="shared" si="61"/>
        <v>0.15341037192893034</v>
      </c>
      <c r="N740" s="21">
        <f t="shared" si="66"/>
        <v>0</v>
      </c>
      <c r="O740" s="21">
        <f t="shared" si="67"/>
        <v>0</v>
      </c>
      <c r="P740" s="21">
        <f t="shared" si="64"/>
        <v>0</v>
      </c>
      <c r="Z740" s="211" t="b">
        <v>0</v>
      </c>
      <c r="AA740" s="1">
        <f>IFERROR(INDEX(Outliers!$AP$3:$AP$61,MATCH('SkYSPark Data_w Will''s Data'!C740,Outliers!$B$3:$B$61,0)),0)</f>
        <v>0</v>
      </c>
      <c r="AB740" s="112">
        <f>IFERROR(INDEX(Outliers!$AY$3:$AY$61,MATCH('SkYSPark Data_w Will''s Data'!C740,Outliers!$B$3:$B$61,0)),0)</f>
        <v>0</v>
      </c>
      <c r="AC740" s="112" t="s">
        <v>392</v>
      </c>
    </row>
    <row r="741" spans="1:29" x14ac:dyDescent="0.3">
      <c r="A741" s="2">
        <v>45108</v>
      </c>
      <c r="B741" s="3">
        <f t="shared" si="68"/>
        <v>7</v>
      </c>
      <c r="C741" s="3" t="s">
        <v>593</v>
      </c>
      <c r="D741" s="3" t="str">
        <f>VLOOKUP(C741,'Data availability'!$A$2:$B$91,2,FALSE)</f>
        <v>Main campus</v>
      </c>
      <c r="E741" s="3">
        <v>580783</v>
      </c>
      <c r="F741" s="3" t="s">
        <v>352</v>
      </c>
      <c r="G741" s="1">
        <v>27376.079999999994</v>
      </c>
      <c r="M741" s="21">
        <f t="shared" si="61"/>
        <v>0.16082975045757192</v>
      </c>
      <c r="N741" s="21">
        <f t="shared" si="66"/>
        <v>0</v>
      </c>
      <c r="O741" s="21">
        <f t="shared" si="67"/>
        <v>0</v>
      </c>
      <c r="P741" s="21">
        <f t="shared" si="64"/>
        <v>0</v>
      </c>
      <c r="Z741" s="211" t="b">
        <v>0</v>
      </c>
      <c r="AA741" s="1">
        <f>IFERROR(INDEX(Outliers!$AP$3:$AP$61,MATCH('SkYSPark Data_w Will''s Data'!C741,Outliers!$B$3:$B$61,0)),0)</f>
        <v>0</v>
      </c>
      <c r="AB741" s="112">
        <f>IFERROR(INDEX(Outliers!$AY$3:$AY$61,MATCH('SkYSPark Data_w Will''s Data'!C741,Outliers!$B$3:$B$61,0)),0)</f>
        <v>0</v>
      </c>
      <c r="AC741" s="112" t="s">
        <v>392</v>
      </c>
    </row>
    <row r="742" spans="1:29" x14ac:dyDescent="0.3">
      <c r="A742" s="2">
        <v>45139</v>
      </c>
      <c r="B742" s="3">
        <f t="shared" si="68"/>
        <v>8</v>
      </c>
      <c r="C742" s="3" t="s">
        <v>593</v>
      </c>
      <c r="D742" s="3" t="str">
        <f>VLOOKUP(C742,'Data availability'!$A$2:$B$91,2,FALSE)</f>
        <v>Main campus</v>
      </c>
      <c r="E742" s="3">
        <v>580783</v>
      </c>
      <c r="F742" s="3" t="s">
        <v>352</v>
      </c>
      <c r="G742" s="1">
        <v>27874.540000000012</v>
      </c>
      <c r="M742" s="21">
        <f t="shared" si="61"/>
        <v>0.16375811702477525</v>
      </c>
      <c r="N742" s="21">
        <f t="shared" si="66"/>
        <v>0</v>
      </c>
      <c r="O742" s="21">
        <f t="shared" si="67"/>
        <v>0</v>
      </c>
      <c r="P742" s="21">
        <f t="shared" si="64"/>
        <v>0</v>
      </c>
      <c r="Z742" s="211" t="b">
        <v>0</v>
      </c>
      <c r="AA742" s="1">
        <f>IFERROR(INDEX(Outliers!$AP$3:$AP$61,MATCH('SkYSPark Data_w Will''s Data'!C742,Outliers!$B$3:$B$61,0)),0)</f>
        <v>0</v>
      </c>
      <c r="AB742" s="112">
        <f>IFERROR(INDEX(Outliers!$AY$3:$AY$61,MATCH('SkYSPark Data_w Will''s Data'!C742,Outliers!$B$3:$B$61,0)),0)</f>
        <v>0</v>
      </c>
      <c r="AC742" s="112" t="s">
        <v>392</v>
      </c>
    </row>
    <row r="743" spans="1:29" x14ac:dyDescent="0.3">
      <c r="A743" s="2">
        <v>45170</v>
      </c>
      <c r="B743" s="3">
        <f t="shared" si="68"/>
        <v>9</v>
      </c>
      <c r="C743" s="3" t="s">
        <v>593</v>
      </c>
      <c r="D743" s="3" t="str">
        <f>VLOOKUP(C743,'Data availability'!$A$2:$B$91,2,FALSE)</f>
        <v>Main campus</v>
      </c>
      <c r="E743" s="3">
        <v>580783</v>
      </c>
      <c r="F743" s="3" t="s">
        <v>352</v>
      </c>
      <c r="G743" s="1">
        <v>27802.959999999988</v>
      </c>
      <c r="M743" s="21">
        <f t="shared" si="61"/>
        <v>0.16333759686492191</v>
      </c>
      <c r="N743" s="21">
        <f t="shared" ref="N743:N774" si="69">IFERROR((I743*100)/E743,0)</f>
        <v>0</v>
      </c>
      <c r="O743" s="21">
        <f t="shared" ref="O743:O774" si="70">IFERROR((J743*100)/E743,0)</f>
        <v>0</v>
      </c>
      <c r="P743" s="21">
        <f t="shared" si="64"/>
        <v>0</v>
      </c>
      <c r="Z743" s="211" t="b">
        <v>0</v>
      </c>
      <c r="AA743" s="1">
        <f>IFERROR(INDEX(Outliers!$AP$3:$AP$61,MATCH('SkYSPark Data_w Will''s Data'!C743,Outliers!$B$3:$B$61,0)),0)</f>
        <v>0</v>
      </c>
      <c r="AB743" s="112">
        <f>IFERROR(INDEX(Outliers!$AY$3:$AY$61,MATCH('SkYSPark Data_w Will''s Data'!C743,Outliers!$B$3:$B$61,0)),0)</f>
        <v>0</v>
      </c>
      <c r="AC743" s="112" t="s">
        <v>392</v>
      </c>
    </row>
    <row r="744" spans="1:29" x14ac:dyDescent="0.3">
      <c r="A744" s="2">
        <v>45200</v>
      </c>
      <c r="B744" s="3">
        <f t="shared" si="68"/>
        <v>10</v>
      </c>
      <c r="C744" s="3" t="s">
        <v>593</v>
      </c>
      <c r="D744" s="3" t="str">
        <f>VLOOKUP(C744,'Data availability'!$A$2:$B$91,2,FALSE)</f>
        <v>Main campus</v>
      </c>
      <c r="E744" s="3">
        <v>580783</v>
      </c>
      <c r="F744" s="3" t="s">
        <v>352</v>
      </c>
      <c r="G744" s="1">
        <v>29214.260000000006</v>
      </c>
      <c r="M744" s="21">
        <f t="shared" ref="M744:M782" si="71">IFERROR((G744*3.412)/E744,0)</f>
        <v>0.17162874106163578</v>
      </c>
      <c r="N744" s="21">
        <f t="shared" si="69"/>
        <v>0</v>
      </c>
      <c r="O744" s="21">
        <f t="shared" si="70"/>
        <v>0</v>
      </c>
      <c r="P744" s="21">
        <f t="shared" ref="P744:P782" si="72">IFERROR((K744*12)/E744,0)</f>
        <v>0</v>
      </c>
      <c r="Z744" s="211" t="b">
        <v>0</v>
      </c>
      <c r="AA744" s="1">
        <f>IFERROR(INDEX(Outliers!$AP$3:$AP$61,MATCH('SkYSPark Data_w Will''s Data'!C744,Outliers!$B$3:$B$61,0)),0)</f>
        <v>0</v>
      </c>
      <c r="AB744" s="112">
        <f>IFERROR(INDEX(Outliers!$AY$3:$AY$61,MATCH('SkYSPark Data_w Will''s Data'!C744,Outliers!$B$3:$B$61,0)),0)</f>
        <v>0</v>
      </c>
      <c r="AC744" s="112" t="s">
        <v>392</v>
      </c>
    </row>
    <row r="745" spans="1:29" x14ac:dyDescent="0.3">
      <c r="A745" s="2">
        <v>45231</v>
      </c>
      <c r="B745" s="3">
        <f t="shared" si="68"/>
        <v>11</v>
      </c>
      <c r="C745" s="3" t="s">
        <v>593</v>
      </c>
      <c r="D745" s="3" t="str">
        <f>VLOOKUP(C745,'Data availability'!$A$2:$B$91,2,FALSE)</f>
        <v>Main campus</v>
      </c>
      <c r="E745" s="3">
        <v>580783</v>
      </c>
      <c r="F745" s="3" t="s">
        <v>352</v>
      </c>
      <c r="G745" s="1">
        <v>28890.229999999981</v>
      </c>
      <c r="M745" s="21">
        <f t="shared" si="71"/>
        <v>0.16972512067329781</v>
      </c>
      <c r="N745" s="21">
        <f t="shared" si="69"/>
        <v>0</v>
      </c>
      <c r="O745" s="21">
        <f t="shared" si="70"/>
        <v>0</v>
      </c>
      <c r="P745" s="21">
        <f t="shared" si="72"/>
        <v>0</v>
      </c>
      <c r="Z745" s="211" t="b">
        <v>0</v>
      </c>
      <c r="AA745" s="1">
        <f>IFERROR(INDEX(Outliers!$AP$3:$AP$61,MATCH('SkYSPark Data_w Will''s Data'!C745,Outliers!$B$3:$B$61,0)),0)</f>
        <v>0</v>
      </c>
      <c r="AB745" s="112">
        <f>IFERROR(INDEX(Outliers!$AY$3:$AY$61,MATCH('SkYSPark Data_w Will''s Data'!C745,Outliers!$B$3:$B$61,0)),0)</f>
        <v>0</v>
      </c>
      <c r="AC745" s="112" t="s">
        <v>392</v>
      </c>
    </row>
    <row r="746" spans="1:29" x14ac:dyDescent="0.3">
      <c r="A746" s="2">
        <v>45261</v>
      </c>
      <c r="B746" s="3">
        <f t="shared" si="68"/>
        <v>12</v>
      </c>
      <c r="C746" s="3" t="s">
        <v>593</v>
      </c>
      <c r="D746" s="3" t="str">
        <f>VLOOKUP(C746,'Data availability'!$A$2:$B$91,2,FALSE)</f>
        <v>Main campus</v>
      </c>
      <c r="E746" s="3">
        <v>580783</v>
      </c>
      <c r="F746" s="3" t="s">
        <v>352</v>
      </c>
      <c r="G746" s="1">
        <v>29973.810000000023</v>
      </c>
      <c r="M746" s="21">
        <f t="shared" si="71"/>
        <v>0.17609096636781738</v>
      </c>
      <c r="N746" s="21">
        <f t="shared" si="69"/>
        <v>0</v>
      </c>
      <c r="O746" s="21">
        <f t="shared" si="70"/>
        <v>0</v>
      </c>
      <c r="P746" s="21">
        <f t="shared" si="72"/>
        <v>0</v>
      </c>
      <c r="Z746" s="211" t="b">
        <v>0</v>
      </c>
      <c r="AA746" s="1">
        <f>IFERROR(INDEX(Outliers!$AP$3:$AP$61,MATCH('SkYSPark Data_w Will''s Data'!C746,Outliers!$B$3:$B$61,0)),0)</f>
        <v>0</v>
      </c>
      <c r="AB746" s="112">
        <f>IFERROR(INDEX(Outliers!$AY$3:$AY$61,MATCH('SkYSPark Data_w Will''s Data'!C746,Outliers!$B$3:$B$61,0)),0)</f>
        <v>0</v>
      </c>
      <c r="AC746" s="112" t="s">
        <v>392</v>
      </c>
    </row>
    <row r="747" spans="1:29" x14ac:dyDescent="0.3">
      <c r="A747" s="2">
        <v>44927</v>
      </c>
      <c r="B747" s="3">
        <f t="shared" si="68"/>
        <v>1</v>
      </c>
      <c r="C747" s="3" t="s">
        <v>594</v>
      </c>
      <c r="D747" s="3" t="str">
        <f>VLOOKUP(C747,'Data availability'!$A$2:$B$91,2,FALSE)</f>
        <v>Main campus</v>
      </c>
      <c r="E747" s="3">
        <v>624735</v>
      </c>
      <c r="F747" s="3" t="s">
        <v>352</v>
      </c>
      <c r="G747" s="1">
        <v>42981.89</v>
      </c>
      <c r="M747" s="21">
        <f t="shared" si="71"/>
        <v>0.23474626630491324</v>
      </c>
      <c r="N747" s="21">
        <f t="shared" si="69"/>
        <v>0</v>
      </c>
      <c r="O747" s="21">
        <f t="shared" si="70"/>
        <v>0</v>
      </c>
      <c r="P747" s="21">
        <f t="shared" si="72"/>
        <v>0</v>
      </c>
      <c r="Q747" s="1">
        <f>(SUM(G747:G758)*3.412)/E747</f>
        <v>2.6696220716943988</v>
      </c>
      <c r="Z747" s="211" t="b">
        <v>0</v>
      </c>
      <c r="AA747" s="1">
        <f>IFERROR(INDEX(Outliers!$AP$3:$AP$61,MATCH('SkYSPark Data_w Will''s Data'!C747,Outliers!$B$3:$B$61,0)),0)</f>
        <v>0</v>
      </c>
      <c r="AB747" s="112">
        <f>IFERROR(INDEX(Outliers!$AY$3:$AY$61,MATCH('SkYSPark Data_w Will''s Data'!C747,Outliers!$B$3:$B$61,0)),0)</f>
        <v>0</v>
      </c>
      <c r="AC747" s="112" t="s">
        <v>392</v>
      </c>
    </row>
    <row r="748" spans="1:29" x14ac:dyDescent="0.3">
      <c r="A748" s="2">
        <v>44958</v>
      </c>
      <c r="B748" s="3">
        <f t="shared" si="68"/>
        <v>2</v>
      </c>
      <c r="C748" s="3" t="s">
        <v>594</v>
      </c>
      <c r="D748" s="3" t="str">
        <f>VLOOKUP(C748,'Data availability'!$A$2:$B$91,2,FALSE)</f>
        <v>Main campus</v>
      </c>
      <c r="E748" s="3">
        <v>624735</v>
      </c>
      <c r="F748" s="3" t="s">
        <v>352</v>
      </c>
      <c r="G748" s="1">
        <v>38842.499999999993</v>
      </c>
      <c r="M748" s="21">
        <f t="shared" si="71"/>
        <v>0.21213892290331099</v>
      </c>
      <c r="N748" s="21">
        <f t="shared" si="69"/>
        <v>0</v>
      </c>
      <c r="O748" s="21">
        <f t="shared" si="70"/>
        <v>0</v>
      </c>
      <c r="P748" s="21">
        <f t="shared" si="72"/>
        <v>0</v>
      </c>
      <c r="Z748" s="211" t="b">
        <v>0</v>
      </c>
      <c r="AA748" s="1">
        <f>IFERROR(INDEX(Outliers!$AP$3:$AP$61,MATCH('SkYSPark Data_w Will''s Data'!C748,Outliers!$B$3:$B$61,0)),0)</f>
        <v>0</v>
      </c>
      <c r="AB748" s="112">
        <f>IFERROR(INDEX(Outliers!$AY$3:$AY$61,MATCH('SkYSPark Data_w Will''s Data'!C748,Outliers!$B$3:$B$61,0)),0)</f>
        <v>0</v>
      </c>
      <c r="AC748" s="112" t="s">
        <v>392</v>
      </c>
    </row>
    <row r="749" spans="1:29" x14ac:dyDescent="0.3">
      <c r="A749" s="2">
        <v>44986</v>
      </c>
      <c r="B749" s="3">
        <f t="shared" si="68"/>
        <v>3</v>
      </c>
      <c r="C749" s="3" t="s">
        <v>594</v>
      </c>
      <c r="D749" s="3" t="str">
        <f>VLOOKUP(C749,'Data availability'!$A$2:$B$91,2,FALSE)</f>
        <v>Main campus</v>
      </c>
      <c r="E749" s="3">
        <v>624735</v>
      </c>
      <c r="F749" s="3" t="s">
        <v>352</v>
      </c>
      <c r="G749" s="1">
        <v>42518.67</v>
      </c>
      <c r="M749" s="21">
        <f t="shared" si="71"/>
        <v>0.2322163830103964</v>
      </c>
      <c r="N749" s="21">
        <f t="shared" si="69"/>
        <v>0</v>
      </c>
      <c r="O749" s="21">
        <f t="shared" si="70"/>
        <v>0</v>
      </c>
      <c r="P749" s="21">
        <f t="shared" si="72"/>
        <v>0</v>
      </c>
      <c r="Z749" s="211" t="b">
        <v>0</v>
      </c>
      <c r="AA749" s="1">
        <f>IFERROR(INDEX(Outliers!$AP$3:$AP$61,MATCH('SkYSPark Data_w Will''s Data'!C749,Outliers!$B$3:$B$61,0)),0)</f>
        <v>0</v>
      </c>
      <c r="AB749" s="112">
        <f>IFERROR(INDEX(Outliers!$AY$3:$AY$61,MATCH('SkYSPark Data_w Will''s Data'!C749,Outliers!$B$3:$B$61,0)),0)</f>
        <v>0</v>
      </c>
      <c r="AC749" s="112" t="s">
        <v>392</v>
      </c>
    </row>
    <row r="750" spans="1:29" x14ac:dyDescent="0.3">
      <c r="A750" s="2">
        <v>45017</v>
      </c>
      <c r="B750" s="3">
        <f t="shared" si="68"/>
        <v>4</v>
      </c>
      <c r="C750" s="3" t="s">
        <v>594</v>
      </c>
      <c r="D750" s="3" t="str">
        <f>VLOOKUP(C750,'Data availability'!$A$2:$B$91,2,FALSE)</f>
        <v>Main campus</v>
      </c>
      <c r="E750" s="3">
        <v>624735</v>
      </c>
      <c r="F750" s="3" t="s">
        <v>352</v>
      </c>
      <c r="G750" s="1">
        <v>40050.829999999994</v>
      </c>
      <c r="M750" s="21">
        <f t="shared" si="71"/>
        <v>0.21873823614812679</v>
      </c>
      <c r="N750" s="21">
        <f t="shared" si="69"/>
        <v>0</v>
      </c>
      <c r="O750" s="21">
        <f t="shared" si="70"/>
        <v>0</v>
      </c>
      <c r="P750" s="21">
        <f t="shared" si="72"/>
        <v>0</v>
      </c>
      <c r="Z750" s="211" t="b">
        <v>0</v>
      </c>
      <c r="AA750" s="1">
        <f>IFERROR(INDEX(Outliers!$AP$3:$AP$61,MATCH('SkYSPark Data_w Will''s Data'!C750,Outliers!$B$3:$B$61,0)),0)</f>
        <v>0</v>
      </c>
      <c r="AB750" s="112">
        <f>IFERROR(INDEX(Outliers!$AY$3:$AY$61,MATCH('SkYSPark Data_w Will''s Data'!C750,Outliers!$B$3:$B$61,0)),0)</f>
        <v>0</v>
      </c>
      <c r="AC750" s="112" t="s">
        <v>392</v>
      </c>
    </row>
    <row r="751" spans="1:29" x14ac:dyDescent="0.3">
      <c r="A751" s="2">
        <v>45047</v>
      </c>
      <c r="B751" s="3">
        <f t="shared" si="68"/>
        <v>5</v>
      </c>
      <c r="C751" s="3" t="s">
        <v>594</v>
      </c>
      <c r="D751" s="3" t="str">
        <f>VLOOKUP(C751,'Data availability'!$A$2:$B$91,2,FALSE)</f>
        <v>Main campus</v>
      </c>
      <c r="E751" s="3">
        <v>624735</v>
      </c>
      <c r="F751" s="3" t="s">
        <v>352</v>
      </c>
      <c r="G751" s="1">
        <v>40490.000000000022</v>
      </c>
      <c r="M751" s="21">
        <f t="shared" si="71"/>
        <v>0.22113676999047607</v>
      </c>
      <c r="N751" s="21">
        <f t="shared" si="69"/>
        <v>0</v>
      </c>
      <c r="O751" s="21">
        <f t="shared" si="70"/>
        <v>0</v>
      </c>
      <c r="P751" s="21">
        <f t="shared" si="72"/>
        <v>0</v>
      </c>
      <c r="Z751" s="211" t="b">
        <v>0</v>
      </c>
      <c r="AA751" s="1">
        <f>IFERROR(INDEX(Outliers!$AP$3:$AP$61,MATCH('SkYSPark Data_w Will''s Data'!C751,Outliers!$B$3:$B$61,0)),0)</f>
        <v>0</v>
      </c>
      <c r="AB751" s="112">
        <f>IFERROR(INDEX(Outliers!$AY$3:$AY$61,MATCH('SkYSPark Data_w Will''s Data'!C751,Outliers!$B$3:$B$61,0)),0)</f>
        <v>0</v>
      </c>
      <c r="AC751" s="112" t="s">
        <v>392</v>
      </c>
    </row>
    <row r="752" spans="1:29" x14ac:dyDescent="0.3">
      <c r="A752" s="2">
        <v>45078</v>
      </c>
      <c r="B752" s="3">
        <f t="shared" si="68"/>
        <v>6</v>
      </c>
      <c r="C752" s="3" t="s">
        <v>594</v>
      </c>
      <c r="D752" s="3" t="str">
        <f>VLOOKUP(C752,'Data availability'!$A$2:$B$91,2,FALSE)</f>
        <v>Main campus</v>
      </c>
      <c r="E752" s="3">
        <v>624735</v>
      </c>
      <c r="F752" s="3" t="s">
        <v>352</v>
      </c>
      <c r="G752" s="1">
        <v>39107.999999999978</v>
      </c>
      <c r="M752" s="21">
        <f t="shared" si="71"/>
        <v>0.21358895531705432</v>
      </c>
      <c r="N752" s="21">
        <f t="shared" si="69"/>
        <v>0</v>
      </c>
      <c r="O752" s="21">
        <f t="shared" si="70"/>
        <v>0</v>
      </c>
      <c r="P752" s="21">
        <f t="shared" si="72"/>
        <v>0</v>
      </c>
      <c r="Z752" s="211" t="b">
        <v>0</v>
      </c>
      <c r="AA752" s="1">
        <f>IFERROR(INDEX(Outliers!$AP$3:$AP$61,MATCH('SkYSPark Data_w Will''s Data'!C752,Outliers!$B$3:$B$61,0)),0)</f>
        <v>0</v>
      </c>
      <c r="AB752" s="112">
        <f>IFERROR(INDEX(Outliers!$AY$3:$AY$61,MATCH('SkYSPark Data_w Will''s Data'!C752,Outliers!$B$3:$B$61,0)),0)</f>
        <v>0</v>
      </c>
      <c r="AC752" s="112" t="s">
        <v>392</v>
      </c>
    </row>
    <row r="753" spans="1:29" x14ac:dyDescent="0.3">
      <c r="A753" s="2">
        <v>45108</v>
      </c>
      <c r="B753" s="3">
        <f t="shared" si="68"/>
        <v>7</v>
      </c>
      <c r="C753" s="3" t="s">
        <v>594</v>
      </c>
      <c r="D753" s="3" t="str">
        <f>VLOOKUP(C753,'Data availability'!$A$2:$B$91,2,FALSE)</f>
        <v>Main campus</v>
      </c>
      <c r="E753" s="3">
        <v>624735</v>
      </c>
      <c r="F753" s="3" t="s">
        <v>352</v>
      </c>
      <c r="G753" s="1">
        <v>40608.500000000022</v>
      </c>
      <c r="M753" s="21">
        <f t="shared" si="71"/>
        <v>0.22178395959887004</v>
      </c>
      <c r="N753" s="21">
        <f t="shared" si="69"/>
        <v>0</v>
      </c>
      <c r="O753" s="21">
        <f t="shared" si="70"/>
        <v>0</v>
      </c>
      <c r="P753" s="21">
        <f t="shared" si="72"/>
        <v>0</v>
      </c>
      <c r="Z753" s="211" t="b">
        <v>0</v>
      </c>
      <c r="AA753" s="1">
        <f>IFERROR(INDEX(Outliers!$AP$3:$AP$61,MATCH('SkYSPark Data_w Will''s Data'!C753,Outliers!$B$3:$B$61,0)),0)</f>
        <v>0</v>
      </c>
      <c r="AB753" s="112">
        <f>IFERROR(INDEX(Outliers!$AY$3:$AY$61,MATCH('SkYSPark Data_w Will''s Data'!C753,Outliers!$B$3:$B$61,0)),0)</f>
        <v>0</v>
      </c>
      <c r="AC753" s="112" t="s">
        <v>392</v>
      </c>
    </row>
    <row r="754" spans="1:29" x14ac:dyDescent="0.3">
      <c r="A754" s="2">
        <v>45139</v>
      </c>
      <c r="B754" s="3">
        <f t="shared" si="68"/>
        <v>8</v>
      </c>
      <c r="C754" s="3" t="s">
        <v>594</v>
      </c>
      <c r="D754" s="3" t="str">
        <f>VLOOKUP(C754,'Data availability'!$A$2:$B$91,2,FALSE)</f>
        <v>Main campus</v>
      </c>
      <c r="E754" s="3">
        <v>624735</v>
      </c>
      <c r="F754" s="3" t="s">
        <v>352</v>
      </c>
      <c r="G754" s="1">
        <v>40522.76</v>
      </c>
      <c r="M754" s="21">
        <f t="shared" si="71"/>
        <v>0.22131568924423958</v>
      </c>
      <c r="N754" s="21">
        <f t="shared" si="69"/>
        <v>0</v>
      </c>
      <c r="O754" s="21">
        <f t="shared" si="70"/>
        <v>0</v>
      </c>
      <c r="P754" s="21">
        <f t="shared" si="72"/>
        <v>0</v>
      </c>
      <c r="Z754" s="211" t="b">
        <v>0</v>
      </c>
      <c r="AA754" s="1">
        <f>IFERROR(INDEX(Outliers!$AP$3:$AP$61,MATCH('SkYSPark Data_w Will''s Data'!C754,Outliers!$B$3:$B$61,0)),0)</f>
        <v>0</v>
      </c>
      <c r="AB754" s="112">
        <f>IFERROR(INDEX(Outliers!$AY$3:$AY$61,MATCH('SkYSPark Data_w Will''s Data'!C754,Outliers!$B$3:$B$61,0)),0)</f>
        <v>0</v>
      </c>
      <c r="AC754" s="112" t="s">
        <v>392</v>
      </c>
    </row>
    <row r="755" spans="1:29" x14ac:dyDescent="0.3">
      <c r="A755" s="2">
        <v>45170</v>
      </c>
      <c r="B755" s="3">
        <f t="shared" si="68"/>
        <v>9</v>
      </c>
      <c r="C755" s="3" t="s">
        <v>594</v>
      </c>
      <c r="D755" s="3" t="str">
        <f>VLOOKUP(C755,'Data availability'!$A$2:$B$91,2,FALSE)</f>
        <v>Main campus</v>
      </c>
      <c r="E755" s="3">
        <v>624735</v>
      </c>
      <c r="F755" s="3" t="s">
        <v>352</v>
      </c>
      <c r="G755" s="1">
        <v>39782.260000000017</v>
      </c>
      <c r="M755" s="21">
        <f t="shared" si="71"/>
        <v>0.21727143688123776</v>
      </c>
      <c r="N755" s="21">
        <f t="shared" si="69"/>
        <v>0</v>
      </c>
      <c r="O755" s="21">
        <f t="shared" si="70"/>
        <v>0</v>
      </c>
      <c r="P755" s="21">
        <f t="shared" si="72"/>
        <v>0</v>
      </c>
      <c r="Z755" s="211" t="b">
        <v>0</v>
      </c>
      <c r="AA755" s="1">
        <f>IFERROR(INDEX(Outliers!$AP$3:$AP$61,MATCH('SkYSPark Data_w Will''s Data'!C755,Outliers!$B$3:$B$61,0)),0)</f>
        <v>0</v>
      </c>
      <c r="AB755" s="112">
        <f>IFERROR(INDEX(Outliers!$AY$3:$AY$61,MATCH('SkYSPark Data_w Will''s Data'!C755,Outliers!$B$3:$B$61,0)),0)</f>
        <v>0</v>
      </c>
      <c r="AC755" s="112" t="s">
        <v>392</v>
      </c>
    </row>
    <row r="756" spans="1:29" x14ac:dyDescent="0.3">
      <c r="A756" s="2">
        <v>45200</v>
      </c>
      <c r="B756" s="3">
        <f t="shared" si="68"/>
        <v>10</v>
      </c>
      <c r="C756" s="3" t="s">
        <v>594</v>
      </c>
      <c r="D756" s="3" t="str">
        <f>VLOOKUP(C756,'Data availability'!$A$2:$B$91,2,FALSE)</f>
        <v>Main campus</v>
      </c>
      <c r="E756" s="3">
        <v>624735</v>
      </c>
      <c r="F756" s="3" t="s">
        <v>352</v>
      </c>
      <c r="G756" s="1">
        <v>41365.980000000003</v>
      </c>
      <c r="M756" s="21">
        <f t="shared" si="71"/>
        <v>0.22592094849816322</v>
      </c>
      <c r="N756" s="21">
        <f t="shared" si="69"/>
        <v>0</v>
      </c>
      <c r="O756" s="21">
        <f t="shared" si="70"/>
        <v>0</v>
      </c>
      <c r="P756" s="21">
        <f t="shared" si="72"/>
        <v>0</v>
      </c>
      <c r="Z756" s="211" t="b">
        <v>0</v>
      </c>
      <c r="AA756" s="1">
        <f>IFERROR(INDEX(Outliers!$AP$3:$AP$61,MATCH('SkYSPark Data_w Will''s Data'!C756,Outliers!$B$3:$B$61,0)),0)</f>
        <v>0</v>
      </c>
      <c r="AB756" s="112">
        <f>IFERROR(INDEX(Outliers!$AY$3:$AY$61,MATCH('SkYSPark Data_w Will''s Data'!C756,Outliers!$B$3:$B$61,0)),0)</f>
        <v>0</v>
      </c>
      <c r="AC756" s="112" t="s">
        <v>392</v>
      </c>
    </row>
    <row r="757" spans="1:29" x14ac:dyDescent="0.3">
      <c r="A757" s="2">
        <v>45231</v>
      </c>
      <c r="B757" s="3">
        <f t="shared" si="68"/>
        <v>11</v>
      </c>
      <c r="C757" s="3" t="s">
        <v>594</v>
      </c>
      <c r="D757" s="3" t="str">
        <f>VLOOKUP(C757,'Data availability'!$A$2:$B$91,2,FALSE)</f>
        <v>Main campus</v>
      </c>
      <c r="E757" s="3">
        <v>624735</v>
      </c>
      <c r="F757" s="3" t="s">
        <v>352</v>
      </c>
      <c r="G757" s="1">
        <v>40423.280000000035</v>
      </c>
      <c r="M757" s="21">
        <f t="shared" si="71"/>
        <v>0.2207723776641298</v>
      </c>
      <c r="N757" s="21">
        <f t="shared" si="69"/>
        <v>0</v>
      </c>
      <c r="O757" s="21">
        <f t="shared" si="70"/>
        <v>0</v>
      </c>
      <c r="P757" s="21">
        <f t="shared" si="72"/>
        <v>0</v>
      </c>
      <c r="Z757" s="211" t="b">
        <v>0</v>
      </c>
      <c r="AA757" s="1">
        <f>IFERROR(INDEX(Outliers!$AP$3:$AP$61,MATCH('SkYSPark Data_w Will''s Data'!C757,Outliers!$B$3:$B$61,0)),0)</f>
        <v>0</v>
      </c>
      <c r="AB757" s="112">
        <f>IFERROR(INDEX(Outliers!$AY$3:$AY$61,MATCH('SkYSPark Data_w Will''s Data'!C757,Outliers!$B$3:$B$61,0)),0)</f>
        <v>0</v>
      </c>
      <c r="AC757" s="112" t="s">
        <v>392</v>
      </c>
    </row>
    <row r="758" spans="1:29" x14ac:dyDescent="0.3">
      <c r="A758" s="2">
        <v>45261</v>
      </c>
      <c r="B758" s="3">
        <f t="shared" si="68"/>
        <v>12</v>
      </c>
      <c r="C758" s="3" t="s">
        <v>594</v>
      </c>
      <c r="D758" s="3" t="str">
        <f>VLOOKUP(C758,'Data availability'!$A$2:$B$91,2,FALSE)</f>
        <v>Main campus</v>
      </c>
      <c r="E758" s="3">
        <v>624735</v>
      </c>
      <c r="F758" s="3" t="s">
        <v>352</v>
      </c>
      <c r="G758" s="1">
        <v>42111.409999999974</v>
      </c>
      <c r="M758" s="21">
        <f t="shared" si="71"/>
        <v>0.22999212613348044</v>
      </c>
      <c r="N758" s="21">
        <f t="shared" si="69"/>
        <v>0</v>
      </c>
      <c r="O758" s="21">
        <f t="shared" si="70"/>
        <v>0</v>
      </c>
      <c r="P758" s="21">
        <f t="shared" si="72"/>
        <v>0</v>
      </c>
      <c r="Z758" s="211" t="b">
        <v>0</v>
      </c>
      <c r="AA758" s="1">
        <f>IFERROR(INDEX(Outliers!$AP$3:$AP$61,MATCH('SkYSPark Data_w Will''s Data'!C758,Outliers!$B$3:$B$61,0)),0)</f>
        <v>0</v>
      </c>
      <c r="AB758" s="112">
        <f>IFERROR(INDEX(Outliers!$AY$3:$AY$61,MATCH('SkYSPark Data_w Will''s Data'!C758,Outliers!$B$3:$B$61,0)),0)</f>
        <v>0</v>
      </c>
      <c r="AC758" s="112" t="s">
        <v>392</v>
      </c>
    </row>
    <row r="759" spans="1:29" x14ac:dyDescent="0.3">
      <c r="A759" s="2">
        <v>44927</v>
      </c>
      <c r="B759" s="3">
        <f t="shared" si="68"/>
        <v>1</v>
      </c>
      <c r="C759" s="3" t="s">
        <v>595</v>
      </c>
      <c r="D759" s="3" t="str">
        <f>VLOOKUP(C759,'Data availability'!$A$2:$B$91,2,FALSE)</f>
        <v>Main campus</v>
      </c>
      <c r="E759" s="3">
        <v>323350</v>
      </c>
      <c r="F759" s="3" t="s">
        <v>352</v>
      </c>
      <c r="G759" s="1">
        <v>10574.449999999995</v>
      </c>
      <c r="M759" s="21">
        <f t="shared" si="71"/>
        <v>0.11158194959022726</v>
      </c>
      <c r="N759" s="21">
        <f t="shared" si="69"/>
        <v>0</v>
      </c>
      <c r="O759" s="21">
        <f t="shared" si="70"/>
        <v>0</v>
      </c>
      <c r="P759" s="21">
        <f t="shared" si="72"/>
        <v>0</v>
      </c>
      <c r="Q759" s="1">
        <f>(SUM(G759:G770)*3.412)/E759</f>
        <v>2.2423123735889905</v>
      </c>
      <c r="Z759" s="211" t="b">
        <v>0</v>
      </c>
      <c r="AA759" s="1">
        <f>IFERROR(INDEX(Outliers!$AP$3:$AP$61,MATCH('SkYSPark Data_w Will''s Data'!C759,Outliers!$B$3:$B$61,0)),0)</f>
        <v>0</v>
      </c>
      <c r="AB759" s="112">
        <f>IFERROR(INDEX(Outliers!$AY$3:$AY$61,MATCH('SkYSPark Data_w Will''s Data'!C759,Outliers!$B$3:$B$61,0)),0)</f>
        <v>0</v>
      </c>
      <c r="AC759" s="112" t="s">
        <v>392</v>
      </c>
    </row>
    <row r="760" spans="1:29" x14ac:dyDescent="0.3">
      <c r="A760" s="2">
        <v>44958</v>
      </c>
      <c r="B760" s="3">
        <f t="shared" si="68"/>
        <v>2</v>
      </c>
      <c r="C760" s="3" t="s">
        <v>595</v>
      </c>
      <c r="D760" s="3" t="str">
        <f>VLOOKUP(C760,'Data availability'!$A$2:$B$91,2,FALSE)</f>
        <v>Main campus</v>
      </c>
      <c r="E760" s="3">
        <v>323350</v>
      </c>
      <c r="F760" s="3" t="s">
        <v>352</v>
      </c>
      <c r="G760" s="1">
        <v>16370.999999999991</v>
      </c>
      <c r="M760" s="21">
        <f t="shared" si="71"/>
        <v>0.17274733879696913</v>
      </c>
      <c r="N760" s="21">
        <f t="shared" si="69"/>
        <v>0</v>
      </c>
      <c r="O760" s="21">
        <f t="shared" si="70"/>
        <v>0</v>
      </c>
      <c r="P760" s="21">
        <f t="shared" si="72"/>
        <v>0</v>
      </c>
      <c r="Z760" s="211" t="b">
        <v>0</v>
      </c>
      <c r="AA760" s="1">
        <f>IFERROR(INDEX(Outliers!$AP$3:$AP$61,MATCH('SkYSPark Data_w Will''s Data'!C760,Outliers!$B$3:$B$61,0)),0)</f>
        <v>0</v>
      </c>
      <c r="AB760" s="112">
        <f>IFERROR(INDEX(Outliers!$AY$3:$AY$61,MATCH('SkYSPark Data_w Will''s Data'!C760,Outliers!$B$3:$B$61,0)),0)</f>
        <v>0</v>
      </c>
      <c r="AC760" s="112" t="s">
        <v>392</v>
      </c>
    </row>
    <row r="761" spans="1:29" x14ac:dyDescent="0.3">
      <c r="A761" s="2">
        <v>44986</v>
      </c>
      <c r="B761" s="3">
        <f t="shared" si="68"/>
        <v>3</v>
      </c>
      <c r="C761" s="3" t="s">
        <v>595</v>
      </c>
      <c r="D761" s="3" t="str">
        <f>VLOOKUP(C761,'Data availability'!$A$2:$B$91,2,FALSE)</f>
        <v>Main campus</v>
      </c>
      <c r="E761" s="3">
        <v>323350</v>
      </c>
      <c r="F761" s="3" t="s">
        <v>352</v>
      </c>
      <c r="G761" s="1">
        <v>17487.04</v>
      </c>
      <c r="M761" s="21">
        <f t="shared" si="71"/>
        <v>0.18452383015308491</v>
      </c>
      <c r="N761" s="21">
        <f t="shared" si="69"/>
        <v>0</v>
      </c>
      <c r="O761" s="21">
        <f t="shared" si="70"/>
        <v>0</v>
      </c>
      <c r="P761" s="21">
        <f t="shared" si="72"/>
        <v>0</v>
      </c>
      <c r="Z761" s="211" t="b">
        <v>0</v>
      </c>
      <c r="AA761" s="1">
        <f>IFERROR(INDEX(Outliers!$AP$3:$AP$61,MATCH('SkYSPark Data_w Will''s Data'!C761,Outliers!$B$3:$B$61,0)),0)</f>
        <v>0</v>
      </c>
      <c r="AB761" s="112">
        <f>IFERROR(INDEX(Outliers!$AY$3:$AY$61,MATCH('SkYSPark Data_w Will''s Data'!C761,Outliers!$B$3:$B$61,0)),0)</f>
        <v>0</v>
      </c>
      <c r="AC761" s="112" t="s">
        <v>392</v>
      </c>
    </row>
    <row r="762" spans="1:29" x14ac:dyDescent="0.3">
      <c r="A762" s="2">
        <v>45017</v>
      </c>
      <c r="B762" s="3">
        <f t="shared" si="68"/>
        <v>4</v>
      </c>
      <c r="C762" s="3" t="s">
        <v>595</v>
      </c>
      <c r="D762" s="3" t="str">
        <f>VLOOKUP(C762,'Data availability'!$A$2:$B$91,2,FALSE)</f>
        <v>Main campus</v>
      </c>
      <c r="E762" s="3">
        <v>323350</v>
      </c>
      <c r="F762" s="3" t="s">
        <v>352</v>
      </c>
      <c r="G762" s="1">
        <v>17176.46000000001</v>
      </c>
      <c r="M762" s="21">
        <f t="shared" si="71"/>
        <v>0.18124657961960736</v>
      </c>
      <c r="N762" s="21">
        <f t="shared" si="69"/>
        <v>0</v>
      </c>
      <c r="O762" s="21">
        <f t="shared" si="70"/>
        <v>0</v>
      </c>
      <c r="P762" s="21">
        <f t="shared" si="72"/>
        <v>0</v>
      </c>
      <c r="Z762" s="211" t="b">
        <v>0</v>
      </c>
      <c r="AA762" s="1">
        <f>IFERROR(INDEX(Outliers!$AP$3:$AP$61,MATCH('SkYSPark Data_w Will''s Data'!C762,Outliers!$B$3:$B$61,0)),0)</f>
        <v>0</v>
      </c>
      <c r="AB762" s="112">
        <f>IFERROR(INDEX(Outliers!$AY$3:$AY$61,MATCH('SkYSPark Data_w Will''s Data'!C762,Outliers!$B$3:$B$61,0)),0)</f>
        <v>0</v>
      </c>
      <c r="AC762" s="112" t="s">
        <v>392</v>
      </c>
    </row>
    <row r="763" spans="1:29" x14ac:dyDescent="0.3">
      <c r="A763" s="2">
        <v>45047</v>
      </c>
      <c r="B763" s="3">
        <f t="shared" si="68"/>
        <v>5</v>
      </c>
      <c r="C763" s="3" t="s">
        <v>595</v>
      </c>
      <c r="D763" s="3" t="str">
        <f>VLOOKUP(C763,'Data availability'!$A$2:$B$91,2,FALSE)</f>
        <v>Main campus</v>
      </c>
      <c r="E763" s="3">
        <v>323350</v>
      </c>
      <c r="F763" s="3" t="s">
        <v>352</v>
      </c>
      <c r="G763" s="1">
        <v>17758.750000000007</v>
      </c>
      <c r="M763" s="21">
        <f t="shared" si="71"/>
        <v>0.18739092314829139</v>
      </c>
      <c r="N763" s="21">
        <f t="shared" si="69"/>
        <v>0</v>
      </c>
      <c r="O763" s="21">
        <f t="shared" si="70"/>
        <v>0</v>
      </c>
      <c r="P763" s="21">
        <f t="shared" si="72"/>
        <v>0</v>
      </c>
      <c r="Z763" s="211" t="b">
        <v>0</v>
      </c>
      <c r="AA763" s="1">
        <f>IFERROR(INDEX(Outliers!$AP$3:$AP$61,MATCH('SkYSPark Data_w Will''s Data'!C763,Outliers!$B$3:$B$61,0)),0)</f>
        <v>0</v>
      </c>
      <c r="AB763" s="112">
        <f>IFERROR(INDEX(Outliers!$AY$3:$AY$61,MATCH('SkYSPark Data_w Will''s Data'!C763,Outliers!$B$3:$B$61,0)),0)</f>
        <v>0</v>
      </c>
      <c r="AC763" s="112" t="s">
        <v>392</v>
      </c>
    </row>
    <row r="764" spans="1:29" x14ac:dyDescent="0.3">
      <c r="A764" s="2">
        <v>45078</v>
      </c>
      <c r="B764" s="3">
        <f t="shared" si="68"/>
        <v>6</v>
      </c>
      <c r="C764" s="3" t="s">
        <v>595</v>
      </c>
      <c r="D764" s="3" t="str">
        <f>VLOOKUP(C764,'Data availability'!$A$2:$B$91,2,FALSE)</f>
        <v>Main campus</v>
      </c>
      <c r="E764" s="3">
        <v>323350</v>
      </c>
      <c r="F764" s="3" t="s">
        <v>352</v>
      </c>
      <c r="G764" s="1">
        <v>17111.999999999996</v>
      </c>
      <c r="M764" s="21">
        <f t="shared" si="71"/>
        <v>0.18056639554662127</v>
      </c>
      <c r="N764" s="21">
        <f t="shared" si="69"/>
        <v>0</v>
      </c>
      <c r="O764" s="21">
        <f t="shared" si="70"/>
        <v>0</v>
      </c>
      <c r="P764" s="21">
        <f t="shared" si="72"/>
        <v>0</v>
      </c>
      <c r="Z764" s="211" t="b">
        <v>0</v>
      </c>
      <c r="AA764" s="1">
        <f>IFERROR(INDEX(Outliers!$AP$3:$AP$61,MATCH('SkYSPark Data_w Will''s Data'!C764,Outliers!$B$3:$B$61,0)),0)</f>
        <v>0</v>
      </c>
      <c r="AB764" s="112">
        <f>IFERROR(INDEX(Outliers!$AY$3:$AY$61,MATCH('SkYSPark Data_w Will''s Data'!C764,Outliers!$B$3:$B$61,0)),0)</f>
        <v>0</v>
      </c>
      <c r="AC764" s="112" t="s">
        <v>392</v>
      </c>
    </row>
    <row r="765" spans="1:29" x14ac:dyDescent="0.3">
      <c r="A765" s="2">
        <v>45108</v>
      </c>
      <c r="B765" s="3">
        <f t="shared" si="68"/>
        <v>7</v>
      </c>
      <c r="C765" s="3" t="s">
        <v>595</v>
      </c>
      <c r="D765" s="3" t="str">
        <f>VLOOKUP(C765,'Data availability'!$A$2:$B$91,2,FALSE)</f>
        <v>Main campus</v>
      </c>
      <c r="E765" s="3">
        <v>323350</v>
      </c>
      <c r="F765" s="3" t="s">
        <v>352</v>
      </c>
      <c r="G765" s="1">
        <v>19265</v>
      </c>
      <c r="M765" s="21">
        <f t="shared" si="71"/>
        <v>0.20328492345755372</v>
      </c>
      <c r="N765" s="21">
        <f t="shared" si="69"/>
        <v>0</v>
      </c>
      <c r="O765" s="21">
        <f t="shared" si="70"/>
        <v>0</v>
      </c>
      <c r="P765" s="21">
        <f t="shared" si="72"/>
        <v>0</v>
      </c>
      <c r="Z765" s="211" t="b">
        <v>0</v>
      </c>
      <c r="AA765" s="1">
        <f>IFERROR(INDEX(Outliers!$AP$3:$AP$61,MATCH('SkYSPark Data_w Will''s Data'!C765,Outliers!$B$3:$B$61,0)),0)</f>
        <v>0</v>
      </c>
      <c r="AB765" s="112">
        <f>IFERROR(INDEX(Outliers!$AY$3:$AY$61,MATCH('SkYSPark Data_w Will''s Data'!C765,Outliers!$B$3:$B$61,0)),0)</f>
        <v>0</v>
      </c>
      <c r="AC765" s="112" t="s">
        <v>392</v>
      </c>
    </row>
    <row r="766" spans="1:29" x14ac:dyDescent="0.3">
      <c r="A766" s="2">
        <v>45139</v>
      </c>
      <c r="B766" s="3">
        <f t="shared" si="68"/>
        <v>8</v>
      </c>
      <c r="C766" s="3" t="s">
        <v>595</v>
      </c>
      <c r="D766" s="3" t="str">
        <f>VLOOKUP(C766,'Data availability'!$A$2:$B$91,2,FALSE)</f>
        <v>Main campus</v>
      </c>
      <c r="E766" s="3">
        <v>323350</v>
      </c>
      <c r="F766" s="3" t="s">
        <v>352</v>
      </c>
      <c r="G766" s="1">
        <v>19332.710000000006</v>
      </c>
      <c r="M766" s="21">
        <f t="shared" si="71"/>
        <v>0.20399940163909083</v>
      </c>
      <c r="N766" s="21">
        <f t="shared" si="69"/>
        <v>0</v>
      </c>
      <c r="O766" s="21">
        <f t="shared" si="70"/>
        <v>0</v>
      </c>
      <c r="P766" s="21">
        <f t="shared" si="72"/>
        <v>0</v>
      </c>
      <c r="Z766" s="211" t="b">
        <v>0</v>
      </c>
      <c r="AA766" s="1">
        <f>IFERROR(INDEX(Outliers!$AP$3:$AP$61,MATCH('SkYSPark Data_w Will''s Data'!C766,Outliers!$B$3:$B$61,0)),0)</f>
        <v>0</v>
      </c>
      <c r="AB766" s="112">
        <f>IFERROR(INDEX(Outliers!$AY$3:$AY$61,MATCH('SkYSPark Data_w Will''s Data'!C766,Outliers!$B$3:$B$61,0)),0)</f>
        <v>0</v>
      </c>
      <c r="AC766" s="112" t="s">
        <v>392</v>
      </c>
    </row>
    <row r="767" spans="1:29" x14ac:dyDescent="0.3">
      <c r="A767" s="2">
        <v>45170</v>
      </c>
      <c r="B767" s="3">
        <f t="shared" si="68"/>
        <v>9</v>
      </c>
      <c r="C767" s="3" t="s">
        <v>595</v>
      </c>
      <c r="D767" s="3" t="str">
        <f>VLOOKUP(C767,'Data availability'!$A$2:$B$91,2,FALSE)</f>
        <v>Main campus</v>
      </c>
      <c r="E767" s="3">
        <v>323350</v>
      </c>
      <c r="F767" s="3" t="s">
        <v>352</v>
      </c>
      <c r="G767" s="1">
        <v>19164.64</v>
      </c>
      <c r="M767" s="21">
        <f t="shared" si="71"/>
        <v>0.20222592138549558</v>
      </c>
      <c r="N767" s="21">
        <f t="shared" si="69"/>
        <v>0</v>
      </c>
      <c r="O767" s="21">
        <f t="shared" si="70"/>
        <v>0</v>
      </c>
      <c r="P767" s="21">
        <f t="shared" si="72"/>
        <v>0</v>
      </c>
      <c r="Z767" s="211" t="b">
        <v>0</v>
      </c>
      <c r="AA767" s="1">
        <f>IFERROR(INDEX(Outliers!$AP$3:$AP$61,MATCH('SkYSPark Data_w Will''s Data'!C767,Outliers!$B$3:$B$61,0)),0)</f>
        <v>0</v>
      </c>
      <c r="AB767" s="112">
        <f>IFERROR(INDEX(Outliers!$AY$3:$AY$61,MATCH('SkYSPark Data_w Will''s Data'!C767,Outliers!$B$3:$B$61,0)),0)</f>
        <v>0</v>
      </c>
      <c r="AC767" s="112" t="s">
        <v>392</v>
      </c>
    </row>
    <row r="768" spans="1:29" x14ac:dyDescent="0.3">
      <c r="A768" s="2">
        <v>45200</v>
      </c>
      <c r="B768" s="3">
        <f t="shared" si="68"/>
        <v>10</v>
      </c>
      <c r="C768" s="3" t="s">
        <v>595</v>
      </c>
      <c r="D768" s="3" t="str">
        <f>VLOOKUP(C768,'Data availability'!$A$2:$B$91,2,FALSE)</f>
        <v>Main campus</v>
      </c>
      <c r="E768" s="3">
        <v>323350</v>
      </c>
      <c r="F768" s="3" t="s">
        <v>352</v>
      </c>
      <c r="G768" s="1">
        <v>19382.410000000011</v>
      </c>
      <c r="M768" s="21">
        <f t="shared" si="71"/>
        <v>0.2045238376990878</v>
      </c>
      <c r="N768" s="21">
        <f t="shared" si="69"/>
        <v>0</v>
      </c>
      <c r="O768" s="21">
        <f t="shared" si="70"/>
        <v>0</v>
      </c>
      <c r="P768" s="21">
        <f t="shared" si="72"/>
        <v>0</v>
      </c>
      <c r="Z768" s="211" t="b">
        <v>0</v>
      </c>
      <c r="AA768" s="1">
        <f>IFERROR(INDEX(Outliers!$AP$3:$AP$61,MATCH('SkYSPark Data_w Will''s Data'!C768,Outliers!$B$3:$B$61,0)),0)</f>
        <v>0</v>
      </c>
      <c r="AB768" s="112">
        <f>IFERROR(INDEX(Outliers!$AY$3:$AY$61,MATCH('SkYSPark Data_w Will''s Data'!C768,Outliers!$B$3:$B$61,0)),0)</f>
        <v>0</v>
      </c>
      <c r="AC768" s="112" t="s">
        <v>392</v>
      </c>
    </row>
    <row r="769" spans="1:29" x14ac:dyDescent="0.3">
      <c r="A769" s="2">
        <v>45231</v>
      </c>
      <c r="B769" s="3">
        <f t="shared" si="68"/>
        <v>11</v>
      </c>
      <c r="C769" s="3" t="s">
        <v>595</v>
      </c>
      <c r="D769" s="3" t="str">
        <f>VLOOKUP(C769,'Data availability'!$A$2:$B$91,2,FALSE)</f>
        <v>Main campus</v>
      </c>
      <c r="E769" s="3">
        <v>323350</v>
      </c>
      <c r="F769" s="3" t="s">
        <v>352</v>
      </c>
      <c r="G769" s="1">
        <v>18863.28999999999</v>
      </c>
      <c r="M769" s="21">
        <f t="shared" si="71"/>
        <v>0.19904606612030296</v>
      </c>
      <c r="N769" s="21">
        <f t="shared" si="69"/>
        <v>0</v>
      </c>
      <c r="O769" s="21">
        <f t="shared" si="70"/>
        <v>0</v>
      </c>
      <c r="P769" s="21">
        <f t="shared" si="72"/>
        <v>0</v>
      </c>
      <c r="Z769" s="211" t="b">
        <v>0</v>
      </c>
      <c r="AA769" s="1">
        <f>IFERROR(INDEX(Outliers!$AP$3:$AP$61,MATCH('SkYSPark Data_w Will''s Data'!C769,Outliers!$B$3:$B$61,0)),0)</f>
        <v>0</v>
      </c>
      <c r="AB769" s="112">
        <f>IFERROR(INDEX(Outliers!$AY$3:$AY$61,MATCH('SkYSPark Data_w Will''s Data'!C769,Outliers!$B$3:$B$61,0)),0)</f>
        <v>0</v>
      </c>
      <c r="AC769" s="112" t="s">
        <v>392</v>
      </c>
    </row>
    <row r="770" spans="1:29" x14ac:dyDescent="0.3">
      <c r="A770" s="2">
        <v>45261</v>
      </c>
      <c r="B770" s="3">
        <f t="shared" si="68"/>
        <v>12</v>
      </c>
      <c r="C770" s="3" t="s">
        <v>595</v>
      </c>
      <c r="D770" s="3" t="str">
        <f>VLOOKUP(C770,'Data availability'!$A$2:$B$91,2,FALSE)</f>
        <v>Main campus</v>
      </c>
      <c r="E770" s="3">
        <v>323350</v>
      </c>
      <c r="F770" s="3" t="s">
        <v>352</v>
      </c>
      <c r="G770" s="1">
        <v>20012.750000000004</v>
      </c>
      <c r="M770" s="21">
        <f t="shared" si="71"/>
        <v>0.21117520643265814</v>
      </c>
      <c r="N770" s="21">
        <f t="shared" si="69"/>
        <v>0</v>
      </c>
      <c r="O770" s="21">
        <f t="shared" si="70"/>
        <v>0</v>
      </c>
      <c r="P770" s="21">
        <f t="shared" si="72"/>
        <v>0</v>
      </c>
      <c r="Z770" s="211" t="b">
        <v>0</v>
      </c>
      <c r="AA770" s="1">
        <f>IFERROR(INDEX(Outliers!$AP$3:$AP$61,MATCH('SkYSPark Data_w Will''s Data'!C770,Outliers!$B$3:$B$61,0)),0)</f>
        <v>0</v>
      </c>
      <c r="AB770" s="112">
        <f>IFERROR(INDEX(Outliers!$AY$3:$AY$61,MATCH('SkYSPark Data_w Will''s Data'!C770,Outliers!$B$3:$B$61,0)),0)</f>
        <v>0</v>
      </c>
      <c r="AC770" s="112" t="s">
        <v>392</v>
      </c>
    </row>
    <row r="771" spans="1:29" x14ac:dyDescent="0.3">
      <c r="A771" s="2">
        <v>44927</v>
      </c>
      <c r="B771" s="3">
        <f t="shared" si="68"/>
        <v>1</v>
      </c>
      <c r="C771" s="3" t="s">
        <v>380</v>
      </c>
      <c r="D771" s="3" t="s">
        <v>522</v>
      </c>
      <c r="F771" s="3" t="s">
        <v>352</v>
      </c>
      <c r="G771" s="1">
        <v>3110.0000000000264</v>
      </c>
      <c r="M771" s="21">
        <f t="shared" si="71"/>
        <v>0</v>
      </c>
      <c r="N771" s="21">
        <f t="shared" si="69"/>
        <v>0</v>
      </c>
      <c r="O771" s="21">
        <f t="shared" si="70"/>
        <v>0</v>
      </c>
      <c r="P771" s="21">
        <f t="shared" si="72"/>
        <v>0</v>
      </c>
      <c r="Z771" s="211" t="b">
        <v>1</v>
      </c>
      <c r="AA771" s="1">
        <f>IFERROR(INDEX(Outliers!$AP$3:$AP$61,MATCH('SkYSPark Data_w Will''s Data'!C771,Outliers!$B$3:$B$61,0)),0)</f>
        <v>0</v>
      </c>
      <c r="AB771" s="112">
        <f>IFERROR(INDEX(Outliers!$AY$3:$AY$61,MATCH('SkYSPark Data_w Will''s Data'!C771,Outliers!$B$3:$B$61,0)),0)</f>
        <v>0</v>
      </c>
      <c r="AC771" s="112" t="s">
        <v>392</v>
      </c>
    </row>
    <row r="772" spans="1:29" x14ac:dyDescent="0.3">
      <c r="A772" s="2">
        <v>44958</v>
      </c>
      <c r="B772" s="3">
        <f t="shared" si="68"/>
        <v>2</v>
      </c>
      <c r="C772" s="3" t="s">
        <v>380</v>
      </c>
      <c r="D772" s="3" t="s">
        <v>522</v>
      </c>
      <c r="F772" s="3" t="s">
        <v>352</v>
      </c>
      <c r="G772" s="1">
        <v>6240.0000000000709</v>
      </c>
      <c r="M772" s="21">
        <f t="shared" si="71"/>
        <v>0</v>
      </c>
      <c r="N772" s="21">
        <f t="shared" si="69"/>
        <v>0</v>
      </c>
      <c r="O772" s="21">
        <f t="shared" si="70"/>
        <v>0</v>
      </c>
      <c r="P772" s="21">
        <f t="shared" si="72"/>
        <v>0</v>
      </c>
      <c r="Z772" s="211" t="b">
        <v>1</v>
      </c>
      <c r="AA772" s="1">
        <f>IFERROR(INDEX(Outliers!$AP$3:$AP$61,MATCH('SkYSPark Data_w Will''s Data'!C772,Outliers!$B$3:$B$61,0)),0)</f>
        <v>0</v>
      </c>
      <c r="AB772" s="112">
        <f>IFERROR(INDEX(Outliers!$AY$3:$AY$61,MATCH('SkYSPark Data_w Will''s Data'!C772,Outliers!$B$3:$B$61,0)),0)</f>
        <v>0</v>
      </c>
      <c r="AC772" s="112" t="s">
        <v>392</v>
      </c>
    </row>
    <row r="773" spans="1:29" x14ac:dyDescent="0.3">
      <c r="A773" s="2">
        <v>44986</v>
      </c>
      <c r="B773" s="3">
        <f t="shared" si="68"/>
        <v>3</v>
      </c>
      <c r="C773" s="3" t="s">
        <v>380</v>
      </c>
      <c r="D773" s="3" t="s">
        <v>522</v>
      </c>
      <c r="F773" s="3" t="s">
        <v>352</v>
      </c>
      <c r="G773" s="1">
        <v>5259.9999999999955</v>
      </c>
      <c r="M773" s="21">
        <f t="shared" si="71"/>
        <v>0</v>
      </c>
      <c r="N773" s="21">
        <f t="shared" si="69"/>
        <v>0</v>
      </c>
      <c r="O773" s="21">
        <f t="shared" si="70"/>
        <v>0</v>
      </c>
      <c r="P773" s="21">
        <f t="shared" si="72"/>
        <v>0</v>
      </c>
      <c r="Z773" s="211" t="b">
        <v>1</v>
      </c>
      <c r="AA773" s="1">
        <f>IFERROR(INDEX(Outliers!$AP$3:$AP$61,MATCH('SkYSPark Data_w Will''s Data'!C773,Outliers!$B$3:$B$61,0)),0)</f>
        <v>0</v>
      </c>
      <c r="AB773" s="112">
        <f>IFERROR(INDEX(Outliers!$AY$3:$AY$61,MATCH('SkYSPark Data_w Will''s Data'!C773,Outliers!$B$3:$B$61,0)),0)</f>
        <v>0</v>
      </c>
      <c r="AC773" s="112" t="s">
        <v>392</v>
      </c>
    </row>
    <row r="774" spans="1:29" x14ac:dyDescent="0.3">
      <c r="A774" s="2">
        <v>45017</v>
      </c>
      <c r="B774" s="3">
        <f t="shared" si="68"/>
        <v>4</v>
      </c>
      <c r="C774" s="3" t="s">
        <v>380</v>
      </c>
      <c r="D774" s="3" t="s">
        <v>522</v>
      </c>
      <c r="F774" s="3" t="s">
        <v>352</v>
      </c>
      <c r="G774" s="1">
        <v>5779.9999999999372</v>
      </c>
      <c r="M774" s="21">
        <f t="shared" si="71"/>
        <v>0</v>
      </c>
      <c r="N774" s="21">
        <f t="shared" si="69"/>
        <v>0</v>
      </c>
      <c r="O774" s="21">
        <f t="shared" si="70"/>
        <v>0</v>
      </c>
      <c r="P774" s="21">
        <f t="shared" si="72"/>
        <v>0</v>
      </c>
      <c r="Z774" s="211" t="b">
        <v>1</v>
      </c>
      <c r="AA774" s="1">
        <f>IFERROR(INDEX(Outliers!$AP$3:$AP$61,MATCH('SkYSPark Data_w Will''s Data'!C774,Outliers!$B$3:$B$61,0)),0)</f>
        <v>0</v>
      </c>
      <c r="AB774" s="112">
        <f>IFERROR(INDEX(Outliers!$AY$3:$AY$61,MATCH('SkYSPark Data_w Will''s Data'!C774,Outliers!$B$3:$B$61,0)),0)</f>
        <v>0</v>
      </c>
      <c r="AC774" s="112" t="s">
        <v>392</v>
      </c>
    </row>
    <row r="775" spans="1:29" x14ac:dyDescent="0.3">
      <c r="A775" s="2">
        <v>45047</v>
      </c>
      <c r="B775" s="3">
        <f t="shared" si="68"/>
        <v>5</v>
      </c>
      <c r="C775" s="3" t="s">
        <v>380</v>
      </c>
      <c r="D775" s="3" t="s">
        <v>522</v>
      </c>
      <c r="F775" s="3" t="s">
        <v>352</v>
      </c>
      <c r="G775" s="1">
        <v>5300.00000000001</v>
      </c>
      <c r="M775" s="21">
        <f t="shared" si="71"/>
        <v>0</v>
      </c>
      <c r="N775" s="21">
        <f t="shared" ref="N775:N782" si="73">IFERROR((I775*100)/E775,0)</f>
        <v>0</v>
      </c>
      <c r="O775" s="21">
        <f t="shared" ref="O775:O782" si="74">IFERROR((J775*100)/E775,0)</f>
        <v>0</v>
      </c>
      <c r="P775" s="21">
        <f t="shared" si="72"/>
        <v>0</v>
      </c>
      <c r="Z775" s="211" t="b">
        <v>1</v>
      </c>
      <c r="AA775" s="1">
        <f>IFERROR(INDEX(Outliers!$AP$3:$AP$61,MATCH('SkYSPark Data_w Will''s Data'!C775,Outliers!$B$3:$B$61,0)),0)</f>
        <v>0</v>
      </c>
      <c r="AB775" s="112">
        <f>IFERROR(INDEX(Outliers!$AY$3:$AY$61,MATCH('SkYSPark Data_w Will''s Data'!C775,Outliers!$B$3:$B$61,0)),0)</f>
        <v>0</v>
      </c>
      <c r="AC775" s="112" t="s">
        <v>392</v>
      </c>
    </row>
    <row r="776" spans="1:29" x14ac:dyDescent="0.3">
      <c r="A776" s="2">
        <v>45078</v>
      </c>
      <c r="B776" s="3">
        <f t="shared" si="68"/>
        <v>6</v>
      </c>
      <c r="C776" s="3" t="s">
        <v>380</v>
      </c>
      <c r="D776" s="3" t="s">
        <v>522</v>
      </c>
      <c r="F776" s="3" t="s">
        <v>352</v>
      </c>
      <c r="G776" s="1">
        <v>2270.0000000000273</v>
      </c>
      <c r="M776" s="21">
        <f t="shared" si="71"/>
        <v>0</v>
      </c>
      <c r="N776" s="21">
        <f t="shared" si="73"/>
        <v>0</v>
      </c>
      <c r="O776" s="21">
        <f t="shared" si="74"/>
        <v>0</v>
      </c>
      <c r="P776" s="21">
        <f t="shared" si="72"/>
        <v>0</v>
      </c>
      <c r="Z776" s="211" t="b">
        <v>1</v>
      </c>
      <c r="AA776" s="1">
        <f>IFERROR(INDEX(Outliers!$AP$3:$AP$61,MATCH('SkYSPark Data_w Will''s Data'!C776,Outliers!$B$3:$B$61,0)),0)</f>
        <v>0</v>
      </c>
      <c r="AB776" s="112">
        <f>IFERROR(INDEX(Outliers!$AY$3:$AY$61,MATCH('SkYSPark Data_w Will''s Data'!C776,Outliers!$B$3:$B$61,0)),0)</f>
        <v>0</v>
      </c>
      <c r="AC776" s="112" t="s">
        <v>392</v>
      </c>
    </row>
    <row r="777" spans="1:29" x14ac:dyDescent="0.3">
      <c r="A777" s="2">
        <v>45108</v>
      </c>
      <c r="B777" s="3">
        <f t="shared" ref="B777:B782" si="75">MONTH(A777)</f>
        <v>7</v>
      </c>
      <c r="C777" s="3" t="s">
        <v>380</v>
      </c>
      <c r="D777" s="3" t="s">
        <v>522</v>
      </c>
      <c r="F777" s="3" t="s">
        <v>352</v>
      </c>
      <c r="G777" s="1">
        <v>2279.999999999985</v>
      </c>
      <c r="M777" s="21">
        <f t="shared" si="71"/>
        <v>0</v>
      </c>
      <c r="N777" s="21">
        <f t="shared" si="73"/>
        <v>0</v>
      </c>
      <c r="O777" s="21">
        <f t="shared" si="74"/>
        <v>0</v>
      </c>
      <c r="P777" s="21">
        <f t="shared" si="72"/>
        <v>0</v>
      </c>
      <c r="Z777" s="211" t="b">
        <v>1</v>
      </c>
      <c r="AA777" s="1">
        <f>IFERROR(INDEX(Outliers!$AP$3:$AP$61,MATCH('SkYSPark Data_w Will''s Data'!C777,Outliers!$B$3:$B$61,0)),0)</f>
        <v>0</v>
      </c>
      <c r="AB777" s="112">
        <f>IFERROR(INDEX(Outliers!$AY$3:$AY$61,MATCH('SkYSPark Data_w Will''s Data'!C777,Outliers!$B$3:$B$61,0)),0)</f>
        <v>0</v>
      </c>
      <c r="AC777" s="112" t="s">
        <v>392</v>
      </c>
    </row>
    <row r="778" spans="1:29" x14ac:dyDescent="0.3">
      <c r="A778" s="2">
        <v>45139</v>
      </c>
      <c r="B778" s="3">
        <f t="shared" si="75"/>
        <v>8</v>
      </c>
      <c r="C778" s="3" t="s">
        <v>380</v>
      </c>
      <c r="D778" s="3" t="s">
        <v>522</v>
      </c>
      <c r="F778" s="3" t="s">
        <v>352</v>
      </c>
      <c r="G778" s="1">
        <v>3759.9999999999691</v>
      </c>
      <c r="M778" s="21">
        <f t="shared" si="71"/>
        <v>0</v>
      </c>
      <c r="N778" s="21">
        <f t="shared" si="73"/>
        <v>0</v>
      </c>
      <c r="O778" s="21">
        <f t="shared" si="74"/>
        <v>0</v>
      </c>
      <c r="P778" s="21">
        <f t="shared" si="72"/>
        <v>0</v>
      </c>
      <c r="Z778" s="211" t="b">
        <v>1</v>
      </c>
      <c r="AA778" s="1">
        <f>IFERROR(INDEX(Outliers!$AP$3:$AP$61,MATCH('SkYSPark Data_w Will''s Data'!C778,Outliers!$B$3:$B$61,0)),0)</f>
        <v>0</v>
      </c>
      <c r="AB778" s="112">
        <f>IFERROR(INDEX(Outliers!$AY$3:$AY$61,MATCH('SkYSPark Data_w Will''s Data'!C778,Outliers!$B$3:$B$61,0)),0)</f>
        <v>0</v>
      </c>
      <c r="AC778" s="112" t="s">
        <v>392</v>
      </c>
    </row>
    <row r="779" spans="1:29" x14ac:dyDescent="0.3">
      <c r="A779" s="2">
        <v>45170</v>
      </c>
      <c r="B779" s="3">
        <f t="shared" si="75"/>
        <v>9</v>
      </c>
      <c r="C779" s="3" t="s">
        <v>380</v>
      </c>
      <c r="D779" s="3" t="s">
        <v>522</v>
      </c>
      <c r="F779" s="3" t="s">
        <v>352</v>
      </c>
      <c r="G779" s="1">
        <v>4959.9999999999209</v>
      </c>
      <c r="M779" s="21">
        <f t="shared" si="71"/>
        <v>0</v>
      </c>
      <c r="N779" s="21">
        <f t="shared" si="73"/>
        <v>0</v>
      </c>
      <c r="O779" s="21">
        <f t="shared" si="74"/>
        <v>0</v>
      </c>
      <c r="P779" s="21">
        <f t="shared" si="72"/>
        <v>0</v>
      </c>
      <c r="Z779" s="211" t="b">
        <v>1</v>
      </c>
      <c r="AA779" s="1">
        <f>IFERROR(INDEX(Outliers!$AP$3:$AP$61,MATCH('SkYSPark Data_w Will''s Data'!C779,Outliers!$B$3:$B$61,0)),0)</f>
        <v>0</v>
      </c>
      <c r="AB779" s="112">
        <f>IFERROR(INDEX(Outliers!$AY$3:$AY$61,MATCH('SkYSPark Data_w Will''s Data'!C779,Outliers!$B$3:$B$61,0)),0)</f>
        <v>0</v>
      </c>
      <c r="AC779" s="112" t="s">
        <v>392</v>
      </c>
    </row>
    <row r="780" spans="1:29" x14ac:dyDescent="0.3">
      <c r="A780" s="2">
        <v>45200</v>
      </c>
      <c r="B780" s="3">
        <f t="shared" si="75"/>
        <v>10</v>
      </c>
      <c r="C780" s="3" t="s">
        <v>380</v>
      </c>
      <c r="D780" s="3" t="s">
        <v>522</v>
      </c>
      <c r="F780" s="3" t="s">
        <v>352</v>
      </c>
      <c r="G780" s="1">
        <v>5590.0000000000982</v>
      </c>
      <c r="M780" s="21">
        <f t="shared" si="71"/>
        <v>0</v>
      </c>
      <c r="N780" s="21">
        <f t="shared" si="73"/>
        <v>0</v>
      </c>
      <c r="O780" s="21">
        <f t="shared" si="74"/>
        <v>0</v>
      </c>
      <c r="P780" s="21">
        <f t="shared" si="72"/>
        <v>0</v>
      </c>
      <c r="Z780" s="211" t="b">
        <v>1</v>
      </c>
      <c r="AA780" s="1">
        <f>IFERROR(INDEX(Outliers!$AP$3:$AP$61,MATCH('SkYSPark Data_w Will''s Data'!C780,Outliers!$B$3:$B$61,0)),0)</f>
        <v>0</v>
      </c>
      <c r="AB780" s="112">
        <f>IFERROR(INDEX(Outliers!$AY$3:$AY$61,MATCH('SkYSPark Data_w Will''s Data'!C780,Outliers!$B$3:$B$61,0)),0)</f>
        <v>0</v>
      </c>
      <c r="AC780" s="112" t="s">
        <v>392</v>
      </c>
    </row>
    <row r="781" spans="1:29" x14ac:dyDescent="0.3">
      <c r="A781" s="2">
        <v>45231</v>
      </c>
      <c r="B781" s="3">
        <f t="shared" si="75"/>
        <v>11</v>
      </c>
      <c r="C781" s="3" t="s">
        <v>380</v>
      </c>
      <c r="D781" s="3" t="s">
        <v>522</v>
      </c>
      <c r="F781" s="3" t="s">
        <v>352</v>
      </c>
      <c r="G781" s="1">
        <v>4920.0000000000191</v>
      </c>
      <c r="M781" s="21">
        <f t="shared" si="71"/>
        <v>0</v>
      </c>
      <c r="N781" s="21">
        <f t="shared" si="73"/>
        <v>0</v>
      </c>
      <c r="O781" s="21">
        <f t="shared" si="74"/>
        <v>0</v>
      </c>
      <c r="P781" s="21">
        <f t="shared" si="72"/>
        <v>0</v>
      </c>
      <c r="Z781" s="211" t="b">
        <v>1</v>
      </c>
      <c r="AA781" s="1">
        <f>IFERROR(INDEX(Outliers!$AP$3:$AP$61,MATCH('SkYSPark Data_w Will''s Data'!C781,Outliers!$B$3:$B$61,0)),0)</f>
        <v>0</v>
      </c>
      <c r="AB781" s="112">
        <f>IFERROR(INDEX(Outliers!$AY$3:$AY$61,MATCH('SkYSPark Data_w Will''s Data'!C781,Outliers!$B$3:$B$61,0)),0)</f>
        <v>0</v>
      </c>
      <c r="AC781" s="112" t="s">
        <v>392</v>
      </c>
    </row>
    <row r="782" spans="1:29" x14ac:dyDescent="0.3">
      <c r="A782" s="2">
        <v>45261</v>
      </c>
      <c r="B782" s="3">
        <f t="shared" si="75"/>
        <v>12</v>
      </c>
      <c r="C782" s="3" t="s">
        <v>380</v>
      </c>
      <c r="D782" s="3" t="s">
        <v>522</v>
      </c>
      <c r="F782" s="3" t="s">
        <v>352</v>
      </c>
      <c r="G782" s="1">
        <v>3189.99999999998</v>
      </c>
      <c r="M782" s="21">
        <f t="shared" si="71"/>
        <v>0</v>
      </c>
      <c r="N782" s="21">
        <f t="shared" si="73"/>
        <v>0</v>
      </c>
      <c r="O782" s="21">
        <f t="shared" si="74"/>
        <v>0</v>
      </c>
      <c r="P782" s="21">
        <f t="shared" si="72"/>
        <v>0</v>
      </c>
      <c r="Z782" s="211" t="b">
        <v>1</v>
      </c>
      <c r="AA782" s="1">
        <f>IFERROR(INDEX(Outliers!$AP$3:$AP$61,MATCH('SkYSPark Data_w Will''s Data'!C782,Outliers!$B$3:$B$61,0)),0)</f>
        <v>0</v>
      </c>
      <c r="AB782" s="112">
        <f>IFERROR(INDEX(Outliers!$AY$3:$AY$61,MATCH('SkYSPark Data_w Will''s Data'!C782,Outliers!$B$3:$B$61,0)),0)</f>
        <v>0</v>
      </c>
      <c r="AC782" s="112" t="s">
        <v>392</v>
      </c>
    </row>
    <row r="783" spans="1:29" x14ac:dyDescent="0.3">
      <c r="A783" s="2">
        <v>44927</v>
      </c>
      <c r="B783" s="3">
        <v>1</v>
      </c>
      <c r="C783" s="3" t="s">
        <v>692</v>
      </c>
      <c r="D783" s="3" t="str">
        <f>VLOOKUP(C783,'Data availability'!$A$2:$B$91,2,FALSE)</f>
        <v>Main campus</v>
      </c>
      <c r="E783" s="3">
        <f>VLOOKUP(C783,'Data availability'!$A$2:$G$91,7,FALSE)</f>
        <v>290760</v>
      </c>
      <c r="F783" s="3" t="s">
        <v>716</v>
      </c>
      <c r="G783" s="206">
        <v>13252.189934972395</v>
      </c>
    </row>
    <row r="784" spans="1:29" x14ac:dyDescent="0.3">
      <c r="A784" s="2">
        <v>44958</v>
      </c>
      <c r="B784" s="3">
        <v>2</v>
      </c>
      <c r="C784" s="3" t="s">
        <v>692</v>
      </c>
      <c r="D784" s="3" t="str">
        <f>VLOOKUP(C784,'Data availability'!$A$2:$B$91,2,FALSE)</f>
        <v>Main campus</v>
      </c>
      <c r="E784" s="3">
        <f>VLOOKUP(C784,'Data availability'!$A$2:$G$91,7,FALSE)</f>
        <v>290760</v>
      </c>
      <c r="F784" s="3" t="s">
        <v>716</v>
      </c>
      <c r="G784" s="206">
        <v>12923.758779476733</v>
      </c>
    </row>
    <row r="785" spans="1:23" x14ac:dyDescent="0.3">
      <c r="A785" s="2">
        <v>44986</v>
      </c>
      <c r="B785" s="3">
        <v>3</v>
      </c>
      <c r="C785" s="3" t="s">
        <v>692</v>
      </c>
      <c r="D785" s="3" t="str">
        <f>VLOOKUP(C785,'Data availability'!$A$2:$B$91,2,FALSE)</f>
        <v>Main campus</v>
      </c>
      <c r="E785" s="3">
        <f>VLOOKUP(C785,'Data availability'!$A$2:$G$91,7,FALSE)</f>
        <v>290760</v>
      </c>
      <c r="F785" s="3" t="s">
        <v>716</v>
      </c>
      <c r="G785" s="206">
        <v>13716.610401045577</v>
      </c>
    </row>
    <row r="786" spans="1:23" x14ac:dyDescent="0.3">
      <c r="A786" s="2">
        <v>45017</v>
      </c>
      <c r="B786" s="3">
        <v>4</v>
      </c>
      <c r="C786" s="3" t="s">
        <v>692</v>
      </c>
      <c r="D786" s="3" t="str">
        <f>VLOOKUP(C786,'Data availability'!$A$2:$B$91,2,FALSE)</f>
        <v>Main campus</v>
      </c>
      <c r="E786" s="3">
        <f>VLOOKUP(C786,'Data availability'!$A$2:$G$91,7,FALSE)</f>
        <v>290760</v>
      </c>
      <c r="F786" s="3" t="s">
        <v>716</v>
      </c>
      <c r="G786" s="206">
        <v>14864.34851142811</v>
      </c>
    </row>
    <row r="787" spans="1:23" x14ac:dyDescent="0.3">
      <c r="A787" s="2">
        <v>45047</v>
      </c>
      <c r="B787" s="3">
        <v>5</v>
      </c>
      <c r="C787" s="3" t="s">
        <v>692</v>
      </c>
      <c r="D787" s="3" t="str">
        <f>VLOOKUP(C787,'Data availability'!$A$2:$B$91,2,FALSE)</f>
        <v>Main campus</v>
      </c>
      <c r="E787" s="3">
        <f>VLOOKUP(C787,'Data availability'!$A$2:$G$91,7,FALSE)</f>
        <v>290760</v>
      </c>
      <c r="F787" s="3" t="s">
        <v>716</v>
      </c>
      <c r="G787" s="206">
        <v>14598.648693501793</v>
      </c>
    </row>
    <row r="788" spans="1:23" x14ac:dyDescent="0.3">
      <c r="A788" s="2">
        <v>45078</v>
      </c>
      <c r="B788" s="3">
        <v>6</v>
      </c>
      <c r="C788" s="3" t="s">
        <v>692</v>
      </c>
      <c r="D788" s="3" t="str">
        <f>VLOOKUP(C788,'Data availability'!$A$2:$B$91,2,FALSE)</f>
        <v>Main campus</v>
      </c>
      <c r="E788" s="3">
        <f>VLOOKUP(C788,'Data availability'!$A$2:$G$91,7,FALSE)</f>
        <v>290760</v>
      </c>
      <c r="F788" s="3" t="s">
        <v>716</v>
      </c>
      <c r="G788" s="206">
        <v>7917.4791918174906</v>
      </c>
    </row>
    <row r="789" spans="1:23" x14ac:dyDescent="0.3">
      <c r="A789" s="2">
        <v>45108</v>
      </c>
      <c r="B789" s="3">
        <v>7</v>
      </c>
      <c r="C789" s="3" t="s">
        <v>692</v>
      </c>
      <c r="D789" s="3" t="str">
        <f>VLOOKUP(C789,'Data availability'!$A$2:$B$91,2,FALSE)</f>
        <v>Main campus</v>
      </c>
      <c r="E789" s="3">
        <f>VLOOKUP(C789,'Data availability'!$A$2:$G$91,7,FALSE)</f>
        <v>290760</v>
      </c>
      <c r="F789" s="3" t="s">
        <v>716</v>
      </c>
      <c r="G789" s="206">
        <v>11612.476542346709</v>
      </c>
    </row>
    <row r="790" spans="1:23" x14ac:dyDescent="0.3">
      <c r="A790" s="2">
        <v>45139</v>
      </c>
      <c r="B790" s="3">
        <v>8</v>
      </c>
      <c r="C790" s="3" t="s">
        <v>692</v>
      </c>
      <c r="D790" s="3" t="str">
        <f>VLOOKUP(C790,'Data availability'!$A$2:$B$91,2,FALSE)</f>
        <v>Main campus</v>
      </c>
      <c r="E790" s="3">
        <f>VLOOKUP(C790,'Data availability'!$A$2:$G$91,7,FALSE)</f>
        <v>290760</v>
      </c>
      <c r="F790" s="3" t="s">
        <v>716</v>
      </c>
      <c r="G790" s="206">
        <v>13006.621219608231</v>
      </c>
    </row>
    <row r="791" spans="1:23" x14ac:dyDescent="0.3">
      <c r="A791" s="2">
        <v>45170</v>
      </c>
      <c r="B791" s="3">
        <v>9</v>
      </c>
      <c r="C791" s="3" t="s">
        <v>692</v>
      </c>
      <c r="D791" s="3" t="str">
        <f>VLOOKUP(C791,'Data availability'!$A$2:$B$91,2,FALSE)</f>
        <v>Main campus</v>
      </c>
      <c r="E791" s="3">
        <f>VLOOKUP(C791,'Data availability'!$A$2:$G$91,7,FALSE)</f>
        <v>290760</v>
      </c>
      <c r="F791" s="3" t="s">
        <v>716</v>
      </c>
      <c r="G791" s="206">
        <v>15101.947114968641</v>
      </c>
    </row>
    <row r="792" spans="1:23" x14ac:dyDescent="0.3">
      <c r="A792" s="2">
        <v>45200</v>
      </c>
      <c r="B792" s="3">
        <v>10</v>
      </c>
      <c r="C792" s="3" t="s">
        <v>692</v>
      </c>
      <c r="D792" s="3" t="str">
        <f>VLOOKUP(C792,'Data availability'!$A$2:$B$91,2,FALSE)</f>
        <v>Main campus</v>
      </c>
      <c r="E792" s="3">
        <f>VLOOKUP(C792,'Data availability'!$A$2:$G$91,7,FALSE)</f>
        <v>290760</v>
      </c>
      <c r="F792" s="3" t="s">
        <v>716</v>
      </c>
      <c r="G792" s="206">
        <v>15937.575426263338</v>
      </c>
    </row>
    <row r="793" spans="1:23" x14ac:dyDescent="0.3">
      <c r="A793" s="2">
        <v>45231</v>
      </c>
      <c r="B793" s="3">
        <v>11</v>
      </c>
      <c r="C793" s="3" t="s">
        <v>692</v>
      </c>
      <c r="D793" s="3" t="str">
        <f>VLOOKUP(C793,'Data availability'!$A$2:$B$91,2,FALSE)</f>
        <v>Main campus</v>
      </c>
      <c r="E793" s="3">
        <f>VLOOKUP(C793,'Data availability'!$A$2:$G$91,7,FALSE)</f>
        <v>290760</v>
      </c>
      <c r="F793" s="3" t="s">
        <v>716</v>
      </c>
      <c r="G793" s="206">
        <v>14652.342351549894</v>
      </c>
    </row>
    <row r="794" spans="1:23" x14ac:dyDescent="0.3">
      <c r="A794" s="2">
        <v>45261</v>
      </c>
      <c r="B794" s="64">
        <v>12</v>
      </c>
      <c r="C794" s="64" t="s">
        <v>692</v>
      </c>
      <c r="D794" s="64" t="str">
        <f>VLOOKUP(C794,'Data availability'!$A$2:$B$91,2,FALSE)</f>
        <v>Main campus</v>
      </c>
      <c r="E794" s="64">
        <f>VLOOKUP(C794,'Data availability'!$A$2:$G$91,7,FALSE)</f>
        <v>290760</v>
      </c>
      <c r="F794" s="3" t="s">
        <v>716</v>
      </c>
      <c r="G794" s="206">
        <v>13854.342763499713</v>
      </c>
    </row>
    <row r="795" spans="1:23" x14ac:dyDescent="0.3">
      <c r="C795" s="3" t="s">
        <v>405</v>
      </c>
      <c r="W795" s="1" t="s">
        <v>720</v>
      </c>
    </row>
    <row r="796" spans="1:23" x14ac:dyDescent="0.3">
      <c r="C796" s="3" t="s">
        <v>405</v>
      </c>
      <c r="W796" s="1" t="s">
        <v>719</v>
      </c>
    </row>
    <row r="797" spans="1:23" x14ac:dyDescent="0.3">
      <c r="C797" s="3" t="s">
        <v>407</v>
      </c>
      <c r="W797" s="1" t="s">
        <v>720</v>
      </c>
    </row>
    <row r="798" spans="1:23" x14ac:dyDescent="0.3">
      <c r="C798" s="3" t="s">
        <v>407</v>
      </c>
      <c r="W798" s="1" t="s">
        <v>718</v>
      </c>
    </row>
    <row r="799" spans="1:23" x14ac:dyDescent="0.3">
      <c r="C799" s="3" t="s">
        <v>407</v>
      </c>
      <c r="W799" s="1" t="s">
        <v>719</v>
      </c>
    </row>
    <row r="800" spans="1:23" x14ac:dyDescent="0.3">
      <c r="C800" s="3" t="s">
        <v>412</v>
      </c>
      <c r="W800" s="1" t="s">
        <v>720</v>
      </c>
    </row>
    <row r="801" spans="1:23" x14ac:dyDescent="0.3">
      <c r="C801" s="3" t="s">
        <v>412</v>
      </c>
      <c r="W801" s="1" t="s">
        <v>718</v>
      </c>
    </row>
    <row r="802" spans="1:23" x14ac:dyDescent="0.3">
      <c r="C802" s="3" t="s">
        <v>417</v>
      </c>
      <c r="W802" s="1" t="s">
        <v>720</v>
      </c>
    </row>
    <row r="803" spans="1:23" x14ac:dyDescent="0.3">
      <c r="C803" s="3" t="s">
        <v>419</v>
      </c>
      <c r="W803" s="1" t="s">
        <v>720</v>
      </c>
    </row>
    <row r="804" spans="1:23" x14ac:dyDescent="0.3">
      <c r="C804" s="3" t="s">
        <v>419</v>
      </c>
      <c r="W804" s="1" t="s">
        <v>718</v>
      </c>
    </row>
    <row r="805" spans="1:23" x14ac:dyDescent="0.3">
      <c r="C805" s="3" t="s">
        <v>421</v>
      </c>
      <c r="W805" s="1" t="s">
        <v>720</v>
      </c>
    </row>
    <row r="806" spans="1:23" x14ac:dyDescent="0.3">
      <c r="C806" s="3" t="s">
        <v>421</v>
      </c>
      <c r="W806" s="1" t="s">
        <v>718</v>
      </c>
    </row>
    <row r="807" spans="1:23" x14ac:dyDescent="0.3">
      <c r="C807" s="3" t="s">
        <v>421</v>
      </c>
      <c r="W807" s="1" t="s">
        <v>719</v>
      </c>
    </row>
    <row r="808" spans="1:23" ht="16.2" customHeight="1" x14ac:dyDescent="0.3">
      <c r="A808" s="186"/>
      <c r="B808" s="187" t="s">
        <v>632</v>
      </c>
      <c r="C808" s="3" t="s">
        <v>374</v>
      </c>
      <c r="W808" s="1" t="s">
        <v>720</v>
      </c>
    </row>
    <row r="809" spans="1:23" x14ac:dyDescent="0.3">
      <c r="A809" s="6"/>
      <c r="B809" s="3" t="s">
        <v>633</v>
      </c>
      <c r="C809" s="3" t="s">
        <v>374</v>
      </c>
      <c r="W809" s="1" t="s">
        <v>721</v>
      </c>
    </row>
    <row r="810" spans="1:23" x14ac:dyDescent="0.3">
      <c r="A810" s="98" t="s">
        <v>634</v>
      </c>
      <c r="B810" s="3" t="s">
        <v>635</v>
      </c>
      <c r="C810" s="3" t="s">
        <v>395</v>
      </c>
      <c r="W810" s="1" t="s">
        <v>720</v>
      </c>
    </row>
    <row r="811" spans="1:23" x14ac:dyDescent="0.3">
      <c r="C811" s="3" t="s">
        <v>396</v>
      </c>
      <c r="W811" s="1" t="s">
        <v>720</v>
      </c>
    </row>
    <row r="812" spans="1:23" x14ac:dyDescent="0.3">
      <c r="C812" s="3" t="s">
        <v>397</v>
      </c>
      <c r="W812" s="1" t="s">
        <v>720</v>
      </c>
    </row>
    <row r="813" spans="1:23" x14ac:dyDescent="0.3">
      <c r="C813" s="3" t="s">
        <v>398</v>
      </c>
      <c r="W813" s="1" t="s">
        <v>720</v>
      </c>
    </row>
    <row r="814" spans="1:23" x14ac:dyDescent="0.3">
      <c r="C814" s="3" t="s">
        <v>414</v>
      </c>
      <c r="W814" s="1" t="s">
        <v>720</v>
      </c>
    </row>
    <row r="815" spans="1:23" x14ac:dyDescent="0.3">
      <c r="C815" s="3" t="s">
        <v>414</v>
      </c>
      <c r="W815" s="1" t="s">
        <v>721</v>
      </c>
    </row>
    <row r="816" spans="1:23" x14ac:dyDescent="0.3">
      <c r="C816" s="3" t="s">
        <v>415</v>
      </c>
      <c r="W816" s="1" t="s">
        <v>720</v>
      </c>
    </row>
    <row r="817" spans="3:23" x14ac:dyDescent="0.3">
      <c r="C817" s="3" t="s">
        <v>383</v>
      </c>
      <c r="W817" s="1" t="s">
        <v>720</v>
      </c>
    </row>
    <row r="818" spans="3:23" x14ac:dyDescent="0.3">
      <c r="C818" s="3" t="s">
        <v>384</v>
      </c>
      <c r="W818" s="1" t="s">
        <v>720</v>
      </c>
    </row>
    <row r="819" spans="3:23" x14ac:dyDescent="0.3">
      <c r="C819" s="3" t="s">
        <v>420</v>
      </c>
      <c r="W819" s="1" t="s">
        <v>720</v>
      </c>
    </row>
  </sheetData>
  <autoFilter ref="A2:EO794" xr:uid="{00000000-0001-0000-0000-000000000000}"/>
  <mergeCells count="4">
    <mergeCell ref="A1:L1"/>
    <mergeCell ref="Q1:V1"/>
    <mergeCell ref="M1:P1"/>
    <mergeCell ref="Z1:AB1"/>
  </mergeCells>
  <dataValidations disablePrompts="1" count="1">
    <dataValidation type="custom" allowBlank="1" showInputMessage="1" showErrorMessage="1" errorTitle="Duplicated Name" error="Building Names must be unique" sqref="C183:C194" xr:uid="{3C2E843E-3E73-47DC-9817-451478405C11}">
      <formula1>COUNTIF($A:$A,$A183)=1</formula1>
    </dataValidation>
  </dataValidations>
  <pageMargins left="0.75" right="0.75" top="1" bottom="1" header="0.5" footer="0.5"/>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9C5BA-CE21-42F5-9225-1A695F1C221D}">
  <dimension ref="A1:X254"/>
  <sheetViews>
    <sheetView workbookViewId="0">
      <pane xSplit="2" ySplit="2" topLeftCell="D231" activePane="bottomRight" state="frozen"/>
      <selection pane="topRight" activeCell="C1" sqref="C1"/>
      <selection pane="bottomLeft" activeCell="A3" sqref="A3"/>
      <selection pane="bottomRight" activeCell="B243" sqref="B243"/>
    </sheetView>
  </sheetViews>
  <sheetFormatPr defaultRowHeight="14.4" x14ac:dyDescent="0.3"/>
  <cols>
    <col min="1" max="1" width="15.77734375" customWidth="1"/>
    <col min="2" max="2" width="32.33203125" customWidth="1"/>
    <col min="3" max="5" width="15.77734375" customWidth="1"/>
    <col min="6" max="6" width="18.109375" customWidth="1"/>
    <col min="7" max="7" width="15.77734375" customWidth="1"/>
    <col min="8" max="8" width="17.5546875" customWidth="1"/>
    <col min="9" max="9" width="18.5546875" customWidth="1"/>
    <col min="10" max="11" width="15.77734375" customWidth="1"/>
    <col min="12" max="12" width="9.77734375" customWidth="1"/>
    <col min="13" max="13" width="9" customWidth="1"/>
  </cols>
  <sheetData>
    <row r="1" spans="1:21" ht="26.4" thickBot="1" x14ac:dyDescent="0.55000000000000004">
      <c r="A1" s="146"/>
      <c r="B1" s="146"/>
      <c r="C1" s="146"/>
      <c r="D1" s="146"/>
      <c r="E1" s="146"/>
      <c r="F1" s="267" t="s">
        <v>685</v>
      </c>
      <c r="G1" s="267"/>
      <c r="H1" s="267"/>
      <c r="I1" s="267"/>
      <c r="J1" s="268" t="s">
        <v>625</v>
      </c>
      <c r="K1" s="269"/>
      <c r="L1" s="269"/>
      <c r="M1" s="269"/>
      <c r="N1" s="270"/>
      <c r="P1" s="194"/>
    </row>
    <row r="2" spans="1:21" ht="28.2" customHeight="1" x14ac:dyDescent="0.3">
      <c r="A2" s="43" t="s">
        <v>530</v>
      </c>
      <c r="B2" s="43" t="s">
        <v>1</v>
      </c>
      <c r="C2" s="44" t="s">
        <v>520</v>
      </c>
      <c r="D2" s="44" t="s">
        <v>2</v>
      </c>
      <c r="E2" s="43" t="s">
        <v>3</v>
      </c>
      <c r="F2" s="43" t="s">
        <v>4</v>
      </c>
      <c r="G2" s="43" t="s">
        <v>6</v>
      </c>
      <c r="H2" s="43" t="s">
        <v>7</v>
      </c>
      <c r="I2" s="43" t="s">
        <v>8</v>
      </c>
      <c r="J2" s="151" t="s">
        <v>437</v>
      </c>
      <c r="K2" s="151" t="s">
        <v>438</v>
      </c>
      <c r="L2" s="151" t="s">
        <v>439</v>
      </c>
      <c r="M2" s="151" t="s">
        <v>441</v>
      </c>
      <c r="N2" s="151" t="s">
        <v>442</v>
      </c>
      <c r="O2" s="159" t="s">
        <v>191</v>
      </c>
    </row>
    <row r="3" spans="1:21" x14ac:dyDescent="0.3">
      <c r="A3" s="3">
        <v>1</v>
      </c>
      <c r="B3" s="3" t="s">
        <v>122</v>
      </c>
      <c r="C3" s="3" t="str">
        <f>VLOOKUP(B3,'Data availability'!$A$2:$B$91,2,FALSE)</f>
        <v>Main campus</v>
      </c>
      <c r="D3" s="3">
        <f>VLOOKUP(B3,'Data availability'!$A$2:$G$91,7,FALSE)</f>
        <v>39323</v>
      </c>
      <c r="E3" s="3" t="str">
        <f>VLOOKUP(B3,'Data availability'!$A$2:$H$91,8,FALSE)</f>
        <v>Office</v>
      </c>
      <c r="F3" s="165"/>
      <c r="G3" s="165"/>
      <c r="H3" s="232" cm="1">
        <f t="array" ref="H3">(_xlfn._xlws.FILTER('Median Monthly EUIs'!$E$3:$E$134, ('Median Monthly EUIs'!$B$3:$B$134='Missing Bldgs - Monthly EUI'!E3) * ('Median Monthly EUIs'!$A$3:$A$134='Missing Bldgs - Monthly EUI'!A3))/100)*D3</f>
        <v>1696.6152839808212</v>
      </c>
      <c r="I3" s="232" cm="1">
        <f t="array" ref="I3">(_xlfn._xlws.FILTER('Median Monthly EUIs'!$F$3:$F$134, ('Median Monthly EUIs'!$B$3:$B$134='Missing Bldgs - Monthly EUI'!E3) * ('Median Monthly EUIs'!$A$3:$A$134='Missing Bldgs - Monthly EUI'!A3))*0.0833333333333333)*D3</f>
        <v>1421.1469296259249</v>
      </c>
      <c r="J3" s="1"/>
      <c r="K3" s="1"/>
      <c r="L3" s="195">
        <f>(SUM(H3:H14)*100)/D3</f>
        <v>27.686710933456919</v>
      </c>
      <c r="M3" s="1">
        <f>SUM(I3:I14)*12/D3</f>
        <v>8.9511196801685919</v>
      </c>
      <c r="N3" s="1"/>
      <c r="P3" s="194"/>
    </row>
    <row r="4" spans="1:21" x14ac:dyDescent="0.3">
      <c r="A4" s="3">
        <v>2</v>
      </c>
      <c r="B4" s="3" t="s">
        <v>122</v>
      </c>
      <c r="C4" s="3" t="str">
        <f>VLOOKUP(B4,'Data availability'!$A$2:$B$91,2,FALSE)</f>
        <v>Main campus</v>
      </c>
      <c r="D4" s="3">
        <f>VLOOKUP(B4,'Data availability'!$A$2:$G$91,7,FALSE)</f>
        <v>39323</v>
      </c>
      <c r="E4" s="3" t="str">
        <f>VLOOKUP(B4,'Data availability'!$A$2:$H$91,8,FALSE)</f>
        <v>Office</v>
      </c>
      <c r="F4" s="165"/>
      <c r="G4" s="165"/>
      <c r="H4" s="232" cm="1">
        <f t="array" ref="H4">(_xlfn._xlws.FILTER('Median Monthly EUIs'!$E$3:$E$134, ('Median Monthly EUIs'!$B$3:$B$134='Missing Bldgs - Monthly EUI'!E4) * ('Median Monthly EUIs'!$A$3:$A$134='Missing Bldgs - Monthly EUI'!A4))/100)*D4</f>
        <v>1651.0110383064598</v>
      </c>
      <c r="I4" s="232" cm="1">
        <f t="array" ref="I4">(_xlfn._xlws.FILTER('Median Monthly EUIs'!$F$3:$F$134, ('Median Monthly EUIs'!$B$3:$B$134='Missing Bldgs - Monthly EUI'!E4) * ('Median Monthly EUIs'!$A$3:$A$134='Missing Bldgs - Monthly EUI'!A4))*0.0833333333333333)*D4</f>
        <v>1130.0624266790498</v>
      </c>
      <c r="J4" s="1"/>
      <c r="K4" s="1"/>
      <c r="L4" s="1"/>
      <c r="M4" s="1"/>
      <c r="N4" s="1"/>
    </row>
    <row r="5" spans="1:21" x14ac:dyDescent="0.3">
      <c r="A5" s="3">
        <v>3</v>
      </c>
      <c r="B5" s="3" t="s">
        <v>122</v>
      </c>
      <c r="C5" s="3" t="str">
        <f>VLOOKUP(B5,'Data availability'!$A$2:$B$91,2,FALSE)</f>
        <v>Main campus</v>
      </c>
      <c r="D5" s="3">
        <f>VLOOKUP(B5,'Data availability'!$A$2:$G$91,7,FALSE)</f>
        <v>39323</v>
      </c>
      <c r="E5" s="3" t="str">
        <f>VLOOKUP(B5,'Data availability'!$A$2:$H$91,8,FALSE)</f>
        <v>Office</v>
      </c>
      <c r="F5" s="165"/>
      <c r="G5" s="165"/>
      <c r="H5" s="232" cm="1">
        <f t="array" ref="H5">(_xlfn._xlws.FILTER('Median Monthly EUIs'!$E$3:$E$134, ('Median Monthly EUIs'!$B$3:$B$134='Missing Bldgs - Monthly EUI'!E5) * ('Median Monthly EUIs'!$A$3:$A$134='Missing Bldgs - Monthly EUI'!A5))/100)*D5</f>
        <v>1435.6490921574409</v>
      </c>
      <c r="I5" s="232" cm="1">
        <f t="array" ref="I5">(_xlfn._xlws.FILTER('Median Monthly EUIs'!$F$3:$F$134, ('Median Monthly EUIs'!$B$3:$B$134='Missing Bldgs - Monthly EUI'!E5) * ('Median Monthly EUIs'!$A$3:$A$134='Missing Bldgs - Monthly EUI'!A5))*0.0833333333333333)*D5</f>
        <v>1977.2711532354219</v>
      </c>
      <c r="J5" s="1"/>
      <c r="K5" s="1"/>
      <c r="L5" s="1"/>
      <c r="M5" s="1"/>
      <c r="N5" s="1"/>
    </row>
    <row r="6" spans="1:21" x14ac:dyDescent="0.3">
      <c r="A6" s="3">
        <v>4</v>
      </c>
      <c r="B6" s="3" t="s">
        <v>122</v>
      </c>
      <c r="C6" s="3" t="str">
        <f>VLOOKUP(B6,'Data availability'!$A$2:$B$91,2,FALSE)</f>
        <v>Main campus</v>
      </c>
      <c r="D6" s="3">
        <f>VLOOKUP(B6,'Data availability'!$A$2:$G$91,7,FALSE)</f>
        <v>39323</v>
      </c>
      <c r="E6" s="3" t="str">
        <f>VLOOKUP(B6,'Data availability'!$A$2:$H$91,8,FALSE)</f>
        <v>Office</v>
      </c>
      <c r="F6" s="165"/>
      <c r="G6" s="165"/>
      <c r="H6" s="232" cm="1">
        <f t="array" ref="H6">(_xlfn._xlws.FILTER('Median Monthly EUIs'!$E$3:$E$134, ('Median Monthly EUIs'!$B$3:$B$134='Missing Bldgs - Monthly EUI'!E6) * ('Median Monthly EUIs'!$A$3:$A$134='Missing Bldgs - Monthly EUI'!A6))/100)*D6</f>
        <v>880.01893033131307</v>
      </c>
      <c r="I6" s="232" cm="1">
        <f t="array" ref="I6">(_xlfn._xlws.FILTER('Median Monthly EUIs'!$F$3:$F$134, ('Median Monthly EUIs'!$B$3:$B$134='Missing Bldgs - Monthly EUI'!E6) * ('Median Monthly EUIs'!$A$3:$A$134='Missing Bldgs - Monthly EUI'!A6))*0.0833333333333333)*D6</f>
        <v>2609.5652854301256</v>
      </c>
      <c r="J6" s="1"/>
      <c r="K6" s="1"/>
      <c r="L6" s="1"/>
      <c r="M6" s="1"/>
      <c r="N6" s="1"/>
    </row>
    <row r="7" spans="1:21" x14ac:dyDescent="0.3">
      <c r="A7" s="3">
        <v>5</v>
      </c>
      <c r="B7" s="3" t="s">
        <v>122</v>
      </c>
      <c r="C7" s="3" t="str">
        <f>VLOOKUP(B7,'Data availability'!$A$2:$B$91,2,FALSE)</f>
        <v>Main campus</v>
      </c>
      <c r="D7" s="3">
        <f>VLOOKUP(B7,'Data availability'!$A$2:$G$91,7,FALSE)</f>
        <v>39323</v>
      </c>
      <c r="E7" s="3" t="str">
        <f>VLOOKUP(B7,'Data availability'!$A$2:$H$91,8,FALSE)</f>
        <v>Office</v>
      </c>
      <c r="F7" s="165"/>
      <c r="G7" s="165"/>
      <c r="H7" s="232" cm="1">
        <f t="array" ref="H7">(_xlfn._xlws.FILTER('Median Monthly EUIs'!$E$3:$E$134, ('Median Monthly EUIs'!$B$3:$B$134='Missing Bldgs - Monthly EUI'!E7) * ('Median Monthly EUIs'!$A$3:$A$134='Missing Bldgs - Monthly EUI'!A7))/100)*D7</f>
        <v>655.67966266898691</v>
      </c>
      <c r="I7" s="232" cm="1">
        <f t="array" ref="I7">(_xlfn._xlws.FILTER('Median Monthly EUIs'!$F$3:$F$134, ('Median Monthly EUIs'!$B$3:$B$134='Missing Bldgs - Monthly EUI'!E7) * ('Median Monthly EUIs'!$A$3:$A$134='Missing Bldgs - Monthly EUI'!A7))*0.0833333333333333)*D7</f>
        <v>3033.0043956653535</v>
      </c>
      <c r="J7" s="1"/>
      <c r="K7" s="1"/>
      <c r="L7" s="1"/>
      <c r="M7" s="1"/>
      <c r="N7" s="1"/>
    </row>
    <row r="8" spans="1:21" x14ac:dyDescent="0.3">
      <c r="A8" s="3">
        <v>6</v>
      </c>
      <c r="B8" s="3" t="s">
        <v>122</v>
      </c>
      <c r="C8" s="3" t="str">
        <f>VLOOKUP(B8,'Data availability'!$A$2:$B$91,2,FALSE)</f>
        <v>Main campus</v>
      </c>
      <c r="D8" s="3">
        <f>VLOOKUP(B8,'Data availability'!$A$2:$G$91,7,FALSE)</f>
        <v>39323</v>
      </c>
      <c r="E8" s="3" t="str">
        <f>VLOOKUP(B8,'Data availability'!$A$2:$H$91,8,FALSE)</f>
        <v>Office</v>
      </c>
      <c r="F8" s="165"/>
      <c r="G8" s="165"/>
      <c r="H8" s="232" cm="1">
        <f t="array" ref="H8">(_xlfn._xlws.FILTER('Median Monthly EUIs'!$E$3:$E$134, ('Median Monthly EUIs'!$B$3:$B$134='Missing Bldgs - Monthly EUI'!E8) * ('Median Monthly EUIs'!$A$3:$A$134='Missing Bldgs - Monthly EUI'!A8))/100)*D8</f>
        <v>410.58556250398232</v>
      </c>
      <c r="I8" s="232" cm="1">
        <f t="array" ref="I8">(_xlfn._xlws.FILTER('Median Monthly EUIs'!$F$3:$F$134, ('Median Monthly EUIs'!$B$3:$B$134='Missing Bldgs - Monthly EUI'!E8) * ('Median Monthly EUIs'!$A$3:$A$134='Missing Bldgs - Monthly EUI'!A8))*0.0833333333333333)*D8</f>
        <v>2847.9496272236047</v>
      </c>
      <c r="J8" s="1"/>
      <c r="K8" s="1"/>
      <c r="L8" s="1"/>
      <c r="M8" s="1"/>
      <c r="N8" s="1"/>
    </row>
    <row r="9" spans="1:21" x14ac:dyDescent="0.3">
      <c r="A9" s="3">
        <v>7</v>
      </c>
      <c r="B9" s="3" t="s">
        <v>122</v>
      </c>
      <c r="C9" s="3" t="str">
        <f>VLOOKUP(B9,'Data availability'!$A$2:$B$91,2,FALSE)</f>
        <v>Main campus</v>
      </c>
      <c r="D9" s="3">
        <f>VLOOKUP(B9,'Data availability'!$A$2:$G$91,7,FALSE)</f>
        <v>39323</v>
      </c>
      <c r="E9" s="3" t="str">
        <f>VLOOKUP(B9,'Data availability'!$A$2:$H$91,8,FALSE)</f>
        <v>Office</v>
      </c>
      <c r="F9" s="165"/>
      <c r="G9" s="165"/>
      <c r="H9" s="232" cm="1">
        <f t="array" ref="H9">(_xlfn._xlws.FILTER('Median Monthly EUIs'!$E$3:$E$134, ('Median Monthly EUIs'!$B$3:$B$134='Missing Bldgs - Monthly EUI'!E9) * ('Median Monthly EUIs'!$A$3:$A$134='Missing Bldgs - Monthly EUI'!A9))/100)*D9</f>
        <v>417.40405701696392</v>
      </c>
      <c r="I9" s="232" cm="1">
        <f t="array" ref="I9">(_xlfn._xlws.FILTER('Median Monthly EUIs'!$F$3:$F$134, ('Median Monthly EUIs'!$B$3:$B$134='Missing Bldgs - Monthly EUI'!E9) * ('Median Monthly EUIs'!$A$3:$A$134='Missing Bldgs - Monthly EUI'!A9))*0.0833333333333333)*D9</f>
        <v>3226.4327267435078</v>
      </c>
      <c r="J9" s="1"/>
      <c r="K9" s="1"/>
      <c r="L9" s="1"/>
      <c r="M9" s="1"/>
      <c r="N9" s="1"/>
    </row>
    <row r="10" spans="1:21" x14ac:dyDescent="0.3">
      <c r="A10" s="3">
        <v>8</v>
      </c>
      <c r="B10" s="3" t="s">
        <v>122</v>
      </c>
      <c r="C10" s="3" t="str">
        <f>VLOOKUP(B10,'Data availability'!$A$2:$B$91,2,FALSE)</f>
        <v>Main campus</v>
      </c>
      <c r="D10" s="3">
        <f>VLOOKUP(B10,'Data availability'!$A$2:$G$91,7,FALSE)</f>
        <v>39323</v>
      </c>
      <c r="E10" s="3" t="str">
        <f>VLOOKUP(B10,'Data availability'!$A$2:$H$91,8,FALSE)</f>
        <v>Office</v>
      </c>
      <c r="F10" s="165"/>
      <c r="G10" s="165"/>
      <c r="H10" s="232" cm="1">
        <f t="array" ref="H10">(_xlfn._xlws.FILTER('Median Monthly EUIs'!$E$3:$E$134, ('Median Monthly EUIs'!$B$3:$B$134='Missing Bldgs - Monthly EUI'!E10) * ('Median Monthly EUIs'!$A$3:$A$134='Missing Bldgs - Monthly EUI'!A10))/100)*D10</f>
        <v>322.55117526292793</v>
      </c>
      <c r="I10" s="232" cm="1">
        <f t="array" ref="I10">(_xlfn._xlws.FILTER('Median Monthly EUIs'!$F$3:$F$134, ('Median Monthly EUIs'!$B$3:$B$134='Missing Bldgs - Monthly EUI'!E10) * ('Median Monthly EUIs'!$A$3:$A$134='Missing Bldgs - Monthly EUI'!A10))*0.0833333333333333)*D10</f>
        <v>3337.4178020669237</v>
      </c>
      <c r="J10" s="1"/>
      <c r="K10" s="1"/>
      <c r="L10" s="1"/>
      <c r="M10" s="1"/>
      <c r="N10" s="1"/>
    </row>
    <row r="11" spans="1:21" x14ac:dyDescent="0.3">
      <c r="A11" s="3">
        <v>9</v>
      </c>
      <c r="B11" s="3" t="s">
        <v>122</v>
      </c>
      <c r="C11" s="3" t="str">
        <f>VLOOKUP(B11,'Data availability'!$A$2:$B$91,2,FALSE)</f>
        <v>Main campus</v>
      </c>
      <c r="D11" s="3">
        <f>VLOOKUP(B11,'Data availability'!$A$2:$G$91,7,FALSE)</f>
        <v>39323</v>
      </c>
      <c r="E11" s="3" t="str">
        <f>VLOOKUP(B11,'Data availability'!$A$2:$H$91,8,FALSE)</f>
        <v>Office</v>
      </c>
      <c r="F11" s="165"/>
      <c r="G11" s="165"/>
      <c r="H11" s="232" cm="1">
        <f t="array" ref="H11">(_xlfn._xlws.FILTER('Median Monthly EUIs'!$E$3:$E$134, ('Median Monthly EUIs'!$B$3:$B$134='Missing Bldgs - Monthly EUI'!E11) * ('Median Monthly EUIs'!$A$3:$A$134='Missing Bldgs - Monthly EUI'!A11))/100)*D11</f>
        <v>383.13579774892401</v>
      </c>
      <c r="I11" s="232" cm="1">
        <f t="array" ref="I11">(_xlfn._xlws.FILTER('Median Monthly EUIs'!$F$3:$F$134, ('Median Monthly EUIs'!$B$3:$B$134='Missing Bldgs - Monthly EUI'!E11) * ('Median Monthly EUIs'!$A$3:$A$134='Missing Bldgs - Monthly EUI'!A11))*0.0833333333333333)*D11</f>
        <v>2927.9833784684993</v>
      </c>
      <c r="J11" s="1"/>
      <c r="K11" s="1"/>
      <c r="L11" s="1"/>
      <c r="M11" s="1"/>
      <c r="N11" s="1"/>
    </row>
    <row r="12" spans="1:21" x14ac:dyDescent="0.3">
      <c r="A12" s="3">
        <v>10</v>
      </c>
      <c r="B12" s="3" t="s">
        <v>122</v>
      </c>
      <c r="C12" s="3" t="str">
        <f>VLOOKUP(B12,'Data availability'!$A$2:$B$91,2,FALSE)</f>
        <v>Main campus</v>
      </c>
      <c r="D12" s="3">
        <f>VLOOKUP(B12,'Data availability'!$A$2:$G$91,7,FALSE)</f>
        <v>39323</v>
      </c>
      <c r="E12" s="3" t="str">
        <f>VLOOKUP(B12,'Data availability'!$A$2:$H$91,8,FALSE)</f>
        <v>Office</v>
      </c>
      <c r="F12" s="165"/>
      <c r="G12" s="165"/>
      <c r="H12" s="232" cm="1">
        <f t="array" ref="H12">(_xlfn._xlws.FILTER('Median Monthly EUIs'!$E$3:$E$134, ('Median Monthly EUIs'!$B$3:$B$134='Missing Bldgs - Monthly EUI'!E12) * ('Median Monthly EUIs'!$A$3:$A$134='Missing Bldgs - Monthly EUI'!A12))/100)*D12</f>
        <v>562.14906789769259</v>
      </c>
      <c r="I12" s="232" cm="1">
        <f t="array" ref="I12">(_xlfn._xlws.FILTER('Median Monthly EUIs'!$F$3:$F$134, ('Median Monthly EUIs'!$B$3:$B$134='Missing Bldgs - Monthly EUI'!E12) * ('Median Monthly EUIs'!$A$3:$A$134='Missing Bldgs - Monthly EUI'!A12))*0.0833333333333333)*D12</f>
        <v>2923.8135146405521</v>
      </c>
      <c r="J12" s="1"/>
      <c r="K12" s="1"/>
      <c r="L12" s="1"/>
      <c r="M12" s="1"/>
      <c r="N12" s="1"/>
    </row>
    <row r="13" spans="1:21" x14ac:dyDescent="0.3">
      <c r="A13" s="3">
        <v>11</v>
      </c>
      <c r="B13" s="3" t="s">
        <v>122</v>
      </c>
      <c r="C13" s="3" t="str">
        <f>VLOOKUP(B13,'Data availability'!$A$2:$B$91,2,FALSE)</f>
        <v>Main campus</v>
      </c>
      <c r="D13" s="3">
        <f>VLOOKUP(B13,'Data availability'!$A$2:$G$91,7,FALSE)</f>
        <v>39323</v>
      </c>
      <c r="E13" s="3" t="str">
        <f>VLOOKUP(B13,'Data availability'!$A$2:$H$91,8,FALSE)</f>
        <v>Office</v>
      </c>
      <c r="F13" s="165"/>
      <c r="G13" s="165"/>
      <c r="H13" s="232" cm="1">
        <f t="array" ref="H13">(_xlfn._xlws.FILTER('Median Monthly EUIs'!$E$3:$E$134, ('Median Monthly EUIs'!$B$3:$B$134='Missing Bldgs - Monthly EUI'!E13) * ('Median Monthly EUIs'!$A$3:$A$134='Missing Bldgs - Monthly EUI'!A13))/100)*D13</f>
        <v>1012.6201000641012</v>
      </c>
      <c r="I13" s="232" cm="1">
        <f t="array" ref="I13">(_xlfn._xlws.FILTER('Median Monthly EUIs'!$F$3:$F$134, ('Median Monthly EUIs'!$B$3:$B$134='Missing Bldgs - Monthly EUI'!E13) * ('Median Monthly EUIs'!$A$3:$A$134='Missing Bldgs - Monthly EUI'!A13))*0.0833333333333333)*D13</f>
        <v>2199.6756793187615</v>
      </c>
      <c r="J13" s="1"/>
      <c r="K13" s="1"/>
      <c r="L13" s="1"/>
      <c r="M13" s="1"/>
      <c r="N13" s="1"/>
    </row>
    <row r="14" spans="1:21" s="69" customFormat="1" x14ac:dyDescent="0.3">
      <c r="A14" s="64">
        <v>12</v>
      </c>
      <c r="B14" s="64" t="s">
        <v>122</v>
      </c>
      <c r="C14" s="64" t="str">
        <f>VLOOKUP(B14,'Data availability'!$A$2:$B$91,2,FALSE)</f>
        <v>Main campus</v>
      </c>
      <c r="D14" s="64">
        <f>VLOOKUP(B14,'Data availability'!$A$2:$G$91,7,FALSE)</f>
        <v>39323</v>
      </c>
      <c r="E14" s="64" t="str">
        <f>VLOOKUP(B14,'Data availability'!$A$2:$H$91,8,FALSE)</f>
        <v>Office</v>
      </c>
      <c r="F14" s="166"/>
      <c r="G14" s="166"/>
      <c r="H14" s="240" cm="1">
        <f t="array" ref="H14">(_xlfn._xlws.FILTER('Median Monthly EUIs'!$E$3:$E$134, ('Median Monthly EUIs'!$B$3:$B$134='Missing Bldgs - Monthly EUI'!E14) * ('Median Monthly EUIs'!$A$3:$A$134='Missing Bldgs - Monthly EUI'!A14))/100)*D14</f>
        <v>1459.8255724236503</v>
      </c>
      <c r="I14" s="240" cm="1">
        <f t="array" ref="I14">(_xlfn._xlws.FILTER('Median Monthly EUIs'!$F$3:$F$134, ('Median Monthly EUIs'!$B$3:$B$134='Missing Bldgs - Monthly EUI'!E14) * ('Median Monthly EUIs'!$A$3:$A$134='Missing Bldgs - Monthly EUI'!A14))*0.0833333333333333)*D14</f>
        <v>1697.7503461747444</v>
      </c>
      <c r="J14" s="66"/>
      <c r="K14" s="66"/>
      <c r="L14" s="66"/>
      <c r="M14" s="66"/>
      <c r="N14" s="66"/>
    </row>
    <row r="15" spans="1:21" x14ac:dyDescent="0.3">
      <c r="A15" s="3">
        <v>1</v>
      </c>
      <c r="B15" s="3" t="s">
        <v>405</v>
      </c>
      <c r="C15" s="3" t="str">
        <f>VLOOKUP(B15,'Data availability'!$A$2:$B$91,2,FALSE)</f>
        <v>Main campus</v>
      </c>
      <c r="D15" s="3">
        <f>VLOOKUP(B15,'Data availability'!$A$2:$G$91,7,FALSE)</f>
        <v>12900</v>
      </c>
      <c r="E15" s="119" t="s">
        <v>599</v>
      </c>
      <c r="F15" s="232">
        <v>67059.450292029491</v>
      </c>
      <c r="G15" s="165"/>
      <c r="H15" s="232"/>
      <c r="I15">
        <v>11646.860965161566</v>
      </c>
      <c r="J15" s="1">
        <f>SUM(F15:F26)*3.412/D15</f>
        <v>399.4756395687192</v>
      </c>
      <c r="K15" s="1"/>
      <c r="L15" s="1"/>
      <c r="M15" s="1">
        <f>SUM(I15:I26)*12/D15</f>
        <v>504.57526383909146</v>
      </c>
      <c r="N15" s="1"/>
      <c r="P15">
        <v>0.45</v>
      </c>
      <c r="Q15" s="194">
        <f t="shared" ref="Q15:Q26" si="0">P15*14.2*D15/1000</f>
        <v>82.430999999999997</v>
      </c>
      <c r="R15">
        <v>744</v>
      </c>
      <c r="S15">
        <f>Q15*R15</f>
        <v>61328.663999999997</v>
      </c>
      <c r="U15" s="232">
        <v>61328.663999999997</v>
      </c>
    </row>
    <row r="16" spans="1:21" x14ac:dyDescent="0.3">
      <c r="A16" s="3">
        <v>2</v>
      </c>
      <c r="B16" s="3" t="s">
        <v>405</v>
      </c>
      <c r="C16" s="3" t="str">
        <f>VLOOKUP(B16,'Data availability'!$A$2:$B$91,2,FALSE)</f>
        <v>Main campus</v>
      </c>
      <c r="D16" s="3">
        <f>VLOOKUP(B16,'Data availability'!$A$2:$G$91,7,FALSE)</f>
        <v>12900</v>
      </c>
      <c r="E16" s="119" t="s">
        <v>599</v>
      </c>
      <c r="F16" s="232">
        <v>167616.74343322348</v>
      </c>
      <c r="G16" s="165"/>
      <c r="H16" s="232"/>
      <c r="I16">
        <v>49505.233917652535</v>
      </c>
      <c r="J16" s="1"/>
      <c r="K16" s="1"/>
      <c r="L16" s="1"/>
      <c r="M16" s="1"/>
      <c r="N16" s="1"/>
      <c r="P16">
        <v>0.45</v>
      </c>
      <c r="Q16" s="194">
        <f t="shared" si="0"/>
        <v>82.430999999999997</v>
      </c>
      <c r="R16">
        <v>672</v>
      </c>
      <c r="S16">
        <f t="shared" ref="S16:S26" si="1">Q16*R16</f>
        <v>55393.631999999998</v>
      </c>
      <c r="U16" s="232">
        <v>55393.631999999998</v>
      </c>
    </row>
    <row r="17" spans="1:21" x14ac:dyDescent="0.3">
      <c r="A17" s="3">
        <v>3</v>
      </c>
      <c r="B17" s="3" t="s">
        <v>405</v>
      </c>
      <c r="C17" s="3" t="str">
        <f>VLOOKUP(B17,'Data availability'!$A$2:$B$91,2,FALSE)</f>
        <v>Main campus</v>
      </c>
      <c r="D17" s="3">
        <f>VLOOKUP(B17,'Data availability'!$A$2:$G$91,7,FALSE)</f>
        <v>12900</v>
      </c>
      <c r="E17" s="119" t="s">
        <v>599</v>
      </c>
      <c r="F17" s="232">
        <v>186019.54910110493</v>
      </c>
      <c r="G17" s="165"/>
      <c r="H17" s="232"/>
      <c r="I17">
        <v>59158.992531042248</v>
      </c>
      <c r="J17" s="1"/>
      <c r="K17" s="1"/>
      <c r="L17" s="1"/>
      <c r="M17" s="1"/>
      <c r="N17" s="1"/>
      <c r="P17">
        <v>0.45</v>
      </c>
      <c r="Q17" s="194">
        <f t="shared" si="0"/>
        <v>82.430999999999997</v>
      </c>
      <c r="R17">
        <v>744</v>
      </c>
      <c r="S17">
        <f t="shared" si="1"/>
        <v>61328.663999999997</v>
      </c>
      <c r="U17" s="232">
        <v>61328.663999999997</v>
      </c>
    </row>
    <row r="18" spans="1:21" x14ac:dyDescent="0.3">
      <c r="A18" s="3">
        <v>4</v>
      </c>
      <c r="B18" s="3" t="s">
        <v>405</v>
      </c>
      <c r="C18" s="3" t="str">
        <f>VLOOKUP(B18,'Data availability'!$A$2:$B$91,2,FALSE)</f>
        <v>Main campus</v>
      </c>
      <c r="D18" s="3">
        <f>VLOOKUP(B18,'Data availability'!$A$2:$G$91,7,FALSE)</f>
        <v>12900</v>
      </c>
      <c r="E18" s="119" t="s">
        <v>599</v>
      </c>
      <c r="F18" s="232">
        <v>140514.22823164659</v>
      </c>
      <c r="G18" s="165"/>
      <c r="H18" s="232"/>
      <c r="I18">
        <v>47644.313650042859</v>
      </c>
      <c r="J18" s="1"/>
      <c r="K18" s="1"/>
      <c r="L18" s="1"/>
      <c r="M18" s="1"/>
      <c r="N18" s="1"/>
      <c r="P18">
        <v>0.55000000000000004</v>
      </c>
      <c r="Q18" s="194">
        <f t="shared" si="0"/>
        <v>100.749</v>
      </c>
      <c r="R18">
        <v>720</v>
      </c>
      <c r="S18">
        <f t="shared" si="1"/>
        <v>72539.28</v>
      </c>
      <c r="U18" s="232">
        <v>72539.28</v>
      </c>
    </row>
    <row r="19" spans="1:21" x14ac:dyDescent="0.3">
      <c r="A19" s="3">
        <v>5</v>
      </c>
      <c r="B19" s="3" t="s">
        <v>405</v>
      </c>
      <c r="C19" s="3" t="str">
        <f>VLOOKUP(B19,'Data availability'!$A$2:$B$91,2,FALSE)</f>
        <v>Main campus</v>
      </c>
      <c r="D19" s="3">
        <f>VLOOKUP(B19,'Data availability'!$A$2:$G$91,7,FALSE)</f>
        <v>12900</v>
      </c>
      <c r="E19" s="119" t="s">
        <v>599</v>
      </c>
      <c r="F19" s="232">
        <v>105188.57162555774</v>
      </c>
      <c r="G19" s="167"/>
      <c r="H19" s="232"/>
      <c r="I19">
        <v>36681.681475350699</v>
      </c>
      <c r="J19" s="1"/>
      <c r="K19" s="1"/>
      <c r="L19" s="1"/>
      <c r="M19" s="1"/>
      <c r="N19" s="1"/>
      <c r="P19">
        <v>0.55000000000000004</v>
      </c>
      <c r="Q19" s="194">
        <f t="shared" si="0"/>
        <v>100.749</v>
      </c>
      <c r="R19">
        <v>744</v>
      </c>
      <c r="S19">
        <f t="shared" si="1"/>
        <v>74957.255999999994</v>
      </c>
      <c r="U19" s="232">
        <v>74957.255999999994</v>
      </c>
    </row>
    <row r="20" spans="1:21" x14ac:dyDescent="0.3">
      <c r="A20" s="3">
        <v>6</v>
      </c>
      <c r="B20" s="3" t="s">
        <v>405</v>
      </c>
      <c r="C20" s="3" t="str">
        <f>VLOOKUP(B20,'Data availability'!$A$2:$B$91,2,FALSE)</f>
        <v>Main campus</v>
      </c>
      <c r="D20" s="3">
        <f>VLOOKUP(B20,'Data availability'!$A$2:$G$91,7,FALSE)</f>
        <v>12900</v>
      </c>
      <c r="E20" s="119" t="s">
        <v>599</v>
      </c>
      <c r="F20" s="232">
        <v>62896.07510970546</v>
      </c>
      <c r="G20" s="167"/>
      <c r="H20" s="232"/>
      <c r="I20">
        <v>27062.473721270915</v>
      </c>
      <c r="J20" s="1"/>
      <c r="K20" s="1"/>
      <c r="L20" s="1"/>
      <c r="M20" s="1"/>
      <c r="N20" s="1"/>
      <c r="P20">
        <v>0.55000000000000004</v>
      </c>
      <c r="Q20" s="194">
        <f t="shared" si="0"/>
        <v>100.749</v>
      </c>
      <c r="R20">
        <v>720</v>
      </c>
      <c r="S20">
        <f t="shared" si="1"/>
        <v>72539.28</v>
      </c>
      <c r="U20" s="232">
        <v>72539.28</v>
      </c>
    </row>
    <row r="21" spans="1:21" x14ac:dyDescent="0.3">
      <c r="A21" s="3">
        <v>7</v>
      </c>
      <c r="B21" s="3" t="s">
        <v>405</v>
      </c>
      <c r="C21" s="3" t="str">
        <f>VLOOKUP(B21,'Data availability'!$A$2:$B$91,2,FALSE)</f>
        <v>Main campus</v>
      </c>
      <c r="D21" s="3">
        <f>VLOOKUP(B21,'Data availability'!$A$2:$G$91,7,FALSE)</f>
        <v>12900</v>
      </c>
      <c r="E21" s="119" t="s">
        <v>599</v>
      </c>
      <c r="F21" s="232">
        <v>64810.969735872946</v>
      </c>
      <c r="G21" s="167"/>
      <c r="H21" s="232"/>
      <c r="I21">
        <v>29552.743604897802</v>
      </c>
      <c r="J21" s="1"/>
      <c r="K21" s="1"/>
      <c r="L21" s="1"/>
      <c r="M21" s="1"/>
      <c r="N21" s="1"/>
      <c r="P21">
        <v>0.55000000000000004</v>
      </c>
      <c r="Q21" s="194">
        <f t="shared" si="0"/>
        <v>100.749</v>
      </c>
      <c r="R21">
        <v>744</v>
      </c>
      <c r="S21">
        <f t="shared" si="1"/>
        <v>74957.255999999994</v>
      </c>
      <c r="U21" s="232">
        <v>74957.255999999994</v>
      </c>
    </row>
    <row r="22" spans="1:21" x14ac:dyDescent="0.3">
      <c r="A22" s="3">
        <v>8</v>
      </c>
      <c r="B22" s="3" t="s">
        <v>405</v>
      </c>
      <c r="C22" s="3" t="str">
        <f>VLOOKUP(B22,'Data availability'!$A$2:$B$91,2,FALSE)</f>
        <v>Main campus</v>
      </c>
      <c r="D22" s="3">
        <f>VLOOKUP(B22,'Data availability'!$A$2:$G$91,7,FALSE)</f>
        <v>12900</v>
      </c>
      <c r="E22" s="119" t="s">
        <v>599</v>
      </c>
      <c r="F22" s="232">
        <v>104945.73838411098</v>
      </c>
      <c r="G22" s="167"/>
      <c r="H22" s="232"/>
      <c r="I22">
        <v>46418.271752955276</v>
      </c>
      <c r="J22" s="1"/>
      <c r="K22" s="1"/>
      <c r="L22" s="1"/>
      <c r="M22" s="1"/>
      <c r="N22" s="1"/>
      <c r="P22">
        <v>0.6</v>
      </c>
      <c r="Q22" s="194">
        <f t="shared" si="0"/>
        <v>109.908</v>
      </c>
      <c r="R22">
        <v>744</v>
      </c>
      <c r="S22">
        <f t="shared" si="1"/>
        <v>81771.551999999996</v>
      </c>
      <c r="U22" s="232">
        <v>81771.551999999996</v>
      </c>
    </row>
    <row r="23" spans="1:21" x14ac:dyDescent="0.3">
      <c r="A23" s="3">
        <v>9</v>
      </c>
      <c r="B23" s="3" t="s">
        <v>405</v>
      </c>
      <c r="C23" s="3" t="str">
        <f>VLOOKUP(B23,'Data availability'!$A$2:$B$91,2,FALSE)</f>
        <v>Main campus</v>
      </c>
      <c r="D23" s="3">
        <f>VLOOKUP(B23,'Data availability'!$A$2:$G$91,7,FALSE)</f>
        <v>12900</v>
      </c>
      <c r="E23" s="119" t="s">
        <v>599</v>
      </c>
      <c r="F23" s="232">
        <v>178732.60394474771</v>
      </c>
      <c r="G23" s="167"/>
      <c r="H23" s="232"/>
      <c r="I23">
        <v>90346.508093006705</v>
      </c>
      <c r="J23" s="1"/>
      <c r="K23" s="1"/>
      <c r="L23" s="1"/>
      <c r="M23" s="1"/>
      <c r="N23" s="1"/>
      <c r="P23">
        <v>0.55000000000000004</v>
      </c>
      <c r="Q23" s="194">
        <f t="shared" si="0"/>
        <v>100.749</v>
      </c>
      <c r="R23">
        <v>720</v>
      </c>
      <c r="S23">
        <f t="shared" si="1"/>
        <v>72539.28</v>
      </c>
      <c r="U23" s="232">
        <v>72539.28</v>
      </c>
    </row>
    <row r="24" spans="1:21" x14ac:dyDescent="0.3">
      <c r="A24" s="3">
        <v>10</v>
      </c>
      <c r="B24" s="3" t="s">
        <v>405</v>
      </c>
      <c r="C24" s="3" t="str">
        <f>VLOOKUP(B24,'Data availability'!$A$2:$B$91,2,FALSE)</f>
        <v>Main campus</v>
      </c>
      <c r="D24" s="3">
        <f>VLOOKUP(B24,'Data availability'!$A$2:$G$91,7,FALSE)</f>
        <v>12900</v>
      </c>
      <c r="E24" s="119" t="s">
        <v>599</v>
      </c>
      <c r="F24" s="232">
        <v>184522.21654843114</v>
      </c>
      <c r="G24" s="167"/>
      <c r="H24" s="232"/>
      <c r="I24">
        <v>80027.845490185384</v>
      </c>
      <c r="J24" s="1"/>
      <c r="K24" s="1"/>
      <c r="L24" s="1"/>
      <c r="M24" s="1"/>
      <c r="N24" s="1"/>
      <c r="P24">
        <v>0.45</v>
      </c>
      <c r="Q24" s="194">
        <f t="shared" si="0"/>
        <v>82.430999999999997</v>
      </c>
      <c r="R24">
        <v>744</v>
      </c>
      <c r="S24">
        <f t="shared" si="1"/>
        <v>61328.663999999997</v>
      </c>
      <c r="U24" s="232">
        <v>61328.663999999997</v>
      </c>
    </row>
    <row r="25" spans="1:21" x14ac:dyDescent="0.3">
      <c r="A25" s="3">
        <v>11</v>
      </c>
      <c r="B25" s="3" t="s">
        <v>405</v>
      </c>
      <c r="C25" s="3" t="str">
        <f>VLOOKUP(B25,'Data availability'!$A$2:$B$91,2,FALSE)</f>
        <v>Main campus</v>
      </c>
      <c r="D25" s="3">
        <f>VLOOKUP(B25,'Data availability'!$A$2:$G$91,7,FALSE)</f>
        <v>12900</v>
      </c>
      <c r="E25" s="119" t="s">
        <v>599</v>
      </c>
      <c r="F25" s="232">
        <v>141452.58984713501</v>
      </c>
      <c r="G25" s="167"/>
      <c r="H25" s="232"/>
      <c r="I25">
        <v>42004.658851138018</v>
      </c>
      <c r="J25" s="1"/>
      <c r="K25" s="1"/>
      <c r="L25" s="1"/>
      <c r="M25" s="1"/>
      <c r="N25" s="1"/>
      <c r="P25">
        <v>0.45</v>
      </c>
      <c r="Q25" s="194">
        <f t="shared" si="0"/>
        <v>82.430999999999997</v>
      </c>
      <c r="R25">
        <v>720</v>
      </c>
      <c r="S25">
        <f t="shared" si="1"/>
        <v>59350.32</v>
      </c>
      <c r="U25" s="232">
        <v>59350.32</v>
      </c>
    </row>
    <row r="26" spans="1:21" s="69" customFormat="1" x14ac:dyDescent="0.3">
      <c r="A26" s="64">
        <v>12</v>
      </c>
      <c r="B26" s="64" t="s">
        <v>405</v>
      </c>
      <c r="C26" s="64" t="str">
        <f>VLOOKUP(B26,'Data availability'!$A$2:$B$91,2,FALSE)</f>
        <v>Main campus</v>
      </c>
      <c r="D26" s="64">
        <f>VLOOKUP(B26,'Data availability'!$A$2:$G$91,7,FALSE)</f>
        <v>12900</v>
      </c>
      <c r="E26" s="241" t="s">
        <v>599</v>
      </c>
      <c r="F26" s="240">
        <v>106568.27149452262</v>
      </c>
      <c r="G26" s="168"/>
      <c r="H26" s="240"/>
      <c r="I26" s="69">
        <v>22368.824574319326</v>
      </c>
      <c r="J26" s="66"/>
      <c r="K26" s="66"/>
      <c r="L26" s="66"/>
      <c r="M26" s="66"/>
      <c r="N26" s="66"/>
      <c r="P26">
        <v>0.45</v>
      </c>
      <c r="Q26" s="194">
        <f t="shared" si="0"/>
        <v>82.430999999999997</v>
      </c>
      <c r="R26">
        <v>744</v>
      </c>
      <c r="S26">
        <f t="shared" si="1"/>
        <v>61328.663999999997</v>
      </c>
      <c r="U26" s="232">
        <v>61328.663999999997</v>
      </c>
    </row>
    <row r="27" spans="1:21" x14ac:dyDescent="0.3">
      <c r="A27" s="3">
        <v>1</v>
      </c>
      <c r="B27" s="3" t="s">
        <v>141</v>
      </c>
      <c r="C27" s="3" t="str">
        <f>VLOOKUP(B27,'Data availability'!$A$2:$B$91,2,FALSE)</f>
        <v>Main campus</v>
      </c>
      <c r="D27" s="3">
        <v>42019</v>
      </c>
      <c r="E27" s="3" t="str">
        <f>VLOOKUP(B27,'Data availability'!$A$2:$H$91,8,FALSE)</f>
        <v>Office</v>
      </c>
      <c r="F27" s="232" cm="1">
        <f t="array" ref="F27">(_xlfn._xlws.FILTER('Median Monthly EUIs'!$C$3:$C$134, ('Median Monthly EUIs'!$B$3:$B$134='Missing Bldgs - Monthly EUI'!E27) * ('Median Monthly EUIs'!$A$3:$A$134='Missing Bldgs - Monthly EUI'!A27))*0.293071)*D27</f>
        <v>28733.929006424947</v>
      </c>
      <c r="G27" s="167"/>
      <c r="H27" s="232"/>
      <c r="I27" s="167"/>
      <c r="J27" s="1">
        <f>SUM(F27:F38)*3.412/D27</f>
        <v>26.957493578620102</v>
      </c>
      <c r="K27" s="1"/>
      <c r="L27" s="1"/>
      <c r="M27" s="1"/>
      <c r="N27" s="1"/>
      <c r="P27" s="194"/>
    </row>
    <row r="28" spans="1:21" x14ac:dyDescent="0.3">
      <c r="A28" s="3">
        <v>2</v>
      </c>
      <c r="B28" s="3" t="s">
        <v>141</v>
      </c>
      <c r="C28" s="3" t="str">
        <f>VLOOKUP(B28,'Data availability'!$A$2:$B$91,2,FALSE)</f>
        <v>Main campus</v>
      </c>
      <c r="D28" s="3">
        <v>42019</v>
      </c>
      <c r="E28" s="3" t="str">
        <f>VLOOKUP(B28,'Data availability'!$A$2:$H$91,8,FALSE)</f>
        <v>Office</v>
      </c>
      <c r="F28" s="232" cm="1">
        <f t="array" ref="F28">(_xlfn._xlws.FILTER('Median Monthly EUIs'!$C$3:$C$134, ('Median Monthly EUIs'!$B$3:$B$134='Missing Bldgs - Monthly EUI'!E28) * ('Median Monthly EUIs'!$A$3:$A$134='Missing Bldgs - Monthly EUI'!A28))*0.293071)*D28</f>
        <v>27294.390444215387</v>
      </c>
      <c r="G28" s="167"/>
      <c r="H28" s="232"/>
      <c r="I28" s="167"/>
      <c r="J28" s="1"/>
      <c r="K28" s="1"/>
      <c r="L28" s="1"/>
      <c r="M28" s="1"/>
      <c r="N28" s="1"/>
    </row>
    <row r="29" spans="1:21" x14ac:dyDescent="0.3">
      <c r="A29" s="3">
        <v>3</v>
      </c>
      <c r="B29" s="3" t="s">
        <v>141</v>
      </c>
      <c r="C29" s="3" t="str">
        <f>VLOOKUP(B29,'Data availability'!$A$2:$B$91,2,FALSE)</f>
        <v>Main campus</v>
      </c>
      <c r="D29" s="3">
        <v>42019</v>
      </c>
      <c r="E29" s="3" t="str">
        <f>VLOOKUP(B29,'Data availability'!$A$2:$H$91,8,FALSE)</f>
        <v>Office</v>
      </c>
      <c r="F29" s="232" cm="1">
        <f t="array" ref="F29">(_xlfn._xlws.FILTER('Median Monthly EUIs'!$C$3:$C$134, ('Median Monthly EUIs'!$B$3:$B$134='Missing Bldgs - Monthly EUI'!E29) * ('Median Monthly EUIs'!$A$3:$A$134='Missing Bldgs - Monthly EUI'!A29))*0.293071)*D29</f>
        <v>28746.833948004536</v>
      </c>
      <c r="G29" s="167"/>
      <c r="H29" s="232"/>
      <c r="I29" s="167"/>
      <c r="J29" s="1"/>
      <c r="K29" s="1"/>
      <c r="L29" s="1"/>
      <c r="M29" s="1"/>
      <c r="N29" s="1"/>
    </row>
    <row r="30" spans="1:21" x14ac:dyDescent="0.3">
      <c r="A30" s="3">
        <v>4</v>
      </c>
      <c r="B30" s="3" t="s">
        <v>141</v>
      </c>
      <c r="C30" s="3" t="str">
        <f>VLOOKUP(B30,'Data availability'!$A$2:$B$91,2,FALSE)</f>
        <v>Main campus</v>
      </c>
      <c r="D30" s="3">
        <v>42019</v>
      </c>
      <c r="E30" s="3" t="str">
        <f>VLOOKUP(B30,'Data availability'!$A$2:$H$91,8,FALSE)</f>
        <v>Office</v>
      </c>
      <c r="F30" s="232" cm="1">
        <f t="array" ref="F30">(_xlfn._xlws.FILTER('Median Monthly EUIs'!$C$3:$C$134, ('Median Monthly EUIs'!$B$3:$B$134='Missing Bldgs - Monthly EUI'!E30) * ('Median Monthly EUIs'!$A$3:$A$134='Missing Bldgs - Monthly EUI'!A30))*0.293071)*D30</f>
        <v>28560.93098988666</v>
      </c>
      <c r="G30" s="167"/>
      <c r="H30" s="232"/>
      <c r="I30" s="167"/>
      <c r="J30" s="1"/>
      <c r="K30" s="1"/>
      <c r="L30" s="1"/>
      <c r="M30" s="1"/>
      <c r="N30" s="1"/>
    </row>
    <row r="31" spans="1:21" x14ac:dyDescent="0.3">
      <c r="A31" s="3">
        <v>5</v>
      </c>
      <c r="B31" s="3" t="s">
        <v>141</v>
      </c>
      <c r="C31" s="3" t="str">
        <f>VLOOKUP(B31,'Data availability'!$A$2:$B$91,2,FALSE)</f>
        <v>Main campus</v>
      </c>
      <c r="D31" s="3">
        <v>42019</v>
      </c>
      <c r="E31" s="3" t="str">
        <f>VLOOKUP(B31,'Data availability'!$A$2:$H$91,8,FALSE)</f>
        <v>Office</v>
      </c>
      <c r="F31" s="232" cm="1">
        <f t="array" ref="F31">(_xlfn._xlws.FILTER('Median Monthly EUIs'!$C$3:$C$134, ('Median Monthly EUIs'!$B$3:$B$134='Missing Bldgs - Monthly EUI'!E31) * ('Median Monthly EUIs'!$A$3:$A$134='Missing Bldgs - Monthly EUI'!A31))*0.293071)*D31</f>
        <v>27242.98114998627</v>
      </c>
      <c r="G31" s="167"/>
      <c r="H31" s="232"/>
      <c r="I31" s="167"/>
      <c r="J31" s="1"/>
      <c r="K31" s="1"/>
      <c r="L31" s="1"/>
      <c r="M31" s="1"/>
      <c r="N31" s="1"/>
    </row>
    <row r="32" spans="1:21" x14ac:dyDescent="0.3">
      <c r="A32" s="3">
        <v>6</v>
      </c>
      <c r="B32" s="3" t="s">
        <v>141</v>
      </c>
      <c r="C32" s="3" t="str">
        <f>VLOOKUP(B32,'Data availability'!$A$2:$B$91,2,FALSE)</f>
        <v>Main campus</v>
      </c>
      <c r="D32" s="3">
        <v>42019</v>
      </c>
      <c r="E32" s="3" t="str">
        <f>VLOOKUP(B32,'Data availability'!$A$2:$H$91,8,FALSE)</f>
        <v>Office</v>
      </c>
      <c r="F32" s="232" cm="1">
        <f t="array" ref="F32">(_xlfn._xlws.FILTER('Median Monthly EUIs'!$C$3:$C$134, ('Median Monthly EUIs'!$B$3:$B$134='Missing Bldgs - Monthly EUI'!E32) * ('Median Monthly EUIs'!$A$3:$A$134='Missing Bldgs - Monthly EUI'!A32))*0.293071)*D32</f>
        <v>26270.206196648738</v>
      </c>
      <c r="G32" s="167"/>
      <c r="H32" s="232"/>
      <c r="I32" s="167"/>
      <c r="J32" s="1"/>
      <c r="K32" s="1"/>
      <c r="L32" s="1"/>
      <c r="M32" s="1"/>
      <c r="N32" s="1"/>
    </row>
    <row r="33" spans="1:16" x14ac:dyDescent="0.3">
      <c r="A33" s="3">
        <v>7</v>
      </c>
      <c r="B33" s="3" t="s">
        <v>141</v>
      </c>
      <c r="C33" s="3" t="str">
        <f>VLOOKUP(B33,'Data availability'!$A$2:$B$91,2,FALSE)</f>
        <v>Main campus</v>
      </c>
      <c r="D33" s="3">
        <v>42019</v>
      </c>
      <c r="E33" s="3" t="str">
        <f>VLOOKUP(B33,'Data availability'!$A$2:$H$91,8,FALSE)</f>
        <v>Office</v>
      </c>
      <c r="F33" s="232" cm="1">
        <f t="array" ref="F33">(_xlfn._xlws.FILTER('Median Monthly EUIs'!$C$3:$C$134, ('Median Monthly EUIs'!$B$3:$B$134='Missing Bldgs - Monthly EUI'!E33) * ('Median Monthly EUIs'!$A$3:$A$134='Missing Bldgs - Monthly EUI'!A33))*0.293071)*D33</f>
        <v>27156.577068745901</v>
      </c>
      <c r="G33" s="167"/>
      <c r="H33" s="232"/>
      <c r="I33" s="167"/>
      <c r="J33" s="1"/>
      <c r="K33" s="1"/>
      <c r="L33" s="1"/>
      <c r="M33" s="1"/>
      <c r="N33" s="1"/>
    </row>
    <row r="34" spans="1:16" x14ac:dyDescent="0.3">
      <c r="A34" s="3">
        <v>8</v>
      </c>
      <c r="B34" s="3" t="s">
        <v>141</v>
      </c>
      <c r="C34" s="3" t="str">
        <f>VLOOKUP(B34,'Data availability'!$A$2:$B$91,2,FALSE)</f>
        <v>Main campus</v>
      </c>
      <c r="D34" s="3">
        <v>42019</v>
      </c>
      <c r="E34" s="3" t="str">
        <f>VLOOKUP(B34,'Data availability'!$A$2:$H$91,8,FALSE)</f>
        <v>Office</v>
      </c>
      <c r="F34" s="232" cm="1">
        <f t="array" ref="F34">(_xlfn._xlws.FILTER('Median Monthly EUIs'!$C$3:$C$134, ('Median Monthly EUIs'!$B$3:$B$134='Missing Bldgs - Monthly EUI'!E34) * ('Median Monthly EUIs'!$A$3:$A$134='Missing Bldgs - Monthly EUI'!A34))*0.293071)*D34</f>
        <v>28957.460129910341</v>
      </c>
      <c r="G34" s="167"/>
      <c r="H34" s="232"/>
      <c r="I34" s="167"/>
      <c r="J34" s="1"/>
      <c r="K34" s="1"/>
      <c r="L34" s="1"/>
      <c r="M34" s="1"/>
      <c r="N34" s="1"/>
    </row>
    <row r="35" spans="1:16" x14ac:dyDescent="0.3">
      <c r="A35" s="3">
        <v>9</v>
      </c>
      <c r="B35" s="3" t="s">
        <v>141</v>
      </c>
      <c r="C35" s="3" t="str">
        <f>VLOOKUP(B35,'Data availability'!$A$2:$B$91,2,FALSE)</f>
        <v>Main campus</v>
      </c>
      <c r="D35" s="3">
        <v>42019</v>
      </c>
      <c r="E35" s="3" t="str">
        <f>VLOOKUP(B35,'Data availability'!$A$2:$H$91,8,FALSE)</f>
        <v>Office</v>
      </c>
      <c r="F35" s="232" cm="1">
        <f t="array" ref="F35">(_xlfn._xlws.FILTER('Median Monthly EUIs'!$C$3:$C$134, ('Median Monthly EUIs'!$B$3:$B$134='Missing Bldgs - Monthly EUI'!E35) * ('Median Monthly EUIs'!$A$3:$A$134='Missing Bldgs - Monthly EUI'!A35))*0.293071)*D35</f>
        <v>27324.970117205219</v>
      </c>
      <c r="G35" s="167"/>
      <c r="H35" s="232"/>
      <c r="I35" s="167"/>
      <c r="J35" s="1"/>
      <c r="K35" s="1"/>
      <c r="L35" s="1"/>
      <c r="M35" s="1"/>
      <c r="N35" s="1"/>
    </row>
    <row r="36" spans="1:16" x14ac:dyDescent="0.3">
      <c r="A36" s="3">
        <v>10</v>
      </c>
      <c r="B36" s="3" t="s">
        <v>141</v>
      </c>
      <c r="C36" s="3" t="str">
        <f>VLOOKUP(B36,'Data availability'!$A$2:$B$91,2,FALSE)</f>
        <v>Main campus</v>
      </c>
      <c r="D36" s="3">
        <v>42019</v>
      </c>
      <c r="E36" s="3" t="str">
        <f>VLOOKUP(B36,'Data availability'!$A$2:$H$91,8,FALSE)</f>
        <v>Office</v>
      </c>
      <c r="F36" s="232" cm="1">
        <f t="array" ref="F36">(_xlfn._xlws.FILTER('Median Monthly EUIs'!$C$3:$C$134, ('Median Monthly EUIs'!$B$3:$B$134='Missing Bldgs - Monthly EUI'!E36) * ('Median Monthly EUIs'!$A$3:$A$134='Missing Bldgs - Monthly EUI'!A36))*0.293071)*D36</f>
        <v>27098.042863204562</v>
      </c>
      <c r="G36" s="167"/>
      <c r="H36" s="232"/>
      <c r="I36" s="167"/>
      <c r="J36" s="1"/>
      <c r="K36" s="1"/>
      <c r="L36" s="1"/>
      <c r="M36" s="1"/>
      <c r="N36" s="1"/>
    </row>
    <row r="37" spans="1:16" x14ac:dyDescent="0.3">
      <c r="A37" s="3">
        <v>11</v>
      </c>
      <c r="B37" s="3" t="s">
        <v>141</v>
      </c>
      <c r="C37" s="3" t="str">
        <f>VLOOKUP(B37,'Data availability'!$A$2:$B$91,2,FALSE)</f>
        <v>Main campus</v>
      </c>
      <c r="D37" s="3">
        <v>42019</v>
      </c>
      <c r="E37" s="3" t="str">
        <f>VLOOKUP(B37,'Data availability'!$A$2:$H$91,8,FALSE)</f>
        <v>Office</v>
      </c>
      <c r="F37" s="232" cm="1">
        <f t="array" ref="F37">(_xlfn._xlws.FILTER('Median Monthly EUIs'!$C$3:$C$134, ('Median Monthly EUIs'!$B$3:$B$134='Missing Bldgs - Monthly EUI'!E37) * ('Median Monthly EUIs'!$A$3:$A$134='Missing Bldgs - Monthly EUI'!A37))*0.293071)*D37</f>
        <v>26255.86584727544</v>
      </c>
      <c r="G37" s="167"/>
      <c r="H37" s="232"/>
      <c r="I37" s="167"/>
      <c r="J37" s="1"/>
      <c r="K37" s="1"/>
      <c r="L37" s="1"/>
      <c r="M37" s="1"/>
      <c r="N37" s="1"/>
    </row>
    <row r="38" spans="1:16" s="69" customFormat="1" x14ac:dyDescent="0.3">
      <c r="A38" s="64">
        <v>12</v>
      </c>
      <c r="B38" s="64" t="s">
        <v>141</v>
      </c>
      <c r="C38" s="64" t="str">
        <f>VLOOKUP(B38,'Data availability'!$A$2:$B$91,2,FALSE)</f>
        <v>Main campus</v>
      </c>
      <c r="D38" s="64">
        <v>42019</v>
      </c>
      <c r="E38" s="64" t="str">
        <f>VLOOKUP(B38,'Data availability'!$A$2:$H$91,8,FALSE)</f>
        <v>Office</v>
      </c>
      <c r="F38" s="232" cm="1">
        <f t="array" ref="F38">(_xlfn._xlws.FILTER('Median Monthly EUIs'!$C$3:$C$134, ('Median Monthly EUIs'!$B$3:$B$134='Missing Bldgs - Monthly EUI'!E38) * ('Median Monthly EUIs'!$A$3:$A$134='Missing Bldgs - Monthly EUI'!A38))*0.293071)*D38</f>
        <v>28341.08383287588</v>
      </c>
      <c r="G38" s="168"/>
      <c r="H38" s="232"/>
      <c r="I38" s="168"/>
      <c r="J38" s="66"/>
      <c r="K38" s="66"/>
      <c r="L38" s="66"/>
      <c r="M38" s="66"/>
      <c r="N38" s="66"/>
    </row>
    <row r="39" spans="1:16" x14ac:dyDescent="0.3">
      <c r="A39" s="3">
        <v>1</v>
      </c>
      <c r="B39" s="3" t="s">
        <v>407</v>
      </c>
      <c r="C39" s="3" t="str">
        <f>VLOOKUP(B39,'Data availability'!$A$2:$B$91,2,FALSE)</f>
        <v>Main campus</v>
      </c>
      <c r="D39" s="3">
        <f>VLOOKUP(B39,'Data availability'!$A$2:$G$91,7,FALSE)</f>
        <v>16496</v>
      </c>
      <c r="E39" s="3" t="str">
        <f>VLOOKUP(B39,'Data availability'!$A$2:$H$91,8,FALSE)</f>
        <v>Office</v>
      </c>
      <c r="F39" s="232" cm="1">
        <f t="array" ref="F39">(_xlfn._xlws.FILTER('Median Monthly EUIs'!$C$3:$C$134, ('Median Monthly EUIs'!$B$3:$B$134='Missing Bldgs - Monthly EUI'!E39) * ('Median Monthly EUIs'!$A$3:$A$134='Missing Bldgs - Monthly EUI'!A39))*0.293071)*D39</f>
        <v>11280.489609224063</v>
      </c>
      <c r="G39" s="167"/>
      <c r="H39" s="232" cm="1">
        <f t="array" ref="H39">(_xlfn._xlws.FILTER('Median Monthly EUIs'!$E$3:$E$134, ('Median Monthly EUIs'!$B$3:$B$134='Missing Bldgs - Monthly EUI'!E39) * ('Median Monthly EUIs'!$A$3:$A$134='Missing Bldgs - Monthly EUI'!A39))/100)*D39</f>
        <v>711.73017634838709</v>
      </c>
      <c r="I39" s="170" cm="1">
        <f t="array" ref="I39">(_xlfn._xlws.FILTER('Median Monthly EUIs'!$F$3:$F$134, ('Median Monthly EUIs'!$B$3:$B$134='Missing Bldgs - Monthly EUI'!E39) * ('Median Monthly EUIs'!$A$3:$A$134='Missing Bldgs - Monthly EUI'!A39))*0.0833333333333333)*D39</f>
        <v>596.17119118859853</v>
      </c>
      <c r="J39" s="1">
        <f>SUM(F39:F50)*3.412/D39</f>
        <v>26.957493578620095</v>
      </c>
      <c r="K39" s="1"/>
      <c r="L39" s="1">
        <f>SUM(H39:H50)*100/D39</f>
        <v>27.686710933456919</v>
      </c>
      <c r="M39" s="1">
        <f>SUM(I39:I50)*12/D39</f>
        <v>8.9511196801685955</v>
      </c>
      <c r="N39" s="1">
        <f>SUM(J39:M39)</f>
        <v>63.595324192245606</v>
      </c>
      <c r="P39" s="194"/>
    </row>
    <row r="40" spans="1:16" x14ac:dyDescent="0.3">
      <c r="A40" s="3">
        <v>2</v>
      </c>
      <c r="B40" s="3" t="s">
        <v>407</v>
      </c>
      <c r="C40" s="3" t="str">
        <f>VLOOKUP(B40,'Data availability'!$A$2:$B$91,2,FALSE)</f>
        <v>Main campus</v>
      </c>
      <c r="D40" s="3">
        <f>VLOOKUP(B40,'Data availability'!$A$2:$G$91,7,FALSE)</f>
        <v>16496</v>
      </c>
      <c r="E40" s="3" t="str">
        <f>VLOOKUP(B40,'Data availability'!$A$2:$H$91,8,FALSE)</f>
        <v>Office</v>
      </c>
      <c r="F40" s="232" cm="1">
        <f t="array" ref="F40">(_xlfn._xlws.FILTER('Median Monthly EUIs'!$C$3:$C$134, ('Median Monthly EUIs'!$B$3:$B$134='Missing Bldgs - Monthly EUI'!E40) * ('Median Monthly EUIs'!$A$3:$A$134='Missing Bldgs - Monthly EUI'!A40))*0.293071)*D40</f>
        <v>10715.349360236489</v>
      </c>
      <c r="G40" s="167"/>
      <c r="H40" s="232" cm="1">
        <f t="array" ref="H40">(_xlfn._xlws.FILTER('Median Monthly EUIs'!$E$3:$E$134, ('Median Monthly EUIs'!$B$3:$B$134='Missing Bldgs - Monthly EUI'!E40) * ('Median Monthly EUIs'!$A$3:$A$134='Missing Bldgs - Monthly EUI'!A40))/100)*D40</f>
        <v>692.59919354839053</v>
      </c>
      <c r="I40" s="170" cm="1">
        <f t="array" ref="I40">(_xlfn._xlws.FILTER('Median Monthly EUIs'!$F$3:$F$134, ('Median Monthly EUIs'!$B$3:$B$134='Missing Bldgs - Monthly EUI'!E40) * ('Median Monthly EUIs'!$A$3:$A$134='Missing Bldgs - Monthly EUI'!A40))*0.0833333333333333)*D40</f>
        <v>474.06123109878712</v>
      </c>
      <c r="J40" s="1"/>
      <c r="K40" s="1"/>
      <c r="L40" s="1"/>
      <c r="M40" s="1"/>
      <c r="N40" s="1"/>
    </row>
    <row r="41" spans="1:16" x14ac:dyDescent="0.3">
      <c r="A41" s="3">
        <v>3</v>
      </c>
      <c r="B41" s="3" t="s">
        <v>407</v>
      </c>
      <c r="C41" s="3" t="str">
        <f>VLOOKUP(B41,'Data availability'!$A$2:$B$91,2,FALSE)</f>
        <v>Main campus</v>
      </c>
      <c r="D41" s="3">
        <f>VLOOKUP(B41,'Data availability'!$A$2:$G$91,7,FALSE)</f>
        <v>16496</v>
      </c>
      <c r="E41" s="3" t="str">
        <f>VLOOKUP(B41,'Data availability'!$A$2:$H$91,8,FALSE)</f>
        <v>Office</v>
      </c>
      <c r="F41" s="232" cm="1">
        <f t="array" ref="F41">(_xlfn._xlws.FILTER('Median Monthly EUIs'!$C$3:$C$134, ('Median Monthly EUIs'!$B$3:$B$134='Missing Bldgs - Monthly EUI'!E41) * ('Median Monthly EUIs'!$A$3:$A$134='Missing Bldgs - Monthly EUI'!A41))*0.293071)*D41</f>
        <v>11285.555886772243</v>
      </c>
      <c r="G41" s="167"/>
      <c r="H41" s="232" cm="1">
        <f t="array" ref="H41">(_xlfn._xlws.FILTER('Median Monthly EUIs'!$E$3:$E$134, ('Median Monthly EUIs'!$B$3:$B$134='Missing Bldgs - Monthly EUI'!E41) * ('Median Monthly EUIs'!$A$3:$A$134='Missing Bldgs - Monthly EUI'!A41))/100)*D41</f>
        <v>602.25484892376335</v>
      </c>
      <c r="I41" s="170" cm="1">
        <f t="array" ref="I41">(_xlfn._xlws.FILTER('Median Monthly EUIs'!$F$3:$F$134, ('Median Monthly EUIs'!$B$3:$B$134='Missing Bldgs - Monthly EUI'!E41) * ('Median Monthly EUIs'!$A$3:$A$134='Missing Bldgs - Monthly EUI'!A41))*0.0833333333333333)*D41</f>
        <v>829.46532420648271</v>
      </c>
      <c r="J41" s="1"/>
      <c r="K41" s="1"/>
      <c r="L41" s="1"/>
      <c r="M41" s="1"/>
      <c r="N41" s="1"/>
    </row>
    <row r="42" spans="1:16" x14ac:dyDescent="0.3">
      <c r="A42" s="3">
        <v>4</v>
      </c>
      <c r="B42" s="3" t="s">
        <v>407</v>
      </c>
      <c r="C42" s="3" t="str">
        <f>VLOOKUP(B42,'Data availability'!$A$2:$B$91,2,FALSE)</f>
        <v>Main campus</v>
      </c>
      <c r="D42" s="3">
        <f>VLOOKUP(B42,'Data availability'!$A$2:$G$91,7,FALSE)</f>
        <v>16496</v>
      </c>
      <c r="E42" s="3" t="str">
        <f>VLOOKUP(B42,'Data availability'!$A$2:$H$91,8,FALSE)</f>
        <v>Office</v>
      </c>
      <c r="F42" s="232" cm="1">
        <f t="array" ref="F42">(_xlfn._xlws.FILTER('Median Monthly EUIs'!$C$3:$C$134, ('Median Monthly EUIs'!$B$3:$B$134='Missing Bldgs - Monthly EUI'!E42) * ('Median Monthly EUIs'!$A$3:$A$134='Missing Bldgs - Monthly EUI'!A42))*0.293071)*D42</f>
        <v>11212.573302771849</v>
      </c>
      <c r="G42" s="167"/>
      <c r="H42" s="232" cm="1">
        <f t="array" ref="H42">(_xlfn._xlws.FILTER('Median Monthly EUIs'!$E$3:$E$134, ('Median Monthly EUIs'!$B$3:$B$134='Missing Bldgs - Monthly EUI'!E42) * ('Median Monthly EUIs'!$A$3:$A$134='Missing Bldgs - Monthly EUI'!A42))/100)*D42</f>
        <v>369.16797484284876</v>
      </c>
      <c r="I42" s="170" cm="1">
        <f t="array" ref="I42">(_xlfn._xlws.FILTER('Median Monthly EUIs'!$F$3:$F$134, ('Median Monthly EUIs'!$B$3:$B$134='Missing Bldgs - Monthly EUI'!E42) * ('Median Monthly EUIs'!$A$3:$A$134='Missing Bldgs - Monthly EUI'!A42))*0.0833333333333333)*D42</f>
        <v>1094.7127367814091</v>
      </c>
      <c r="J42" s="1"/>
      <c r="K42" s="1"/>
      <c r="L42" s="1"/>
      <c r="M42" s="1"/>
      <c r="N42" s="1"/>
    </row>
    <row r="43" spans="1:16" x14ac:dyDescent="0.3">
      <c r="A43" s="3">
        <v>5</v>
      </c>
      <c r="B43" s="3" t="s">
        <v>407</v>
      </c>
      <c r="C43" s="3" t="str">
        <f>VLOOKUP(B43,'Data availability'!$A$2:$B$91,2,FALSE)</f>
        <v>Main campus</v>
      </c>
      <c r="D43" s="3">
        <f>VLOOKUP(B43,'Data availability'!$A$2:$G$91,7,FALSE)</f>
        <v>16496</v>
      </c>
      <c r="E43" s="3" t="str">
        <f>VLOOKUP(B43,'Data availability'!$A$2:$H$91,8,FALSE)</f>
        <v>Office</v>
      </c>
      <c r="F43" s="232" cm="1">
        <f t="array" ref="F43">(_xlfn._xlws.FILTER('Median Monthly EUIs'!$C$3:$C$134, ('Median Monthly EUIs'!$B$3:$B$134='Missing Bldgs - Monthly EUI'!E43) * ('Median Monthly EUIs'!$A$3:$A$134='Missing Bldgs - Monthly EUI'!A43))*0.293071)*D43</f>
        <v>10695.166878083093</v>
      </c>
      <c r="G43" s="167"/>
      <c r="H43" s="232" cm="1">
        <f t="array" ref="H43">(_xlfn._xlws.FILTER('Median Monthly EUIs'!$E$3:$E$134, ('Median Monthly EUIs'!$B$3:$B$134='Missing Bldgs - Monthly EUI'!E43) * ('Median Monthly EUIs'!$A$3:$A$134='Missing Bldgs - Monthly EUI'!A43))/100)*D43</f>
        <v>275.0576435009437</v>
      </c>
      <c r="I43" s="170" cm="1">
        <f t="array" ref="I43">(_xlfn._xlws.FILTER('Median Monthly EUIs'!$F$3:$F$134, ('Median Monthly EUIs'!$B$3:$B$134='Missing Bldgs - Monthly EUI'!E43) * ('Median Monthly EUIs'!$A$3:$A$134='Missing Bldgs - Monthly EUI'!A43))*0.0833333333333333)*D43</f>
        <v>1272.3454596774325</v>
      </c>
      <c r="J43" s="1"/>
      <c r="K43" s="1"/>
      <c r="L43" s="1"/>
      <c r="M43" s="1"/>
      <c r="N43" s="1"/>
    </row>
    <row r="44" spans="1:16" x14ac:dyDescent="0.3">
      <c r="A44" s="3">
        <v>6</v>
      </c>
      <c r="B44" s="3" t="s">
        <v>407</v>
      </c>
      <c r="C44" s="3" t="str">
        <f>VLOOKUP(B44,'Data availability'!$A$2:$B$91,2,FALSE)</f>
        <v>Main campus</v>
      </c>
      <c r="D44" s="3">
        <f>VLOOKUP(B44,'Data availability'!$A$2:$G$91,7,FALSE)</f>
        <v>16496</v>
      </c>
      <c r="E44" s="3" t="str">
        <f>VLOOKUP(B44,'Data availability'!$A$2:$H$91,8,FALSE)</f>
        <v>Office</v>
      </c>
      <c r="F44" s="232" cm="1">
        <f t="array" ref="F44">(_xlfn._xlws.FILTER('Median Monthly EUIs'!$C$3:$C$134, ('Median Monthly EUIs'!$B$3:$B$134='Missing Bldgs - Monthly EUI'!E44) * ('Median Monthly EUIs'!$A$3:$A$134='Missing Bldgs - Monthly EUI'!A44))*0.293071)*D44</f>
        <v>10313.270697063652</v>
      </c>
      <c r="G44" s="167"/>
      <c r="H44" s="232" cm="1">
        <f t="array" ref="H44">(_xlfn._xlws.FILTER('Median Monthly EUIs'!$E$3:$E$134, ('Median Monthly EUIs'!$B$3:$B$134='Missing Bldgs - Monthly EUI'!E44) * ('Median Monthly EUIs'!$A$3:$A$134='Missing Bldgs - Monthly EUI'!A44))/100)*D44</f>
        <v>172.24065913245917</v>
      </c>
      <c r="I44" s="170" cm="1">
        <f t="array" ref="I44">(_xlfn._xlws.FILTER('Median Monthly EUIs'!$F$3:$F$134, ('Median Monthly EUIs'!$B$3:$B$134='Missing Bldgs - Monthly EUI'!E44) * ('Median Monthly EUIs'!$A$3:$A$134='Missing Bldgs - Monthly EUI'!A44))*0.0833333333333333)*D44</f>
        <v>1194.7149772570908</v>
      </c>
      <c r="J44" s="1"/>
      <c r="K44" s="1"/>
      <c r="L44" s="1"/>
      <c r="M44" s="1"/>
      <c r="N44" s="1"/>
    </row>
    <row r="45" spans="1:16" x14ac:dyDescent="0.3">
      <c r="A45" s="3">
        <v>7</v>
      </c>
      <c r="B45" s="3" t="s">
        <v>407</v>
      </c>
      <c r="C45" s="3" t="str">
        <f>VLOOKUP(B45,'Data availability'!$A$2:$B$91,2,FALSE)</f>
        <v>Main campus</v>
      </c>
      <c r="D45" s="3">
        <f>VLOOKUP(B45,'Data availability'!$A$2:$G$91,7,FALSE)</f>
        <v>16496</v>
      </c>
      <c r="E45" s="3" t="str">
        <f>VLOOKUP(B45,'Data availability'!$A$2:$H$91,8,FALSE)</f>
        <v>Office</v>
      </c>
      <c r="F45" s="232" cm="1">
        <f t="array" ref="F45">(_xlfn._xlws.FILTER('Median Monthly EUIs'!$C$3:$C$134, ('Median Monthly EUIs'!$B$3:$B$134='Missing Bldgs - Monthly EUI'!E45) * ('Median Monthly EUIs'!$A$3:$A$134='Missing Bldgs - Monthly EUI'!A45))*0.293071)*D45</f>
        <v>10661.245991718803</v>
      </c>
      <c r="G45" s="167"/>
      <c r="H45" s="232" cm="1">
        <f t="array" ref="H45">(_xlfn._xlws.FILTER('Median Monthly EUIs'!$E$3:$E$134, ('Median Monthly EUIs'!$B$3:$B$134='Missing Bldgs - Monthly EUI'!E45) * ('Median Monthly EUIs'!$A$3:$A$134='Missing Bldgs - Monthly EUI'!A45))/100)*D45</f>
        <v>175.10101784075064</v>
      </c>
      <c r="I45" s="170" cm="1">
        <f t="array" ref="I45">(_xlfn._xlws.FILTER('Median Monthly EUIs'!$F$3:$F$134, ('Median Monthly EUIs'!$B$3:$B$134='Missing Bldgs - Monthly EUI'!E45) * ('Median Monthly EUIs'!$A$3:$A$134='Missing Bldgs - Monthly EUI'!A45))*0.0833333333333333)*D45</f>
        <v>1353.4886519431607</v>
      </c>
      <c r="J45" s="1"/>
      <c r="K45" s="1"/>
      <c r="L45" s="1"/>
      <c r="M45" s="1"/>
      <c r="N45" s="1"/>
    </row>
    <row r="46" spans="1:16" x14ac:dyDescent="0.3">
      <c r="A46" s="3">
        <v>8</v>
      </c>
      <c r="B46" s="3" t="s">
        <v>407</v>
      </c>
      <c r="C46" s="3" t="str">
        <f>VLOOKUP(B46,'Data availability'!$A$2:$B$91,2,FALSE)</f>
        <v>Main campus</v>
      </c>
      <c r="D46" s="3">
        <f>VLOOKUP(B46,'Data availability'!$A$2:$G$91,7,FALSE)</f>
        <v>16496</v>
      </c>
      <c r="E46" s="3" t="str">
        <f>VLOOKUP(B46,'Data availability'!$A$2:$H$91,8,FALSE)</f>
        <v>Office</v>
      </c>
      <c r="F46" s="232" cm="1">
        <f t="array" ref="F46">(_xlfn._xlws.FILTER('Median Monthly EUIs'!$C$3:$C$134, ('Median Monthly EUIs'!$B$3:$B$134='Missing Bldgs - Monthly EUI'!E46) * ('Median Monthly EUIs'!$A$3:$A$134='Missing Bldgs - Monthly EUI'!A46))*0.293071)*D46</f>
        <v>11368.244420452676</v>
      </c>
      <c r="G46" s="167"/>
      <c r="H46" s="232" cm="1">
        <f t="array" ref="H46">(_xlfn._xlws.FILTER('Median Monthly EUIs'!$E$3:$E$134, ('Median Monthly EUIs'!$B$3:$B$134='Missing Bldgs - Monthly EUI'!E46) * ('Median Monthly EUIs'!$A$3:$A$134='Missing Bldgs - Monthly EUI'!A46))/100)*D46</f>
        <v>135.31023032671106</v>
      </c>
      <c r="I46" s="170" cm="1">
        <f t="array" ref="I46">(_xlfn._xlws.FILTER('Median Monthly EUIs'!$F$3:$F$134, ('Median Monthly EUIs'!$B$3:$B$134='Missing Bldgs - Monthly EUI'!E46) * ('Median Monthly EUIs'!$A$3:$A$134='Missing Bldgs - Monthly EUI'!A46))*0.0833333333333333)*D46</f>
        <v>1400.0468952749277</v>
      </c>
      <c r="J46" s="1"/>
      <c r="K46" s="1"/>
      <c r="L46" s="1"/>
      <c r="M46" s="1"/>
      <c r="N46" s="1"/>
    </row>
    <row r="47" spans="1:16" x14ac:dyDescent="0.3">
      <c r="A47" s="3">
        <v>9</v>
      </c>
      <c r="B47" s="3" t="s">
        <v>407</v>
      </c>
      <c r="C47" s="3" t="str">
        <f>VLOOKUP(B47,'Data availability'!$A$2:$B$91,2,FALSE)</f>
        <v>Main campus</v>
      </c>
      <c r="D47" s="3">
        <f>VLOOKUP(B47,'Data availability'!$A$2:$G$91,7,FALSE)</f>
        <v>16496</v>
      </c>
      <c r="E47" s="3" t="str">
        <f>VLOOKUP(B47,'Data availability'!$A$2:$H$91,8,FALSE)</f>
        <v>Office</v>
      </c>
      <c r="F47" s="232" cm="1">
        <f t="array" ref="F47">(_xlfn._xlws.FILTER('Median Monthly EUIs'!$C$3:$C$134, ('Median Monthly EUIs'!$B$3:$B$134='Missing Bldgs - Monthly EUI'!E47) * ('Median Monthly EUIs'!$A$3:$A$134='Missing Bldgs - Monthly EUI'!A47))*0.293071)*D47</f>
        <v>10727.354459968521</v>
      </c>
      <c r="G47" s="167"/>
      <c r="H47" s="232" cm="1">
        <f t="array" ref="H47">(_xlfn._xlws.FILTER('Median Monthly EUIs'!$E$3:$E$134, ('Median Monthly EUIs'!$B$3:$B$134='Missing Bldgs - Monthly EUI'!E47) * ('Median Monthly EUIs'!$A$3:$A$134='Missing Bldgs - Monthly EUI'!A47))/100)*D47</f>
        <v>160.72548177062407</v>
      </c>
      <c r="I47" s="170" cm="1">
        <f t="array" ref="I47">(_xlfn._xlws.FILTER('Median Monthly EUIs'!$F$3:$F$134, ('Median Monthly EUIs'!$B$3:$B$134='Missing Bldgs - Monthly EUI'!E47) * ('Median Monthly EUIs'!$A$3:$A$134='Missing Bldgs - Monthly EUI'!A47))*0.0833333333333333)*D47</f>
        <v>1228.2891389572608</v>
      </c>
      <c r="J47" s="1"/>
      <c r="K47" s="1"/>
      <c r="L47" s="1"/>
      <c r="M47" s="1"/>
      <c r="N47" s="1"/>
    </row>
    <row r="48" spans="1:16" x14ac:dyDescent="0.3">
      <c r="A48" s="3">
        <v>10</v>
      </c>
      <c r="B48" s="3" t="s">
        <v>407</v>
      </c>
      <c r="C48" s="3" t="str">
        <f>VLOOKUP(B48,'Data availability'!$A$2:$B$91,2,FALSE)</f>
        <v>Main campus</v>
      </c>
      <c r="D48" s="3">
        <f>VLOOKUP(B48,'Data availability'!$A$2:$G$91,7,FALSE)</f>
        <v>16496</v>
      </c>
      <c r="E48" s="3" t="str">
        <f>VLOOKUP(B48,'Data availability'!$A$2:$H$91,8,FALSE)</f>
        <v>Office</v>
      </c>
      <c r="F48" s="232" cm="1">
        <f t="array" ref="F48">(_xlfn._xlws.FILTER('Median Monthly EUIs'!$C$3:$C$134, ('Median Monthly EUIs'!$B$3:$B$134='Missing Bldgs - Monthly EUI'!E48) * ('Median Monthly EUIs'!$A$3:$A$134='Missing Bldgs - Monthly EUI'!A48))*0.293071)*D48</f>
        <v>10638.266381194757</v>
      </c>
      <c r="G48" s="167"/>
      <c r="H48" s="232" cm="1">
        <f t="array" ref="H48">(_xlfn._xlws.FILTER('Median Monthly EUIs'!$E$3:$E$134, ('Median Monthly EUIs'!$B$3:$B$134='Missing Bldgs - Monthly EUI'!E48) * ('Median Monthly EUIs'!$A$3:$A$134='Missing Bldgs - Monthly EUI'!A48))/100)*D48</f>
        <v>235.82155542660368</v>
      </c>
      <c r="I48" s="170" cm="1">
        <f t="array" ref="I48">(_xlfn._xlws.FILTER('Median Monthly EUIs'!$F$3:$F$134, ('Median Monthly EUIs'!$B$3:$B$134='Missing Bldgs - Monthly EUI'!E48) * ('Median Monthly EUIs'!$A$3:$A$134='Missing Bldgs - Monthly EUI'!A48))*0.0833333333333333)*D48</f>
        <v>1226.539880922375</v>
      </c>
      <c r="J48" s="1"/>
      <c r="K48" s="1"/>
      <c r="L48" s="1"/>
      <c r="M48" s="1"/>
      <c r="N48" s="1"/>
    </row>
    <row r="49" spans="1:24" x14ac:dyDescent="0.3">
      <c r="A49" s="3">
        <v>11</v>
      </c>
      <c r="B49" s="3" t="s">
        <v>407</v>
      </c>
      <c r="C49" s="3" t="str">
        <f>VLOOKUP(B49,'Data availability'!$A$2:$B$91,2,FALSE)</f>
        <v>Main campus</v>
      </c>
      <c r="D49" s="3">
        <f>VLOOKUP(B49,'Data availability'!$A$2:$G$91,7,FALSE)</f>
        <v>16496</v>
      </c>
      <c r="E49" s="3" t="str">
        <f>VLOOKUP(B49,'Data availability'!$A$2:$H$91,8,FALSE)</f>
        <v>Office</v>
      </c>
      <c r="F49" s="232" cm="1">
        <f t="array" ref="F49">(_xlfn._xlws.FILTER('Median Monthly EUIs'!$C$3:$C$134, ('Median Monthly EUIs'!$B$3:$B$134='Missing Bldgs - Monthly EUI'!E49) * ('Median Monthly EUIs'!$A$3:$A$134='Missing Bldgs - Monthly EUI'!A49))*0.293071)*D49</f>
        <v>10307.640900941376</v>
      </c>
      <c r="G49" s="167"/>
      <c r="H49" s="232" cm="1">
        <f t="array" ref="H49">(_xlfn._xlws.FILTER('Median Monthly EUIs'!$E$3:$E$134, ('Median Monthly EUIs'!$B$3:$B$134='Missing Bldgs - Monthly EUI'!E49) * ('Median Monthly EUIs'!$A$3:$A$134='Missing Bldgs - Monthly EUI'!A49))/100)*D49</f>
        <v>424.79417060390648</v>
      </c>
      <c r="I49" s="170" cm="1">
        <f t="array" ref="I49">(_xlfn._xlws.FILTER('Median Monthly EUIs'!$F$3:$F$134, ('Median Monthly EUIs'!$B$3:$B$134='Missing Bldgs - Monthly EUI'!E49) * ('Median Monthly EUIs'!$A$3:$A$134='Missing Bldgs - Monthly EUI'!A49))*0.0833333333333333)*D49</f>
        <v>922.76403138220098</v>
      </c>
      <c r="J49" s="1"/>
      <c r="K49" s="1"/>
      <c r="L49" s="1"/>
      <c r="M49" s="1"/>
      <c r="N49" s="1"/>
    </row>
    <row r="50" spans="1:24" s="69" customFormat="1" x14ac:dyDescent="0.3">
      <c r="A50" s="64">
        <v>12</v>
      </c>
      <c r="B50" s="64" t="s">
        <v>407</v>
      </c>
      <c r="C50" s="64" t="str">
        <f>VLOOKUP(B50,'Data availability'!$A$2:$B$91,2,FALSE)</f>
        <v>Main campus</v>
      </c>
      <c r="D50" s="64">
        <f>VLOOKUP(B50,'Data availability'!$A$2:$G$91,7,FALSE)</f>
        <v>16496</v>
      </c>
      <c r="E50" s="64" t="str">
        <f>VLOOKUP(B50,'Data availability'!$A$2:$H$91,8,FALSE)</f>
        <v>Office</v>
      </c>
      <c r="F50" s="232" cm="1">
        <f t="array" ref="F50">(_xlfn._xlws.FILTER('Median Monthly EUIs'!$C$3:$C$134, ('Median Monthly EUIs'!$B$3:$B$134='Missing Bldgs - Monthly EUI'!E50) * ('Median Monthly EUIs'!$A$3:$A$134='Missing Bldgs - Monthly EUI'!A50))*0.293071)*D50</f>
        <v>11126.26475896905</v>
      </c>
      <c r="G50" s="168"/>
      <c r="H50" s="232" cm="1">
        <f t="array" ref="H50">(_xlfn._xlws.FILTER('Median Monthly EUIs'!$E$3:$E$134, ('Median Monthly EUIs'!$B$3:$B$134='Missing Bldgs - Monthly EUI'!E50) * ('Median Monthly EUIs'!$A$3:$A$134='Missing Bldgs - Monthly EUI'!A50))/100)*D50</f>
        <v>612.3968833176649</v>
      </c>
      <c r="I50" s="170" cm="1">
        <f t="array" ref="I50">(_xlfn._xlws.FILTER('Median Monthly EUIs'!$F$3:$F$134, ('Median Monthly EUIs'!$B$3:$B$134='Missing Bldgs - Monthly EUI'!E50) * ('Median Monthly EUIs'!$A$3:$A$134='Missing Bldgs - Monthly EUI'!A50))*0.0833333333333333)*D50</f>
        <v>712.20633498203563</v>
      </c>
      <c r="J50" s="66"/>
      <c r="K50" s="66"/>
      <c r="L50" s="66"/>
      <c r="M50" s="66"/>
      <c r="N50" s="66"/>
      <c r="S50" s="69" t="s">
        <v>647</v>
      </c>
    </row>
    <row r="51" spans="1:24" x14ac:dyDescent="0.3">
      <c r="A51" s="3">
        <v>1</v>
      </c>
      <c r="B51" s="3" t="s">
        <v>412</v>
      </c>
      <c r="C51" s="3" t="str">
        <f>VLOOKUP(B51,'Data availability'!$A$2:$B$91,2,FALSE)</f>
        <v>Main campus</v>
      </c>
      <c r="D51" s="3">
        <f>VLOOKUP(B51,'Data availability'!$A$2:$G$91,7,FALSE)</f>
        <v>8545</v>
      </c>
      <c r="E51" s="3" t="s">
        <v>156</v>
      </c>
      <c r="F51" s="232" cm="1">
        <f t="array" ref="F51">(_xlfn._xlws.FILTER('Median Monthly EUIs'!$H$3:$H$146, ('Median Monthly EUIs'!$B$3:$B$146='Missing Bldgs - Monthly EUI'!E51) * ('Median Monthly EUIs'!$A$3:$A$146='Missing Bldgs - Monthly EUI'!A51))*0.293071)*D51</f>
        <v>11778.602598244943</v>
      </c>
      <c r="G51" s="167"/>
      <c r="H51" s="232">
        <f>S51</f>
        <v>93.541021233707895</v>
      </c>
      <c r="I51" s="170"/>
      <c r="J51" s="1">
        <f>SUM(F51:F62)*3.412/D51</f>
        <v>68.140628267254741</v>
      </c>
      <c r="K51" s="1"/>
      <c r="L51" s="1">
        <f>SUM(H51:H62)*100/D51</f>
        <v>4.3700503970578977</v>
      </c>
      <c r="M51" s="1"/>
      <c r="N51" s="1">
        <f>SUM(J51:M51)</f>
        <v>72.510678664312636</v>
      </c>
      <c r="P51" s="194"/>
      <c r="S51">
        <f t="shared" ref="S51:S62" si="2">(X63*D51)/100</f>
        <v>93.541021233707895</v>
      </c>
    </row>
    <row r="52" spans="1:24" x14ac:dyDescent="0.3">
      <c r="A52" s="3">
        <v>2</v>
      </c>
      <c r="B52" s="3" t="s">
        <v>412</v>
      </c>
      <c r="C52" s="3" t="str">
        <f>VLOOKUP(B52,'Data availability'!$A$2:$B$91,2,FALSE)</f>
        <v>Main campus</v>
      </c>
      <c r="D52" s="3">
        <f>VLOOKUP(B52,'Data availability'!$A$2:$G$91,7,FALSE)</f>
        <v>8545</v>
      </c>
      <c r="E52" s="3" t="s">
        <v>156</v>
      </c>
      <c r="F52" s="232" cm="1">
        <f t="array" ref="F52">(_xlfn._xlws.FILTER('Median Monthly EUIs'!$H$3:$H$146, ('Median Monthly EUIs'!$B$3:$B$146='Missing Bldgs - Monthly EUI'!E52) * ('Median Monthly EUIs'!$A$3:$A$146='Missing Bldgs - Monthly EUI'!A52))*0.293071)*D52</f>
        <v>10915.190993958253</v>
      </c>
      <c r="G52" s="167"/>
      <c r="H52" s="232">
        <f t="shared" ref="H52:H62" si="3">S52</f>
        <v>68.122654797134061</v>
      </c>
      <c r="I52" s="170"/>
      <c r="J52" s="1"/>
      <c r="K52" s="1"/>
      <c r="L52" s="1"/>
      <c r="M52" s="1"/>
      <c r="N52" s="1"/>
      <c r="S52">
        <f t="shared" si="2"/>
        <v>68.122654797134061</v>
      </c>
    </row>
    <row r="53" spans="1:24" x14ac:dyDescent="0.3">
      <c r="A53" s="3">
        <v>3</v>
      </c>
      <c r="B53" s="3" t="s">
        <v>412</v>
      </c>
      <c r="C53" s="3" t="str">
        <f>VLOOKUP(B53,'Data availability'!$A$2:$B$91,2,FALSE)</f>
        <v>Main campus</v>
      </c>
      <c r="D53" s="3">
        <f>VLOOKUP(B53,'Data availability'!$A$2:$G$91,7,FALSE)</f>
        <v>8545</v>
      </c>
      <c r="E53" s="3" t="s">
        <v>156</v>
      </c>
      <c r="F53" s="232" cm="1">
        <f t="array" ref="F53">(_xlfn._xlws.FILTER('Median Monthly EUIs'!$H$3:$H$146, ('Median Monthly EUIs'!$B$3:$B$146='Missing Bldgs - Monthly EUI'!E53) * ('Median Monthly EUIs'!$A$3:$A$146='Missing Bldgs - Monthly EUI'!A53))*0.293071)*D53</f>
        <v>13095.692174830261</v>
      </c>
      <c r="G53" s="167"/>
      <c r="H53" s="232">
        <f t="shared" si="3"/>
        <v>34.497601054563042</v>
      </c>
      <c r="I53" s="170"/>
      <c r="J53" s="1"/>
      <c r="K53" s="1"/>
      <c r="L53" s="1"/>
      <c r="M53" s="1"/>
      <c r="N53" s="1"/>
      <c r="S53">
        <f t="shared" si="2"/>
        <v>34.497601054563042</v>
      </c>
    </row>
    <row r="54" spans="1:24" x14ac:dyDescent="0.3">
      <c r="A54" s="3">
        <v>4</v>
      </c>
      <c r="B54" s="3" t="s">
        <v>412</v>
      </c>
      <c r="C54" s="3" t="str">
        <f>VLOOKUP(B54,'Data availability'!$A$2:$B$91,2,FALSE)</f>
        <v>Main campus</v>
      </c>
      <c r="D54" s="3">
        <f>VLOOKUP(B54,'Data availability'!$A$2:$G$91,7,FALSE)</f>
        <v>8545</v>
      </c>
      <c r="E54" s="3" t="s">
        <v>156</v>
      </c>
      <c r="F54" s="232" cm="1">
        <f t="array" ref="F54">(_xlfn._xlws.FILTER('Median Monthly EUIs'!$H$3:$H$146, ('Median Monthly EUIs'!$B$3:$B$146='Missing Bldgs - Monthly EUI'!E54) * ('Median Monthly EUIs'!$A$3:$A$146='Missing Bldgs - Monthly EUI'!A54))*0.293071)*D54</f>
        <v>14364.531275726986</v>
      </c>
      <c r="G54" s="167"/>
      <c r="H54" s="232">
        <f t="shared" si="3"/>
        <v>15.561869171199946</v>
      </c>
      <c r="I54" s="170"/>
      <c r="J54" s="1"/>
      <c r="K54" s="1"/>
      <c r="L54" s="1"/>
      <c r="M54" s="1"/>
      <c r="N54" s="1"/>
      <c r="S54">
        <f t="shared" si="2"/>
        <v>15.561869171199946</v>
      </c>
    </row>
    <row r="55" spans="1:24" x14ac:dyDescent="0.3">
      <c r="A55" s="3">
        <v>5</v>
      </c>
      <c r="B55" s="3" t="s">
        <v>412</v>
      </c>
      <c r="C55" s="3" t="str">
        <f>VLOOKUP(B55,'Data availability'!$A$2:$B$91,2,FALSE)</f>
        <v>Main campus</v>
      </c>
      <c r="D55" s="3">
        <f>VLOOKUP(B55,'Data availability'!$A$2:$G$91,7,FALSE)</f>
        <v>8545</v>
      </c>
      <c r="E55" s="3" t="s">
        <v>156</v>
      </c>
      <c r="F55" s="232" cm="1">
        <f t="array" ref="F55">(_xlfn._xlws.FILTER('Median Monthly EUIs'!$H$3:$H$146, ('Median Monthly EUIs'!$B$3:$B$146='Missing Bldgs - Monthly EUI'!E55) * ('Median Monthly EUIs'!$A$3:$A$146='Missing Bldgs - Monthly EUI'!A55))*0.293071)*D55</f>
        <v>16006.471858190165</v>
      </c>
      <c r="G55" s="167"/>
      <c r="H55" s="232">
        <f t="shared" si="3"/>
        <v>3.6113924970870817</v>
      </c>
      <c r="I55" s="170"/>
      <c r="J55" s="1"/>
      <c r="K55" s="1"/>
      <c r="L55" s="1"/>
      <c r="M55" s="1"/>
      <c r="N55" s="1"/>
      <c r="S55">
        <f t="shared" si="2"/>
        <v>3.6113924970870817</v>
      </c>
    </row>
    <row r="56" spans="1:24" x14ac:dyDescent="0.3">
      <c r="A56" s="3">
        <v>6</v>
      </c>
      <c r="B56" s="3" t="s">
        <v>412</v>
      </c>
      <c r="C56" s="3" t="str">
        <f>VLOOKUP(B56,'Data availability'!$A$2:$B$91,2,FALSE)</f>
        <v>Main campus</v>
      </c>
      <c r="D56" s="3">
        <f>VLOOKUP(B56,'Data availability'!$A$2:$G$91,7,FALSE)</f>
        <v>8545</v>
      </c>
      <c r="E56" s="3" t="s">
        <v>156</v>
      </c>
      <c r="F56" s="232" cm="1">
        <f t="array" ref="F56">(_xlfn._xlws.FILTER('Median Monthly EUIs'!$H$3:$H$146, ('Median Monthly EUIs'!$B$3:$B$146='Missing Bldgs - Monthly EUI'!E56) * ('Median Monthly EUIs'!$A$3:$A$146='Missing Bldgs - Monthly EUI'!A56))*0.293071)*D56</f>
        <v>14172.753653311978</v>
      </c>
      <c r="G56" s="167"/>
      <c r="H56" s="232">
        <f t="shared" si="3"/>
        <v>0.79805450329719096</v>
      </c>
      <c r="I56" s="170"/>
      <c r="J56" s="1"/>
      <c r="K56" s="1"/>
      <c r="L56" s="1"/>
      <c r="M56" s="1"/>
      <c r="N56" s="1"/>
      <c r="S56">
        <f t="shared" si="2"/>
        <v>0.79805450329719096</v>
      </c>
    </row>
    <row r="57" spans="1:24" x14ac:dyDescent="0.3">
      <c r="A57" s="3">
        <v>7</v>
      </c>
      <c r="B57" s="3" t="s">
        <v>412</v>
      </c>
      <c r="C57" s="3" t="str">
        <f>VLOOKUP(B57,'Data availability'!$A$2:$B$91,2,FALSE)</f>
        <v>Main campus</v>
      </c>
      <c r="D57" s="3">
        <f>VLOOKUP(B57,'Data availability'!$A$2:$G$91,7,FALSE)</f>
        <v>8545</v>
      </c>
      <c r="E57" s="3" t="s">
        <v>156</v>
      </c>
      <c r="F57" s="232" cm="1">
        <f t="array" ref="F57">(_xlfn._xlws.FILTER('Median Monthly EUIs'!$H$3:$H$146, ('Median Monthly EUIs'!$B$3:$B$146='Missing Bldgs - Monthly EUI'!E57) * ('Median Monthly EUIs'!$A$3:$A$146='Missing Bldgs - Monthly EUI'!A57))*0.293071)*D57</f>
        <v>15606.916017298205</v>
      </c>
      <c r="G57" s="167"/>
      <c r="H57" s="232">
        <f t="shared" si="3"/>
        <v>18.08039213566402</v>
      </c>
      <c r="I57" s="170"/>
      <c r="J57" s="1"/>
      <c r="K57" s="1"/>
      <c r="L57" s="1"/>
      <c r="M57" s="1"/>
      <c r="N57" s="1"/>
      <c r="S57">
        <f t="shared" si="2"/>
        <v>18.08039213566402</v>
      </c>
    </row>
    <row r="58" spans="1:24" x14ac:dyDescent="0.3">
      <c r="A58" s="3">
        <v>8</v>
      </c>
      <c r="B58" s="3" t="s">
        <v>412</v>
      </c>
      <c r="C58" s="3" t="str">
        <f>VLOOKUP(B58,'Data availability'!$A$2:$B$91,2,FALSE)</f>
        <v>Main campus</v>
      </c>
      <c r="D58" s="3">
        <f>VLOOKUP(B58,'Data availability'!$A$2:$G$91,7,FALSE)</f>
        <v>8545</v>
      </c>
      <c r="E58" s="3" t="s">
        <v>156</v>
      </c>
      <c r="F58" s="232" cm="1">
        <f t="array" ref="F58">(_xlfn._xlws.FILTER('Median Monthly EUIs'!$H$3:$H$146, ('Median Monthly EUIs'!$B$3:$B$146='Missing Bldgs - Monthly EUI'!E58) * ('Median Monthly EUIs'!$A$3:$A$146='Missing Bldgs - Monthly EUI'!A58))*0.293071)*D58</f>
        <v>16009.239382552862</v>
      </c>
      <c r="G58" s="167"/>
      <c r="H58" s="232">
        <f t="shared" si="3"/>
        <v>9.6870351053299526</v>
      </c>
      <c r="I58" s="170"/>
      <c r="J58" s="1"/>
      <c r="K58" s="1"/>
      <c r="L58" s="1"/>
      <c r="M58" s="1"/>
      <c r="N58" s="1"/>
      <c r="S58">
        <f t="shared" si="2"/>
        <v>9.6870351053299526</v>
      </c>
    </row>
    <row r="59" spans="1:24" x14ac:dyDescent="0.3">
      <c r="A59" s="3">
        <v>9</v>
      </c>
      <c r="B59" s="3" t="s">
        <v>412</v>
      </c>
      <c r="C59" s="3" t="str">
        <f>VLOOKUP(B59,'Data availability'!$A$2:$B$91,2,FALSE)</f>
        <v>Main campus</v>
      </c>
      <c r="D59" s="3">
        <f>VLOOKUP(B59,'Data availability'!$A$2:$G$91,7,FALSE)</f>
        <v>8545</v>
      </c>
      <c r="E59" s="3" t="s">
        <v>156</v>
      </c>
      <c r="F59" s="232" cm="1">
        <f t="array" ref="F59">(_xlfn._xlws.FILTER('Median Monthly EUIs'!$H$3:$H$146, ('Median Monthly EUIs'!$B$3:$B$146='Missing Bldgs - Monthly EUI'!E59) * ('Median Monthly EUIs'!$A$3:$A$146='Missing Bldgs - Monthly EUI'!A59))*0.293071)*D59</f>
        <v>14796.672363066582</v>
      </c>
      <c r="G59" s="167"/>
      <c r="H59" s="232">
        <f t="shared" si="3"/>
        <v>5.9987791437573632</v>
      </c>
      <c r="I59" s="170"/>
      <c r="J59" s="1"/>
      <c r="K59" s="1"/>
      <c r="L59" s="1"/>
      <c r="M59" s="1"/>
      <c r="N59" s="1"/>
      <c r="S59">
        <f t="shared" si="2"/>
        <v>5.9987791437573632</v>
      </c>
    </row>
    <row r="60" spans="1:24" x14ac:dyDescent="0.3">
      <c r="A60" s="3">
        <v>10</v>
      </c>
      <c r="B60" s="3" t="s">
        <v>412</v>
      </c>
      <c r="C60" s="3" t="str">
        <f>VLOOKUP(B60,'Data availability'!$A$2:$B$91,2,FALSE)</f>
        <v>Main campus</v>
      </c>
      <c r="D60" s="3">
        <f>VLOOKUP(B60,'Data availability'!$A$2:$G$91,7,FALSE)</f>
        <v>8545</v>
      </c>
      <c r="E60" s="3" t="s">
        <v>156</v>
      </c>
      <c r="F60" s="232" cm="1">
        <f t="array" ref="F60">(_xlfn._xlws.FILTER('Median Monthly EUIs'!$H$3:$H$146, ('Median Monthly EUIs'!$B$3:$B$146='Missing Bldgs - Monthly EUI'!E60) * ('Median Monthly EUIs'!$A$3:$A$146='Missing Bldgs - Monthly EUI'!A60))*0.293071)*D60</f>
        <v>15720.314651192175</v>
      </c>
      <c r="G60" s="167"/>
      <c r="H60" s="232">
        <f t="shared" si="3"/>
        <v>11.782198327625384</v>
      </c>
      <c r="I60" s="170"/>
      <c r="J60" s="1"/>
      <c r="K60" s="1"/>
      <c r="L60" s="1"/>
      <c r="M60" s="1"/>
      <c r="N60" s="1"/>
      <c r="S60">
        <f t="shared" si="2"/>
        <v>11.782198327625384</v>
      </c>
    </row>
    <row r="61" spans="1:24" x14ac:dyDescent="0.3">
      <c r="A61" s="3">
        <v>11</v>
      </c>
      <c r="B61" s="3" t="s">
        <v>412</v>
      </c>
      <c r="C61" s="3" t="str">
        <f>VLOOKUP(B61,'Data availability'!$A$2:$B$91,2,FALSE)</f>
        <v>Main campus</v>
      </c>
      <c r="D61" s="3">
        <f>VLOOKUP(B61,'Data availability'!$A$2:$G$91,7,FALSE)</f>
        <v>8545</v>
      </c>
      <c r="E61" s="3" t="s">
        <v>156</v>
      </c>
      <c r="F61" s="232" cm="1">
        <f t="array" ref="F61">(_xlfn._xlws.FILTER('Median Monthly EUIs'!$H$3:$H$146, ('Median Monthly EUIs'!$B$3:$B$146='Missing Bldgs - Monthly EUI'!E61) * ('Median Monthly EUIs'!$A$3:$A$146='Missing Bldgs - Monthly EUI'!A61))*0.293071)*D61</f>
        <v>14326.642928104295</v>
      </c>
      <c r="G61" s="167"/>
      <c r="H61" s="232">
        <f t="shared" si="3"/>
        <v>39.71838360050279</v>
      </c>
      <c r="I61" s="170"/>
      <c r="J61" s="1"/>
      <c r="K61" s="1"/>
      <c r="L61" s="1"/>
      <c r="M61" s="1"/>
      <c r="N61" s="1"/>
      <c r="S61">
        <f t="shared" si="2"/>
        <v>39.71838360050279</v>
      </c>
    </row>
    <row r="62" spans="1:24" s="69" customFormat="1" x14ac:dyDescent="0.3">
      <c r="A62" s="64">
        <v>12</v>
      </c>
      <c r="B62" s="64" t="s">
        <v>412</v>
      </c>
      <c r="C62" s="64" t="str">
        <f>VLOOKUP(B62,'Data availability'!$A$2:$B$91,2,FALSE)</f>
        <v>Main campus</v>
      </c>
      <c r="D62" s="64">
        <f>VLOOKUP(B62,'Data availability'!$A$2:$G$91,7,FALSE)</f>
        <v>8545</v>
      </c>
      <c r="E62" s="3" t="s">
        <v>156</v>
      </c>
      <c r="F62" s="232" cm="1">
        <f t="array" ref="F62">(_xlfn._xlws.FILTER('Median Monthly EUIs'!$H$3:$H$146, ('Median Monthly EUIs'!$B$3:$B$146='Missing Bldgs - Monthly EUI'!E62) * ('Median Monthly EUIs'!$A$3:$A$146='Missing Bldgs - Monthly EUI'!A62))*0.293071)*D62</f>
        <v>13858.105908825681</v>
      </c>
      <c r="G62" s="168"/>
      <c r="H62" s="232">
        <f t="shared" si="3"/>
        <v>72.021424858728594</v>
      </c>
      <c r="I62" s="170"/>
      <c r="J62" s="66"/>
      <c r="K62" s="66"/>
      <c r="L62" s="66"/>
      <c r="M62" s="66"/>
      <c r="N62" s="66"/>
      <c r="S62">
        <f t="shared" si="2"/>
        <v>72.021424858728594</v>
      </c>
      <c r="U62" t="s">
        <v>530</v>
      </c>
      <c r="V62" t="s">
        <v>687</v>
      </c>
      <c r="W62" s="69" t="s">
        <v>689</v>
      </c>
      <c r="X62" s="69" t="s">
        <v>688</v>
      </c>
    </row>
    <row r="63" spans="1:24" x14ac:dyDescent="0.3">
      <c r="A63" s="3">
        <v>1</v>
      </c>
      <c r="B63" s="3" t="s">
        <v>417</v>
      </c>
      <c r="C63" s="3" t="str">
        <f>VLOOKUP(B63,'Data availability'!$A$2:$B$91,2,FALSE)</f>
        <v>Main campus</v>
      </c>
      <c r="D63" s="3">
        <f>VLOOKUP(B63,'Data availability'!$A$2:$G$91,7,FALSE)</f>
        <v>2300</v>
      </c>
      <c r="E63" s="3" t="s">
        <v>156</v>
      </c>
      <c r="F63" s="232" cm="1">
        <f t="array" ref="F63">(_xlfn._xlws.FILTER('Median Monthly EUIs'!$H$3:$H$146, ('Median Monthly EUIs'!$B$3:$B$146='Missing Bldgs - Monthly EUI'!E63) * ('Median Monthly EUIs'!$A$3:$A$146='Missing Bldgs - Monthly EUI'!A63))*0.293071)*D63</f>
        <v>3170.3669954316406</v>
      </c>
      <c r="G63" s="232"/>
      <c r="H63" s="232"/>
      <c r="I63" s="170"/>
      <c r="J63" s="1">
        <f>SUM(F63:F74)*3.412/D63</f>
        <v>68.140628267254741</v>
      </c>
      <c r="K63" s="1"/>
      <c r="L63" s="1"/>
      <c r="M63" s="1"/>
      <c r="N63" s="1">
        <f>SUM(J63:M63)</f>
        <v>68.140628267254741</v>
      </c>
      <c r="S63">
        <f t="shared" ref="S63:S74" si="4">(X63*D63)/100</f>
        <v>25.177805598306396</v>
      </c>
      <c r="U63">
        <v>1</v>
      </c>
      <c r="V63">
        <v>0.35151161950617338</v>
      </c>
      <c r="W63">
        <f>(V63/4*D63)/12</f>
        <v>16.843265101337476</v>
      </c>
      <c r="X63">
        <v>1.094687199926365</v>
      </c>
    </row>
    <row r="64" spans="1:24" x14ac:dyDescent="0.3">
      <c r="A64" s="3">
        <v>2</v>
      </c>
      <c r="B64" s="3" t="s">
        <v>417</v>
      </c>
      <c r="C64" s="3" t="str">
        <f>VLOOKUP(B64,'Data availability'!$A$2:$B$91,2,FALSE)</f>
        <v>Main campus</v>
      </c>
      <c r="D64" s="3">
        <f>VLOOKUP(B64,'Data availability'!$A$2:$G$91,7,FALSE)</f>
        <v>2300</v>
      </c>
      <c r="E64" s="3" t="s">
        <v>156</v>
      </c>
      <c r="F64" s="232" cm="1">
        <f t="array" ref="F64">(_xlfn._xlws.FILTER('Median Monthly EUIs'!$H$3:$H$146, ('Median Monthly EUIs'!$B$3:$B$146='Missing Bldgs - Monthly EUI'!E64) * ('Median Monthly EUIs'!$A$3:$A$146='Missing Bldgs - Monthly EUI'!A64))*0.293071)*D64</f>
        <v>2937.968319029138</v>
      </c>
      <c r="G64" s="232"/>
      <c r="H64" s="232"/>
      <c r="I64" s="170"/>
      <c r="J64" s="1"/>
      <c r="K64" s="1"/>
      <c r="L64" s="1"/>
      <c r="M64" s="1"/>
      <c r="N64" s="1"/>
      <c r="S64">
        <f t="shared" si="4"/>
        <v>18.336115393026137</v>
      </c>
      <c r="U64">
        <v>2</v>
      </c>
      <c r="V64">
        <v>0.31291640921810698</v>
      </c>
      <c r="W64">
        <f t="shared" ref="W64:W74" si="5">(V64/4*D64)/12</f>
        <v>14.993911275034293</v>
      </c>
      <c r="X64">
        <v>0.79722240839244074</v>
      </c>
    </row>
    <row r="65" spans="1:24" x14ac:dyDescent="0.3">
      <c r="A65" s="3">
        <v>3</v>
      </c>
      <c r="B65" s="3" t="s">
        <v>417</v>
      </c>
      <c r="C65" s="3" t="str">
        <f>VLOOKUP(B65,'Data availability'!$A$2:$B$91,2,FALSE)</f>
        <v>Main campus</v>
      </c>
      <c r="D65" s="3">
        <f>VLOOKUP(B65,'Data availability'!$A$2:$G$91,7,FALSE)</f>
        <v>2300</v>
      </c>
      <c r="E65" s="3" t="s">
        <v>156</v>
      </c>
      <c r="F65" s="232" cm="1">
        <f t="array" ref="F65">(_xlfn._xlws.FILTER('Median Monthly EUIs'!$H$3:$H$146, ('Median Monthly EUIs'!$B$3:$B$146='Missing Bldgs - Monthly EUI'!E65) * ('Median Monthly EUIs'!$A$3:$A$146='Missing Bldgs - Monthly EUI'!A65))*0.293071)*D65</f>
        <v>3524.8791108378705</v>
      </c>
      <c r="G65" s="232"/>
      <c r="H65" s="232"/>
      <c r="I65" s="170"/>
      <c r="J65" s="1"/>
      <c r="K65" s="1"/>
      <c r="L65" s="1"/>
      <c r="M65" s="1"/>
      <c r="N65" s="1"/>
      <c r="S65">
        <f t="shared" si="4"/>
        <v>9.2854865331181973</v>
      </c>
      <c r="U65">
        <v>3</v>
      </c>
      <c r="V65">
        <v>0.48049108880658459</v>
      </c>
      <c r="W65">
        <f t="shared" si="5"/>
        <v>23.023531338648848</v>
      </c>
      <c r="X65">
        <v>0.40371680578774771</v>
      </c>
    </row>
    <row r="66" spans="1:24" x14ac:dyDescent="0.3">
      <c r="A66" s="3">
        <v>4</v>
      </c>
      <c r="B66" s="3" t="s">
        <v>417</v>
      </c>
      <c r="C66" s="3" t="str">
        <f>VLOOKUP(B66,'Data availability'!$A$2:$B$91,2,FALSE)</f>
        <v>Main campus</v>
      </c>
      <c r="D66" s="3">
        <f>VLOOKUP(B66,'Data availability'!$A$2:$G$91,7,FALSE)</f>
        <v>2300</v>
      </c>
      <c r="E66" s="3" t="s">
        <v>156</v>
      </c>
      <c r="F66" s="232" cm="1">
        <f t="array" ref="F66">(_xlfn._xlws.FILTER('Median Monthly EUIs'!$H$3:$H$146, ('Median Monthly EUIs'!$B$3:$B$146='Missing Bldgs - Monthly EUI'!E66) * ('Median Monthly EUIs'!$A$3:$A$146='Missing Bldgs - Monthly EUI'!A66))*0.293071)*D66</f>
        <v>3866.4039712313715</v>
      </c>
      <c r="G66" s="232"/>
      <c r="H66" s="232"/>
      <c r="I66" s="170"/>
      <c r="J66" s="1"/>
      <c r="K66" s="1"/>
      <c r="L66" s="1"/>
      <c r="M66" s="1"/>
      <c r="N66" s="1"/>
      <c r="S66">
        <f t="shared" si="4"/>
        <v>4.1886833345535255</v>
      </c>
      <c r="U66">
        <v>4</v>
      </c>
      <c r="V66">
        <v>0.17009951530864176</v>
      </c>
      <c r="W66">
        <f t="shared" si="5"/>
        <v>8.150601775205752</v>
      </c>
      <c r="X66">
        <v>0.18211666671971852</v>
      </c>
    </row>
    <row r="67" spans="1:24" x14ac:dyDescent="0.3">
      <c r="A67" s="3">
        <v>5</v>
      </c>
      <c r="B67" s="3" t="s">
        <v>417</v>
      </c>
      <c r="C67" s="3" t="str">
        <f>VLOOKUP(B67,'Data availability'!$A$2:$B$91,2,FALSE)</f>
        <v>Main campus</v>
      </c>
      <c r="D67" s="3">
        <f>VLOOKUP(B67,'Data availability'!$A$2:$G$91,7,FALSE)</f>
        <v>2300</v>
      </c>
      <c r="E67" s="3" t="s">
        <v>156</v>
      </c>
      <c r="F67" s="232" cm="1">
        <f t="array" ref="F67">(_xlfn._xlws.FILTER('Median Monthly EUIs'!$H$3:$H$146, ('Median Monthly EUIs'!$B$3:$B$146='Missing Bldgs - Monthly EUI'!E67) * ('Median Monthly EUIs'!$A$3:$A$146='Missing Bldgs - Monthly EUI'!A67))*0.293071)*D67</f>
        <v>4308.3540402384297</v>
      </c>
      <c r="G67" s="232"/>
      <c r="H67" s="232"/>
      <c r="I67" s="170"/>
      <c r="J67" s="1"/>
      <c r="K67" s="1"/>
      <c r="L67" s="1"/>
      <c r="M67" s="1"/>
      <c r="N67" s="1"/>
      <c r="S67">
        <f t="shared" si="4"/>
        <v>0.97205415369225134</v>
      </c>
      <c r="U67">
        <v>5</v>
      </c>
      <c r="V67">
        <v>0.520321050864198</v>
      </c>
      <c r="W67">
        <f t="shared" si="5"/>
        <v>24.932050353909489</v>
      </c>
      <c r="X67">
        <v>4.2263224073576147E-2</v>
      </c>
    </row>
    <row r="68" spans="1:24" x14ac:dyDescent="0.3">
      <c r="A68" s="3">
        <v>6</v>
      </c>
      <c r="B68" s="3" t="s">
        <v>417</v>
      </c>
      <c r="C68" s="3" t="str">
        <f>VLOOKUP(B68,'Data availability'!$A$2:$B$91,2,FALSE)</f>
        <v>Main campus</v>
      </c>
      <c r="D68" s="3">
        <f>VLOOKUP(B68,'Data availability'!$A$2:$G$91,7,FALSE)</f>
        <v>2300</v>
      </c>
      <c r="E68" s="3" t="s">
        <v>156</v>
      </c>
      <c r="F68" s="232" cm="1">
        <f t="array" ref="F68">(_xlfn._xlws.FILTER('Median Monthly EUIs'!$H$3:$H$146, ('Median Monthly EUIs'!$B$3:$B$146='Missing Bldgs - Monthly EUI'!E68) * ('Median Monthly EUIs'!$A$3:$A$146='Missing Bldgs - Monthly EUI'!A68))*0.293071)*D68</f>
        <v>3814.7844824596314</v>
      </c>
      <c r="G68" s="232"/>
      <c r="H68" s="232"/>
      <c r="I68" s="170"/>
      <c r="J68" s="1"/>
      <c r="K68" s="1"/>
      <c r="L68" s="1"/>
      <c r="M68" s="1"/>
      <c r="N68" s="1"/>
      <c r="S68">
        <f t="shared" si="4"/>
        <v>0.21480694646969448</v>
      </c>
      <c r="U68">
        <v>6</v>
      </c>
      <c r="V68">
        <v>0.69554935415637886</v>
      </c>
      <c r="W68">
        <f t="shared" si="5"/>
        <v>33.328406553326488</v>
      </c>
      <c r="X68">
        <v>9.339432455204107E-3</v>
      </c>
    </row>
    <row r="69" spans="1:24" x14ac:dyDescent="0.3">
      <c r="A69" s="3">
        <v>7</v>
      </c>
      <c r="B69" s="3" t="s">
        <v>417</v>
      </c>
      <c r="C69" s="3" t="str">
        <f>VLOOKUP(B69,'Data availability'!$A$2:$B$91,2,FALSE)</f>
        <v>Main campus</v>
      </c>
      <c r="D69" s="3">
        <f>VLOOKUP(B69,'Data availability'!$A$2:$G$91,7,FALSE)</f>
        <v>2300</v>
      </c>
      <c r="E69" s="3" t="s">
        <v>156</v>
      </c>
      <c r="F69" s="232" cm="1">
        <f t="array" ref="F69">(_xlfn._xlws.FILTER('Median Monthly EUIs'!$H$3:$H$146, ('Median Monthly EUIs'!$B$3:$B$146='Missing Bldgs - Monthly EUI'!E69) * ('Median Monthly EUIs'!$A$3:$A$146='Missing Bldgs - Monthly EUI'!A69))*0.293071)*D69</f>
        <v>4200.8082902031447</v>
      </c>
      <c r="G69" s="232"/>
      <c r="H69" s="232"/>
      <c r="I69" s="170"/>
      <c r="J69" s="1"/>
      <c r="K69" s="1"/>
      <c r="L69" s="1"/>
      <c r="M69" s="1"/>
      <c r="N69" s="1"/>
      <c r="S69">
        <f t="shared" si="4"/>
        <v>4.8665771693419835</v>
      </c>
      <c r="U69">
        <v>7</v>
      </c>
      <c r="V69">
        <v>1.7825624669958853</v>
      </c>
      <c r="W69">
        <f t="shared" si="5"/>
        <v>85.414451543552843</v>
      </c>
      <c r="X69">
        <v>0.21159031171052103</v>
      </c>
    </row>
    <row r="70" spans="1:24" x14ac:dyDescent="0.3">
      <c r="A70" s="3">
        <v>8</v>
      </c>
      <c r="B70" s="3" t="s">
        <v>417</v>
      </c>
      <c r="C70" s="3" t="str">
        <f>VLOOKUP(B70,'Data availability'!$A$2:$B$91,2,FALSE)</f>
        <v>Main campus</v>
      </c>
      <c r="D70" s="3">
        <f>VLOOKUP(B70,'Data availability'!$A$2:$G$91,7,FALSE)</f>
        <v>2300</v>
      </c>
      <c r="E70" s="3" t="s">
        <v>156</v>
      </c>
      <c r="F70" s="232" cm="1">
        <f t="array" ref="F70">(_xlfn._xlws.FILTER('Median Monthly EUIs'!$H$3:$H$146, ('Median Monthly EUIs'!$B$3:$B$146='Missing Bldgs - Monthly EUI'!E70) * ('Median Monthly EUIs'!$A$3:$A$146='Missing Bldgs - Monthly EUI'!A70))*0.293071)*D70</f>
        <v>4309.0989560996586</v>
      </c>
      <c r="G70" s="232"/>
      <c r="H70" s="232"/>
      <c r="I70" s="170"/>
      <c r="J70" s="1"/>
      <c r="K70" s="1"/>
      <c r="L70" s="1"/>
      <c r="M70" s="1"/>
      <c r="N70" s="1"/>
      <c r="S70">
        <f t="shared" si="4"/>
        <v>2.6073938844071254</v>
      </c>
      <c r="U70">
        <v>8</v>
      </c>
      <c r="V70">
        <v>2.1697799958024691</v>
      </c>
      <c r="W70">
        <f t="shared" si="5"/>
        <v>103.9686247988683</v>
      </c>
      <c r="X70">
        <v>0.11336495149596199</v>
      </c>
    </row>
    <row r="71" spans="1:24" x14ac:dyDescent="0.3">
      <c r="A71" s="3">
        <v>9</v>
      </c>
      <c r="B71" s="3" t="s">
        <v>417</v>
      </c>
      <c r="C71" s="3" t="str">
        <f>VLOOKUP(B71,'Data availability'!$A$2:$B$91,2,FALSE)</f>
        <v>Main campus</v>
      </c>
      <c r="D71" s="3">
        <f>VLOOKUP(B71,'Data availability'!$A$2:$G$91,7,FALSE)</f>
        <v>2300</v>
      </c>
      <c r="E71" s="3" t="s">
        <v>156</v>
      </c>
      <c r="F71" s="232" cm="1">
        <f t="array" ref="F71">(_xlfn._xlws.FILTER('Median Monthly EUIs'!$H$3:$H$146, ('Median Monthly EUIs'!$B$3:$B$146='Missing Bldgs - Monthly EUI'!E71) * ('Median Monthly EUIs'!$A$3:$A$146='Missing Bldgs - Monthly EUI'!A71))*0.293071)*D71</f>
        <v>3982.7204722121869</v>
      </c>
      <c r="G71" s="232"/>
      <c r="H71" s="232"/>
      <c r="I71" s="170"/>
      <c r="J71" s="1"/>
      <c r="K71" s="1"/>
      <c r="L71" s="1"/>
      <c r="M71" s="1"/>
      <c r="N71" s="1"/>
      <c r="S71">
        <f t="shared" si="4"/>
        <v>1.6146509105490856</v>
      </c>
      <c r="U71">
        <v>9</v>
      </c>
      <c r="V71">
        <v>1.2461415966255165</v>
      </c>
      <c r="W71">
        <f t="shared" si="5"/>
        <v>59.710951504972662</v>
      </c>
      <c r="X71">
        <v>7.0202213502134153E-2</v>
      </c>
    </row>
    <row r="72" spans="1:24" x14ac:dyDescent="0.3">
      <c r="A72" s="3">
        <v>10</v>
      </c>
      <c r="B72" s="3" t="s">
        <v>417</v>
      </c>
      <c r="C72" s="3" t="str">
        <f>VLOOKUP(B72,'Data availability'!$A$2:$B$91,2,FALSE)</f>
        <v>Main campus</v>
      </c>
      <c r="D72" s="3">
        <f>VLOOKUP(B72,'Data availability'!$A$2:$G$91,7,FALSE)</f>
        <v>2300</v>
      </c>
      <c r="E72" s="3" t="s">
        <v>156</v>
      </c>
      <c r="F72" s="232" cm="1">
        <f t="array" ref="F72">(_xlfn._xlws.FILTER('Median Monthly EUIs'!$H$3:$H$146, ('Median Monthly EUIs'!$B$3:$B$146='Missing Bldgs - Monthly EUI'!E72) * ('Median Monthly EUIs'!$A$3:$A$146='Missing Bldgs - Monthly EUI'!A72))*0.293071)*D72</f>
        <v>4231.3310354291407</v>
      </c>
      <c r="G72" s="232"/>
      <c r="H72" s="232"/>
      <c r="I72" s="170"/>
      <c r="J72" s="1"/>
      <c r="K72" s="1"/>
      <c r="L72" s="1"/>
      <c r="M72" s="1"/>
      <c r="N72" s="1"/>
      <c r="S72">
        <f t="shared" si="4"/>
        <v>3.1713348336498983</v>
      </c>
      <c r="U72">
        <v>10</v>
      </c>
      <c r="V72">
        <v>1.0671288730864175</v>
      </c>
      <c r="W72">
        <f t="shared" si="5"/>
        <v>51.133258502057508</v>
      </c>
      <c r="X72">
        <v>0.1378841232021695</v>
      </c>
    </row>
    <row r="73" spans="1:24" x14ac:dyDescent="0.3">
      <c r="A73" s="3">
        <v>11</v>
      </c>
      <c r="B73" s="3" t="s">
        <v>417</v>
      </c>
      <c r="C73" s="3" t="str">
        <f>VLOOKUP(B73,'Data availability'!$A$2:$B$91,2,FALSE)</f>
        <v>Main campus</v>
      </c>
      <c r="D73" s="3">
        <f>VLOOKUP(B73,'Data availability'!$A$2:$G$91,7,FALSE)</f>
        <v>2300</v>
      </c>
      <c r="E73" s="3" t="s">
        <v>156</v>
      </c>
      <c r="F73" s="232" cm="1">
        <f t="array" ref="F73">(_xlfn._xlws.FILTER('Median Monthly EUIs'!$H$3:$H$146, ('Median Monthly EUIs'!$B$3:$B$146='Missing Bldgs - Monthly EUI'!E73) * ('Median Monthly EUIs'!$A$3:$A$146='Missing Bldgs - Monthly EUI'!A73))*0.293071)*D73</f>
        <v>3856.2058203206411</v>
      </c>
      <c r="G73" s="232"/>
      <c r="H73" s="232"/>
      <c r="I73" s="170"/>
      <c r="J73" s="1"/>
      <c r="K73" s="1"/>
      <c r="L73" s="1"/>
      <c r="M73" s="1"/>
      <c r="N73" s="1"/>
      <c r="S73">
        <f t="shared" si="4"/>
        <v>10.69072934829215</v>
      </c>
      <c r="U73">
        <v>11</v>
      </c>
      <c r="V73">
        <v>0.29682270543209865</v>
      </c>
      <c r="W73">
        <f t="shared" si="5"/>
        <v>14.22275463528806</v>
      </c>
      <c r="X73">
        <v>0.46481431949096302</v>
      </c>
    </row>
    <row r="74" spans="1:24" s="69" customFormat="1" x14ac:dyDescent="0.3">
      <c r="A74" s="64">
        <v>12</v>
      </c>
      <c r="B74" s="64" t="s">
        <v>417</v>
      </c>
      <c r="C74" s="64" t="str">
        <f>VLOOKUP(B74,'Data availability'!$A$2:$B$91,2,FALSE)</f>
        <v>Main campus</v>
      </c>
      <c r="D74" s="64">
        <f>VLOOKUP(B74,'Data availability'!$A$2:$G$91,7,FALSE)</f>
        <v>2300</v>
      </c>
      <c r="E74" s="3" t="s">
        <v>156</v>
      </c>
      <c r="F74" s="232" cm="1">
        <f t="array" ref="F74">(_xlfn._xlws.FILTER('Median Monthly EUIs'!$H$3:$H$146, ('Median Monthly EUIs'!$B$3:$B$146='Missing Bldgs - Monthly EUI'!E74) * ('Median Monthly EUIs'!$A$3:$A$146='Missing Bldgs - Monthly EUI'!A74))*0.293071)*D74</f>
        <v>3730.0928718898849</v>
      </c>
      <c r="G74" s="232"/>
      <c r="H74" s="232"/>
      <c r="I74" s="170"/>
      <c r="J74" s="66"/>
      <c r="K74" s="66"/>
      <c r="L74" s="66"/>
      <c r="M74" s="66"/>
      <c r="N74" s="66"/>
      <c r="S74">
        <f t="shared" si="4"/>
        <v>19.38552102692519</v>
      </c>
      <c r="U74" s="69">
        <v>12</v>
      </c>
      <c r="V74" s="69">
        <v>0.22479484016460943</v>
      </c>
      <c r="W74">
        <f t="shared" si="5"/>
        <v>10.771419424554201</v>
      </c>
      <c r="X74" s="69">
        <v>0.84284874030109525</v>
      </c>
    </row>
    <row r="75" spans="1:24" x14ac:dyDescent="0.3">
      <c r="A75" s="3">
        <v>1</v>
      </c>
      <c r="B75" s="3" t="s">
        <v>419</v>
      </c>
      <c r="C75" s="3" t="str">
        <f>VLOOKUP(B75,'Data availability'!$A$2:$B$91,2,FALSE)</f>
        <v>Main campus</v>
      </c>
      <c r="D75" s="3">
        <f>VLOOKUP(B75,'Data availability'!$A$2:$G$91,7,FALSE)</f>
        <v>13096</v>
      </c>
      <c r="E75" s="3" t="s">
        <v>156</v>
      </c>
      <c r="F75" s="232" cm="1">
        <f t="array" ref="F75">(_xlfn._xlws.FILTER('Median Monthly EUIs'!$H$3:$H$146, ('Median Monthly EUIs'!$B$3:$B$146='Missing Bldgs - Monthly EUI'!E75) * ('Median Monthly EUIs'!$A$3:$A$146='Missing Bldgs - Monthly EUI'!A75))*0.293071)*D75</f>
        <v>18051.793987901201</v>
      </c>
      <c r="G75" s="167"/>
      <c r="H75" s="232">
        <f>S75</f>
        <v>143.36023570235676</v>
      </c>
      <c r="I75" s="172"/>
      <c r="J75" s="1">
        <f>SUM(F75:F86)*3.412/D75</f>
        <v>68.140628267254726</v>
      </c>
      <c r="K75" s="1"/>
      <c r="L75" s="1">
        <f>SUM(H75:H86)*100/D75</f>
        <v>4.3700503970578968</v>
      </c>
      <c r="M75" s="1"/>
      <c r="N75" s="1"/>
      <c r="P75" s="194"/>
      <c r="S75">
        <f t="shared" ref="S75:S86" si="6">(X63*D75)/100</f>
        <v>143.36023570235676</v>
      </c>
    </row>
    <row r="76" spans="1:24" x14ac:dyDescent="0.3">
      <c r="A76" s="3">
        <v>2</v>
      </c>
      <c r="B76" s="3" t="s">
        <v>419</v>
      </c>
      <c r="C76" s="3" t="str">
        <f>VLOOKUP(B76,'Data availability'!$A$2:$B$91,2,FALSE)</f>
        <v>Main campus</v>
      </c>
      <c r="D76" s="3">
        <f>VLOOKUP(B76,'Data availability'!$A$2:$G$91,7,FALSE)</f>
        <v>13096</v>
      </c>
      <c r="E76" s="3" t="s">
        <v>156</v>
      </c>
      <c r="F76" s="232" cm="1">
        <f t="array" ref="F76">(_xlfn._xlws.FILTER('Median Monthly EUIs'!$H$3:$H$146, ('Median Monthly EUIs'!$B$3:$B$146='Missing Bldgs - Monthly EUI'!E76) * ('Median Monthly EUIs'!$A$3:$A$146='Missing Bldgs - Monthly EUI'!A76))*0.293071)*D76</f>
        <v>16728.536133045909</v>
      </c>
      <c r="G76" s="167"/>
      <c r="H76" s="232">
        <f t="shared" ref="H76:H86" si="7">S76</f>
        <v>104.40424660307404</v>
      </c>
      <c r="I76" s="172"/>
      <c r="J76" s="1"/>
      <c r="K76" s="1"/>
      <c r="L76" s="1"/>
      <c r="M76" s="1"/>
      <c r="N76" s="1"/>
      <c r="S76">
        <f t="shared" si="6"/>
        <v>104.40424660307404</v>
      </c>
    </row>
    <row r="77" spans="1:24" x14ac:dyDescent="0.3">
      <c r="A77" s="3">
        <v>3</v>
      </c>
      <c r="B77" s="3" t="s">
        <v>419</v>
      </c>
      <c r="C77" s="3" t="str">
        <f>VLOOKUP(B77,'Data availability'!$A$2:$B$91,2,FALSE)</f>
        <v>Main campus</v>
      </c>
      <c r="D77" s="3">
        <f>VLOOKUP(B77,'Data availability'!$A$2:$G$91,7,FALSE)</f>
        <v>13096</v>
      </c>
      <c r="E77" s="3" t="s">
        <v>156</v>
      </c>
      <c r="F77" s="232" cm="1">
        <f t="array" ref="F77">(_xlfn._xlws.FILTER('Median Monthly EUIs'!$H$3:$H$146, ('Median Monthly EUIs'!$B$3:$B$146='Missing Bldgs - Monthly EUI'!E77) * ('Median Monthly EUIs'!$A$3:$A$146='Missing Bldgs - Monthly EUI'!A77))*0.293071)*D77</f>
        <v>20070.355145883805</v>
      </c>
      <c r="G77" s="167"/>
      <c r="H77" s="232">
        <f t="shared" si="7"/>
        <v>52.870752885963441</v>
      </c>
      <c r="I77" s="172"/>
      <c r="J77" s="1"/>
      <c r="K77" s="1"/>
      <c r="L77" s="1"/>
      <c r="M77" s="1"/>
      <c r="N77" s="1"/>
      <c r="S77">
        <f t="shared" si="6"/>
        <v>52.870752885963441</v>
      </c>
    </row>
    <row r="78" spans="1:24" x14ac:dyDescent="0.3">
      <c r="A78" s="3">
        <v>4</v>
      </c>
      <c r="B78" s="3" t="s">
        <v>419</v>
      </c>
      <c r="C78" s="3" t="str">
        <f>VLOOKUP(B78,'Data availability'!$A$2:$B$91,2,FALSE)</f>
        <v>Main campus</v>
      </c>
      <c r="D78" s="3">
        <f>VLOOKUP(B78,'Data availability'!$A$2:$G$91,7,FALSE)</f>
        <v>13096</v>
      </c>
      <c r="E78" s="3" t="s">
        <v>156</v>
      </c>
      <c r="F78" s="232" cm="1">
        <f t="array" ref="F78">(_xlfn._xlws.FILTER('Median Monthly EUIs'!$H$3:$H$146, ('Median Monthly EUIs'!$B$3:$B$146='Missing Bldgs - Monthly EUI'!E78) * ('Median Monthly EUIs'!$A$3:$A$146='Missing Bldgs - Monthly EUI'!A78))*0.293071)*D78</f>
        <v>22014.968003150454</v>
      </c>
      <c r="G78" s="167"/>
      <c r="H78" s="232">
        <f t="shared" si="7"/>
        <v>23.849998673614337</v>
      </c>
      <c r="I78" s="172"/>
      <c r="J78" s="1"/>
      <c r="K78" s="1"/>
      <c r="L78" s="1"/>
      <c r="M78" s="1"/>
      <c r="N78" s="1"/>
      <c r="S78">
        <f t="shared" si="6"/>
        <v>23.849998673614337</v>
      </c>
    </row>
    <row r="79" spans="1:24" x14ac:dyDescent="0.3">
      <c r="A79" s="3">
        <v>5</v>
      </c>
      <c r="B79" s="3" t="s">
        <v>419</v>
      </c>
      <c r="C79" s="3" t="str">
        <f>VLOOKUP(B79,'Data availability'!$A$2:$B$91,2,FALSE)</f>
        <v>Main campus</v>
      </c>
      <c r="D79" s="3">
        <f>VLOOKUP(B79,'Data availability'!$A$2:$G$91,7,FALSE)</f>
        <v>13096</v>
      </c>
      <c r="E79" s="3" t="s">
        <v>156</v>
      </c>
      <c r="F79" s="232" cm="1">
        <f t="array" ref="F79">(_xlfn._xlws.FILTER('Median Monthly EUIs'!$H$3:$H$146, ('Median Monthly EUIs'!$B$3:$B$146='Missing Bldgs - Monthly EUI'!E79) * ('Median Monthly EUIs'!$A$3:$A$146='Missing Bldgs - Monthly EUI'!A79))*0.293071)*D79</f>
        <v>24531.393265635856</v>
      </c>
      <c r="G79" s="167"/>
      <c r="H79" s="232">
        <f t="shared" si="7"/>
        <v>5.5347918246755317</v>
      </c>
      <c r="I79" s="172"/>
      <c r="J79" s="1"/>
      <c r="K79" s="1"/>
      <c r="L79" s="1"/>
      <c r="M79" s="1"/>
      <c r="N79" s="1"/>
      <c r="S79">
        <f t="shared" si="6"/>
        <v>5.5347918246755317</v>
      </c>
    </row>
    <row r="80" spans="1:24" x14ac:dyDescent="0.3">
      <c r="A80" s="3">
        <v>6</v>
      </c>
      <c r="B80" s="3" t="s">
        <v>419</v>
      </c>
      <c r="C80" s="3" t="str">
        <f>VLOOKUP(B80,'Data availability'!$A$2:$B$91,2,FALSE)</f>
        <v>Main campus</v>
      </c>
      <c r="D80" s="3">
        <f>VLOOKUP(B80,'Data availability'!$A$2:$G$91,7,FALSE)</f>
        <v>13096</v>
      </c>
      <c r="E80" s="3" t="s">
        <v>156</v>
      </c>
      <c r="F80" s="232" cm="1">
        <f t="array" ref="F80">(_xlfn._xlws.FILTER('Median Monthly EUIs'!$H$3:$H$146, ('Median Monthly EUIs'!$B$3:$B$146='Missing Bldgs - Monthly EUI'!E80) * ('Median Monthly EUIs'!$A$3:$A$146='Missing Bldgs - Monthly EUI'!A80))*0.293071)*D80</f>
        <v>21721.051122735364</v>
      </c>
      <c r="G80" s="167"/>
      <c r="H80" s="232">
        <f t="shared" si="7"/>
        <v>1.2230920743335298</v>
      </c>
      <c r="I80" s="172"/>
      <c r="J80" s="1"/>
      <c r="K80" s="1"/>
      <c r="L80" s="1"/>
      <c r="M80" s="1"/>
      <c r="N80" s="1"/>
      <c r="S80">
        <f t="shared" si="6"/>
        <v>1.2230920743335298</v>
      </c>
    </row>
    <row r="81" spans="1:19" x14ac:dyDescent="0.3">
      <c r="A81" s="3">
        <v>7</v>
      </c>
      <c r="B81" s="3" t="s">
        <v>419</v>
      </c>
      <c r="C81" s="3" t="str">
        <f>VLOOKUP(B81,'Data availability'!$A$2:$B$91,2,FALSE)</f>
        <v>Main campus</v>
      </c>
      <c r="D81" s="3">
        <f>VLOOKUP(B81,'Data availability'!$A$2:$G$91,7,FALSE)</f>
        <v>13096</v>
      </c>
      <c r="E81" s="3" t="s">
        <v>156</v>
      </c>
      <c r="F81" s="232" cm="1">
        <f t="array" ref="F81">(_xlfn._xlws.FILTER('Median Monthly EUIs'!$H$3:$H$146, ('Median Monthly EUIs'!$B$3:$B$146='Missing Bldgs - Monthly EUI'!E81) * ('Median Monthly EUIs'!$A$3:$A$146='Missing Bldgs - Monthly EUI'!A81))*0.293071)*D81</f>
        <v>23919.037116739295</v>
      </c>
      <c r="G81" s="167"/>
      <c r="H81" s="232">
        <f t="shared" si="7"/>
        <v>27.709867221609834</v>
      </c>
      <c r="I81" s="172"/>
      <c r="J81" s="1"/>
      <c r="K81" s="1"/>
      <c r="L81" s="1"/>
      <c r="M81" s="1"/>
      <c r="N81" s="1"/>
      <c r="S81">
        <f t="shared" si="6"/>
        <v>27.709867221609834</v>
      </c>
    </row>
    <row r="82" spans="1:19" x14ac:dyDescent="0.3">
      <c r="A82" s="3">
        <v>8</v>
      </c>
      <c r="B82" s="3" t="s">
        <v>419</v>
      </c>
      <c r="C82" s="3" t="str">
        <f>VLOOKUP(B82,'Data availability'!$A$2:$B$91,2,FALSE)</f>
        <v>Main campus</v>
      </c>
      <c r="D82" s="3">
        <f>VLOOKUP(B82,'Data availability'!$A$2:$G$91,7,FALSE)</f>
        <v>13096</v>
      </c>
      <c r="E82" s="3" t="s">
        <v>156</v>
      </c>
      <c r="F82" s="232" cm="1">
        <f t="array" ref="F82">(_xlfn._xlws.FILTER('Median Monthly EUIs'!$H$3:$H$146, ('Median Monthly EUIs'!$B$3:$B$146='Missing Bldgs - Monthly EUI'!E82) * ('Median Monthly EUIs'!$A$3:$A$146='Missing Bldgs - Monthly EUI'!A82))*0.293071)*D82</f>
        <v>24535.634751774403</v>
      </c>
      <c r="G82" s="167"/>
      <c r="H82" s="232">
        <f t="shared" si="7"/>
        <v>14.846274047911182</v>
      </c>
      <c r="I82" s="172"/>
      <c r="J82" s="1"/>
      <c r="K82" s="1"/>
      <c r="L82" s="1"/>
      <c r="M82" s="1"/>
      <c r="N82" s="1"/>
      <c r="S82">
        <f t="shared" si="6"/>
        <v>14.846274047911182</v>
      </c>
    </row>
    <row r="83" spans="1:19" x14ac:dyDescent="0.3">
      <c r="A83" s="3">
        <v>9</v>
      </c>
      <c r="B83" s="3" t="s">
        <v>419</v>
      </c>
      <c r="C83" s="3" t="str">
        <f>VLOOKUP(B83,'Data availability'!$A$2:$B$91,2,FALSE)</f>
        <v>Main campus</v>
      </c>
      <c r="D83" s="3">
        <f>VLOOKUP(B83,'Data availability'!$A$2:$G$91,7,FALSE)</f>
        <v>13096</v>
      </c>
      <c r="E83" s="3" t="s">
        <v>156</v>
      </c>
      <c r="F83" s="232" cm="1">
        <f t="array" ref="F83">(_xlfn._xlws.FILTER('Median Monthly EUIs'!$H$3:$H$146, ('Median Monthly EUIs'!$B$3:$B$146='Missing Bldgs - Monthly EUI'!E83) * ('Median Monthly EUIs'!$A$3:$A$146='Missing Bldgs - Monthly EUI'!A83))*0.293071)*D83</f>
        <v>22677.26404525687</v>
      </c>
      <c r="G83" s="167"/>
      <c r="H83" s="232">
        <f t="shared" si="7"/>
        <v>9.1936818802394882</v>
      </c>
      <c r="I83" s="172"/>
      <c r="J83" s="1"/>
      <c r="K83" s="1"/>
      <c r="L83" s="1"/>
      <c r="M83" s="1"/>
      <c r="N83" s="1"/>
      <c r="S83">
        <f t="shared" si="6"/>
        <v>9.1936818802394882</v>
      </c>
    </row>
    <row r="84" spans="1:19" x14ac:dyDescent="0.3">
      <c r="A84" s="3">
        <v>10</v>
      </c>
      <c r="B84" s="3" t="s">
        <v>419</v>
      </c>
      <c r="C84" s="3" t="str">
        <f>VLOOKUP(B84,'Data availability'!$A$2:$B$91,2,FALSE)</f>
        <v>Main campus</v>
      </c>
      <c r="D84" s="3">
        <f>VLOOKUP(B84,'Data availability'!$A$2:$G$91,7,FALSE)</f>
        <v>13096</v>
      </c>
      <c r="E84" s="3" t="s">
        <v>156</v>
      </c>
      <c r="F84" s="232" cm="1">
        <f t="array" ref="F84">(_xlfn._xlws.FILTER('Median Monthly EUIs'!$H$3:$H$146, ('Median Monthly EUIs'!$B$3:$B$146='Missing Bldgs - Monthly EUI'!E84) * ('Median Monthly EUIs'!$A$3:$A$146='Missing Bldgs - Monthly EUI'!A84))*0.293071)*D84</f>
        <v>24092.830973904358</v>
      </c>
      <c r="G84" s="167"/>
      <c r="H84" s="232">
        <f t="shared" si="7"/>
        <v>18.057304774556119</v>
      </c>
      <c r="I84" s="172"/>
      <c r="J84" s="1"/>
      <c r="K84" s="1"/>
      <c r="L84" s="1"/>
      <c r="M84" s="1"/>
      <c r="N84" s="1"/>
      <c r="S84">
        <f t="shared" si="6"/>
        <v>18.057304774556119</v>
      </c>
    </row>
    <row r="85" spans="1:19" x14ac:dyDescent="0.3">
      <c r="A85" s="3">
        <v>11</v>
      </c>
      <c r="B85" s="3" t="s">
        <v>419</v>
      </c>
      <c r="C85" s="3" t="str">
        <f>VLOOKUP(B85,'Data availability'!$A$2:$B$91,2,FALSE)</f>
        <v>Main campus</v>
      </c>
      <c r="D85" s="3">
        <f>VLOOKUP(B85,'Data availability'!$A$2:$G$91,7,FALSE)</f>
        <v>13096</v>
      </c>
      <c r="E85" s="3" t="s">
        <v>156</v>
      </c>
      <c r="F85" s="232" cm="1">
        <f t="array" ref="F85">(_xlfn._xlws.FILTER('Median Monthly EUIs'!$H$3:$H$146, ('Median Monthly EUIs'!$B$3:$B$146='Missing Bldgs - Monthly EUI'!E85) * ('Median Monthly EUIs'!$A$3:$A$146='Missing Bldgs - Monthly EUI'!A85))*0.293071)*D85</f>
        <v>21956.900618660486</v>
      </c>
      <c r="G85" s="167"/>
      <c r="H85" s="232">
        <f t="shared" si="7"/>
        <v>60.872083280536515</v>
      </c>
      <c r="I85" s="172"/>
      <c r="J85" s="1"/>
      <c r="K85" s="1"/>
      <c r="L85" s="1"/>
      <c r="M85" s="1"/>
      <c r="N85" s="1"/>
      <c r="S85">
        <f t="shared" si="6"/>
        <v>60.872083280536515</v>
      </c>
    </row>
    <row r="86" spans="1:19" s="69" customFormat="1" x14ac:dyDescent="0.3">
      <c r="A86" s="64">
        <v>12</v>
      </c>
      <c r="B86" s="64" t="s">
        <v>419</v>
      </c>
      <c r="C86" s="64" t="str">
        <f>VLOOKUP(B86,'Data availability'!$A$2:$B$91,2,FALSE)</f>
        <v>Main campus</v>
      </c>
      <c r="D86" s="64">
        <f>VLOOKUP(B86,'Data availability'!$A$2:$G$91,7,FALSE)</f>
        <v>13096</v>
      </c>
      <c r="E86" s="3" t="s">
        <v>156</v>
      </c>
      <c r="F86" s="232" cm="1">
        <f t="array" ref="F86">(_xlfn._xlws.FILTER('Median Monthly EUIs'!$H$3:$H$146, ('Median Monthly EUIs'!$B$3:$B$146='Missing Bldgs - Monthly EUI'!E86) * ('Median Monthly EUIs'!$A$3:$A$146='Missing Bldgs - Monthly EUI'!A86))*0.293071)*D86</f>
        <v>21238.8244566391</v>
      </c>
      <c r="G86" s="168"/>
      <c r="H86" s="232">
        <f t="shared" si="7"/>
        <v>110.37947102983144</v>
      </c>
      <c r="I86" s="173"/>
      <c r="J86" s="66"/>
      <c r="K86" s="66"/>
      <c r="L86" s="66"/>
      <c r="M86" s="66"/>
      <c r="N86" s="66"/>
      <c r="S86">
        <f t="shared" si="6"/>
        <v>110.37947102983144</v>
      </c>
    </row>
    <row r="87" spans="1:19" x14ac:dyDescent="0.3">
      <c r="A87" s="3">
        <v>1</v>
      </c>
      <c r="B87" s="3" t="s">
        <v>421</v>
      </c>
      <c r="C87" s="3" t="str">
        <f>VLOOKUP(B87,'Data availability'!$A$2:$B$91,2,FALSE)</f>
        <v>Main campus</v>
      </c>
      <c r="D87" s="3">
        <f>VLOOKUP(B87,'Data availability'!$A$2:$G$91,7,FALSE)</f>
        <v>25391</v>
      </c>
      <c r="E87" s="3" t="str">
        <f>VLOOKUP(B87,'Data availability'!$A$2:$H$91,8,FALSE)</f>
        <v>Office</v>
      </c>
      <c r="F87" s="232" cm="1">
        <f t="array" ref="F87">(_xlfn._xlws.FILTER('Median Monthly EUIs'!$C$3:$C$134, ('Median Monthly EUIs'!$B$3:$B$134='Missing Bldgs - Monthly EUI'!E87) * ('Median Monthly EUIs'!$A$3:$A$134='Missing Bldgs - Monthly EUI'!A87))*0.293071)*D87</f>
        <v>17363.173597709032</v>
      </c>
      <c r="G87" s="167"/>
      <c r="H87" s="232" cm="1">
        <f t="array" ref="H87">(_xlfn._xlws.FILTER('Median Monthly EUIs'!$E$3:$E$134, ('Median Monthly EUIs'!$B$3:$B$134='Missing Bldgs - Monthly EUI'!E87) * ('Median Monthly EUIs'!$A$3:$A$134='Missing Bldgs - Monthly EUI'!A87))/100)*D87</f>
        <v>1095.510481793277</v>
      </c>
      <c r="I87" s="170" cm="1">
        <f t="array" ref="I87">(_xlfn._xlws.FILTER('Median Monthly EUIs'!$F$3:$F$134, ('Median Monthly EUIs'!$B$3:$B$134='Missing Bldgs - Monthly EUI'!E87) * ('Median Monthly EUIs'!$A$3:$A$134='Missing Bldgs - Monthly EUI'!A87))*0.0833333333333333)*D87</f>
        <v>917.63959235388597</v>
      </c>
      <c r="J87" s="1">
        <f>SUM(F87:F98)*3.412/D87</f>
        <v>26.957493578620095</v>
      </c>
      <c r="K87" s="1"/>
      <c r="L87" s="1">
        <f>SUM(H87:H98)*100/D87</f>
        <v>27.686710933456919</v>
      </c>
      <c r="M87" s="1">
        <f>SUM(I87:I98)*12/D87</f>
        <v>8.9511196801685955</v>
      </c>
      <c r="N87" s="1">
        <f>SUM(J87:M87)</f>
        <v>63.595324192245606</v>
      </c>
      <c r="P87" s="194"/>
    </row>
    <row r="88" spans="1:19" x14ac:dyDescent="0.3">
      <c r="A88" s="3">
        <v>2</v>
      </c>
      <c r="B88" s="3" t="s">
        <v>421</v>
      </c>
      <c r="C88" s="3" t="str">
        <f>VLOOKUP(B88,'Data availability'!$A$2:$B$91,2,FALSE)</f>
        <v>Main campus</v>
      </c>
      <c r="D88" s="3">
        <f>VLOOKUP(B88,'Data availability'!$A$2:$G$91,7,FALSE)</f>
        <v>25391</v>
      </c>
      <c r="E88" s="3" t="str">
        <f>VLOOKUP(B88,'Data availability'!$A$2:$H$91,8,FALSE)</f>
        <v>Office</v>
      </c>
      <c r="F88" s="232" cm="1">
        <f t="array" ref="F88">(_xlfn._xlws.FILTER('Median Monthly EUIs'!$C$3:$C$134, ('Median Monthly EUIs'!$B$3:$B$134='Missing Bldgs - Monthly EUI'!E88) * ('Median Monthly EUIs'!$A$3:$A$134='Missing Bldgs - Monthly EUI'!A88))*0.293071)*D88</f>
        <v>16493.29750277429</v>
      </c>
      <c r="G88" s="167"/>
      <c r="H88" s="232" cm="1">
        <f t="array" ref="H88">(_xlfn._xlws.FILTER('Median Monthly EUIs'!$E$3:$E$134, ('Median Monthly EUIs'!$B$3:$B$134='Missing Bldgs - Monthly EUI'!E88) * ('Median Monthly EUIs'!$A$3:$A$134='Missing Bldgs - Monthly EUI'!A88))/100)*D88</f>
        <v>1066.0636592741987</v>
      </c>
      <c r="I88" s="170" cm="1">
        <f t="array" ref="I88">(_xlfn._xlws.FILTER('Median Monthly EUIs'!$F$3:$F$134, ('Median Monthly EUIs'!$B$3:$B$134='Missing Bldgs - Monthly EUI'!E88) * ('Median Monthly EUIs'!$A$3:$A$134='Missing Bldgs - Monthly EUI'!A88))*0.0833333333333333)*D88</f>
        <v>729.68530060798389</v>
      </c>
      <c r="J88" s="1"/>
      <c r="K88" s="1"/>
      <c r="L88" s="1"/>
      <c r="M88" s="1"/>
      <c r="N88" s="1"/>
    </row>
    <row r="89" spans="1:19" x14ac:dyDescent="0.3">
      <c r="A89" s="3">
        <v>3</v>
      </c>
      <c r="B89" s="3" t="s">
        <v>421</v>
      </c>
      <c r="C89" s="3" t="str">
        <f>VLOOKUP(B89,'Data availability'!$A$2:$B$91,2,FALSE)</f>
        <v>Main campus</v>
      </c>
      <c r="D89" s="3">
        <f>VLOOKUP(B89,'Data availability'!$A$2:$G$91,7,FALSE)</f>
        <v>25391</v>
      </c>
      <c r="E89" s="3" t="str">
        <f>VLOOKUP(B89,'Data availability'!$A$2:$H$91,8,FALSE)</f>
        <v>Office</v>
      </c>
      <c r="F89" s="232" cm="1">
        <f t="array" ref="F89">(_xlfn._xlws.FILTER('Median Monthly EUIs'!$C$3:$C$134, ('Median Monthly EUIs'!$B$3:$B$134='Missing Bldgs - Monthly EUI'!E89) * ('Median Monthly EUIs'!$A$3:$A$134='Missing Bldgs - Monthly EUI'!A89))*0.293071)*D89</f>
        <v>17370.971721692167</v>
      </c>
      <c r="G89" s="167"/>
      <c r="H89" s="232" cm="1">
        <f t="array" ref="H89">(_xlfn._xlws.FILTER('Median Monthly EUIs'!$E$3:$E$134, ('Median Monthly EUIs'!$B$3:$B$134='Missing Bldgs - Monthly EUI'!E89) * ('Median Monthly EUIs'!$A$3:$A$134='Missing Bldgs - Monthly EUI'!A89))/100)*D89</f>
        <v>927.00368992624124</v>
      </c>
      <c r="I89" s="170" cm="1">
        <f t="array" ref="I89">(_xlfn._xlws.FILTER('Median Monthly EUIs'!$F$3:$F$134, ('Median Monthly EUIs'!$B$3:$B$134='Missing Bldgs - Monthly EUI'!E89) * ('Median Monthly EUIs'!$A$3:$A$134='Missing Bldgs - Monthly EUI'!A89))*0.0833333333333333)*D89</f>
        <v>1276.7309679271825</v>
      </c>
      <c r="J89" s="1"/>
      <c r="K89" s="1"/>
      <c r="L89" s="1"/>
      <c r="M89" s="1"/>
      <c r="N89" s="1"/>
    </row>
    <row r="90" spans="1:19" x14ac:dyDescent="0.3">
      <c r="A90" s="3">
        <v>4</v>
      </c>
      <c r="B90" s="3" t="s">
        <v>421</v>
      </c>
      <c r="C90" s="3" t="str">
        <f>VLOOKUP(B90,'Data availability'!$A$2:$B$91,2,FALSE)</f>
        <v>Main campus</v>
      </c>
      <c r="D90" s="3">
        <f>VLOOKUP(B90,'Data availability'!$A$2:$G$91,7,FALSE)</f>
        <v>25391</v>
      </c>
      <c r="E90" s="3" t="str">
        <f>VLOOKUP(B90,'Data availability'!$A$2:$H$91,8,FALSE)</f>
        <v>Office</v>
      </c>
      <c r="F90" s="232" cm="1">
        <f t="array" ref="F90">(_xlfn._xlws.FILTER('Median Monthly EUIs'!$C$3:$C$134, ('Median Monthly EUIs'!$B$3:$B$134='Missing Bldgs - Monthly EUI'!E90) * ('Median Monthly EUIs'!$A$3:$A$134='Missing Bldgs - Monthly EUI'!A90))*0.293071)*D90</f>
        <v>17258.635349822987</v>
      </c>
      <c r="G90" s="167"/>
      <c r="H90" s="232" cm="1">
        <f t="array" ref="H90">(_xlfn._xlws.FILTER('Median Monthly EUIs'!$E$3:$E$134, ('Median Monthly EUIs'!$B$3:$B$134='Missing Bldgs - Monthly EUI'!E90) * ('Median Monthly EUIs'!$A$3:$A$134='Missing Bldgs - Monthly EUI'!A90))/100)*D90</f>
        <v>568.23133179163267</v>
      </c>
      <c r="I90" s="170" cm="1">
        <f t="array" ref="I90">(_xlfn._xlws.FILTER('Median Monthly EUIs'!$F$3:$F$134, ('Median Monthly EUIs'!$B$3:$B$134='Missing Bldgs - Monthly EUI'!E90) * ('Median Monthly EUIs'!$A$3:$A$134='Missing Bldgs - Monthly EUI'!A90))*0.0833333333333333)*D90</f>
        <v>1685.0055225276892</v>
      </c>
      <c r="J90" s="1"/>
      <c r="K90" s="1"/>
      <c r="L90" s="1"/>
      <c r="M90" s="1"/>
      <c r="N90" s="1"/>
    </row>
    <row r="91" spans="1:19" x14ac:dyDescent="0.3">
      <c r="A91" s="3">
        <v>5</v>
      </c>
      <c r="B91" s="3" t="s">
        <v>421</v>
      </c>
      <c r="C91" s="3" t="str">
        <f>VLOOKUP(B91,'Data availability'!$A$2:$B$91,2,FALSE)</f>
        <v>Main campus</v>
      </c>
      <c r="D91" s="3">
        <f>VLOOKUP(B91,'Data availability'!$A$2:$G$91,7,FALSE)</f>
        <v>25391</v>
      </c>
      <c r="E91" s="3" t="str">
        <f>VLOOKUP(B91,'Data availability'!$A$2:$H$91,8,FALSE)</f>
        <v>Office</v>
      </c>
      <c r="F91" s="232" cm="1">
        <f t="array" ref="F91">(_xlfn._xlws.FILTER('Median Monthly EUIs'!$C$3:$C$134, ('Median Monthly EUIs'!$B$3:$B$134='Missing Bldgs - Monthly EUI'!E91) * ('Median Monthly EUIs'!$A$3:$A$134='Missing Bldgs - Monthly EUI'!A91))*0.293071)*D91</f>
        <v>16462.232189707069</v>
      </c>
      <c r="G91" s="167"/>
      <c r="H91" s="232" cm="1">
        <f t="array" ref="H91">(_xlfn._xlws.FILTER('Median Monthly EUIs'!$E$3:$E$134, ('Median Monthly EUIs'!$B$3:$B$134='Missing Bldgs - Monthly EUI'!E91) * ('Median Monthly EUIs'!$A$3:$A$134='Missing Bldgs - Monthly EUI'!A91))/100)*D91</f>
        <v>423.3746742320842</v>
      </c>
      <c r="I91" s="170" cm="1">
        <f t="array" ref="I91">(_xlfn._xlws.FILTER('Median Monthly EUIs'!$F$3:$F$134, ('Median Monthly EUIs'!$B$3:$B$134='Missing Bldgs - Monthly EUI'!E91) * ('Median Monthly EUIs'!$A$3:$A$134='Missing Bldgs - Monthly EUI'!A91))*0.0833333333333333)*D91</f>
        <v>1958.4216517137297</v>
      </c>
      <c r="J91" s="1"/>
      <c r="K91" s="1"/>
      <c r="L91" s="1"/>
      <c r="M91" s="1"/>
      <c r="N91" s="1"/>
    </row>
    <row r="92" spans="1:19" x14ac:dyDescent="0.3">
      <c r="A92" s="3">
        <v>6</v>
      </c>
      <c r="B92" s="3" t="s">
        <v>421</v>
      </c>
      <c r="C92" s="3" t="str">
        <f>VLOOKUP(B92,'Data availability'!$A$2:$B$91,2,FALSE)</f>
        <v>Main campus</v>
      </c>
      <c r="D92" s="3">
        <f>VLOOKUP(B92,'Data availability'!$A$2:$G$91,7,FALSE)</f>
        <v>25391</v>
      </c>
      <c r="E92" s="3" t="str">
        <f>VLOOKUP(B92,'Data availability'!$A$2:$H$91,8,FALSE)</f>
        <v>Office</v>
      </c>
      <c r="F92" s="232" cm="1">
        <f t="array" ref="F92">(_xlfn._xlws.FILTER('Median Monthly EUIs'!$C$3:$C$134, ('Median Monthly EUIs'!$B$3:$B$134='Missing Bldgs - Monthly EUI'!E92) * ('Median Monthly EUIs'!$A$3:$A$134='Missing Bldgs - Monthly EUI'!A92))*0.293071)*D92</f>
        <v>15874.409327663869</v>
      </c>
      <c r="G92" s="167"/>
      <c r="H92" s="232" cm="1">
        <f t="array" ref="H92">(_xlfn._xlws.FILTER('Median Monthly EUIs'!$E$3:$E$134, ('Median Monthly EUIs'!$B$3:$B$134='Missing Bldgs - Monthly EUI'!E92) * ('Median Monthly EUIs'!$A$3:$A$134='Missing Bldgs - Monthly EUI'!A92))/100)*D92</f>
        <v>265.11654801359549</v>
      </c>
      <c r="I92" s="170" cm="1">
        <f t="array" ref="I92">(_xlfn._xlws.FILTER('Median Monthly EUIs'!$F$3:$F$134, ('Median Monthly EUIs'!$B$3:$B$134='Missing Bldgs - Monthly EUI'!E92) * ('Median Monthly EUIs'!$A$3:$A$134='Missing Bldgs - Monthly EUI'!A92))*0.0833333333333333)*D92</f>
        <v>1838.9311340649122</v>
      </c>
      <c r="J92" s="1"/>
      <c r="K92" s="1"/>
      <c r="L92" s="1"/>
      <c r="M92" s="1"/>
      <c r="N92" s="1"/>
    </row>
    <row r="93" spans="1:19" x14ac:dyDescent="0.3">
      <c r="A93" s="3">
        <v>7</v>
      </c>
      <c r="B93" s="3" t="s">
        <v>421</v>
      </c>
      <c r="C93" s="3" t="str">
        <f>VLOOKUP(B93,'Data availability'!$A$2:$B$91,2,FALSE)</f>
        <v>Main campus</v>
      </c>
      <c r="D93" s="3">
        <f>VLOOKUP(B93,'Data availability'!$A$2:$G$91,7,FALSE)</f>
        <v>25391</v>
      </c>
      <c r="E93" s="3" t="str">
        <f>VLOOKUP(B93,'Data availability'!$A$2:$H$91,8,FALSE)</f>
        <v>Office</v>
      </c>
      <c r="F93" s="232" cm="1">
        <f t="array" ref="F93">(_xlfn._xlws.FILTER('Median Monthly EUIs'!$C$3:$C$134, ('Median Monthly EUIs'!$B$3:$B$134='Missing Bldgs - Monthly EUI'!E93) * ('Median Monthly EUIs'!$A$3:$A$134='Missing Bldgs - Monthly EUI'!A93))*0.293071)*D93</f>
        <v>16410.020427723819</v>
      </c>
      <c r="G93" s="167"/>
      <c r="H93" s="232" cm="1">
        <f t="array" ref="H93">(_xlfn._xlws.FILTER('Median Monthly EUIs'!$E$3:$E$134, ('Median Monthly EUIs'!$B$3:$B$134='Missing Bldgs - Monthly EUI'!E93) * ('Median Monthly EUIs'!$A$3:$A$134='Missing Bldgs - Monthly EUI'!A93))/100)*D93</f>
        <v>269.51927400548612</v>
      </c>
      <c r="I93" s="170" cm="1">
        <f t="array" ref="I93">(_xlfn._xlws.FILTER('Median Monthly EUIs'!$F$3:$F$134, ('Median Monthly EUIs'!$B$3:$B$134='Missing Bldgs - Monthly EUI'!E93) * ('Median Monthly EUIs'!$A$3:$A$134='Missing Bldgs - Monthly EUI'!A93))*0.0833333333333333)*D93</f>
        <v>2083.3190083346744</v>
      </c>
      <c r="J93" s="1"/>
      <c r="K93" s="1"/>
      <c r="L93" s="1"/>
      <c r="M93" s="1"/>
      <c r="N93" s="1"/>
    </row>
    <row r="94" spans="1:19" x14ac:dyDescent="0.3">
      <c r="A94" s="3">
        <v>8</v>
      </c>
      <c r="B94" s="3" t="s">
        <v>421</v>
      </c>
      <c r="C94" s="3" t="str">
        <f>VLOOKUP(B94,'Data availability'!$A$2:$B$91,2,FALSE)</f>
        <v>Main campus</v>
      </c>
      <c r="D94" s="3">
        <f>VLOOKUP(B94,'Data availability'!$A$2:$G$91,7,FALSE)</f>
        <v>25391</v>
      </c>
      <c r="E94" s="3" t="str">
        <f>VLOOKUP(B94,'Data availability'!$A$2:$H$91,8,FALSE)</f>
        <v>Office</v>
      </c>
      <c r="F94" s="232" cm="1">
        <f t="array" ref="F94">(_xlfn._xlws.FILTER('Median Monthly EUIs'!$C$3:$C$134, ('Median Monthly EUIs'!$B$3:$B$134='Missing Bldgs - Monthly EUI'!E94) * ('Median Monthly EUIs'!$A$3:$A$134='Missing Bldgs - Monthly EUI'!A94))*0.293071)*D94</f>
        <v>17498.247701243567</v>
      </c>
      <c r="G94" s="167"/>
      <c r="H94" s="232" cm="1">
        <f t="array" ref="H94">(_xlfn._xlws.FILTER('Median Monthly EUIs'!$E$3:$E$134, ('Median Monthly EUIs'!$B$3:$B$134='Missing Bldgs - Monthly EUI'!E94) * ('Median Monthly EUIs'!$A$3:$A$134='Missing Bldgs - Monthly EUI'!A94))/100)*D94</f>
        <v>208.27243320959752</v>
      </c>
      <c r="I94" s="170" cm="1">
        <f t="array" ref="I94">(_xlfn._xlws.FILTER('Median Monthly EUIs'!$F$3:$F$134, ('Median Monthly EUIs'!$B$3:$B$134='Missing Bldgs - Monthly EUI'!E94) * ('Median Monthly EUIs'!$A$3:$A$134='Missing Bldgs - Monthly EUI'!A94))*0.0833333333333333)*D94</f>
        <v>2154.9824635017994</v>
      </c>
      <c r="J94" s="1"/>
      <c r="K94" s="1"/>
      <c r="L94" s="1"/>
      <c r="M94" s="1"/>
      <c r="N94" s="1"/>
    </row>
    <row r="95" spans="1:19" x14ac:dyDescent="0.3">
      <c r="A95" s="3">
        <v>9</v>
      </c>
      <c r="B95" s="3" t="s">
        <v>421</v>
      </c>
      <c r="C95" s="3" t="str">
        <f>VLOOKUP(B95,'Data availability'!$A$2:$B$91,2,FALSE)</f>
        <v>Main campus</v>
      </c>
      <c r="D95" s="3">
        <f>VLOOKUP(B95,'Data availability'!$A$2:$G$91,7,FALSE)</f>
        <v>25391</v>
      </c>
      <c r="E95" s="3" t="str">
        <f>VLOOKUP(B95,'Data availability'!$A$2:$H$91,8,FALSE)</f>
        <v>Office</v>
      </c>
      <c r="F95" s="232" cm="1">
        <f t="array" ref="F95">(_xlfn._xlws.FILTER('Median Monthly EUIs'!$C$3:$C$134, ('Median Monthly EUIs'!$B$3:$B$134='Missing Bldgs - Monthly EUI'!E95) * ('Median Monthly EUIs'!$A$3:$A$134='Missing Bldgs - Monthly EUI'!A95))*0.293071)*D95</f>
        <v>16511.776011945971</v>
      </c>
      <c r="G95" s="167"/>
      <c r="H95" s="232" cm="1">
        <f t="array" ref="H95">(_xlfn._xlws.FILTER('Median Monthly EUIs'!$E$3:$E$134, ('Median Monthly EUIs'!$B$3:$B$134='Missing Bldgs - Monthly EUI'!E95) * ('Median Monthly EUIs'!$A$3:$A$134='Missing Bldgs - Monthly EUI'!A95))/100)*D95</f>
        <v>247.39213795089211</v>
      </c>
      <c r="I95" s="170" cm="1">
        <f t="array" ref="I95">(_xlfn._xlws.FILTER('Median Monthly EUIs'!$F$3:$F$134, ('Median Monthly EUIs'!$B$3:$B$134='Missing Bldgs - Monthly EUI'!E95) * ('Median Monthly EUIs'!$A$3:$A$134='Missing Bldgs - Monthly EUI'!A95))*0.0833333333333333)*D95</f>
        <v>1890.6092099456721</v>
      </c>
      <c r="J95" s="1"/>
      <c r="K95" s="1"/>
      <c r="L95" s="1"/>
      <c r="M95" s="1"/>
      <c r="N95" s="1"/>
    </row>
    <row r="96" spans="1:19" x14ac:dyDescent="0.3">
      <c r="A96" s="3">
        <v>10</v>
      </c>
      <c r="B96" s="3" t="s">
        <v>421</v>
      </c>
      <c r="C96" s="3" t="str">
        <f>VLOOKUP(B96,'Data availability'!$A$2:$B$91,2,FALSE)</f>
        <v>Main campus</v>
      </c>
      <c r="D96" s="3">
        <f>VLOOKUP(B96,'Data availability'!$A$2:$G$91,7,FALSE)</f>
        <v>25391</v>
      </c>
      <c r="E96" s="3" t="str">
        <f>VLOOKUP(B96,'Data availability'!$A$2:$H$91,8,FALSE)</f>
        <v>Office</v>
      </c>
      <c r="F96" s="232" cm="1">
        <f t="array" ref="F96">(_xlfn._xlws.FILTER('Median Monthly EUIs'!$C$3:$C$134, ('Median Monthly EUIs'!$B$3:$B$134='Missing Bldgs - Monthly EUI'!E96) * ('Median Monthly EUIs'!$A$3:$A$134='Missing Bldgs - Monthly EUI'!A96))*0.293071)*D96</f>
        <v>16374.649714168045</v>
      </c>
      <c r="G96" s="167"/>
      <c r="H96" s="232" cm="1">
        <f t="array" ref="H96">(_xlfn._xlws.FILTER('Median Monthly EUIs'!$E$3:$E$134, ('Median Monthly EUIs'!$B$3:$B$134='Missing Bldgs - Monthly EUI'!E96) * ('Median Monthly EUIs'!$A$3:$A$134='Missing Bldgs - Monthly EUI'!A96))/100)*D96</f>
        <v>362.98163881164487</v>
      </c>
      <c r="I96" s="170" cm="1">
        <f t="array" ref="I96">(_xlfn._xlws.FILTER('Median Monthly EUIs'!$F$3:$F$134, ('Median Monthly EUIs'!$B$3:$B$134='Missing Bldgs - Monthly EUI'!E96) * ('Median Monthly EUIs'!$A$3:$A$134='Missing Bldgs - Monthly EUI'!A96))*0.0833333333333333)*D96</f>
        <v>1887.9167141428238</v>
      </c>
      <c r="J96" s="1"/>
      <c r="K96" s="1"/>
      <c r="L96" s="1"/>
      <c r="M96" s="1"/>
      <c r="N96" s="1"/>
    </row>
    <row r="97" spans="1:16" x14ac:dyDescent="0.3">
      <c r="A97" s="3">
        <v>11</v>
      </c>
      <c r="B97" s="3" t="s">
        <v>421</v>
      </c>
      <c r="C97" s="3" t="str">
        <f>VLOOKUP(B97,'Data availability'!$A$2:$B$91,2,FALSE)</f>
        <v>Main campus</v>
      </c>
      <c r="D97" s="3">
        <f>VLOOKUP(B97,'Data availability'!$A$2:$G$91,7,FALSE)</f>
        <v>25391</v>
      </c>
      <c r="E97" s="3" t="str">
        <f>VLOOKUP(B97,'Data availability'!$A$2:$H$91,8,FALSE)</f>
        <v>Office</v>
      </c>
      <c r="F97" s="232" cm="1">
        <f t="array" ref="F97">(_xlfn._xlws.FILTER('Median Monthly EUIs'!$C$3:$C$134, ('Median Monthly EUIs'!$B$3:$B$134='Missing Bldgs - Monthly EUI'!E97) * ('Median Monthly EUIs'!$A$3:$A$134='Missing Bldgs - Monthly EUI'!A97))*0.293071)*D97</f>
        <v>15865.743823702865</v>
      </c>
      <c r="G97" s="167"/>
      <c r="H97" s="232" cm="1">
        <f t="array" ref="H97">(_xlfn._xlws.FILTER('Median Monthly EUIs'!$E$3:$E$134, ('Median Monthly EUIs'!$B$3:$B$134='Missing Bldgs - Monthly EUI'!E97) * ('Median Monthly EUIs'!$A$3:$A$134='Missing Bldgs - Monthly EUI'!A97))/100)*D97</f>
        <v>653.85237547307156</v>
      </c>
      <c r="I97" s="170" cm="1">
        <f t="array" ref="I97">(_xlfn._xlws.FILTER('Median Monthly EUIs'!$F$3:$F$134, ('Median Monthly EUIs'!$B$3:$B$134='Missing Bldgs - Monthly EUI'!E97) * ('Median Monthly EUIs'!$A$3:$A$134='Missing Bldgs - Monthly EUI'!A97))*0.0833333333333333)*D97</f>
        <v>1420.3383560151228</v>
      </c>
      <c r="J97" s="1"/>
      <c r="K97" s="1"/>
      <c r="L97" s="1"/>
      <c r="M97" s="1"/>
      <c r="N97" s="1"/>
    </row>
    <row r="98" spans="1:16" x14ac:dyDescent="0.3">
      <c r="A98" s="3">
        <v>12</v>
      </c>
      <c r="B98" s="3" t="s">
        <v>421</v>
      </c>
      <c r="C98" s="3" t="str">
        <f>VLOOKUP(B98,'Data availability'!$A$2:$B$91,2,FALSE)</f>
        <v>Main campus</v>
      </c>
      <c r="D98" s="3">
        <f>VLOOKUP(B98,'Data availability'!$A$2:$G$91,7,FALSE)</f>
        <v>25391</v>
      </c>
      <c r="E98" s="3" t="str">
        <f>VLOOKUP(B98,'Data availability'!$A$2:$H$91,8,FALSE)</f>
        <v>Office</v>
      </c>
      <c r="F98" s="232" cm="1">
        <f t="array" ref="F98">(_xlfn._xlws.FILTER('Median Monthly EUIs'!$C$3:$C$134, ('Median Monthly EUIs'!$B$3:$B$134='Missing Bldgs - Monthly EUI'!E98) * ('Median Monthly EUIs'!$A$3:$A$134='Missing Bldgs - Monthly EUI'!A98))*0.293071)*D98</f>
        <v>17125.787372392286</v>
      </c>
      <c r="G98" s="167"/>
      <c r="H98" s="232" cm="1">
        <f t="array" ref="H98">(_xlfn._xlws.FILTER('Median Monthly EUIs'!$E$3:$E$134, ('Median Monthly EUIs'!$B$3:$B$134='Missing Bldgs - Monthly EUI'!E98) * ('Median Monthly EUIs'!$A$3:$A$134='Missing Bldgs - Monthly EUI'!A98))/100)*D98</f>
        <v>942.61452863232478</v>
      </c>
      <c r="I98" s="170" cm="1">
        <f t="array" ref="I98">(_xlfn._xlws.FILTER('Median Monthly EUIs'!$F$3:$F$134, ('Median Monthly EUIs'!$B$3:$B$134='Missing Bldgs - Monthly EUI'!E98) * ('Median Monthly EUIs'!$A$3:$A$134='Missing Bldgs - Monthly EUI'!A98))*0.0833333333333333)*D98</f>
        <v>1096.2433954612552</v>
      </c>
      <c r="J98" s="1"/>
      <c r="K98" s="1"/>
      <c r="L98" s="1"/>
      <c r="M98" s="1"/>
      <c r="N98" s="1"/>
    </row>
    <row r="99" spans="1:16" x14ac:dyDescent="0.3">
      <c r="A99" s="3">
        <v>1</v>
      </c>
      <c r="B99" s="22" t="s">
        <v>158</v>
      </c>
      <c r="C99" s="3" t="str">
        <f>VLOOKUP(B99,'Data availability'!$A$2:$B$91,2,FALSE)</f>
        <v>Main campus</v>
      </c>
      <c r="D99" s="3">
        <f>VLOOKUP(B99,'Data availability'!$A$2:$G$91,7,FALSE)</f>
        <v>73315</v>
      </c>
      <c r="E99" s="3" t="str">
        <f>VLOOKUP(B99,'Data availability'!$A$2:$H$91,8,FALSE)</f>
        <v>Academic</v>
      </c>
      <c r="F99" s="1"/>
      <c r="G99" s="1"/>
      <c r="H99" s="232" cm="1">
        <f t="array" ref="H99">(_xlfn._xlws.FILTER('Median Monthly EUIs'!$E$3:$E$134, ('Median Monthly EUIs'!$B$3:$B$134='Missing Bldgs - Monthly EUI'!E99) * ('Median Monthly EUIs'!$A$3:$A$134='Missing Bldgs - Monthly EUI'!A99))/100)*D99</f>
        <v>3280.4860030216332</v>
      </c>
      <c r="I99" s="1"/>
      <c r="J99" s="1"/>
      <c r="K99" s="1"/>
      <c r="L99" s="1">
        <f>SUM(H99:H110)*100/D99</f>
        <v>29.063241548834547</v>
      </c>
      <c r="M99" s="1"/>
      <c r="N99" s="1"/>
      <c r="P99" s="194"/>
    </row>
    <row r="100" spans="1:16" x14ac:dyDescent="0.3">
      <c r="A100" s="3">
        <v>2</v>
      </c>
      <c r="B100" s="3" t="s">
        <v>158</v>
      </c>
      <c r="C100" s="3" t="str">
        <f>VLOOKUP(B100,'Data availability'!$A$2:$B$91,2,FALSE)</f>
        <v>Main campus</v>
      </c>
      <c r="D100" s="3">
        <f>VLOOKUP(B100,'Data availability'!$A$2:$G$91,7,FALSE)</f>
        <v>73315</v>
      </c>
      <c r="E100" s="3" t="str">
        <f>VLOOKUP(B100,'Data availability'!$A$2:$H$91,8,FALSE)</f>
        <v>Academic</v>
      </c>
      <c r="F100" s="1"/>
      <c r="G100" s="1"/>
      <c r="H100" s="232" cm="1">
        <f t="array" ref="H100">(_xlfn._xlws.FILTER('Median Monthly EUIs'!$E$3:$E$134, ('Median Monthly EUIs'!$B$3:$B$134='Missing Bldgs - Monthly EUI'!E100) * ('Median Monthly EUIs'!$A$3:$A$134='Missing Bldgs - Monthly EUI'!A100))/100)*D100</f>
        <v>2280.9483165102442</v>
      </c>
      <c r="I100" s="1"/>
      <c r="J100" s="1"/>
      <c r="K100" s="1"/>
      <c r="L100" s="1"/>
      <c r="M100" s="1"/>
      <c r="N100" s="1"/>
    </row>
    <row r="101" spans="1:16" x14ac:dyDescent="0.3">
      <c r="A101" s="3">
        <v>3</v>
      </c>
      <c r="B101" s="3" t="s">
        <v>158</v>
      </c>
      <c r="C101" s="3" t="str">
        <f>VLOOKUP(B101,'Data availability'!$A$2:$B$91,2,FALSE)</f>
        <v>Main campus</v>
      </c>
      <c r="D101" s="3">
        <f>VLOOKUP(B101,'Data availability'!$A$2:$G$91,7,FALSE)</f>
        <v>73315</v>
      </c>
      <c r="E101" s="3" t="str">
        <f>VLOOKUP(B101,'Data availability'!$A$2:$H$91,8,FALSE)</f>
        <v>Academic</v>
      </c>
      <c r="F101" s="1"/>
      <c r="G101" s="1"/>
      <c r="H101" s="232" cm="1">
        <f t="array" ref="H101">(_xlfn._xlws.FILTER('Median Monthly EUIs'!$E$3:$E$134, ('Median Monthly EUIs'!$B$3:$B$134='Missing Bldgs - Monthly EUI'!E101) * ('Median Monthly EUIs'!$A$3:$A$134='Missing Bldgs - Monthly EUI'!A101))/100)*D101</f>
        <v>3101.0817363219094</v>
      </c>
      <c r="I101" s="1"/>
      <c r="J101" s="1"/>
      <c r="K101" s="1"/>
      <c r="L101" s="1"/>
      <c r="M101" s="1"/>
      <c r="N101" s="1"/>
    </row>
    <row r="102" spans="1:16" x14ac:dyDescent="0.3">
      <c r="A102" s="3">
        <v>4</v>
      </c>
      <c r="B102" s="3" t="s">
        <v>158</v>
      </c>
      <c r="C102" s="3" t="str">
        <f>VLOOKUP(B102,'Data availability'!$A$2:$B$91,2,FALSE)</f>
        <v>Main campus</v>
      </c>
      <c r="D102" s="3">
        <f>VLOOKUP(B102,'Data availability'!$A$2:$G$91,7,FALSE)</f>
        <v>73315</v>
      </c>
      <c r="E102" s="3" t="str">
        <f>VLOOKUP(B102,'Data availability'!$A$2:$H$91,8,FALSE)</f>
        <v>Academic</v>
      </c>
      <c r="F102" s="1"/>
      <c r="G102" s="1"/>
      <c r="H102" s="232" cm="1">
        <f t="array" ref="H102">(_xlfn._xlws.FILTER('Median Monthly EUIs'!$E$3:$E$134, ('Median Monthly EUIs'!$B$3:$B$134='Missing Bldgs - Monthly EUI'!E102) * ('Median Monthly EUIs'!$A$3:$A$134='Missing Bldgs - Monthly EUI'!A102))/100)*D102</f>
        <v>2102.7320722370459</v>
      </c>
      <c r="I102" s="1"/>
      <c r="J102" s="1"/>
      <c r="K102" s="1"/>
      <c r="L102" s="1"/>
      <c r="M102" s="1"/>
      <c r="N102" s="1"/>
    </row>
    <row r="103" spans="1:16" x14ac:dyDescent="0.3">
      <c r="A103" s="3">
        <v>5</v>
      </c>
      <c r="B103" s="3" t="s">
        <v>158</v>
      </c>
      <c r="C103" s="3" t="str">
        <f>VLOOKUP(B103,'Data availability'!$A$2:$B$91,2,FALSE)</f>
        <v>Main campus</v>
      </c>
      <c r="D103" s="3">
        <f>VLOOKUP(B103,'Data availability'!$A$2:$G$91,7,FALSE)</f>
        <v>73315</v>
      </c>
      <c r="E103" s="3" t="str">
        <f>VLOOKUP(B103,'Data availability'!$A$2:$H$91,8,FALSE)</f>
        <v>Academic</v>
      </c>
      <c r="F103" s="1"/>
      <c r="G103" s="1"/>
      <c r="H103" s="232" cm="1">
        <f t="array" ref="H103">(_xlfn._xlws.FILTER('Median Monthly EUIs'!$E$3:$E$134, ('Median Monthly EUIs'!$B$3:$B$134='Missing Bldgs - Monthly EUI'!E103) * ('Median Monthly EUIs'!$A$3:$A$134='Missing Bldgs - Monthly EUI'!A103))/100)*D103</f>
        <v>1750.4611582530272</v>
      </c>
      <c r="I103" s="1"/>
      <c r="J103" s="1"/>
      <c r="K103" s="1"/>
      <c r="L103" s="1"/>
      <c r="M103" s="1"/>
      <c r="N103" s="1"/>
    </row>
    <row r="104" spans="1:16" x14ac:dyDescent="0.3">
      <c r="A104" s="3">
        <v>6</v>
      </c>
      <c r="B104" s="3" t="s">
        <v>158</v>
      </c>
      <c r="C104" s="3" t="str">
        <f>VLOOKUP(B104,'Data availability'!$A$2:$B$91,2,FALSE)</f>
        <v>Main campus</v>
      </c>
      <c r="D104" s="3">
        <f>VLOOKUP(B104,'Data availability'!$A$2:$G$91,7,FALSE)</f>
        <v>73315</v>
      </c>
      <c r="E104" s="3" t="str">
        <f>VLOOKUP(B104,'Data availability'!$A$2:$H$91,8,FALSE)</f>
        <v>Academic</v>
      </c>
      <c r="F104" s="1"/>
      <c r="G104" s="1"/>
      <c r="H104" s="232" cm="1">
        <f t="array" ref="H104">(_xlfn._xlws.FILTER('Median Monthly EUIs'!$E$3:$E$134, ('Median Monthly EUIs'!$B$3:$B$134='Missing Bldgs - Monthly EUI'!E104) * ('Median Monthly EUIs'!$A$3:$A$134='Missing Bldgs - Monthly EUI'!A104))/100)*D104</f>
        <v>790.1194897932254</v>
      </c>
      <c r="I104" s="1"/>
      <c r="J104" s="1"/>
      <c r="K104" s="1"/>
      <c r="L104" s="1"/>
      <c r="M104" s="1"/>
      <c r="N104" s="1"/>
    </row>
    <row r="105" spans="1:16" x14ac:dyDescent="0.3">
      <c r="A105" s="3">
        <v>7</v>
      </c>
      <c r="B105" s="3" t="s">
        <v>158</v>
      </c>
      <c r="C105" s="3" t="str">
        <f>VLOOKUP(B105,'Data availability'!$A$2:$B$91,2,FALSE)</f>
        <v>Main campus</v>
      </c>
      <c r="D105" s="3">
        <f>VLOOKUP(B105,'Data availability'!$A$2:$G$91,7,FALSE)</f>
        <v>73315</v>
      </c>
      <c r="E105" s="3" t="str">
        <f>VLOOKUP(B105,'Data availability'!$A$2:$H$91,8,FALSE)</f>
        <v>Academic</v>
      </c>
      <c r="F105" s="1"/>
      <c r="G105" s="1"/>
      <c r="H105" s="232" cm="1">
        <f t="array" ref="H105">(_xlfn._xlws.FILTER('Median Monthly EUIs'!$E$3:$E$134, ('Median Monthly EUIs'!$B$3:$B$134='Missing Bldgs - Monthly EUI'!E105) * ('Median Monthly EUIs'!$A$3:$A$134='Missing Bldgs - Monthly EUI'!A105))/100)*D105</f>
        <v>658.17112481852291</v>
      </c>
      <c r="I105" s="1"/>
      <c r="J105" s="1"/>
      <c r="K105" s="1"/>
      <c r="L105" s="1"/>
      <c r="M105" s="1"/>
      <c r="N105" s="1"/>
    </row>
    <row r="106" spans="1:16" x14ac:dyDescent="0.3">
      <c r="A106" s="3">
        <v>8</v>
      </c>
      <c r="B106" s="3" t="s">
        <v>158</v>
      </c>
      <c r="C106" s="3" t="str">
        <f>VLOOKUP(B106,'Data availability'!$A$2:$B$91,2,FALSE)</f>
        <v>Main campus</v>
      </c>
      <c r="D106" s="3">
        <f>VLOOKUP(B106,'Data availability'!$A$2:$G$91,7,FALSE)</f>
        <v>73315</v>
      </c>
      <c r="E106" s="3" t="str">
        <f>VLOOKUP(B106,'Data availability'!$A$2:$H$91,8,FALSE)</f>
        <v>Academic</v>
      </c>
      <c r="F106" s="1"/>
      <c r="G106" s="1"/>
      <c r="H106" s="232" cm="1">
        <f t="array" ref="H106">(_xlfn._xlws.FILTER('Median Monthly EUIs'!$E$3:$E$134, ('Median Monthly EUIs'!$B$3:$B$134='Missing Bldgs - Monthly EUI'!E106) * ('Median Monthly EUIs'!$A$3:$A$134='Missing Bldgs - Monthly EUI'!A106))/100)*D106</f>
        <v>296.81288865680989</v>
      </c>
      <c r="I106" s="1"/>
      <c r="J106" s="1"/>
      <c r="K106" s="1"/>
      <c r="L106" s="1"/>
      <c r="M106" s="1"/>
      <c r="N106" s="1"/>
    </row>
    <row r="107" spans="1:16" x14ac:dyDescent="0.3">
      <c r="A107" s="3">
        <v>9</v>
      </c>
      <c r="B107" s="3" t="s">
        <v>158</v>
      </c>
      <c r="C107" s="3" t="str">
        <f>VLOOKUP(B107,'Data availability'!$A$2:$B$91,2,FALSE)</f>
        <v>Main campus</v>
      </c>
      <c r="D107" s="3">
        <f>VLOOKUP(B107,'Data availability'!$A$2:$G$91,7,FALSE)</f>
        <v>73315</v>
      </c>
      <c r="E107" s="3" t="str">
        <f>VLOOKUP(B107,'Data availability'!$A$2:$H$91,8,FALSE)</f>
        <v>Academic</v>
      </c>
      <c r="F107" s="1"/>
      <c r="G107" s="1"/>
      <c r="H107" s="232" cm="1">
        <f t="array" ref="H107">(_xlfn._xlws.FILTER('Median Monthly EUIs'!$E$3:$E$134, ('Median Monthly EUIs'!$B$3:$B$134='Missing Bldgs - Monthly EUI'!E107) * ('Median Monthly EUIs'!$A$3:$A$134='Missing Bldgs - Monthly EUI'!A107))/100)*D107</f>
        <v>554.12460344791975</v>
      </c>
      <c r="I107" s="1"/>
      <c r="J107" s="1"/>
      <c r="K107" s="1"/>
      <c r="L107" s="1"/>
      <c r="M107" s="1"/>
      <c r="N107" s="1"/>
    </row>
    <row r="108" spans="1:16" x14ac:dyDescent="0.3">
      <c r="A108" s="3">
        <v>10</v>
      </c>
      <c r="B108" s="3" t="s">
        <v>158</v>
      </c>
      <c r="C108" s="3" t="str">
        <f>VLOOKUP(B108,'Data availability'!$A$2:$B$91,2,FALSE)</f>
        <v>Main campus</v>
      </c>
      <c r="D108" s="3">
        <f>VLOOKUP(B108,'Data availability'!$A$2:$G$91,7,FALSE)</f>
        <v>73315</v>
      </c>
      <c r="E108" s="3" t="str">
        <f>VLOOKUP(B108,'Data availability'!$A$2:$H$91,8,FALSE)</f>
        <v>Academic</v>
      </c>
      <c r="F108" s="1"/>
      <c r="G108" s="1"/>
      <c r="H108" s="232" cm="1">
        <f t="array" ref="H108">(_xlfn._xlws.FILTER('Median Monthly EUIs'!$E$3:$E$134, ('Median Monthly EUIs'!$B$3:$B$134='Missing Bldgs - Monthly EUI'!E108) * ('Median Monthly EUIs'!$A$3:$A$134='Missing Bldgs - Monthly EUI'!A108))/100)*D108</f>
        <v>1398.2038041386797</v>
      </c>
      <c r="I108" s="1"/>
      <c r="J108" s="1"/>
      <c r="K108" s="1"/>
      <c r="L108" s="1"/>
      <c r="M108" s="1"/>
      <c r="N108" s="1"/>
    </row>
    <row r="109" spans="1:16" x14ac:dyDescent="0.3">
      <c r="A109" s="3">
        <v>11</v>
      </c>
      <c r="B109" s="3" t="s">
        <v>158</v>
      </c>
      <c r="C109" s="3" t="str">
        <f>VLOOKUP(B109,'Data availability'!$A$2:$B$91,2,FALSE)</f>
        <v>Main campus</v>
      </c>
      <c r="D109" s="3">
        <f>VLOOKUP(B109,'Data availability'!$A$2:$G$91,7,FALSE)</f>
        <v>73315</v>
      </c>
      <c r="E109" s="3" t="str">
        <f>VLOOKUP(B109,'Data availability'!$A$2:$H$91,8,FALSE)</f>
        <v>Academic</v>
      </c>
      <c r="F109" s="1"/>
      <c r="G109" s="1"/>
      <c r="H109" s="232" cm="1">
        <f t="array" ref="H109">(_xlfn._xlws.FILTER('Median Monthly EUIs'!$E$3:$E$134, ('Median Monthly EUIs'!$B$3:$B$134='Missing Bldgs - Monthly EUI'!E109) * ('Median Monthly EUIs'!$A$3:$A$134='Missing Bldgs - Monthly EUI'!A109))/100)*D109</f>
        <v>2719.8860312393399</v>
      </c>
      <c r="I109" s="1"/>
      <c r="J109" s="1"/>
      <c r="K109" s="1"/>
      <c r="L109" s="1"/>
      <c r="M109" s="1"/>
      <c r="N109" s="1"/>
    </row>
    <row r="110" spans="1:16" x14ac:dyDescent="0.3">
      <c r="A110" s="3">
        <v>12</v>
      </c>
      <c r="B110" s="3" t="s">
        <v>158</v>
      </c>
      <c r="C110" s="3" t="str">
        <f>VLOOKUP(B110,'Data availability'!$A$2:$B$91,2,FALSE)</f>
        <v>Main campus</v>
      </c>
      <c r="D110" s="3">
        <f>VLOOKUP(B110,'Data availability'!$A$2:$G$91,7,FALSE)</f>
        <v>73315</v>
      </c>
      <c r="E110" s="3" t="str">
        <f>VLOOKUP(B110,'Data availability'!$A$2:$H$91,8,FALSE)</f>
        <v>Academic</v>
      </c>
      <c r="F110" s="1"/>
      <c r="G110" s="1"/>
      <c r="H110" s="232" cm="1">
        <f t="array" ref="H110">(_xlfn._xlws.FILTER('Median Monthly EUIs'!$E$3:$E$134, ('Median Monthly EUIs'!$B$3:$B$134='Missing Bldgs - Monthly EUI'!E110) * ('Median Monthly EUIs'!$A$3:$A$134='Missing Bldgs - Monthly EUI'!A110))/100)*D110</f>
        <v>2374.6883130896899</v>
      </c>
      <c r="I110" s="1"/>
      <c r="J110" s="1"/>
      <c r="K110" s="1"/>
      <c r="L110" s="1"/>
      <c r="M110" s="1"/>
      <c r="N110" s="1"/>
    </row>
    <row r="111" spans="1:16" x14ac:dyDescent="0.3">
      <c r="A111" s="3">
        <v>1</v>
      </c>
      <c r="B111" s="129" t="s">
        <v>374</v>
      </c>
      <c r="C111" s="3" t="str">
        <f>VLOOKUP(B111,'Data availability'!$A$2:$B$91,2,FALSE)</f>
        <v>Off Campus 4th Street</v>
      </c>
      <c r="D111" s="3">
        <f>VLOOKUP(B111,'Data availability'!$A$2:$G$91,7,FALSE)</f>
        <v>19857</v>
      </c>
      <c r="E111" s="3" t="str">
        <f>VLOOKUP(B111,'Data availability'!$A$2:$H$91,8,FALSE)</f>
        <v>Office</v>
      </c>
      <c r="F111" s="232" cm="1">
        <f t="array" ref="F111">(_xlfn._xlws.FILTER('Median Monthly EUIs'!$H$3:$H$146, ('Median Monthly EUIs'!$B$3:$B$146='Missing Bldgs - Monthly EUI'!E111) * ('Median Monthly EUIs'!$A$3:$A$146='Missing Bldgs - Monthly EUI'!A111))*0.293071)*D111</f>
        <v>13543.420116793943</v>
      </c>
      <c r="G111" s="232" cm="1">
        <f t="array" ref="G111">(_xlfn._xlws.FILTER('Median Monthly EUIs'!$I$3:$I$134, ('Median Monthly EUIs'!$B$3:$B$134='Missing Bldgs - Monthly EUI'!E111) * ('Median Monthly EUIs'!$A$3:$A$134='Missing Bldgs - Monthly EUI'!A111))/100)*D111</f>
        <v>1228.0051563977895</v>
      </c>
      <c r="J111" s="1">
        <f>SUM(F111:F122)*3.412/D111</f>
        <v>32.113818130411289</v>
      </c>
      <c r="K111" s="1"/>
      <c r="L111" s="1">
        <f>SUM(H111:H122)*100/D111</f>
        <v>0</v>
      </c>
      <c r="M111" s="1"/>
      <c r="N111" s="1">
        <f>SUM(J111:M111)</f>
        <v>32.113818130411289</v>
      </c>
    </row>
    <row r="112" spans="1:16" x14ac:dyDescent="0.3">
      <c r="A112" s="3">
        <v>2</v>
      </c>
      <c r="B112" s="129" t="s">
        <v>374</v>
      </c>
      <c r="C112" s="3" t="str">
        <f>VLOOKUP(B112,'Data availability'!$A$2:$B$91,2,FALSE)</f>
        <v>Off Campus 4th Street</v>
      </c>
      <c r="D112" s="3">
        <f>VLOOKUP(B112,'Data availability'!$A$2:$G$91,7,FALSE)</f>
        <v>19857</v>
      </c>
      <c r="E112" s="3" t="str">
        <f>VLOOKUP(B112,'Data availability'!$A$2:$H$91,8,FALSE)</f>
        <v>Office</v>
      </c>
      <c r="F112" s="232" cm="1">
        <f t="array" ref="F112">(_xlfn._xlws.FILTER('Median Monthly EUIs'!$H$3:$H$146, ('Median Monthly EUIs'!$B$3:$B$146='Missing Bldgs - Monthly EUI'!E112) * ('Median Monthly EUIs'!$A$3:$A$146='Missing Bldgs - Monthly EUI'!A112))*0.293071)*D112</f>
        <v>13037.16998891717</v>
      </c>
      <c r="G112" s="232" cm="1">
        <f t="array" ref="G112">(_xlfn._xlws.FILTER('Median Monthly EUIs'!$I$3:$I$134, ('Median Monthly EUIs'!$B$3:$B$134='Missing Bldgs - Monthly EUI'!E112) * ('Median Monthly EUIs'!$A$3:$A$134='Missing Bldgs - Monthly EUI'!A112))/100)*D112</f>
        <v>1237.1248913215691</v>
      </c>
    </row>
    <row r="113" spans="1:14" x14ac:dyDescent="0.3">
      <c r="A113" s="3">
        <v>3</v>
      </c>
      <c r="B113" s="129" t="s">
        <v>374</v>
      </c>
      <c r="C113" s="3" t="str">
        <f>VLOOKUP(B113,'Data availability'!$A$2:$B$91,2,FALSE)</f>
        <v>Off Campus 4th Street</v>
      </c>
      <c r="D113" s="3">
        <f>VLOOKUP(B113,'Data availability'!$A$2:$G$91,7,FALSE)</f>
        <v>19857</v>
      </c>
      <c r="E113" s="3" t="str">
        <f>VLOOKUP(B113,'Data availability'!$A$2:$H$91,8,FALSE)</f>
        <v>Office</v>
      </c>
      <c r="F113" s="232" cm="1">
        <f t="array" ref="F113">(_xlfn._xlws.FILTER('Median Monthly EUIs'!$H$3:$H$146, ('Median Monthly EUIs'!$B$3:$B$146='Missing Bldgs - Monthly EUI'!E113) * ('Median Monthly EUIs'!$A$3:$A$146='Missing Bldgs - Monthly EUI'!A113))*0.293071)*D113</f>
        <v>13570.024103132633</v>
      </c>
      <c r="G113" s="232" cm="1">
        <f t="array" ref="G113">(_xlfn._xlws.FILTER('Median Monthly EUIs'!$I$3:$I$134, ('Median Monthly EUIs'!$B$3:$B$134='Missing Bldgs - Monthly EUI'!E113) * ('Median Monthly EUIs'!$A$3:$A$134='Missing Bldgs - Monthly EUI'!A113))/100)*D113</f>
        <v>1273.1158785068187</v>
      </c>
    </row>
    <row r="114" spans="1:14" x14ac:dyDescent="0.3">
      <c r="A114" s="3">
        <v>4</v>
      </c>
      <c r="B114" s="129" t="s">
        <v>374</v>
      </c>
      <c r="C114" s="3" t="str">
        <f>VLOOKUP(B114,'Data availability'!$A$2:$B$91,2,FALSE)</f>
        <v>Off Campus 4th Street</v>
      </c>
      <c r="D114" s="3">
        <f>VLOOKUP(B114,'Data availability'!$A$2:$G$91,7,FALSE)</f>
        <v>19857</v>
      </c>
      <c r="E114" s="3" t="str">
        <f>VLOOKUP(B114,'Data availability'!$A$2:$H$91,8,FALSE)</f>
        <v>Office</v>
      </c>
      <c r="F114" s="232" cm="1">
        <f t="array" ref="F114">(_xlfn._xlws.FILTER('Median Monthly EUIs'!$H$3:$H$146, ('Median Monthly EUIs'!$B$3:$B$146='Missing Bldgs - Monthly EUI'!E114) * ('Median Monthly EUIs'!$A$3:$A$146='Missing Bldgs - Monthly EUI'!A114))*0.293071)*D114</f>
        <v>13045.53273514781</v>
      </c>
      <c r="G114" s="232" cm="1">
        <f t="array" ref="G114">(_xlfn._xlws.FILTER('Median Monthly EUIs'!$I$3:$I$134, ('Median Monthly EUIs'!$B$3:$B$134='Missing Bldgs - Monthly EUI'!E114) * ('Median Monthly EUIs'!$A$3:$A$134='Missing Bldgs - Monthly EUI'!A114))/100)*D114</f>
        <v>1024.4648696122126</v>
      </c>
    </row>
    <row r="115" spans="1:14" x14ac:dyDescent="0.3">
      <c r="A115" s="3">
        <v>5</v>
      </c>
      <c r="B115" s="129" t="s">
        <v>374</v>
      </c>
      <c r="C115" s="3" t="str">
        <f>VLOOKUP(B115,'Data availability'!$A$2:$B$91,2,FALSE)</f>
        <v>Off Campus 4th Street</v>
      </c>
      <c r="D115" s="3">
        <f>VLOOKUP(B115,'Data availability'!$A$2:$G$91,7,FALSE)</f>
        <v>19857</v>
      </c>
      <c r="E115" s="3" t="str">
        <f>VLOOKUP(B115,'Data availability'!$A$2:$H$91,8,FALSE)</f>
        <v>Office</v>
      </c>
      <c r="F115" s="232" cm="1">
        <f t="array" ref="F115">(_xlfn._xlws.FILTER('Median Monthly EUIs'!$H$3:$H$146, ('Median Monthly EUIs'!$B$3:$B$146='Missing Bldgs - Monthly EUI'!E115) * ('Median Monthly EUIs'!$A$3:$A$146='Missing Bldgs - Monthly EUI'!A115))*0.293071)*D115</f>
        <v>13089.621356442074</v>
      </c>
      <c r="G115" s="232" cm="1">
        <f t="array" ref="G115">(_xlfn._xlws.FILTER('Median Monthly EUIs'!$I$3:$I$134, ('Median Monthly EUIs'!$B$3:$B$134='Missing Bldgs - Monthly EUI'!E115) * ('Median Monthly EUIs'!$A$3:$A$134='Missing Bldgs - Monthly EUI'!A115))/100)*D115</f>
        <v>643.32756834662848</v>
      </c>
    </row>
    <row r="116" spans="1:14" x14ac:dyDescent="0.3">
      <c r="A116" s="3">
        <v>6</v>
      </c>
      <c r="B116" s="129" t="s">
        <v>374</v>
      </c>
      <c r="C116" s="3" t="str">
        <f>VLOOKUP(B116,'Data availability'!$A$2:$B$91,2,FALSE)</f>
        <v>Off Campus 4th Street</v>
      </c>
      <c r="D116" s="3">
        <f>VLOOKUP(B116,'Data availability'!$A$2:$G$91,7,FALSE)</f>
        <v>19857</v>
      </c>
      <c r="E116" s="3" t="str">
        <f>VLOOKUP(B116,'Data availability'!$A$2:$H$91,8,FALSE)</f>
        <v>Office</v>
      </c>
      <c r="F116" s="232" cm="1">
        <f t="array" ref="F116">(_xlfn._xlws.FILTER('Median Monthly EUIs'!$H$3:$H$146, ('Median Monthly EUIs'!$B$3:$B$146='Missing Bldgs - Monthly EUI'!E116) * ('Median Monthly EUIs'!$A$3:$A$146='Missing Bldgs - Monthly EUI'!A116))*0.293071)*D116</f>
        <v>14155.928607992428</v>
      </c>
      <c r="G116" s="232" cm="1">
        <f t="array" ref="G116">(_xlfn._xlws.FILTER('Median Monthly EUIs'!$I$3:$I$134, ('Median Monthly EUIs'!$B$3:$B$134='Missing Bldgs - Monthly EUI'!E116) * ('Median Monthly EUIs'!$A$3:$A$134='Missing Bldgs - Monthly EUI'!A116))/100)*D116</f>
        <v>476.57407066203132</v>
      </c>
    </row>
    <row r="117" spans="1:14" x14ac:dyDescent="0.3">
      <c r="A117" s="3">
        <v>7</v>
      </c>
      <c r="B117" s="129" t="s">
        <v>374</v>
      </c>
      <c r="C117" s="3" t="str">
        <f>VLOOKUP(B117,'Data availability'!$A$2:$B$91,2,FALSE)</f>
        <v>Off Campus 4th Street</v>
      </c>
      <c r="D117" s="3">
        <f>VLOOKUP(B117,'Data availability'!$A$2:$G$91,7,FALSE)</f>
        <v>19857</v>
      </c>
      <c r="E117" s="3" t="str">
        <f>VLOOKUP(B117,'Data availability'!$A$2:$H$91,8,FALSE)</f>
        <v>Office</v>
      </c>
      <c r="F117" s="232" cm="1">
        <f t="array" ref="F117">(_xlfn._xlws.FILTER('Median Monthly EUIs'!$H$3:$H$146, ('Median Monthly EUIs'!$B$3:$B$146='Missing Bldgs - Monthly EUI'!E117) * ('Median Monthly EUIs'!$A$3:$A$146='Missing Bldgs - Monthly EUI'!A117))*0.293071)*D117</f>
        <v>14690.354676788547</v>
      </c>
      <c r="G117" s="232" cm="1">
        <f t="array" ref="G117">(_xlfn._xlws.FILTER('Median Monthly EUIs'!$I$3:$I$134, ('Median Monthly EUIs'!$B$3:$B$134='Missing Bldgs - Monthly EUI'!E117) * ('Median Monthly EUIs'!$A$3:$A$134='Missing Bldgs - Monthly EUI'!A117))/100)*D117</f>
        <v>511.68036528712878</v>
      </c>
    </row>
    <row r="118" spans="1:14" x14ac:dyDescent="0.3">
      <c r="A118" s="3">
        <v>8</v>
      </c>
      <c r="B118" s="129" t="s">
        <v>374</v>
      </c>
      <c r="C118" s="3" t="str">
        <f>VLOOKUP(B118,'Data availability'!$A$2:$B$91,2,FALSE)</f>
        <v>Off Campus 4th Street</v>
      </c>
      <c r="D118" s="3">
        <f>VLOOKUP(B118,'Data availability'!$A$2:$G$91,7,FALSE)</f>
        <v>19857</v>
      </c>
      <c r="E118" s="3" t="str">
        <f>VLOOKUP(B118,'Data availability'!$A$2:$H$91,8,FALSE)</f>
        <v>Office</v>
      </c>
      <c r="F118" s="232" cm="1">
        <f t="array" ref="F118">(_xlfn._xlws.FILTER('Median Monthly EUIs'!$H$3:$H$146, ('Median Monthly EUIs'!$B$3:$B$146='Missing Bldgs - Monthly EUI'!E118) * ('Median Monthly EUIs'!$A$3:$A$146='Missing Bldgs - Monthly EUI'!A118))*0.293071)*D118</f>
        <v>21250.028567555284</v>
      </c>
      <c r="G118" s="232" cm="1">
        <f t="array" ref="G118">(_xlfn._xlws.FILTER('Median Monthly EUIs'!$I$3:$I$134, ('Median Monthly EUIs'!$B$3:$B$134='Missing Bldgs - Monthly EUI'!E118) * ('Median Monthly EUIs'!$A$3:$A$134='Missing Bldgs - Monthly EUI'!A118))/100)*D118</f>
        <v>505.58914374727692</v>
      </c>
    </row>
    <row r="119" spans="1:14" x14ac:dyDescent="0.3">
      <c r="A119" s="3">
        <v>9</v>
      </c>
      <c r="B119" s="129" t="s">
        <v>374</v>
      </c>
      <c r="C119" s="3" t="str">
        <f>VLOOKUP(B119,'Data availability'!$A$2:$B$91,2,FALSE)</f>
        <v>Off Campus 4th Street</v>
      </c>
      <c r="D119" s="3">
        <f>VLOOKUP(B119,'Data availability'!$A$2:$G$91,7,FALSE)</f>
        <v>19857</v>
      </c>
      <c r="E119" s="3" t="str">
        <f>VLOOKUP(B119,'Data availability'!$A$2:$H$91,8,FALSE)</f>
        <v>Office</v>
      </c>
      <c r="F119" s="232" cm="1">
        <f t="array" ref="F119">(_xlfn._xlws.FILTER('Median Monthly EUIs'!$H$3:$H$146, ('Median Monthly EUIs'!$B$3:$B$146='Missing Bldgs - Monthly EUI'!E119) * ('Median Monthly EUIs'!$A$3:$A$146='Missing Bldgs - Monthly EUI'!A119))*0.293071)*D119</f>
        <v>20559.879695770458</v>
      </c>
      <c r="G119" s="232" cm="1">
        <f t="array" ref="G119">(_xlfn._xlws.FILTER('Median Monthly EUIs'!$I$3:$I$134, ('Median Monthly EUIs'!$B$3:$B$134='Missing Bldgs - Monthly EUI'!E119) * ('Median Monthly EUIs'!$A$3:$A$134='Missing Bldgs - Monthly EUI'!A119))/100)*D119</f>
        <v>522.59185695626888</v>
      </c>
    </row>
    <row r="120" spans="1:14" x14ac:dyDescent="0.3">
      <c r="A120" s="3">
        <v>10</v>
      </c>
      <c r="B120" s="129" t="s">
        <v>374</v>
      </c>
      <c r="C120" s="3" t="str">
        <f>VLOOKUP(B120,'Data availability'!$A$2:$B$91,2,FALSE)</f>
        <v>Off Campus 4th Street</v>
      </c>
      <c r="D120" s="3">
        <f>VLOOKUP(B120,'Data availability'!$A$2:$G$91,7,FALSE)</f>
        <v>19857</v>
      </c>
      <c r="E120" s="3" t="str">
        <f>VLOOKUP(B120,'Data availability'!$A$2:$H$91,8,FALSE)</f>
        <v>Office</v>
      </c>
      <c r="F120" s="232" cm="1">
        <f t="array" ref="F120">(_xlfn._xlws.FILTER('Median Monthly EUIs'!$H$3:$H$146, ('Median Monthly EUIs'!$B$3:$B$146='Missing Bldgs - Monthly EUI'!E120) * ('Median Monthly EUIs'!$A$3:$A$146='Missing Bldgs - Monthly EUI'!A120))*0.293071)*D120</f>
        <v>19393.336342791117</v>
      </c>
      <c r="G120" s="232" cm="1">
        <f t="array" ref="G120">(_xlfn._xlws.FILTER('Median Monthly EUIs'!$I$3:$I$134, ('Median Monthly EUIs'!$B$3:$B$134='Missing Bldgs - Monthly EUI'!E120) * ('Median Monthly EUIs'!$A$3:$A$134='Missing Bldgs - Monthly EUI'!A120))/100)*D120</f>
        <v>806.02106194886392</v>
      </c>
    </row>
    <row r="121" spans="1:14" x14ac:dyDescent="0.3">
      <c r="A121" s="3">
        <v>11</v>
      </c>
      <c r="B121" s="129" t="s">
        <v>374</v>
      </c>
      <c r="C121" s="3" t="str">
        <f>VLOOKUP(B121,'Data availability'!$A$2:$B$91,2,FALSE)</f>
        <v>Off Campus 4th Street</v>
      </c>
      <c r="D121" s="3">
        <f>VLOOKUP(B121,'Data availability'!$A$2:$G$91,7,FALSE)</f>
        <v>19857</v>
      </c>
      <c r="E121" s="3" t="str">
        <f>VLOOKUP(B121,'Data availability'!$A$2:$H$91,8,FALSE)</f>
        <v>Office</v>
      </c>
      <c r="F121" s="232" cm="1">
        <f t="array" ref="F121">(_xlfn._xlws.FILTER('Median Monthly EUIs'!$H$3:$H$146, ('Median Monthly EUIs'!$B$3:$B$146='Missing Bldgs - Monthly EUI'!E121) * ('Median Monthly EUIs'!$A$3:$A$146='Missing Bldgs - Monthly EUI'!A121))*0.293071)*D121</f>
        <v>16549.19533847614</v>
      </c>
      <c r="G121" s="232" cm="1">
        <f t="array" ref="G121">(_xlfn._xlws.FILTER('Median Monthly EUIs'!$I$3:$I$134, ('Median Monthly EUIs'!$B$3:$B$134='Missing Bldgs - Monthly EUI'!E121) * ('Median Monthly EUIs'!$A$3:$A$134='Missing Bldgs - Monthly EUI'!A121))/100)*D121</f>
        <v>1041.0862658897288</v>
      </c>
    </row>
    <row r="122" spans="1:14" x14ac:dyDescent="0.3">
      <c r="A122" s="3">
        <v>12</v>
      </c>
      <c r="B122" s="129" t="s">
        <v>374</v>
      </c>
      <c r="C122" s="3" t="str">
        <f>VLOOKUP(B122,'Data availability'!$A$2:$B$91,2,FALSE)</f>
        <v>Off Campus 4th Street</v>
      </c>
      <c r="D122" s="3">
        <f>VLOOKUP(B122,'Data availability'!$A$2:$G$91,7,FALSE)</f>
        <v>19857</v>
      </c>
      <c r="E122" s="3" t="str">
        <f>VLOOKUP(B122,'Data availability'!$A$2:$H$91,8,FALSE)</f>
        <v>Office</v>
      </c>
      <c r="F122" s="232" cm="1">
        <f t="array" ref="F122">(_xlfn._xlws.FILTER('Median Monthly EUIs'!$H$3:$H$146, ('Median Monthly EUIs'!$B$3:$B$146='Missing Bldgs - Monthly EUI'!E122) * ('Median Monthly EUIs'!$A$3:$A$146='Missing Bldgs - Monthly EUI'!A122))*0.293071)*D122</f>
        <v>14010.023890935947</v>
      </c>
      <c r="G122" s="232" cm="1">
        <f t="array" ref="G122">(_xlfn._xlws.FILTER('Median Monthly EUIs'!$I$3:$I$134, ('Median Monthly EUIs'!$B$3:$B$134='Missing Bldgs - Monthly EUI'!E122) * ('Median Monthly EUIs'!$A$3:$A$134='Missing Bldgs - Monthly EUI'!A122))/100)*D122</f>
        <v>1025.9960857050601</v>
      </c>
    </row>
    <row r="123" spans="1:14" x14ac:dyDescent="0.3">
      <c r="A123" s="3">
        <v>1</v>
      </c>
      <c r="B123" s="237" t="s">
        <v>399</v>
      </c>
      <c r="C123" s="3" t="str">
        <f>VLOOKUP(B123,'Data availability'!$A$2:$B$91,2,FALSE)</f>
        <v>South campus</v>
      </c>
      <c r="D123" s="3">
        <f>VLOOKUP(B123,'Data availability'!$A$2:$G$91,7,FALSE)</f>
        <v>342</v>
      </c>
      <c r="E123" s="3" t="str">
        <f>VLOOKUP(B123,'Data availability'!$A$2:$H$91,8,FALSE)</f>
        <v>Infrastructure</v>
      </c>
      <c r="F123" s="232" t="e" cm="1" vm="1">
        <f t="array" ref="F123">(_xlfn._xlws.FILTER('Median Monthly EUIs'!$H$3:$H$146, ('Median Monthly EUIs'!$B$3:$B$146='Missing Bldgs - Monthly EUI'!E123) * ('Median Monthly EUIs'!$A$3:$A$146='Missing Bldgs - Monthly EUI'!A123))*0.293071)*D123</f>
        <v>#VALUE!</v>
      </c>
      <c r="G123" s="232"/>
      <c r="J123" s="1" t="e" vm="2">
        <f>SUM(F123:F134)*3.412/D123</f>
        <v>#VALUE!</v>
      </c>
      <c r="K123" s="1"/>
      <c r="L123" s="1">
        <f>SUM(H123:H134)*100/D123</f>
        <v>0</v>
      </c>
      <c r="N123" s="1" t="e" vm="2">
        <f>SUM(J123:M123)</f>
        <v>#VALUE!</v>
      </c>
    </row>
    <row r="124" spans="1:14" x14ac:dyDescent="0.3">
      <c r="A124" s="3">
        <v>2</v>
      </c>
      <c r="B124" s="237" t="s">
        <v>399</v>
      </c>
      <c r="C124" s="3" t="str">
        <f>VLOOKUP(B124,'Data availability'!$A$2:$B$91,2,FALSE)</f>
        <v>South campus</v>
      </c>
      <c r="D124" s="3">
        <f>VLOOKUP(B124,'Data availability'!$A$2:$G$91,7,FALSE)</f>
        <v>342</v>
      </c>
      <c r="E124" s="3" t="str">
        <f>VLOOKUP(B124,'Data availability'!$A$2:$H$91,8,FALSE)</f>
        <v>Infrastructure</v>
      </c>
      <c r="F124" s="232" t="e" cm="1" vm="1">
        <f t="array" ref="F124">(_xlfn._xlws.FILTER('Median Monthly EUIs'!$H$3:$H$146, ('Median Monthly EUIs'!$B$3:$B$146='Missing Bldgs - Monthly EUI'!E124) * ('Median Monthly EUIs'!$A$3:$A$146='Missing Bldgs - Monthly EUI'!A124))*0.293071)*D124</f>
        <v>#VALUE!</v>
      </c>
      <c r="G124" s="232"/>
    </row>
    <row r="125" spans="1:14" x14ac:dyDescent="0.3">
      <c r="A125" s="3">
        <v>3</v>
      </c>
      <c r="B125" s="237" t="s">
        <v>399</v>
      </c>
      <c r="C125" s="3" t="str">
        <f>VLOOKUP(B125,'Data availability'!$A$2:$B$91,2,FALSE)</f>
        <v>South campus</v>
      </c>
      <c r="D125" s="3">
        <f>VLOOKUP(B125,'Data availability'!$A$2:$G$91,7,FALSE)</f>
        <v>342</v>
      </c>
      <c r="E125" s="3" t="str">
        <f>VLOOKUP(B125,'Data availability'!$A$2:$H$91,8,FALSE)</f>
        <v>Infrastructure</v>
      </c>
      <c r="F125" s="232" t="e" cm="1" vm="1">
        <f t="array" ref="F125">(_xlfn._xlws.FILTER('Median Monthly EUIs'!$H$3:$H$146, ('Median Monthly EUIs'!$B$3:$B$146='Missing Bldgs - Monthly EUI'!E125) * ('Median Monthly EUIs'!$A$3:$A$146='Missing Bldgs - Monthly EUI'!A125))*0.293071)*D125</f>
        <v>#VALUE!</v>
      </c>
      <c r="G125" s="232"/>
    </row>
    <row r="126" spans="1:14" x14ac:dyDescent="0.3">
      <c r="A126" s="3">
        <v>4</v>
      </c>
      <c r="B126" s="237" t="s">
        <v>399</v>
      </c>
      <c r="C126" s="3" t="str">
        <f>VLOOKUP(B126,'Data availability'!$A$2:$B$91,2,FALSE)</f>
        <v>South campus</v>
      </c>
      <c r="D126" s="3">
        <f>VLOOKUP(B126,'Data availability'!$A$2:$G$91,7,FALSE)</f>
        <v>342</v>
      </c>
      <c r="E126" s="3" t="str">
        <f>VLOOKUP(B126,'Data availability'!$A$2:$H$91,8,FALSE)</f>
        <v>Infrastructure</v>
      </c>
      <c r="F126" s="232" t="e" cm="1" vm="1">
        <f t="array" ref="F126">(_xlfn._xlws.FILTER('Median Monthly EUIs'!$H$3:$H$146, ('Median Monthly EUIs'!$B$3:$B$146='Missing Bldgs - Monthly EUI'!E126) * ('Median Monthly EUIs'!$A$3:$A$146='Missing Bldgs - Monthly EUI'!A126))*0.293071)*D126</f>
        <v>#VALUE!</v>
      </c>
      <c r="G126" s="232"/>
    </row>
    <row r="127" spans="1:14" x14ac:dyDescent="0.3">
      <c r="A127" s="3">
        <v>5</v>
      </c>
      <c r="B127" s="237" t="s">
        <v>399</v>
      </c>
      <c r="C127" s="3" t="str">
        <f>VLOOKUP(B127,'Data availability'!$A$2:$B$91,2,FALSE)</f>
        <v>South campus</v>
      </c>
      <c r="D127" s="3">
        <f>VLOOKUP(B127,'Data availability'!$A$2:$G$91,7,FALSE)</f>
        <v>342</v>
      </c>
      <c r="E127" s="3" t="str">
        <f>VLOOKUP(B127,'Data availability'!$A$2:$H$91,8,FALSE)</f>
        <v>Infrastructure</v>
      </c>
      <c r="F127" s="232" t="e" cm="1" vm="1">
        <f t="array" ref="F127">(_xlfn._xlws.FILTER('Median Monthly EUIs'!$H$3:$H$146, ('Median Monthly EUIs'!$B$3:$B$146='Missing Bldgs - Monthly EUI'!E127) * ('Median Monthly EUIs'!$A$3:$A$146='Missing Bldgs - Monthly EUI'!A127))*0.293071)*D127</f>
        <v>#VALUE!</v>
      </c>
      <c r="G127" s="232"/>
    </row>
    <row r="128" spans="1:14" x14ac:dyDescent="0.3">
      <c r="A128" s="3">
        <v>6</v>
      </c>
      <c r="B128" s="237" t="s">
        <v>399</v>
      </c>
      <c r="C128" s="3" t="str">
        <f>VLOOKUP(B128,'Data availability'!$A$2:$B$91,2,FALSE)</f>
        <v>South campus</v>
      </c>
      <c r="D128" s="3">
        <f>VLOOKUP(B128,'Data availability'!$A$2:$G$91,7,FALSE)</f>
        <v>342</v>
      </c>
      <c r="E128" s="3" t="str">
        <f>VLOOKUP(B128,'Data availability'!$A$2:$H$91,8,FALSE)</f>
        <v>Infrastructure</v>
      </c>
      <c r="F128" s="232" t="e" cm="1" vm="1">
        <f t="array" ref="F128">(_xlfn._xlws.FILTER('Median Monthly EUIs'!$H$3:$H$146, ('Median Monthly EUIs'!$B$3:$B$146='Missing Bldgs - Monthly EUI'!E128) * ('Median Monthly EUIs'!$A$3:$A$146='Missing Bldgs - Monthly EUI'!A128))*0.293071)*D128</f>
        <v>#VALUE!</v>
      </c>
      <c r="G128" s="232"/>
    </row>
    <row r="129" spans="1:14" x14ac:dyDescent="0.3">
      <c r="A129" s="3">
        <v>7</v>
      </c>
      <c r="B129" s="237" t="s">
        <v>399</v>
      </c>
      <c r="C129" s="3" t="str">
        <f>VLOOKUP(B129,'Data availability'!$A$2:$B$91,2,FALSE)</f>
        <v>South campus</v>
      </c>
      <c r="D129" s="3">
        <f>VLOOKUP(B129,'Data availability'!$A$2:$G$91,7,FALSE)</f>
        <v>342</v>
      </c>
      <c r="E129" s="3" t="str">
        <f>VLOOKUP(B129,'Data availability'!$A$2:$H$91,8,FALSE)</f>
        <v>Infrastructure</v>
      </c>
      <c r="F129" s="232" t="e" cm="1" vm="1">
        <f t="array" ref="F129">(_xlfn._xlws.FILTER('Median Monthly EUIs'!$H$3:$H$146, ('Median Monthly EUIs'!$B$3:$B$146='Missing Bldgs - Monthly EUI'!E129) * ('Median Monthly EUIs'!$A$3:$A$146='Missing Bldgs - Monthly EUI'!A129))*0.293071)*D129</f>
        <v>#VALUE!</v>
      </c>
      <c r="G129" s="232"/>
    </row>
    <row r="130" spans="1:14" x14ac:dyDescent="0.3">
      <c r="A130" s="3">
        <v>8</v>
      </c>
      <c r="B130" s="237" t="s">
        <v>399</v>
      </c>
      <c r="C130" s="3" t="str">
        <f>VLOOKUP(B130,'Data availability'!$A$2:$B$91,2,FALSE)</f>
        <v>South campus</v>
      </c>
      <c r="D130" s="3">
        <f>VLOOKUP(B130,'Data availability'!$A$2:$G$91,7,FALSE)</f>
        <v>342</v>
      </c>
      <c r="E130" s="3" t="str">
        <f>VLOOKUP(B130,'Data availability'!$A$2:$H$91,8,FALSE)</f>
        <v>Infrastructure</v>
      </c>
      <c r="F130" s="232" t="e" cm="1" vm="1">
        <f t="array" ref="F130">(_xlfn._xlws.FILTER('Median Monthly EUIs'!$H$3:$H$146, ('Median Monthly EUIs'!$B$3:$B$146='Missing Bldgs - Monthly EUI'!E130) * ('Median Monthly EUIs'!$A$3:$A$146='Missing Bldgs - Monthly EUI'!A130))*0.293071)*D130</f>
        <v>#VALUE!</v>
      </c>
      <c r="G130" s="232"/>
    </row>
    <row r="131" spans="1:14" x14ac:dyDescent="0.3">
      <c r="A131" s="3">
        <v>9</v>
      </c>
      <c r="B131" s="237" t="s">
        <v>399</v>
      </c>
      <c r="C131" s="3" t="str">
        <f>VLOOKUP(B131,'Data availability'!$A$2:$B$91,2,FALSE)</f>
        <v>South campus</v>
      </c>
      <c r="D131" s="3">
        <f>VLOOKUP(B131,'Data availability'!$A$2:$G$91,7,FALSE)</f>
        <v>342</v>
      </c>
      <c r="E131" s="3" t="str">
        <f>VLOOKUP(B131,'Data availability'!$A$2:$H$91,8,FALSE)</f>
        <v>Infrastructure</v>
      </c>
      <c r="F131" s="232" t="e" cm="1" vm="1">
        <f t="array" ref="F131">(_xlfn._xlws.FILTER('Median Monthly EUIs'!$H$3:$H$146, ('Median Monthly EUIs'!$B$3:$B$146='Missing Bldgs - Monthly EUI'!E131) * ('Median Monthly EUIs'!$A$3:$A$146='Missing Bldgs - Monthly EUI'!A131))*0.293071)*D131</f>
        <v>#VALUE!</v>
      </c>
      <c r="G131" s="232"/>
    </row>
    <row r="132" spans="1:14" x14ac:dyDescent="0.3">
      <c r="A132" s="3">
        <v>10</v>
      </c>
      <c r="B132" s="237" t="s">
        <v>399</v>
      </c>
      <c r="C132" s="3" t="str">
        <f>VLOOKUP(B132,'Data availability'!$A$2:$B$91,2,FALSE)</f>
        <v>South campus</v>
      </c>
      <c r="D132" s="3">
        <f>VLOOKUP(B132,'Data availability'!$A$2:$G$91,7,FALSE)</f>
        <v>342</v>
      </c>
      <c r="E132" s="3" t="str">
        <f>VLOOKUP(B132,'Data availability'!$A$2:$H$91,8,FALSE)</f>
        <v>Infrastructure</v>
      </c>
      <c r="F132" s="232" t="e" cm="1" vm="1">
        <f t="array" ref="F132">(_xlfn._xlws.FILTER('Median Monthly EUIs'!$H$3:$H$146, ('Median Monthly EUIs'!$B$3:$B$146='Missing Bldgs - Monthly EUI'!E132) * ('Median Monthly EUIs'!$A$3:$A$146='Missing Bldgs - Monthly EUI'!A132))*0.293071)*D132</f>
        <v>#VALUE!</v>
      </c>
      <c r="G132" s="232"/>
    </row>
    <row r="133" spans="1:14" x14ac:dyDescent="0.3">
      <c r="A133" s="3">
        <v>11</v>
      </c>
      <c r="B133" s="237" t="s">
        <v>399</v>
      </c>
      <c r="C133" s="3" t="str">
        <f>VLOOKUP(B133,'Data availability'!$A$2:$B$91,2,FALSE)</f>
        <v>South campus</v>
      </c>
      <c r="D133" s="3">
        <f>VLOOKUP(B133,'Data availability'!$A$2:$G$91,7,FALSE)</f>
        <v>342</v>
      </c>
      <c r="E133" s="3" t="str">
        <f>VLOOKUP(B133,'Data availability'!$A$2:$H$91,8,FALSE)</f>
        <v>Infrastructure</v>
      </c>
      <c r="F133" s="232" t="e" cm="1" vm="1">
        <f t="array" ref="F133">(_xlfn._xlws.FILTER('Median Monthly EUIs'!$H$3:$H$146, ('Median Monthly EUIs'!$B$3:$B$146='Missing Bldgs - Monthly EUI'!E133) * ('Median Monthly EUIs'!$A$3:$A$146='Missing Bldgs - Monthly EUI'!A133))*0.293071)*D133</f>
        <v>#VALUE!</v>
      </c>
      <c r="G133" s="232"/>
    </row>
    <row r="134" spans="1:14" x14ac:dyDescent="0.3">
      <c r="A134" s="3">
        <v>12</v>
      </c>
      <c r="B134" s="237" t="s">
        <v>399</v>
      </c>
      <c r="C134" s="3" t="str">
        <f>VLOOKUP(B134,'Data availability'!$A$2:$B$91,2,FALSE)</f>
        <v>South campus</v>
      </c>
      <c r="D134" s="3">
        <f>VLOOKUP(B134,'Data availability'!$A$2:$G$91,7,FALSE)</f>
        <v>342</v>
      </c>
      <c r="E134" s="3" t="str">
        <f>VLOOKUP(B134,'Data availability'!$A$2:$H$91,8,FALSE)</f>
        <v>Infrastructure</v>
      </c>
      <c r="F134" s="232" t="e" cm="1" vm="1">
        <f t="array" ref="F134">(_xlfn._xlws.FILTER('Median Monthly EUIs'!$H$3:$H$146, ('Median Monthly EUIs'!$B$3:$B$146='Missing Bldgs - Monthly EUI'!E134) * ('Median Monthly EUIs'!$A$3:$A$146='Missing Bldgs - Monthly EUI'!A134))*0.293071)*D134</f>
        <v>#VALUE!</v>
      </c>
      <c r="G134" s="232"/>
    </row>
    <row r="135" spans="1:14" x14ac:dyDescent="0.3">
      <c r="A135" s="3">
        <v>1</v>
      </c>
      <c r="B135" s="237" t="s">
        <v>395</v>
      </c>
      <c r="C135" s="3" t="str">
        <f>VLOOKUP(B135,'Data availability'!$A$2:$B$91,2,FALSE)</f>
        <v>South campus</v>
      </c>
      <c r="D135" s="3">
        <f>VLOOKUP(B135,'Data availability'!$A$2:$G$91,7,FALSE)</f>
        <v>9030</v>
      </c>
      <c r="E135" s="3" t="str">
        <f>VLOOKUP(B135,'Data availability'!$A$2:$H$91,8,FALSE)</f>
        <v>Athletics</v>
      </c>
      <c r="F135" s="232" cm="1">
        <f t="array" ref="F135">(_xlfn._xlws.FILTER('Median Monthly EUIs'!$H$3:$H$146, ('Median Monthly EUIs'!$B$3:$B$146='Missing Bldgs - Monthly EUI'!E135) * ('Median Monthly EUIs'!$A$3:$A$146='Missing Bldgs - Monthly EUI'!A135))*0.293071)*D135</f>
        <v>5031.2583089231348</v>
      </c>
      <c r="G135" s="232"/>
      <c r="J135" s="1">
        <f>SUM(F135:F146)*3.412/D135</f>
        <v>26.941265486458651</v>
      </c>
      <c r="K135" s="1">
        <f>SUM(G135:G146)*100/D135</f>
        <v>0</v>
      </c>
      <c r="L135" s="1"/>
      <c r="N135" s="1">
        <f>SUM(J135:M135)</f>
        <v>26.941265486458651</v>
      </c>
    </row>
    <row r="136" spans="1:14" x14ac:dyDescent="0.3">
      <c r="A136" s="3">
        <v>2</v>
      </c>
      <c r="B136" s="237" t="s">
        <v>395</v>
      </c>
      <c r="C136" s="3" t="str">
        <f>VLOOKUP(B136,'Data availability'!$A$2:$B$91,2,FALSE)</f>
        <v>South campus</v>
      </c>
      <c r="D136" s="3">
        <f>VLOOKUP(B136,'Data availability'!$A$2:$G$91,7,FALSE)</f>
        <v>9030</v>
      </c>
      <c r="E136" s="3" t="str">
        <f>VLOOKUP(B136,'Data availability'!$A$2:$H$91,8,FALSE)</f>
        <v>Athletics</v>
      </c>
      <c r="F136" s="232" cm="1">
        <f t="array" ref="F136">(_xlfn._xlws.FILTER('Median Monthly EUIs'!$H$3:$H$146, ('Median Monthly EUIs'!$B$3:$B$146='Missing Bldgs - Monthly EUI'!E136) * ('Median Monthly EUIs'!$A$3:$A$146='Missing Bldgs - Monthly EUI'!A136))*0.293071)*D136</f>
        <v>4860.8579810664014</v>
      </c>
      <c r="G136" s="232"/>
    </row>
    <row r="137" spans="1:14" x14ac:dyDescent="0.3">
      <c r="A137" s="3">
        <v>3</v>
      </c>
      <c r="B137" s="237" t="s">
        <v>395</v>
      </c>
      <c r="C137" s="3" t="str">
        <f>VLOOKUP(B137,'Data availability'!$A$2:$B$91,2,FALSE)</f>
        <v>South campus</v>
      </c>
      <c r="D137" s="3">
        <f>VLOOKUP(B137,'Data availability'!$A$2:$G$91,7,FALSE)</f>
        <v>9030</v>
      </c>
      <c r="E137" s="3" t="str">
        <f>VLOOKUP(B137,'Data availability'!$A$2:$H$91,8,FALSE)</f>
        <v>Athletics</v>
      </c>
      <c r="F137" s="232" cm="1">
        <f t="array" ref="F137">(_xlfn._xlws.FILTER('Median Monthly EUIs'!$H$3:$H$146, ('Median Monthly EUIs'!$B$3:$B$146='Missing Bldgs - Monthly EUI'!E137) * ('Median Monthly EUIs'!$A$3:$A$146='Missing Bldgs - Monthly EUI'!A137))*0.293071)*D137</f>
        <v>5431.929621569725</v>
      </c>
      <c r="G137" s="232"/>
    </row>
    <row r="138" spans="1:14" x14ac:dyDescent="0.3">
      <c r="A138" s="3">
        <v>4</v>
      </c>
      <c r="B138" s="237" t="s">
        <v>395</v>
      </c>
      <c r="C138" s="3" t="str">
        <f>VLOOKUP(B138,'Data availability'!$A$2:$B$91,2,FALSE)</f>
        <v>South campus</v>
      </c>
      <c r="D138" s="3">
        <f>VLOOKUP(B138,'Data availability'!$A$2:$G$91,7,FALSE)</f>
        <v>9030</v>
      </c>
      <c r="E138" s="3" t="str">
        <f>VLOOKUP(B138,'Data availability'!$A$2:$H$91,8,FALSE)</f>
        <v>Athletics</v>
      </c>
      <c r="F138" s="232" cm="1">
        <f t="array" ref="F138">(_xlfn._xlws.FILTER('Median Monthly EUIs'!$H$3:$H$146, ('Median Monthly EUIs'!$B$3:$B$146='Missing Bldgs - Monthly EUI'!E138) * ('Median Monthly EUIs'!$A$3:$A$146='Missing Bldgs - Monthly EUI'!A138))*0.293071)*D138</f>
        <v>4951.9701327307675</v>
      </c>
      <c r="G138" s="232"/>
    </row>
    <row r="139" spans="1:14" x14ac:dyDescent="0.3">
      <c r="A139" s="3">
        <v>5</v>
      </c>
      <c r="B139" s="237" t="s">
        <v>395</v>
      </c>
      <c r="C139" s="3" t="str">
        <f>VLOOKUP(B139,'Data availability'!$A$2:$B$91,2,FALSE)</f>
        <v>South campus</v>
      </c>
      <c r="D139" s="3">
        <f>VLOOKUP(B139,'Data availability'!$A$2:$G$91,7,FALSE)</f>
        <v>9030</v>
      </c>
      <c r="E139" s="3" t="str">
        <f>VLOOKUP(B139,'Data availability'!$A$2:$H$91,8,FALSE)</f>
        <v>Athletics</v>
      </c>
      <c r="F139" s="232" cm="1">
        <f t="array" ref="F139">(_xlfn._xlws.FILTER('Median Monthly EUIs'!$H$3:$H$146, ('Median Monthly EUIs'!$B$3:$B$146='Missing Bldgs - Monthly EUI'!E139) * ('Median Monthly EUIs'!$A$3:$A$146='Missing Bldgs - Monthly EUI'!A139))*0.293071)*D139</f>
        <v>5013.1913051942074</v>
      </c>
      <c r="G139" s="232"/>
    </row>
    <row r="140" spans="1:14" x14ac:dyDescent="0.3">
      <c r="A140" s="3">
        <v>6</v>
      </c>
      <c r="B140" s="237" t="s">
        <v>395</v>
      </c>
      <c r="C140" s="3" t="str">
        <f>VLOOKUP(B140,'Data availability'!$A$2:$B$91,2,FALSE)</f>
        <v>South campus</v>
      </c>
      <c r="D140" s="3">
        <f>VLOOKUP(B140,'Data availability'!$A$2:$G$91,7,FALSE)</f>
        <v>9030</v>
      </c>
      <c r="E140" s="3" t="str">
        <f>VLOOKUP(B140,'Data availability'!$A$2:$H$91,8,FALSE)</f>
        <v>Athletics</v>
      </c>
      <c r="F140" s="232" cm="1">
        <f t="array" ref="F140">(_xlfn._xlws.FILTER('Median Monthly EUIs'!$H$3:$H$146, ('Median Monthly EUIs'!$B$3:$B$146='Missing Bldgs - Monthly EUI'!E140) * ('Median Monthly EUIs'!$A$3:$A$146='Missing Bldgs - Monthly EUI'!A140))*0.293071)*D140</f>
        <v>5421.5760931550076</v>
      </c>
      <c r="G140" s="232"/>
    </row>
    <row r="141" spans="1:14" x14ac:dyDescent="0.3">
      <c r="A141" s="3">
        <v>7</v>
      </c>
      <c r="B141" s="237" t="s">
        <v>395</v>
      </c>
      <c r="C141" s="3" t="str">
        <f>VLOOKUP(B141,'Data availability'!$A$2:$B$91,2,FALSE)</f>
        <v>South campus</v>
      </c>
      <c r="D141" s="3">
        <f>VLOOKUP(B141,'Data availability'!$A$2:$G$91,7,FALSE)</f>
        <v>9030</v>
      </c>
      <c r="E141" s="3" t="str">
        <f>VLOOKUP(B141,'Data availability'!$A$2:$H$91,8,FALSE)</f>
        <v>Athletics</v>
      </c>
      <c r="F141" s="232" cm="1">
        <f t="array" ref="F141">(_xlfn._xlws.FILTER('Median Monthly EUIs'!$H$3:$H$146, ('Median Monthly EUIs'!$B$3:$B$146='Missing Bldgs - Monthly EUI'!E141) * ('Median Monthly EUIs'!$A$3:$A$146='Missing Bldgs - Monthly EUI'!A141))*0.293071)*D141</f>
        <v>5626.2558198179368</v>
      </c>
      <c r="G141" s="232"/>
    </row>
    <row r="142" spans="1:14" x14ac:dyDescent="0.3">
      <c r="A142" s="3">
        <v>8</v>
      </c>
      <c r="B142" s="237" t="s">
        <v>395</v>
      </c>
      <c r="C142" s="3" t="str">
        <f>VLOOKUP(B142,'Data availability'!$A$2:$B$91,2,FALSE)</f>
        <v>South campus</v>
      </c>
      <c r="D142" s="3">
        <f>VLOOKUP(B142,'Data availability'!$A$2:$G$91,7,FALSE)</f>
        <v>9030</v>
      </c>
      <c r="E142" s="3" t="str">
        <f>VLOOKUP(B142,'Data availability'!$A$2:$H$91,8,FALSE)</f>
        <v>Athletics</v>
      </c>
      <c r="F142" s="232" cm="1">
        <f t="array" ref="F142">(_xlfn._xlws.FILTER('Median Monthly EUIs'!$H$3:$H$146, ('Median Monthly EUIs'!$B$3:$B$146='Missing Bldgs - Monthly EUI'!E142) * ('Median Monthly EUIs'!$A$3:$A$146='Missing Bldgs - Monthly EUI'!A142))*0.293071)*D142</f>
        <v>7536.4576287578948</v>
      </c>
      <c r="G142" s="232"/>
    </row>
    <row r="143" spans="1:14" x14ac:dyDescent="0.3">
      <c r="A143" s="3">
        <v>9</v>
      </c>
      <c r="B143" s="237" t="s">
        <v>395</v>
      </c>
      <c r="C143" s="3" t="str">
        <f>VLOOKUP(B143,'Data availability'!$A$2:$B$91,2,FALSE)</f>
        <v>South campus</v>
      </c>
      <c r="D143" s="3">
        <f>VLOOKUP(B143,'Data availability'!$A$2:$G$91,7,FALSE)</f>
        <v>9030</v>
      </c>
      <c r="E143" s="3" t="str">
        <f>VLOOKUP(B143,'Data availability'!$A$2:$H$91,8,FALSE)</f>
        <v>Athletics</v>
      </c>
      <c r="F143" s="232" cm="1">
        <f t="array" ref="F143">(_xlfn._xlws.FILTER('Median Monthly EUIs'!$H$3:$H$146, ('Median Monthly EUIs'!$B$3:$B$146='Missing Bldgs - Monthly EUI'!E143) * ('Median Monthly EUIs'!$A$3:$A$146='Missing Bldgs - Monthly EUI'!A143))*0.293071)*D143</f>
        <v>7534.5650492611785</v>
      </c>
      <c r="G143" s="232"/>
    </row>
    <row r="144" spans="1:14" x14ac:dyDescent="0.3">
      <c r="A144" s="3">
        <v>10</v>
      </c>
      <c r="B144" s="237" t="s">
        <v>395</v>
      </c>
      <c r="C144" s="3" t="str">
        <f>VLOOKUP(B144,'Data availability'!$A$2:$B$91,2,FALSE)</f>
        <v>South campus</v>
      </c>
      <c r="D144" s="3">
        <f>VLOOKUP(B144,'Data availability'!$A$2:$G$91,7,FALSE)</f>
        <v>9030</v>
      </c>
      <c r="E144" s="3" t="str">
        <f>VLOOKUP(B144,'Data availability'!$A$2:$H$91,8,FALSE)</f>
        <v>Athletics</v>
      </c>
      <c r="F144" s="232" cm="1">
        <f t="array" ref="F144">(_xlfn._xlws.FILTER('Median Monthly EUIs'!$H$3:$H$146, ('Median Monthly EUIs'!$B$3:$B$146='Missing Bldgs - Monthly EUI'!E144) * ('Median Monthly EUIs'!$A$3:$A$146='Missing Bldgs - Monthly EUI'!A144))*0.293071)*D144</f>
        <v>7481.2591240311012</v>
      </c>
      <c r="G144" s="232"/>
    </row>
    <row r="145" spans="1:14" x14ac:dyDescent="0.3">
      <c r="A145" s="3">
        <v>11</v>
      </c>
      <c r="B145" s="237" t="s">
        <v>395</v>
      </c>
      <c r="C145" s="3" t="str">
        <f>VLOOKUP(B145,'Data availability'!$A$2:$B$91,2,FALSE)</f>
        <v>South campus</v>
      </c>
      <c r="D145" s="3">
        <f>VLOOKUP(B145,'Data availability'!$A$2:$G$91,7,FALSE)</f>
        <v>9030</v>
      </c>
      <c r="E145" s="3" t="str">
        <f>VLOOKUP(B145,'Data availability'!$A$2:$H$91,8,FALSE)</f>
        <v>Athletics</v>
      </c>
      <c r="F145" s="232" cm="1">
        <f t="array" ref="F145">(_xlfn._xlws.FILTER('Median Monthly EUIs'!$H$3:$H$146, ('Median Monthly EUIs'!$B$3:$B$146='Missing Bldgs - Monthly EUI'!E145) * ('Median Monthly EUIs'!$A$3:$A$146='Missing Bldgs - Monthly EUI'!A145))*0.293071)*D145</f>
        <v>6627.7274300040772</v>
      </c>
      <c r="G145" s="232"/>
    </row>
    <row r="146" spans="1:14" x14ac:dyDescent="0.3">
      <c r="A146" s="3">
        <v>12</v>
      </c>
      <c r="B146" s="237" t="s">
        <v>395</v>
      </c>
      <c r="C146" s="3" t="str">
        <f>VLOOKUP(B146,'Data availability'!$A$2:$B$91,2,FALSE)</f>
        <v>South campus</v>
      </c>
      <c r="D146" s="3">
        <f>VLOOKUP(B146,'Data availability'!$A$2:$G$91,7,FALSE)</f>
        <v>9030</v>
      </c>
      <c r="E146" s="3" t="str">
        <f>VLOOKUP(B146,'Data availability'!$A$2:$H$91,8,FALSE)</f>
        <v>Athletics</v>
      </c>
      <c r="F146" s="232" cm="1">
        <f t="array" ref="F146">(_xlfn._xlws.FILTER('Median Monthly EUIs'!$H$3:$H$146, ('Median Monthly EUIs'!$B$3:$B$146='Missing Bldgs - Monthly EUI'!E146) * ('Median Monthly EUIs'!$A$3:$A$146='Missing Bldgs - Monthly EUI'!A146))*0.293071)*D146</f>
        <v>5784.1318521244502</v>
      </c>
      <c r="G146" s="232"/>
    </row>
    <row r="147" spans="1:14" x14ac:dyDescent="0.3">
      <c r="A147" s="3">
        <v>1</v>
      </c>
      <c r="B147" s="237" t="s">
        <v>140</v>
      </c>
      <c r="C147" s="3" t="str">
        <f>VLOOKUP(B147,'Data availability'!$A$2:$B$91,2,FALSE)</f>
        <v>South campus</v>
      </c>
      <c r="D147" s="3">
        <f>VLOOKUP(B147,'Data availability'!$A$2:$G$91,7,FALSE)</f>
        <v>4320</v>
      </c>
      <c r="E147" s="3" t="str">
        <f>VLOOKUP(B147,'Data availability'!$A$2:$H$91,8,FALSE)</f>
        <v>Storage</v>
      </c>
      <c r="F147" s="232" cm="1">
        <f t="array" ref="F147">(_xlfn._xlws.FILTER('Median Monthly EUIs'!$H$3:$H$146, ('Median Monthly EUIs'!$B$3:$B$146='Missing Bldgs - Monthly EUI'!E147) * ('Median Monthly EUIs'!$A$3:$A$146='Missing Bldgs - Monthly EUI'!A147))*0.293071)*D147</f>
        <v>2159.6551766007719</v>
      </c>
      <c r="G147" s="232"/>
      <c r="J147" s="1">
        <f>SUM(F147:F158)*3.412/D147</f>
        <v>23.773830329460761</v>
      </c>
      <c r="K147" s="1">
        <f>SUM(G147:G158)*100/D147</f>
        <v>0</v>
      </c>
      <c r="N147" s="1">
        <f>SUM(J147:M147)</f>
        <v>23.773830329460761</v>
      </c>
    </row>
    <row r="148" spans="1:14" x14ac:dyDescent="0.3">
      <c r="A148" s="3">
        <v>2</v>
      </c>
      <c r="B148" s="237" t="s">
        <v>140</v>
      </c>
      <c r="C148" s="3" t="str">
        <f>VLOOKUP(B148,'Data availability'!$A$2:$B$91,2,FALSE)</f>
        <v>South campus</v>
      </c>
      <c r="D148" s="3">
        <f>VLOOKUP(B148,'Data availability'!$A$2:$G$91,7,FALSE)</f>
        <v>4320</v>
      </c>
      <c r="E148" s="3" t="str">
        <f>VLOOKUP(B148,'Data availability'!$A$2:$H$91,8,FALSE)</f>
        <v>Storage</v>
      </c>
      <c r="F148" s="232" cm="1">
        <f t="array" ref="F148">(_xlfn._xlws.FILTER('Median Monthly EUIs'!$H$3:$H$146, ('Median Monthly EUIs'!$B$3:$B$146='Missing Bldgs - Monthly EUI'!E148) * ('Median Monthly EUIs'!$A$3:$A$146='Missing Bldgs - Monthly EUI'!A148))*0.293071)*D148</f>
        <v>2135.0346716935469</v>
      </c>
      <c r="G148" s="232"/>
    </row>
    <row r="149" spans="1:14" x14ac:dyDescent="0.3">
      <c r="A149" s="3">
        <v>3</v>
      </c>
      <c r="B149" s="237" t="s">
        <v>140</v>
      </c>
      <c r="C149" s="3" t="str">
        <f>VLOOKUP(B149,'Data availability'!$A$2:$B$91,2,FALSE)</f>
        <v>South campus</v>
      </c>
      <c r="D149" s="3">
        <f>VLOOKUP(B149,'Data availability'!$A$2:$G$91,7,FALSE)</f>
        <v>4320</v>
      </c>
      <c r="E149" s="3" t="str">
        <f>VLOOKUP(B149,'Data availability'!$A$2:$H$91,8,FALSE)</f>
        <v>Storage</v>
      </c>
      <c r="F149" s="232" cm="1">
        <f t="array" ref="F149">(_xlfn._xlws.FILTER('Median Monthly EUIs'!$H$3:$H$146, ('Median Monthly EUIs'!$B$3:$B$146='Missing Bldgs - Monthly EUI'!E149) * ('Median Monthly EUIs'!$A$3:$A$146='Missing Bldgs - Monthly EUI'!A149))*0.293071)*D149</f>
        <v>2743.8467076797269</v>
      </c>
      <c r="G149" s="232"/>
    </row>
    <row r="150" spans="1:14" x14ac:dyDescent="0.3">
      <c r="A150" s="3">
        <v>4</v>
      </c>
      <c r="B150" s="237" t="s">
        <v>140</v>
      </c>
      <c r="C150" s="3" t="str">
        <f>VLOOKUP(B150,'Data availability'!$A$2:$B$91,2,FALSE)</f>
        <v>South campus</v>
      </c>
      <c r="D150" s="3">
        <f>VLOOKUP(B150,'Data availability'!$A$2:$G$91,7,FALSE)</f>
        <v>4320</v>
      </c>
      <c r="E150" s="3" t="str">
        <f>VLOOKUP(B150,'Data availability'!$A$2:$H$91,8,FALSE)</f>
        <v>Storage</v>
      </c>
      <c r="F150" s="232" cm="1">
        <f t="array" ref="F150">(_xlfn._xlws.FILTER('Median Monthly EUIs'!$H$3:$H$146, ('Median Monthly EUIs'!$B$3:$B$146='Missing Bldgs - Monthly EUI'!E150) * ('Median Monthly EUIs'!$A$3:$A$146='Missing Bldgs - Monthly EUI'!A150))*0.293071)*D150</f>
        <v>2776.9693739053637</v>
      </c>
      <c r="G150" s="232"/>
    </row>
    <row r="151" spans="1:14" x14ac:dyDescent="0.3">
      <c r="A151" s="3">
        <v>5</v>
      </c>
      <c r="B151" s="237" t="s">
        <v>140</v>
      </c>
      <c r="C151" s="3" t="str">
        <f>VLOOKUP(B151,'Data availability'!$A$2:$B$91,2,FALSE)</f>
        <v>South campus</v>
      </c>
      <c r="D151" s="3">
        <f>VLOOKUP(B151,'Data availability'!$A$2:$G$91,7,FALSE)</f>
        <v>4320</v>
      </c>
      <c r="E151" s="3" t="str">
        <f>VLOOKUP(B151,'Data availability'!$A$2:$H$91,8,FALSE)</f>
        <v>Storage</v>
      </c>
      <c r="F151" s="232" cm="1">
        <f t="array" ref="F151">(_xlfn._xlws.FILTER('Median Monthly EUIs'!$H$3:$H$146, ('Median Monthly EUIs'!$B$3:$B$146='Missing Bldgs - Monthly EUI'!E151) * ('Median Monthly EUIs'!$A$3:$A$146='Missing Bldgs - Monthly EUI'!A151))*0.293071)*D151</f>
        <v>2740.3168503533479</v>
      </c>
      <c r="G151" s="232"/>
    </row>
    <row r="152" spans="1:14" x14ac:dyDescent="0.3">
      <c r="A152" s="3">
        <v>6</v>
      </c>
      <c r="B152" s="237" t="s">
        <v>140</v>
      </c>
      <c r="C152" s="3" t="str">
        <f>VLOOKUP(B152,'Data availability'!$A$2:$B$91,2,FALSE)</f>
        <v>South campus</v>
      </c>
      <c r="D152" s="3">
        <f>VLOOKUP(B152,'Data availability'!$A$2:$G$91,7,FALSE)</f>
        <v>4320</v>
      </c>
      <c r="E152" s="3" t="str">
        <f>VLOOKUP(B152,'Data availability'!$A$2:$H$91,8,FALSE)</f>
        <v>Storage</v>
      </c>
      <c r="F152" s="232" cm="1">
        <f t="array" ref="F152">(_xlfn._xlws.FILTER('Median Monthly EUIs'!$H$3:$H$146, ('Median Monthly EUIs'!$B$3:$B$146='Missing Bldgs - Monthly EUI'!E152) * ('Median Monthly EUIs'!$A$3:$A$146='Missing Bldgs - Monthly EUI'!A152))*0.293071)*D152</f>
        <v>2492.2637377283068</v>
      </c>
      <c r="G152" s="232"/>
    </row>
    <row r="153" spans="1:14" x14ac:dyDescent="0.3">
      <c r="A153" s="3">
        <v>7</v>
      </c>
      <c r="B153" s="237" t="s">
        <v>140</v>
      </c>
      <c r="C153" s="3" t="str">
        <f>VLOOKUP(B153,'Data availability'!$A$2:$B$91,2,FALSE)</f>
        <v>South campus</v>
      </c>
      <c r="D153" s="3">
        <f>VLOOKUP(B153,'Data availability'!$A$2:$G$91,7,FALSE)</f>
        <v>4320</v>
      </c>
      <c r="E153" s="3" t="str">
        <f>VLOOKUP(B153,'Data availability'!$A$2:$H$91,8,FALSE)</f>
        <v>Storage</v>
      </c>
      <c r="F153" s="232" cm="1">
        <f t="array" ref="F153">(_xlfn._xlws.FILTER('Median Monthly EUIs'!$H$3:$H$146, ('Median Monthly EUIs'!$B$3:$B$146='Missing Bldgs - Monthly EUI'!E153) * ('Median Monthly EUIs'!$A$3:$A$146='Missing Bldgs - Monthly EUI'!A153))*0.293071)*D153</f>
        <v>3050.1333341038894</v>
      </c>
      <c r="G153" s="232"/>
    </row>
    <row r="154" spans="1:14" x14ac:dyDescent="0.3">
      <c r="A154" s="3">
        <v>8</v>
      </c>
      <c r="B154" s="237" t="s">
        <v>140</v>
      </c>
      <c r="C154" s="3" t="str">
        <f>VLOOKUP(B154,'Data availability'!$A$2:$B$91,2,FALSE)</f>
        <v>South campus</v>
      </c>
      <c r="D154" s="3">
        <f>VLOOKUP(B154,'Data availability'!$A$2:$G$91,7,FALSE)</f>
        <v>4320</v>
      </c>
      <c r="E154" s="3" t="str">
        <f>VLOOKUP(B154,'Data availability'!$A$2:$H$91,8,FALSE)</f>
        <v>Storage</v>
      </c>
      <c r="F154" s="232" cm="1">
        <f t="array" ref="F154">(_xlfn._xlws.FILTER('Median Monthly EUIs'!$H$3:$H$146, ('Median Monthly EUIs'!$B$3:$B$146='Missing Bldgs - Monthly EUI'!E154) * ('Median Monthly EUIs'!$A$3:$A$146='Missing Bldgs - Monthly EUI'!A154))*0.293071)*D154</f>
        <v>3369.75638372103</v>
      </c>
      <c r="G154" s="232"/>
    </row>
    <row r="155" spans="1:14" x14ac:dyDescent="0.3">
      <c r="A155" s="3">
        <v>9</v>
      </c>
      <c r="B155" s="237" t="s">
        <v>140</v>
      </c>
      <c r="C155" s="3" t="str">
        <f>VLOOKUP(B155,'Data availability'!$A$2:$B$91,2,FALSE)</f>
        <v>South campus</v>
      </c>
      <c r="D155" s="3">
        <f>VLOOKUP(B155,'Data availability'!$A$2:$G$91,7,FALSE)</f>
        <v>4320</v>
      </c>
      <c r="E155" s="3" t="str">
        <f>VLOOKUP(B155,'Data availability'!$A$2:$H$91,8,FALSE)</f>
        <v>Storage</v>
      </c>
      <c r="F155" s="232" cm="1">
        <f t="array" ref="F155">(_xlfn._xlws.FILTER('Median Monthly EUIs'!$H$3:$H$146, ('Median Monthly EUIs'!$B$3:$B$146='Missing Bldgs - Monthly EUI'!E155) * ('Median Monthly EUIs'!$A$3:$A$146='Missing Bldgs - Monthly EUI'!A155))*0.293071)*D155</f>
        <v>2740.4992475781919</v>
      </c>
      <c r="G155" s="232"/>
    </row>
    <row r="156" spans="1:14" x14ac:dyDescent="0.3">
      <c r="A156" s="3">
        <v>10</v>
      </c>
      <c r="B156" s="237" t="s">
        <v>140</v>
      </c>
      <c r="C156" s="3" t="str">
        <f>VLOOKUP(B156,'Data availability'!$A$2:$B$91,2,FALSE)</f>
        <v>South campus</v>
      </c>
      <c r="D156" s="3">
        <f>VLOOKUP(B156,'Data availability'!$A$2:$G$91,7,FALSE)</f>
        <v>4320</v>
      </c>
      <c r="E156" s="3" t="str">
        <f>VLOOKUP(B156,'Data availability'!$A$2:$H$91,8,FALSE)</f>
        <v>Storage</v>
      </c>
      <c r="F156" s="232" cm="1">
        <f t="array" ref="F156">(_xlfn._xlws.FILTER('Median Monthly EUIs'!$H$3:$H$146, ('Median Monthly EUIs'!$B$3:$B$146='Missing Bldgs - Monthly EUI'!E156) * ('Median Monthly EUIs'!$A$3:$A$146='Missing Bldgs - Monthly EUI'!A156))*0.293071)*D156</f>
        <v>2315.9501928366412</v>
      </c>
      <c r="G156" s="232"/>
    </row>
    <row r="157" spans="1:14" x14ac:dyDescent="0.3">
      <c r="A157" s="3">
        <v>11</v>
      </c>
      <c r="B157" s="237" t="s">
        <v>140</v>
      </c>
      <c r="C157" s="3" t="str">
        <f>VLOOKUP(B157,'Data availability'!$A$2:$B$91,2,FALSE)</f>
        <v>South campus</v>
      </c>
      <c r="D157" s="3">
        <f>VLOOKUP(B157,'Data availability'!$A$2:$G$91,7,FALSE)</f>
        <v>4320</v>
      </c>
      <c r="E157" s="3" t="str">
        <f>VLOOKUP(B157,'Data availability'!$A$2:$H$91,8,FALSE)</f>
        <v>Storage</v>
      </c>
      <c r="F157" s="232" cm="1">
        <f t="array" ref="F157">(_xlfn._xlws.FILTER('Median Monthly EUIs'!$H$3:$H$146, ('Median Monthly EUIs'!$B$3:$B$146='Missing Bldgs - Monthly EUI'!E157) * ('Median Monthly EUIs'!$A$3:$A$146='Missing Bldgs - Monthly EUI'!A157))*0.293071)*D157</f>
        <v>2061.9075443684765</v>
      </c>
      <c r="G157" s="232"/>
    </row>
    <row r="158" spans="1:14" x14ac:dyDescent="0.3">
      <c r="A158" s="3">
        <v>12</v>
      </c>
      <c r="B158" s="237" t="s">
        <v>140</v>
      </c>
      <c r="C158" s="3" t="str">
        <f>VLOOKUP(B158,'Data availability'!$A$2:$B$91,2,FALSE)</f>
        <v>South campus</v>
      </c>
      <c r="D158" s="3">
        <f>VLOOKUP(B158,'Data availability'!$A$2:$G$91,7,FALSE)</f>
        <v>4320</v>
      </c>
      <c r="E158" s="3" t="str">
        <f>VLOOKUP(B158,'Data availability'!$A$2:$H$91,8,FALSE)</f>
        <v>Storage</v>
      </c>
      <c r="F158" s="232" cm="1">
        <f t="array" ref="F158">(_xlfn._xlws.FILTER('Median Monthly EUIs'!$H$3:$H$146, ('Median Monthly EUIs'!$B$3:$B$146='Missing Bldgs - Monthly EUI'!E158) * ('Median Monthly EUIs'!$A$3:$A$146='Missing Bldgs - Monthly EUI'!A158))*0.293071)*D158</f>
        <v>1514.1788026635629</v>
      </c>
      <c r="G158" s="232"/>
    </row>
    <row r="159" spans="1:14" x14ac:dyDescent="0.3">
      <c r="A159" s="3">
        <v>1</v>
      </c>
      <c r="B159" s="237" t="s">
        <v>396</v>
      </c>
      <c r="C159" s="3" t="str">
        <f>VLOOKUP(B159,'Data availability'!$A$2:$B$91,2,FALSE)</f>
        <v>South campus</v>
      </c>
      <c r="D159" s="3">
        <f>VLOOKUP(B159,'Data availability'!$A$2:$G$91,7,FALSE)</f>
        <v>1440</v>
      </c>
      <c r="E159" s="3" t="str">
        <f>VLOOKUP(B159,'Data availability'!$A$2:$H$91,8,FALSE)</f>
        <v>Office</v>
      </c>
      <c r="F159" s="232" cm="1">
        <f t="array" ref="F159">(_xlfn._xlws.FILTER('Median Monthly EUIs'!$H$3:$H$146, ('Median Monthly EUIs'!$B$3:$B$146='Missing Bldgs - Monthly EUI'!E159) * ('Median Monthly EUIs'!$A$3:$A$146='Missing Bldgs - Monthly EUI'!A159))*0.293071)*D159</f>
        <v>982.14861097765413</v>
      </c>
      <c r="G159" s="232"/>
      <c r="J159" s="1">
        <f>SUM(F159:F170)*3.412/D159</f>
        <v>32.113818130411289</v>
      </c>
      <c r="K159" s="1">
        <f>SUM(G159:G170)*100/D159</f>
        <v>0</v>
      </c>
      <c r="N159" s="1">
        <f>SUM(J159:M159)</f>
        <v>32.113818130411289</v>
      </c>
    </row>
    <row r="160" spans="1:14" x14ac:dyDescent="0.3">
      <c r="A160" s="3">
        <v>2</v>
      </c>
      <c r="B160" s="237" t="s">
        <v>396</v>
      </c>
      <c r="C160" s="3" t="str">
        <f>VLOOKUP(B160,'Data availability'!$A$2:$B$91,2,FALSE)</f>
        <v>South campus</v>
      </c>
      <c r="D160" s="3">
        <f>VLOOKUP(B160,'Data availability'!$A$2:$G$91,7,FALSE)</f>
        <v>1440</v>
      </c>
      <c r="E160" s="3" t="str">
        <f>VLOOKUP(B160,'Data availability'!$A$2:$H$91,8,FALSE)</f>
        <v>Office</v>
      </c>
      <c r="F160" s="232" cm="1">
        <f t="array" ref="F160">(_xlfn._xlws.FILTER('Median Monthly EUIs'!$H$3:$H$146, ('Median Monthly EUIs'!$B$3:$B$146='Missing Bldgs - Monthly EUI'!E160) * ('Median Monthly EUIs'!$A$3:$A$146='Missing Bldgs - Monthly EUI'!A160))*0.293071)*D160</f>
        <v>945.43610736972994</v>
      </c>
      <c r="G160" s="232"/>
    </row>
    <row r="161" spans="1:14" x14ac:dyDescent="0.3">
      <c r="A161" s="3">
        <v>3</v>
      </c>
      <c r="B161" s="237" t="s">
        <v>396</v>
      </c>
      <c r="C161" s="3" t="str">
        <f>VLOOKUP(B161,'Data availability'!$A$2:$B$91,2,FALSE)</f>
        <v>South campus</v>
      </c>
      <c r="D161" s="3">
        <f>VLOOKUP(B161,'Data availability'!$A$2:$G$91,7,FALSE)</f>
        <v>1440</v>
      </c>
      <c r="E161" s="3" t="str">
        <f>VLOOKUP(B161,'Data availability'!$A$2:$H$91,8,FALSE)</f>
        <v>Office</v>
      </c>
      <c r="F161" s="232" cm="1">
        <f t="array" ref="F161">(_xlfn._xlws.FILTER('Median Monthly EUIs'!$H$3:$H$146, ('Median Monthly EUIs'!$B$3:$B$146='Missing Bldgs - Monthly EUI'!E161) * ('Median Monthly EUIs'!$A$3:$A$146='Missing Bldgs - Monthly EUI'!A161))*0.293071)*D161</f>
        <v>984.07789235589428</v>
      </c>
      <c r="G161" s="232"/>
    </row>
    <row r="162" spans="1:14" x14ac:dyDescent="0.3">
      <c r="A162" s="3">
        <v>4</v>
      </c>
      <c r="B162" s="237" t="s">
        <v>396</v>
      </c>
      <c r="C162" s="3" t="str">
        <f>VLOOKUP(B162,'Data availability'!$A$2:$B$91,2,FALSE)</f>
        <v>South campus</v>
      </c>
      <c r="D162" s="3">
        <f>VLOOKUP(B162,'Data availability'!$A$2:$G$91,7,FALSE)</f>
        <v>1440</v>
      </c>
      <c r="E162" s="3" t="str">
        <f>VLOOKUP(B162,'Data availability'!$A$2:$H$91,8,FALSE)</f>
        <v>Office</v>
      </c>
      <c r="F162" s="232" cm="1">
        <f t="array" ref="F162">(_xlfn._xlws.FILTER('Median Monthly EUIs'!$H$3:$H$146, ('Median Monthly EUIs'!$B$3:$B$146='Missing Bldgs - Monthly EUI'!E162) * ('Median Monthly EUIs'!$A$3:$A$146='Missing Bldgs - Monthly EUI'!A162))*0.293071)*D162</f>
        <v>946.04256124353356</v>
      </c>
      <c r="G162" s="232"/>
    </row>
    <row r="163" spans="1:14" x14ac:dyDescent="0.3">
      <c r="A163" s="3">
        <v>5</v>
      </c>
      <c r="B163" s="237" t="s">
        <v>396</v>
      </c>
      <c r="C163" s="3" t="str">
        <f>VLOOKUP(B163,'Data availability'!$A$2:$B$91,2,FALSE)</f>
        <v>South campus</v>
      </c>
      <c r="D163" s="3">
        <f>VLOOKUP(B163,'Data availability'!$A$2:$G$91,7,FALSE)</f>
        <v>1440</v>
      </c>
      <c r="E163" s="3" t="str">
        <f>VLOOKUP(B163,'Data availability'!$A$2:$H$91,8,FALSE)</f>
        <v>Office</v>
      </c>
      <c r="F163" s="232" cm="1">
        <f t="array" ref="F163">(_xlfn._xlws.FILTER('Median Monthly EUIs'!$H$3:$H$146, ('Median Monthly EUIs'!$B$3:$B$146='Missing Bldgs - Monthly EUI'!E163) * ('Median Monthly EUIs'!$A$3:$A$146='Missing Bldgs - Monthly EUI'!A163))*0.293071)*D163</f>
        <v>949.23980224991624</v>
      </c>
      <c r="G163" s="232"/>
    </row>
    <row r="164" spans="1:14" x14ac:dyDescent="0.3">
      <c r="A164" s="3">
        <v>6</v>
      </c>
      <c r="B164" s="237" t="s">
        <v>396</v>
      </c>
      <c r="C164" s="3" t="str">
        <f>VLOOKUP(B164,'Data availability'!$A$2:$B$91,2,FALSE)</f>
        <v>South campus</v>
      </c>
      <c r="D164" s="3">
        <f>VLOOKUP(B164,'Data availability'!$A$2:$G$91,7,FALSE)</f>
        <v>1440</v>
      </c>
      <c r="E164" s="3" t="str">
        <f>VLOOKUP(B164,'Data availability'!$A$2:$H$91,8,FALSE)</f>
        <v>Office</v>
      </c>
      <c r="F164" s="232" cm="1">
        <f t="array" ref="F164">(_xlfn._xlws.FILTER('Median Monthly EUIs'!$H$3:$H$146, ('Median Monthly EUIs'!$B$3:$B$146='Missing Bldgs - Monthly EUI'!E164) * ('Median Monthly EUIs'!$A$3:$A$146='Missing Bldgs - Monthly EUI'!A164))*0.293071)*D164</f>
        <v>1026.5668124847205</v>
      </c>
      <c r="G164" s="232"/>
    </row>
    <row r="165" spans="1:14" x14ac:dyDescent="0.3">
      <c r="A165" s="3">
        <v>7</v>
      </c>
      <c r="B165" s="237" t="s">
        <v>396</v>
      </c>
      <c r="C165" s="3" t="str">
        <f>VLOOKUP(B165,'Data availability'!$A$2:$B$91,2,FALSE)</f>
        <v>South campus</v>
      </c>
      <c r="D165" s="3">
        <f>VLOOKUP(B165,'Data availability'!$A$2:$G$91,7,FALSE)</f>
        <v>1440</v>
      </c>
      <c r="E165" s="3" t="str">
        <f>VLOOKUP(B165,'Data availability'!$A$2:$H$91,8,FALSE)</f>
        <v>Office</v>
      </c>
      <c r="F165" s="232" cm="1">
        <f t="array" ref="F165">(_xlfn._xlws.FILTER('Median Monthly EUIs'!$H$3:$H$146, ('Median Monthly EUIs'!$B$3:$B$146='Missing Bldgs - Monthly EUI'!E165) * ('Median Monthly EUIs'!$A$3:$A$146='Missing Bldgs - Monthly EUI'!A165))*0.293071)*D165</f>
        <v>1065.3225932706607</v>
      </c>
      <c r="G165" s="232"/>
    </row>
    <row r="166" spans="1:14" x14ac:dyDescent="0.3">
      <c r="A166" s="3">
        <v>8</v>
      </c>
      <c r="B166" s="237" t="s">
        <v>396</v>
      </c>
      <c r="C166" s="3" t="str">
        <f>VLOOKUP(B166,'Data availability'!$A$2:$B$91,2,FALSE)</f>
        <v>South campus</v>
      </c>
      <c r="D166" s="3">
        <f>VLOOKUP(B166,'Data availability'!$A$2:$G$91,7,FALSE)</f>
        <v>1440</v>
      </c>
      <c r="E166" s="3" t="str">
        <f>VLOOKUP(B166,'Data availability'!$A$2:$H$91,8,FALSE)</f>
        <v>Office</v>
      </c>
      <c r="F166" s="232" cm="1">
        <f t="array" ref="F166">(_xlfn._xlws.FILTER('Median Monthly EUIs'!$H$3:$H$146, ('Median Monthly EUIs'!$B$3:$B$146='Missing Bldgs - Monthly EUI'!E166) * ('Median Monthly EUIs'!$A$3:$A$146='Missing Bldgs - Monthly EUI'!A166))*0.293071)*D166</f>
        <v>1541.0203523835225</v>
      </c>
      <c r="G166" s="232"/>
    </row>
    <row r="167" spans="1:14" x14ac:dyDescent="0.3">
      <c r="A167" s="3">
        <v>9</v>
      </c>
      <c r="B167" s="237" t="s">
        <v>396</v>
      </c>
      <c r="C167" s="3" t="str">
        <f>VLOOKUP(B167,'Data availability'!$A$2:$B$91,2,FALSE)</f>
        <v>South campus</v>
      </c>
      <c r="D167" s="3">
        <f>VLOOKUP(B167,'Data availability'!$A$2:$G$91,7,FALSE)</f>
        <v>1440</v>
      </c>
      <c r="E167" s="3" t="str">
        <f>VLOOKUP(B167,'Data availability'!$A$2:$H$91,8,FALSE)</f>
        <v>Office</v>
      </c>
      <c r="F167" s="232" cm="1">
        <f t="array" ref="F167">(_xlfn._xlws.FILTER('Median Monthly EUIs'!$H$3:$H$146, ('Median Monthly EUIs'!$B$3:$B$146='Missing Bldgs - Monthly EUI'!E167) * ('Median Monthly EUIs'!$A$3:$A$146='Missing Bldgs - Monthly EUI'!A167))*0.293071)*D167</f>
        <v>1490.9717863680041</v>
      </c>
      <c r="G167" s="232"/>
    </row>
    <row r="168" spans="1:14" x14ac:dyDescent="0.3">
      <c r="A168" s="3">
        <v>10</v>
      </c>
      <c r="B168" s="237" t="s">
        <v>396</v>
      </c>
      <c r="C168" s="3" t="str">
        <f>VLOOKUP(B168,'Data availability'!$A$2:$B$91,2,FALSE)</f>
        <v>South campus</v>
      </c>
      <c r="D168" s="3">
        <f>VLOOKUP(B168,'Data availability'!$A$2:$G$91,7,FALSE)</f>
        <v>1440</v>
      </c>
      <c r="E168" s="3" t="str">
        <f>VLOOKUP(B168,'Data availability'!$A$2:$H$91,8,FALSE)</f>
        <v>Office</v>
      </c>
      <c r="F168" s="232" cm="1">
        <f t="array" ref="F168">(_xlfn._xlws.FILTER('Median Monthly EUIs'!$H$3:$H$146, ('Median Monthly EUIs'!$B$3:$B$146='Missing Bldgs - Monthly EUI'!E168) * ('Median Monthly EUIs'!$A$3:$A$146='Missing Bldgs - Monthly EUI'!A168))*0.293071)*D168</f>
        <v>1406.3758036772526</v>
      </c>
      <c r="G168" s="232"/>
    </row>
    <row r="169" spans="1:14" x14ac:dyDescent="0.3">
      <c r="A169" s="3">
        <v>11</v>
      </c>
      <c r="B169" s="237" t="s">
        <v>396</v>
      </c>
      <c r="C169" s="3" t="str">
        <f>VLOOKUP(B169,'Data availability'!$A$2:$B$91,2,FALSE)</f>
        <v>South campus</v>
      </c>
      <c r="D169" s="3">
        <f>VLOOKUP(B169,'Data availability'!$A$2:$G$91,7,FALSE)</f>
        <v>1440</v>
      </c>
      <c r="E169" s="3" t="str">
        <f>VLOOKUP(B169,'Data availability'!$A$2:$H$91,8,FALSE)</f>
        <v>Office</v>
      </c>
      <c r="F169" s="232" cm="1">
        <f t="array" ref="F169">(_xlfn._xlws.FILTER('Median Monthly EUIs'!$H$3:$H$146, ('Median Monthly EUIs'!$B$3:$B$146='Missing Bldgs - Monthly EUI'!E169) * ('Median Monthly EUIs'!$A$3:$A$146='Missing Bldgs - Monthly EUI'!A169))*0.293071)*D169</f>
        <v>1200.1229434157044</v>
      </c>
      <c r="G169" s="232"/>
    </row>
    <row r="170" spans="1:14" x14ac:dyDescent="0.3">
      <c r="A170" s="3">
        <v>12</v>
      </c>
      <c r="B170" s="237" t="s">
        <v>396</v>
      </c>
      <c r="C170" s="3" t="str">
        <f>VLOOKUP(B170,'Data availability'!$A$2:$B$91,2,FALSE)</f>
        <v>South campus</v>
      </c>
      <c r="D170" s="3">
        <f>VLOOKUP(B170,'Data availability'!$A$2:$G$91,7,FALSE)</f>
        <v>1440</v>
      </c>
      <c r="E170" s="3" t="str">
        <f>VLOOKUP(B170,'Data availability'!$A$2:$H$91,8,FALSE)</f>
        <v>Office</v>
      </c>
      <c r="F170" s="232" cm="1">
        <f t="array" ref="F170">(_xlfn._xlws.FILTER('Median Monthly EUIs'!$H$3:$H$146, ('Median Monthly EUIs'!$B$3:$B$146='Missing Bldgs - Monthly EUI'!E170) * ('Median Monthly EUIs'!$A$3:$A$146='Missing Bldgs - Monthly EUI'!A170))*0.293071)*D170</f>
        <v>1015.9860201917593</v>
      </c>
      <c r="G170" s="232"/>
    </row>
    <row r="171" spans="1:14" x14ac:dyDescent="0.3">
      <c r="A171" s="3">
        <v>1</v>
      </c>
      <c r="B171" s="237" t="s">
        <v>397</v>
      </c>
      <c r="C171" s="3" t="str">
        <f>VLOOKUP(B171,'Data availability'!$A$2:$B$91,2,FALSE)</f>
        <v>South campus</v>
      </c>
      <c r="D171" s="3">
        <f>VLOOKUP(B171,'Data availability'!$A$2:$G$91,7,FALSE)</f>
        <v>1440</v>
      </c>
      <c r="E171" s="3" t="str">
        <f>VLOOKUP(B171,'Data availability'!$A$2:$H$91,8,FALSE)</f>
        <v>Office</v>
      </c>
      <c r="F171" s="232" cm="1">
        <f t="array" ref="F171">(_xlfn._xlws.FILTER('Median Monthly EUIs'!$H$3:$H$146, ('Median Monthly EUIs'!$B$3:$B$146='Missing Bldgs - Monthly EUI'!E171) * ('Median Monthly EUIs'!$A$3:$A$146='Missing Bldgs - Monthly EUI'!A171))*0.293071)*D171</f>
        <v>982.14861097765413</v>
      </c>
      <c r="G171" s="232"/>
      <c r="J171" s="1">
        <f>SUM(F171:F182)*3.412/D171</f>
        <v>32.113818130411289</v>
      </c>
      <c r="K171" s="1">
        <f>SUM(G171:G182)*100/D171</f>
        <v>0</v>
      </c>
      <c r="N171" s="1">
        <f>SUM(J171:M171)</f>
        <v>32.113818130411289</v>
      </c>
    </row>
    <row r="172" spans="1:14" x14ac:dyDescent="0.3">
      <c r="A172" s="3">
        <v>2</v>
      </c>
      <c r="B172" s="237" t="s">
        <v>397</v>
      </c>
      <c r="C172" s="3" t="str">
        <f>VLOOKUP(B172,'Data availability'!$A$2:$B$91,2,FALSE)</f>
        <v>South campus</v>
      </c>
      <c r="D172" s="3">
        <f>VLOOKUP(B172,'Data availability'!$A$2:$G$91,7,FALSE)</f>
        <v>1440</v>
      </c>
      <c r="E172" s="3" t="str">
        <f>VLOOKUP(B172,'Data availability'!$A$2:$H$91,8,FALSE)</f>
        <v>Office</v>
      </c>
      <c r="F172" s="232" cm="1">
        <f t="array" ref="F172">(_xlfn._xlws.FILTER('Median Monthly EUIs'!$H$3:$H$146, ('Median Monthly EUIs'!$B$3:$B$146='Missing Bldgs - Monthly EUI'!E172) * ('Median Monthly EUIs'!$A$3:$A$146='Missing Bldgs - Monthly EUI'!A172))*0.293071)*D172</f>
        <v>945.43610736972994</v>
      </c>
      <c r="G172" s="232"/>
    </row>
    <row r="173" spans="1:14" x14ac:dyDescent="0.3">
      <c r="A173" s="3">
        <v>3</v>
      </c>
      <c r="B173" s="237" t="s">
        <v>397</v>
      </c>
      <c r="C173" s="3" t="str">
        <f>VLOOKUP(B173,'Data availability'!$A$2:$B$91,2,FALSE)</f>
        <v>South campus</v>
      </c>
      <c r="D173" s="3">
        <f>VLOOKUP(B173,'Data availability'!$A$2:$G$91,7,FALSE)</f>
        <v>1440</v>
      </c>
      <c r="E173" s="3" t="str">
        <f>VLOOKUP(B173,'Data availability'!$A$2:$H$91,8,FALSE)</f>
        <v>Office</v>
      </c>
      <c r="F173" s="232" cm="1">
        <f t="array" ref="F173">(_xlfn._xlws.FILTER('Median Monthly EUIs'!$H$3:$H$146, ('Median Monthly EUIs'!$B$3:$B$146='Missing Bldgs - Monthly EUI'!E173) * ('Median Monthly EUIs'!$A$3:$A$146='Missing Bldgs - Monthly EUI'!A173))*0.293071)*D173</f>
        <v>984.07789235589428</v>
      </c>
      <c r="G173" s="232"/>
    </row>
    <row r="174" spans="1:14" x14ac:dyDescent="0.3">
      <c r="A174" s="3">
        <v>4</v>
      </c>
      <c r="B174" s="237" t="s">
        <v>397</v>
      </c>
      <c r="C174" s="3" t="str">
        <f>VLOOKUP(B174,'Data availability'!$A$2:$B$91,2,FALSE)</f>
        <v>South campus</v>
      </c>
      <c r="D174" s="3">
        <f>VLOOKUP(B174,'Data availability'!$A$2:$G$91,7,FALSE)</f>
        <v>1440</v>
      </c>
      <c r="E174" s="3" t="str">
        <f>VLOOKUP(B174,'Data availability'!$A$2:$H$91,8,FALSE)</f>
        <v>Office</v>
      </c>
      <c r="F174" s="232" cm="1">
        <f t="array" ref="F174">(_xlfn._xlws.FILTER('Median Monthly EUIs'!$H$3:$H$146, ('Median Monthly EUIs'!$B$3:$B$146='Missing Bldgs - Monthly EUI'!E174) * ('Median Monthly EUIs'!$A$3:$A$146='Missing Bldgs - Monthly EUI'!A174))*0.293071)*D174</f>
        <v>946.04256124353356</v>
      </c>
      <c r="G174" s="232"/>
    </row>
    <row r="175" spans="1:14" x14ac:dyDescent="0.3">
      <c r="A175" s="3">
        <v>5</v>
      </c>
      <c r="B175" s="237" t="s">
        <v>397</v>
      </c>
      <c r="C175" s="3" t="str">
        <f>VLOOKUP(B175,'Data availability'!$A$2:$B$91,2,FALSE)</f>
        <v>South campus</v>
      </c>
      <c r="D175" s="3">
        <f>VLOOKUP(B175,'Data availability'!$A$2:$G$91,7,FALSE)</f>
        <v>1440</v>
      </c>
      <c r="E175" s="3" t="str">
        <f>VLOOKUP(B175,'Data availability'!$A$2:$H$91,8,FALSE)</f>
        <v>Office</v>
      </c>
      <c r="F175" s="232" cm="1">
        <f t="array" ref="F175">(_xlfn._xlws.FILTER('Median Monthly EUIs'!$H$3:$H$146, ('Median Monthly EUIs'!$B$3:$B$146='Missing Bldgs - Monthly EUI'!E175) * ('Median Monthly EUIs'!$A$3:$A$146='Missing Bldgs - Monthly EUI'!A175))*0.293071)*D175</f>
        <v>949.23980224991624</v>
      </c>
      <c r="G175" s="232"/>
    </row>
    <row r="176" spans="1:14" x14ac:dyDescent="0.3">
      <c r="A176" s="3">
        <v>6</v>
      </c>
      <c r="B176" s="237" t="s">
        <v>397</v>
      </c>
      <c r="C176" s="3" t="str">
        <f>VLOOKUP(B176,'Data availability'!$A$2:$B$91,2,FALSE)</f>
        <v>South campus</v>
      </c>
      <c r="D176" s="3">
        <f>VLOOKUP(B176,'Data availability'!$A$2:$G$91,7,FALSE)</f>
        <v>1440</v>
      </c>
      <c r="E176" s="3" t="str">
        <f>VLOOKUP(B176,'Data availability'!$A$2:$H$91,8,FALSE)</f>
        <v>Office</v>
      </c>
      <c r="F176" s="232" cm="1">
        <f t="array" ref="F176">(_xlfn._xlws.FILTER('Median Monthly EUIs'!$H$3:$H$146, ('Median Monthly EUIs'!$B$3:$B$146='Missing Bldgs - Monthly EUI'!E176) * ('Median Monthly EUIs'!$A$3:$A$146='Missing Bldgs - Monthly EUI'!A176))*0.293071)*D176</f>
        <v>1026.5668124847205</v>
      </c>
      <c r="G176" s="232"/>
    </row>
    <row r="177" spans="1:14" x14ac:dyDescent="0.3">
      <c r="A177" s="3">
        <v>7</v>
      </c>
      <c r="B177" s="237" t="s">
        <v>397</v>
      </c>
      <c r="C177" s="3" t="str">
        <f>VLOOKUP(B177,'Data availability'!$A$2:$B$91,2,FALSE)</f>
        <v>South campus</v>
      </c>
      <c r="D177" s="3">
        <f>VLOOKUP(B177,'Data availability'!$A$2:$G$91,7,FALSE)</f>
        <v>1440</v>
      </c>
      <c r="E177" s="3" t="str">
        <f>VLOOKUP(B177,'Data availability'!$A$2:$H$91,8,FALSE)</f>
        <v>Office</v>
      </c>
      <c r="F177" s="232" cm="1">
        <f t="array" ref="F177">(_xlfn._xlws.FILTER('Median Monthly EUIs'!$H$3:$H$146, ('Median Monthly EUIs'!$B$3:$B$146='Missing Bldgs - Monthly EUI'!E177) * ('Median Monthly EUIs'!$A$3:$A$146='Missing Bldgs - Monthly EUI'!A177))*0.293071)*D177</f>
        <v>1065.3225932706607</v>
      </c>
      <c r="G177" s="232"/>
    </row>
    <row r="178" spans="1:14" x14ac:dyDescent="0.3">
      <c r="A178" s="3">
        <v>8</v>
      </c>
      <c r="B178" s="237" t="s">
        <v>397</v>
      </c>
      <c r="C178" s="3" t="str">
        <f>VLOOKUP(B178,'Data availability'!$A$2:$B$91,2,FALSE)</f>
        <v>South campus</v>
      </c>
      <c r="D178" s="3">
        <f>VLOOKUP(B178,'Data availability'!$A$2:$G$91,7,FALSE)</f>
        <v>1440</v>
      </c>
      <c r="E178" s="3" t="str">
        <f>VLOOKUP(B178,'Data availability'!$A$2:$H$91,8,FALSE)</f>
        <v>Office</v>
      </c>
      <c r="F178" s="232" cm="1">
        <f t="array" ref="F178">(_xlfn._xlws.FILTER('Median Monthly EUIs'!$H$3:$H$146, ('Median Monthly EUIs'!$B$3:$B$146='Missing Bldgs - Monthly EUI'!E178) * ('Median Monthly EUIs'!$A$3:$A$146='Missing Bldgs - Monthly EUI'!A178))*0.293071)*D178</f>
        <v>1541.0203523835225</v>
      </c>
      <c r="G178" s="232"/>
    </row>
    <row r="179" spans="1:14" x14ac:dyDescent="0.3">
      <c r="A179" s="3">
        <v>9</v>
      </c>
      <c r="B179" s="237" t="s">
        <v>397</v>
      </c>
      <c r="C179" s="3" t="str">
        <f>VLOOKUP(B179,'Data availability'!$A$2:$B$91,2,FALSE)</f>
        <v>South campus</v>
      </c>
      <c r="D179" s="3">
        <f>VLOOKUP(B179,'Data availability'!$A$2:$G$91,7,FALSE)</f>
        <v>1440</v>
      </c>
      <c r="E179" s="3" t="str">
        <f>VLOOKUP(B179,'Data availability'!$A$2:$H$91,8,FALSE)</f>
        <v>Office</v>
      </c>
      <c r="F179" s="232" cm="1">
        <f t="array" ref="F179">(_xlfn._xlws.FILTER('Median Monthly EUIs'!$H$3:$H$146, ('Median Monthly EUIs'!$B$3:$B$146='Missing Bldgs - Monthly EUI'!E179) * ('Median Monthly EUIs'!$A$3:$A$146='Missing Bldgs - Monthly EUI'!A179))*0.293071)*D179</f>
        <v>1490.9717863680041</v>
      </c>
      <c r="G179" s="232"/>
    </row>
    <row r="180" spans="1:14" x14ac:dyDescent="0.3">
      <c r="A180" s="3">
        <v>10</v>
      </c>
      <c r="B180" s="237" t="s">
        <v>397</v>
      </c>
      <c r="C180" s="3" t="str">
        <f>VLOOKUP(B180,'Data availability'!$A$2:$B$91,2,FALSE)</f>
        <v>South campus</v>
      </c>
      <c r="D180" s="3">
        <f>VLOOKUP(B180,'Data availability'!$A$2:$G$91,7,FALSE)</f>
        <v>1440</v>
      </c>
      <c r="E180" s="3" t="str">
        <f>VLOOKUP(B180,'Data availability'!$A$2:$H$91,8,FALSE)</f>
        <v>Office</v>
      </c>
      <c r="F180" s="232" cm="1">
        <f t="array" ref="F180">(_xlfn._xlws.FILTER('Median Monthly EUIs'!$H$3:$H$146, ('Median Monthly EUIs'!$B$3:$B$146='Missing Bldgs - Monthly EUI'!E180) * ('Median Monthly EUIs'!$A$3:$A$146='Missing Bldgs - Monthly EUI'!A180))*0.293071)*D180</f>
        <v>1406.3758036772526</v>
      </c>
      <c r="G180" s="232"/>
    </row>
    <row r="181" spans="1:14" x14ac:dyDescent="0.3">
      <c r="A181" s="3">
        <v>11</v>
      </c>
      <c r="B181" s="237" t="s">
        <v>397</v>
      </c>
      <c r="C181" s="3" t="str">
        <f>VLOOKUP(B181,'Data availability'!$A$2:$B$91,2,FALSE)</f>
        <v>South campus</v>
      </c>
      <c r="D181" s="3">
        <f>VLOOKUP(B181,'Data availability'!$A$2:$G$91,7,FALSE)</f>
        <v>1440</v>
      </c>
      <c r="E181" s="3" t="str">
        <f>VLOOKUP(B181,'Data availability'!$A$2:$H$91,8,FALSE)</f>
        <v>Office</v>
      </c>
      <c r="F181" s="232" cm="1">
        <f t="array" ref="F181">(_xlfn._xlws.FILTER('Median Monthly EUIs'!$H$3:$H$146, ('Median Monthly EUIs'!$B$3:$B$146='Missing Bldgs - Monthly EUI'!E181) * ('Median Monthly EUIs'!$A$3:$A$146='Missing Bldgs - Monthly EUI'!A181))*0.293071)*D181</f>
        <v>1200.1229434157044</v>
      </c>
      <c r="G181" s="232"/>
    </row>
    <row r="182" spans="1:14" x14ac:dyDescent="0.3">
      <c r="A182" s="3">
        <v>12</v>
      </c>
      <c r="B182" s="237" t="s">
        <v>397</v>
      </c>
      <c r="C182" s="3" t="str">
        <f>VLOOKUP(B182,'Data availability'!$A$2:$B$91,2,FALSE)</f>
        <v>South campus</v>
      </c>
      <c r="D182" s="3">
        <f>VLOOKUP(B182,'Data availability'!$A$2:$G$91,7,FALSE)</f>
        <v>1440</v>
      </c>
      <c r="E182" s="3" t="str">
        <f>VLOOKUP(B182,'Data availability'!$A$2:$H$91,8,FALSE)</f>
        <v>Office</v>
      </c>
      <c r="F182" s="232" cm="1">
        <f t="array" ref="F182">(_xlfn._xlws.FILTER('Median Monthly EUIs'!$H$3:$H$146, ('Median Monthly EUIs'!$B$3:$B$146='Missing Bldgs - Monthly EUI'!E182) * ('Median Monthly EUIs'!$A$3:$A$146='Missing Bldgs - Monthly EUI'!A182))*0.293071)*D182</f>
        <v>1015.9860201917593</v>
      </c>
      <c r="G182" s="232"/>
    </row>
    <row r="183" spans="1:14" x14ac:dyDescent="0.3">
      <c r="A183" s="3">
        <v>1</v>
      </c>
      <c r="B183" s="237" t="s">
        <v>398</v>
      </c>
      <c r="C183" s="3" t="str">
        <f>VLOOKUP(B183,'Data availability'!$A$2:$B$91,2,FALSE)</f>
        <v>South campus</v>
      </c>
      <c r="D183" s="3">
        <f>VLOOKUP(B183,'Data availability'!$A$2:$G$91,7,FALSE)</f>
        <v>1440</v>
      </c>
      <c r="E183" s="3" t="str">
        <f>VLOOKUP(B183,'Data availability'!$A$2:$H$91,8,FALSE)</f>
        <v>Office</v>
      </c>
      <c r="F183" s="232" cm="1">
        <f t="array" ref="F183">(_xlfn._xlws.FILTER('Median Monthly EUIs'!$H$3:$H$146, ('Median Monthly EUIs'!$B$3:$B$146='Missing Bldgs - Monthly EUI'!E183) * ('Median Monthly EUIs'!$A$3:$A$146='Missing Bldgs - Monthly EUI'!A183))*0.293071)*D183</f>
        <v>982.14861097765413</v>
      </c>
      <c r="G183" s="232"/>
      <c r="J183" s="1">
        <f>SUM(F183:F194)*3.412/D183</f>
        <v>32.113818130411289</v>
      </c>
      <c r="K183" s="1">
        <f>SUM(G183:G194)*100/D183</f>
        <v>0</v>
      </c>
      <c r="N183" s="1">
        <f>SUM(J183:M183)</f>
        <v>32.113818130411289</v>
      </c>
    </row>
    <row r="184" spans="1:14" x14ac:dyDescent="0.3">
      <c r="A184" s="3">
        <v>2</v>
      </c>
      <c r="B184" s="237" t="s">
        <v>398</v>
      </c>
      <c r="C184" s="3" t="str">
        <f>VLOOKUP(B184,'Data availability'!$A$2:$B$91,2,FALSE)</f>
        <v>South campus</v>
      </c>
      <c r="D184" s="3">
        <f>VLOOKUP(B184,'Data availability'!$A$2:$G$91,7,FALSE)</f>
        <v>1440</v>
      </c>
      <c r="E184" s="3" t="str">
        <f>VLOOKUP(B184,'Data availability'!$A$2:$H$91,8,FALSE)</f>
        <v>Office</v>
      </c>
      <c r="F184" s="232" cm="1">
        <f t="array" ref="F184">(_xlfn._xlws.FILTER('Median Monthly EUIs'!$H$3:$H$146, ('Median Monthly EUIs'!$B$3:$B$146='Missing Bldgs - Monthly EUI'!E184) * ('Median Monthly EUIs'!$A$3:$A$146='Missing Bldgs - Monthly EUI'!A184))*0.293071)*D184</f>
        <v>945.43610736972994</v>
      </c>
      <c r="G184" s="232"/>
    </row>
    <row r="185" spans="1:14" x14ac:dyDescent="0.3">
      <c r="A185" s="3">
        <v>3</v>
      </c>
      <c r="B185" s="237" t="s">
        <v>398</v>
      </c>
      <c r="C185" s="3" t="str">
        <f>VLOOKUP(B185,'Data availability'!$A$2:$B$91,2,FALSE)</f>
        <v>South campus</v>
      </c>
      <c r="D185" s="3">
        <f>VLOOKUP(B185,'Data availability'!$A$2:$G$91,7,FALSE)</f>
        <v>1440</v>
      </c>
      <c r="E185" s="3" t="str">
        <f>VLOOKUP(B185,'Data availability'!$A$2:$H$91,8,FALSE)</f>
        <v>Office</v>
      </c>
      <c r="F185" s="232" cm="1">
        <f t="array" ref="F185">(_xlfn._xlws.FILTER('Median Monthly EUIs'!$H$3:$H$146, ('Median Monthly EUIs'!$B$3:$B$146='Missing Bldgs - Monthly EUI'!E185) * ('Median Monthly EUIs'!$A$3:$A$146='Missing Bldgs - Monthly EUI'!A185))*0.293071)*D185</f>
        <v>984.07789235589428</v>
      </c>
      <c r="G185" s="232"/>
    </row>
    <row r="186" spans="1:14" x14ac:dyDescent="0.3">
      <c r="A186" s="3">
        <v>4</v>
      </c>
      <c r="B186" s="237" t="s">
        <v>398</v>
      </c>
      <c r="C186" s="3" t="str">
        <f>VLOOKUP(B186,'Data availability'!$A$2:$B$91,2,FALSE)</f>
        <v>South campus</v>
      </c>
      <c r="D186" s="3">
        <f>VLOOKUP(B186,'Data availability'!$A$2:$G$91,7,FALSE)</f>
        <v>1440</v>
      </c>
      <c r="E186" s="3" t="str">
        <f>VLOOKUP(B186,'Data availability'!$A$2:$H$91,8,FALSE)</f>
        <v>Office</v>
      </c>
      <c r="F186" s="232" cm="1">
        <f t="array" ref="F186">(_xlfn._xlws.FILTER('Median Monthly EUIs'!$H$3:$H$146, ('Median Monthly EUIs'!$B$3:$B$146='Missing Bldgs - Monthly EUI'!E186) * ('Median Monthly EUIs'!$A$3:$A$146='Missing Bldgs - Monthly EUI'!A186))*0.293071)*D186</f>
        <v>946.04256124353356</v>
      </c>
      <c r="G186" s="232"/>
    </row>
    <row r="187" spans="1:14" x14ac:dyDescent="0.3">
      <c r="A187" s="3">
        <v>5</v>
      </c>
      <c r="B187" s="237" t="s">
        <v>398</v>
      </c>
      <c r="C187" s="3" t="str">
        <f>VLOOKUP(B187,'Data availability'!$A$2:$B$91,2,FALSE)</f>
        <v>South campus</v>
      </c>
      <c r="D187" s="3">
        <f>VLOOKUP(B187,'Data availability'!$A$2:$G$91,7,FALSE)</f>
        <v>1440</v>
      </c>
      <c r="E187" s="3" t="str">
        <f>VLOOKUP(B187,'Data availability'!$A$2:$H$91,8,FALSE)</f>
        <v>Office</v>
      </c>
      <c r="F187" s="232" cm="1">
        <f t="array" ref="F187">(_xlfn._xlws.FILTER('Median Monthly EUIs'!$H$3:$H$146, ('Median Monthly EUIs'!$B$3:$B$146='Missing Bldgs - Monthly EUI'!E187) * ('Median Monthly EUIs'!$A$3:$A$146='Missing Bldgs - Monthly EUI'!A187))*0.293071)*D187</f>
        <v>949.23980224991624</v>
      </c>
      <c r="G187" s="232"/>
    </row>
    <row r="188" spans="1:14" x14ac:dyDescent="0.3">
      <c r="A188" s="3">
        <v>6</v>
      </c>
      <c r="B188" s="237" t="s">
        <v>398</v>
      </c>
      <c r="C188" s="3" t="str">
        <f>VLOOKUP(B188,'Data availability'!$A$2:$B$91,2,FALSE)</f>
        <v>South campus</v>
      </c>
      <c r="D188" s="3">
        <f>VLOOKUP(B188,'Data availability'!$A$2:$G$91,7,FALSE)</f>
        <v>1440</v>
      </c>
      <c r="E188" s="3" t="str">
        <f>VLOOKUP(B188,'Data availability'!$A$2:$H$91,8,FALSE)</f>
        <v>Office</v>
      </c>
      <c r="F188" s="232" cm="1">
        <f t="array" ref="F188">(_xlfn._xlws.FILTER('Median Monthly EUIs'!$H$3:$H$146, ('Median Monthly EUIs'!$B$3:$B$146='Missing Bldgs - Monthly EUI'!E188) * ('Median Monthly EUIs'!$A$3:$A$146='Missing Bldgs - Monthly EUI'!A188))*0.293071)*D188</f>
        <v>1026.5668124847205</v>
      </c>
      <c r="G188" s="232"/>
    </row>
    <row r="189" spans="1:14" x14ac:dyDescent="0.3">
      <c r="A189" s="3">
        <v>7</v>
      </c>
      <c r="B189" s="237" t="s">
        <v>398</v>
      </c>
      <c r="C189" s="3" t="str">
        <f>VLOOKUP(B189,'Data availability'!$A$2:$B$91,2,FALSE)</f>
        <v>South campus</v>
      </c>
      <c r="D189" s="3">
        <f>VLOOKUP(B189,'Data availability'!$A$2:$G$91,7,FALSE)</f>
        <v>1440</v>
      </c>
      <c r="E189" s="3" t="str">
        <f>VLOOKUP(B189,'Data availability'!$A$2:$H$91,8,FALSE)</f>
        <v>Office</v>
      </c>
      <c r="F189" s="232" cm="1">
        <f t="array" ref="F189">(_xlfn._xlws.FILTER('Median Monthly EUIs'!$H$3:$H$146, ('Median Monthly EUIs'!$B$3:$B$146='Missing Bldgs - Monthly EUI'!E189) * ('Median Monthly EUIs'!$A$3:$A$146='Missing Bldgs - Monthly EUI'!A189))*0.293071)*D189</f>
        <v>1065.3225932706607</v>
      </c>
      <c r="G189" s="232"/>
    </row>
    <row r="190" spans="1:14" x14ac:dyDescent="0.3">
      <c r="A190" s="3">
        <v>8</v>
      </c>
      <c r="B190" s="237" t="s">
        <v>398</v>
      </c>
      <c r="C190" s="3" t="str">
        <f>VLOOKUP(B190,'Data availability'!$A$2:$B$91,2,FALSE)</f>
        <v>South campus</v>
      </c>
      <c r="D190" s="3">
        <f>VLOOKUP(B190,'Data availability'!$A$2:$G$91,7,FALSE)</f>
        <v>1440</v>
      </c>
      <c r="E190" s="3" t="str">
        <f>VLOOKUP(B190,'Data availability'!$A$2:$H$91,8,FALSE)</f>
        <v>Office</v>
      </c>
      <c r="F190" s="232" cm="1">
        <f t="array" ref="F190">(_xlfn._xlws.FILTER('Median Monthly EUIs'!$H$3:$H$146, ('Median Monthly EUIs'!$B$3:$B$146='Missing Bldgs - Monthly EUI'!E190) * ('Median Monthly EUIs'!$A$3:$A$146='Missing Bldgs - Monthly EUI'!A190))*0.293071)*D190</f>
        <v>1541.0203523835225</v>
      </c>
      <c r="G190" s="232"/>
    </row>
    <row r="191" spans="1:14" x14ac:dyDescent="0.3">
      <c r="A191" s="3">
        <v>9</v>
      </c>
      <c r="B191" s="237" t="s">
        <v>398</v>
      </c>
      <c r="C191" s="3" t="str">
        <f>VLOOKUP(B191,'Data availability'!$A$2:$B$91,2,FALSE)</f>
        <v>South campus</v>
      </c>
      <c r="D191" s="3">
        <f>VLOOKUP(B191,'Data availability'!$A$2:$G$91,7,FALSE)</f>
        <v>1440</v>
      </c>
      <c r="E191" s="3" t="str">
        <f>VLOOKUP(B191,'Data availability'!$A$2:$H$91,8,FALSE)</f>
        <v>Office</v>
      </c>
      <c r="F191" s="232" cm="1">
        <f t="array" ref="F191">(_xlfn._xlws.FILTER('Median Monthly EUIs'!$H$3:$H$146, ('Median Monthly EUIs'!$B$3:$B$146='Missing Bldgs - Monthly EUI'!E191) * ('Median Monthly EUIs'!$A$3:$A$146='Missing Bldgs - Monthly EUI'!A191))*0.293071)*D191</f>
        <v>1490.9717863680041</v>
      </c>
      <c r="G191" s="232"/>
    </row>
    <row r="192" spans="1:14" x14ac:dyDescent="0.3">
      <c r="A192" s="3">
        <v>10</v>
      </c>
      <c r="B192" s="237" t="s">
        <v>398</v>
      </c>
      <c r="C192" s="3" t="str">
        <f>VLOOKUP(B192,'Data availability'!$A$2:$B$91,2,FALSE)</f>
        <v>South campus</v>
      </c>
      <c r="D192" s="3">
        <f>VLOOKUP(B192,'Data availability'!$A$2:$G$91,7,FALSE)</f>
        <v>1440</v>
      </c>
      <c r="E192" s="3" t="str">
        <f>VLOOKUP(B192,'Data availability'!$A$2:$H$91,8,FALSE)</f>
        <v>Office</v>
      </c>
      <c r="F192" s="232" cm="1">
        <f t="array" ref="F192">(_xlfn._xlws.FILTER('Median Monthly EUIs'!$H$3:$H$146, ('Median Monthly EUIs'!$B$3:$B$146='Missing Bldgs - Monthly EUI'!E192) * ('Median Monthly EUIs'!$A$3:$A$146='Missing Bldgs - Monthly EUI'!A192))*0.293071)*D192</f>
        <v>1406.3758036772526</v>
      </c>
      <c r="G192" s="232"/>
    </row>
    <row r="193" spans="1:14" x14ac:dyDescent="0.3">
      <c r="A193" s="3">
        <v>11</v>
      </c>
      <c r="B193" s="237" t="s">
        <v>398</v>
      </c>
      <c r="C193" s="3" t="str">
        <f>VLOOKUP(B193,'Data availability'!$A$2:$B$91,2,FALSE)</f>
        <v>South campus</v>
      </c>
      <c r="D193" s="3">
        <f>VLOOKUP(B193,'Data availability'!$A$2:$G$91,7,FALSE)</f>
        <v>1440</v>
      </c>
      <c r="E193" s="3" t="str">
        <f>VLOOKUP(B193,'Data availability'!$A$2:$H$91,8,FALSE)</f>
        <v>Office</v>
      </c>
      <c r="F193" s="232" cm="1">
        <f t="array" ref="F193">(_xlfn._xlws.FILTER('Median Monthly EUIs'!$H$3:$H$146, ('Median Monthly EUIs'!$B$3:$B$146='Missing Bldgs - Monthly EUI'!E193) * ('Median Monthly EUIs'!$A$3:$A$146='Missing Bldgs - Monthly EUI'!A193))*0.293071)*D193</f>
        <v>1200.1229434157044</v>
      </c>
      <c r="G193" s="232"/>
    </row>
    <row r="194" spans="1:14" x14ac:dyDescent="0.3">
      <c r="A194" s="3">
        <v>12</v>
      </c>
      <c r="B194" s="237" t="s">
        <v>398</v>
      </c>
      <c r="C194" s="3" t="str">
        <f>VLOOKUP(B194,'Data availability'!$A$2:$B$91,2,FALSE)</f>
        <v>South campus</v>
      </c>
      <c r="D194" s="3">
        <f>VLOOKUP(B194,'Data availability'!$A$2:$G$91,7,FALSE)</f>
        <v>1440</v>
      </c>
      <c r="E194" s="3" t="str">
        <f>VLOOKUP(B194,'Data availability'!$A$2:$H$91,8,FALSE)</f>
        <v>Office</v>
      </c>
      <c r="F194" s="232" cm="1">
        <f t="array" ref="F194">(_xlfn._xlws.FILTER('Median Monthly EUIs'!$H$3:$H$146, ('Median Monthly EUIs'!$B$3:$B$146='Missing Bldgs - Monthly EUI'!E194) * ('Median Monthly EUIs'!$A$3:$A$146='Missing Bldgs - Monthly EUI'!A194))*0.293071)*D194</f>
        <v>1015.9860201917593</v>
      </c>
      <c r="G194" s="232"/>
    </row>
    <row r="195" spans="1:14" x14ac:dyDescent="0.3">
      <c r="A195" s="3">
        <v>1</v>
      </c>
      <c r="B195" s="237" t="s">
        <v>414</v>
      </c>
      <c r="C195" s="3" t="str">
        <f>VLOOKUP(B195,'Data availability'!$A$2:$B$91,2,FALSE)</f>
        <v>President's House</v>
      </c>
      <c r="D195" s="3">
        <f>VLOOKUP(B195,'Data availability'!$A$2:$G$91,7,FALSE)</f>
        <v>4350</v>
      </c>
      <c r="E195" s="3" t="str">
        <f>VLOOKUP(B195,'Data availability'!$A$2:$H$91,8,FALSE)</f>
        <v>Residential</v>
      </c>
      <c r="F195" s="232" cm="1">
        <f t="array" ref="F195">(_xlfn._xlws.FILTER('Median Monthly EUIs'!$H$3:$H$146, ('Median Monthly EUIs'!$B$3:$B$146='Missing Bldgs - Monthly EUI'!E195) * ('Median Monthly EUIs'!$A$3:$A$146='Missing Bldgs - Monthly EUI'!A195))*0.293071)*D195</f>
        <v>1455.1964140427708</v>
      </c>
      <c r="G195" s="232" cm="1">
        <f t="array" ref="G195">(_xlfn._xlws.FILTER('Median Monthly EUIs'!$I$3:$I$134, ('Median Monthly EUIs'!$B$3:$B$134='Missing Bldgs - Monthly EUI'!E195) * ('Median Monthly EUIs'!$A$3:$A$134='Missing Bldgs - Monthly EUI'!A195))/100)*D195</f>
        <v>162.96151200122065</v>
      </c>
      <c r="J195" s="1">
        <f>SUM(F195:F206)*3.412/D195</f>
        <v>15.089626382761672</v>
      </c>
      <c r="K195" s="1">
        <f>SUM(G195:G206)*100/D195</f>
        <v>33.444707740916165</v>
      </c>
      <c r="N195" s="1">
        <f>SUM(J195:M195)</f>
        <v>48.534334123677837</v>
      </c>
    </row>
    <row r="196" spans="1:14" x14ac:dyDescent="0.3">
      <c r="A196" s="3">
        <v>2</v>
      </c>
      <c r="B196" s="237" t="s">
        <v>414</v>
      </c>
      <c r="C196" s="3" t="str">
        <f>VLOOKUP(B196,'Data availability'!$A$2:$B$91,2,FALSE)</f>
        <v>President's House</v>
      </c>
      <c r="D196" s="3">
        <f>VLOOKUP(B196,'Data availability'!$A$2:$G$91,7,FALSE)</f>
        <v>4350</v>
      </c>
      <c r="E196" s="3" t="str">
        <f>VLOOKUP(B196,'Data availability'!$A$2:$H$91,8,FALSE)</f>
        <v>Residential</v>
      </c>
      <c r="F196" s="232" cm="1">
        <f t="array" ref="F196">(_xlfn._xlws.FILTER('Median Monthly EUIs'!$H$3:$H$146, ('Median Monthly EUIs'!$B$3:$B$146='Missing Bldgs - Monthly EUI'!E196) * ('Median Monthly EUIs'!$A$3:$A$146='Missing Bldgs - Monthly EUI'!A196))*0.293071)*D196</f>
        <v>1477.8229562171766</v>
      </c>
      <c r="G196" s="232" cm="1">
        <f t="array" ref="G196">(_xlfn._xlws.FILTER('Median Monthly EUIs'!$I$3:$I$134, ('Median Monthly EUIs'!$B$3:$B$134='Missing Bldgs - Monthly EUI'!E196) * ('Median Monthly EUIs'!$A$3:$A$134='Missing Bldgs - Monthly EUI'!A196))/100)*D196</f>
        <v>178.48141848851009</v>
      </c>
    </row>
    <row r="197" spans="1:14" x14ac:dyDescent="0.3">
      <c r="A197" s="3">
        <v>3</v>
      </c>
      <c r="B197" s="237" t="s">
        <v>414</v>
      </c>
      <c r="C197" s="3" t="str">
        <f>VLOOKUP(B197,'Data availability'!$A$2:$B$91,2,FALSE)</f>
        <v>President's House</v>
      </c>
      <c r="D197" s="3">
        <f>VLOOKUP(B197,'Data availability'!$A$2:$G$91,7,FALSE)</f>
        <v>4350</v>
      </c>
      <c r="E197" s="3" t="str">
        <f>VLOOKUP(B197,'Data availability'!$A$2:$H$91,8,FALSE)</f>
        <v>Residential</v>
      </c>
      <c r="F197" s="232" cm="1">
        <f t="array" ref="F197">(_xlfn._xlws.FILTER('Median Monthly EUIs'!$H$3:$H$146, ('Median Monthly EUIs'!$B$3:$B$146='Missing Bldgs - Monthly EUI'!E197) * ('Median Monthly EUIs'!$A$3:$A$146='Missing Bldgs - Monthly EUI'!A197))*0.293071)*D197</f>
        <v>1661.5330563938135</v>
      </c>
      <c r="G197" s="232" cm="1">
        <f t="array" ref="G197">(_xlfn._xlws.FILTER('Median Monthly EUIs'!$I$3:$I$134, ('Median Monthly EUIs'!$B$3:$B$134='Missing Bldgs - Monthly EUI'!E197) * ('Median Monthly EUIs'!$A$3:$A$134='Missing Bldgs - Monthly EUI'!A197))/100)*D197</f>
        <v>165.67762425130803</v>
      </c>
    </row>
    <row r="198" spans="1:14" x14ac:dyDescent="0.3">
      <c r="A198" s="3">
        <v>4</v>
      </c>
      <c r="B198" s="237" t="s">
        <v>414</v>
      </c>
      <c r="C198" s="3" t="str">
        <f>VLOOKUP(B198,'Data availability'!$A$2:$B$91,2,FALSE)</f>
        <v>President's House</v>
      </c>
      <c r="D198" s="3">
        <f>VLOOKUP(B198,'Data availability'!$A$2:$G$91,7,FALSE)</f>
        <v>4350</v>
      </c>
      <c r="E198" s="3" t="str">
        <f>VLOOKUP(B198,'Data availability'!$A$2:$H$91,8,FALSE)</f>
        <v>Residential</v>
      </c>
      <c r="F198" s="232" cm="1">
        <f t="array" ref="F198">(_xlfn._xlws.FILTER('Median Monthly EUIs'!$H$3:$H$146, ('Median Monthly EUIs'!$B$3:$B$146='Missing Bldgs - Monthly EUI'!E198) * ('Median Monthly EUIs'!$A$3:$A$146='Missing Bldgs - Monthly EUI'!A198))*0.293071)*D198</f>
        <v>1654.8083106662118</v>
      </c>
      <c r="G198" s="232" cm="1">
        <f t="array" ref="G198">(_xlfn._xlws.FILTER('Median Monthly EUIs'!$I$3:$I$134, ('Median Monthly EUIs'!$B$3:$B$134='Missing Bldgs - Monthly EUI'!E198) * ('Median Monthly EUIs'!$A$3:$A$134='Missing Bldgs - Monthly EUI'!A198))/100)*D198</f>
        <v>129.50396392009529</v>
      </c>
    </row>
    <row r="199" spans="1:14" x14ac:dyDescent="0.3">
      <c r="A199" s="3">
        <v>5</v>
      </c>
      <c r="B199" s="237" t="s">
        <v>414</v>
      </c>
      <c r="C199" s="3" t="str">
        <f>VLOOKUP(B199,'Data availability'!$A$2:$B$91,2,FALSE)</f>
        <v>President's House</v>
      </c>
      <c r="D199" s="3">
        <f>VLOOKUP(B199,'Data availability'!$A$2:$G$91,7,FALSE)</f>
        <v>4350</v>
      </c>
      <c r="E199" s="3" t="str">
        <f>VLOOKUP(B199,'Data availability'!$A$2:$H$91,8,FALSE)</f>
        <v>Residential</v>
      </c>
      <c r="F199" s="232" cm="1">
        <f t="array" ref="F199">(_xlfn._xlws.FILTER('Median Monthly EUIs'!$H$3:$H$146, ('Median Monthly EUIs'!$B$3:$B$146='Missing Bldgs - Monthly EUI'!E199) * ('Median Monthly EUIs'!$A$3:$A$146='Missing Bldgs - Monthly EUI'!A199))*0.293071)*D199</f>
        <v>1612.4310775464983</v>
      </c>
      <c r="G199" s="232" cm="1">
        <f t="array" ref="G199">(_xlfn._xlws.FILTER('Median Monthly EUIs'!$I$3:$I$134, ('Median Monthly EUIs'!$B$3:$B$134='Missing Bldgs - Monthly EUI'!E199) * ('Median Monthly EUIs'!$A$3:$A$134='Missing Bldgs - Monthly EUI'!A199))/100)*D199</f>
        <v>106.51766143365025</v>
      </c>
    </row>
    <row r="200" spans="1:14" x14ac:dyDescent="0.3">
      <c r="A200" s="3">
        <v>6</v>
      </c>
      <c r="B200" s="237" t="s">
        <v>414</v>
      </c>
      <c r="C200" s="3" t="str">
        <f>VLOOKUP(B200,'Data availability'!$A$2:$B$91,2,FALSE)</f>
        <v>President's House</v>
      </c>
      <c r="D200" s="3">
        <f>VLOOKUP(B200,'Data availability'!$A$2:$G$91,7,FALSE)</f>
        <v>4350</v>
      </c>
      <c r="E200" s="3" t="str">
        <f>VLOOKUP(B200,'Data availability'!$A$2:$H$91,8,FALSE)</f>
        <v>Residential</v>
      </c>
      <c r="F200" s="232" cm="1">
        <f t="array" ref="F200">(_xlfn._xlws.FILTER('Median Monthly EUIs'!$H$3:$H$146, ('Median Monthly EUIs'!$B$3:$B$146='Missing Bldgs - Monthly EUI'!E200) * ('Median Monthly EUIs'!$A$3:$A$146='Missing Bldgs - Monthly EUI'!A200))*0.293071)*D200</f>
        <v>1485.5445270810762</v>
      </c>
      <c r="G200" s="232" cm="1">
        <f t="array" ref="G200">(_xlfn._xlws.FILTER('Median Monthly EUIs'!$I$3:$I$134, ('Median Monthly EUIs'!$B$3:$B$134='Missing Bldgs - Monthly EUI'!E200) * ('Median Monthly EUIs'!$A$3:$A$134='Missing Bldgs - Monthly EUI'!A200))/100)*D200</f>
        <v>81.025760587066287</v>
      </c>
    </row>
    <row r="201" spans="1:14" x14ac:dyDescent="0.3">
      <c r="A201" s="3">
        <v>7</v>
      </c>
      <c r="B201" s="237" t="s">
        <v>414</v>
      </c>
      <c r="C201" s="3" t="str">
        <f>VLOOKUP(B201,'Data availability'!$A$2:$B$91,2,FALSE)</f>
        <v>President's House</v>
      </c>
      <c r="D201" s="3">
        <f>VLOOKUP(B201,'Data availability'!$A$2:$G$91,7,FALSE)</f>
        <v>4350</v>
      </c>
      <c r="E201" s="3" t="str">
        <f>VLOOKUP(B201,'Data availability'!$A$2:$H$91,8,FALSE)</f>
        <v>Residential</v>
      </c>
      <c r="F201" s="232" cm="1">
        <f t="array" ref="F201">(_xlfn._xlws.FILTER('Median Monthly EUIs'!$H$3:$H$146, ('Median Monthly EUIs'!$B$3:$B$146='Missing Bldgs - Monthly EUI'!E201) * ('Median Monthly EUIs'!$A$3:$A$146='Missing Bldgs - Monthly EUI'!A201))*0.293071)*D201</f>
        <v>1597.2170499728206</v>
      </c>
      <c r="G201" s="232" cm="1">
        <f t="array" ref="G201">(_xlfn._xlws.FILTER('Median Monthly EUIs'!$I$3:$I$134, ('Median Monthly EUIs'!$B$3:$B$134='Missing Bldgs - Monthly EUI'!E201) * ('Median Monthly EUIs'!$A$3:$A$134='Missing Bldgs - Monthly EUI'!A201))/100)*D201</f>
        <v>68.809050603882156</v>
      </c>
    </row>
    <row r="202" spans="1:14" x14ac:dyDescent="0.3">
      <c r="A202" s="3">
        <v>8</v>
      </c>
      <c r="B202" s="237" t="s">
        <v>414</v>
      </c>
      <c r="C202" s="3" t="str">
        <f>VLOOKUP(B202,'Data availability'!$A$2:$B$91,2,FALSE)</f>
        <v>President's House</v>
      </c>
      <c r="D202" s="3">
        <f>VLOOKUP(B202,'Data availability'!$A$2:$G$91,7,FALSE)</f>
        <v>4350</v>
      </c>
      <c r="E202" s="3" t="str">
        <f>VLOOKUP(B202,'Data availability'!$A$2:$H$91,8,FALSE)</f>
        <v>Residential</v>
      </c>
      <c r="F202" s="232" cm="1">
        <f t="array" ref="F202">(_xlfn._xlws.FILTER('Median Monthly EUIs'!$H$3:$H$146, ('Median Monthly EUIs'!$B$3:$B$146='Missing Bldgs - Monthly EUI'!E202) * ('Median Monthly EUIs'!$A$3:$A$146='Missing Bldgs - Monthly EUI'!A202))*0.293071)*D202</f>
        <v>1797.2905193082083</v>
      </c>
      <c r="G202" s="232" cm="1">
        <f t="array" ref="G202">(_xlfn._xlws.FILTER('Median Monthly EUIs'!$I$3:$I$134, ('Median Monthly EUIs'!$B$3:$B$134='Missing Bldgs - Monthly EUI'!E202) * ('Median Monthly EUIs'!$A$3:$A$134='Missing Bldgs - Monthly EUI'!A202))/100)*D202</f>
        <v>70.207842837486325</v>
      </c>
    </row>
    <row r="203" spans="1:14" x14ac:dyDescent="0.3">
      <c r="A203" s="3">
        <v>9</v>
      </c>
      <c r="B203" s="237" t="s">
        <v>414</v>
      </c>
      <c r="C203" s="3" t="str">
        <f>VLOOKUP(B203,'Data availability'!$A$2:$B$91,2,FALSE)</f>
        <v>President's House</v>
      </c>
      <c r="D203" s="3">
        <f>VLOOKUP(B203,'Data availability'!$A$2:$G$91,7,FALSE)</f>
        <v>4350</v>
      </c>
      <c r="E203" s="3" t="str">
        <f>VLOOKUP(B203,'Data availability'!$A$2:$H$91,8,FALSE)</f>
        <v>Residential</v>
      </c>
      <c r="F203" s="232" cm="1">
        <f t="array" ref="F203">(_xlfn._xlws.FILTER('Median Monthly EUIs'!$H$3:$H$146, ('Median Monthly EUIs'!$B$3:$B$146='Missing Bldgs - Monthly EUI'!E203) * ('Median Monthly EUIs'!$A$3:$A$146='Missing Bldgs - Monthly EUI'!A203))*0.293071)*D203</f>
        <v>1805.4369062536368</v>
      </c>
      <c r="G203" s="232" cm="1">
        <f t="array" ref="G203">(_xlfn._xlws.FILTER('Median Monthly EUIs'!$I$3:$I$134, ('Median Monthly EUIs'!$B$3:$B$134='Missing Bldgs - Monthly EUI'!E203) * ('Median Monthly EUIs'!$A$3:$A$134='Missing Bldgs - Monthly EUI'!A203))/100)*D203</f>
        <v>97.411137440757429</v>
      </c>
    </row>
    <row r="204" spans="1:14" x14ac:dyDescent="0.3">
      <c r="A204" s="3">
        <v>10</v>
      </c>
      <c r="B204" s="237" t="s">
        <v>414</v>
      </c>
      <c r="C204" s="3" t="str">
        <f>VLOOKUP(B204,'Data availability'!$A$2:$B$91,2,FALSE)</f>
        <v>President's House</v>
      </c>
      <c r="D204" s="3">
        <f>VLOOKUP(B204,'Data availability'!$A$2:$G$91,7,FALSE)</f>
        <v>4350</v>
      </c>
      <c r="E204" s="3" t="str">
        <f>VLOOKUP(B204,'Data availability'!$A$2:$H$91,8,FALSE)</f>
        <v>Residential</v>
      </c>
      <c r="F204" s="232" cm="1">
        <f t="array" ref="F204">(_xlfn._xlws.FILTER('Median Monthly EUIs'!$H$3:$H$146, ('Median Monthly EUIs'!$B$3:$B$146='Missing Bldgs - Monthly EUI'!E204) * ('Median Monthly EUIs'!$A$3:$A$146='Missing Bldgs - Monthly EUI'!A204))*0.293071)*D204</f>
        <v>1774.5060302168158</v>
      </c>
      <c r="G204" s="232" cm="1">
        <f t="array" ref="G204">(_xlfn._xlws.FILTER('Median Monthly EUIs'!$I$3:$I$134, ('Median Monthly EUIs'!$B$3:$B$134='Missing Bldgs - Monthly EUI'!E204) * ('Median Monthly EUIs'!$A$3:$A$134='Missing Bldgs - Monthly EUI'!A204))/100)*D204</f>
        <v>113.87105187824007</v>
      </c>
    </row>
    <row r="205" spans="1:14" x14ac:dyDescent="0.3">
      <c r="A205" s="3">
        <v>11</v>
      </c>
      <c r="B205" s="237" t="s">
        <v>414</v>
      </c>
      <c r="C205" s="3" t="str">
        <f>VLOOKUP(B205,'Data availability'!$A$2:$B$91,2,FALSE)</f>
        <v>President's House</v>
      </c>
      <c r="D205" s="3">
        <f>VLOOKUP(B205,'Data availability'!$A$2:$G$91,7,FALSE)</f>
        <v>4350</v>
      </c>
      <c r="E205" s="3" t="str">
        <f>VLOOKUP(B205,'Data availability'!$A$2:$H$91,8,FALSE)</f>
        <v>Residential</v>
      </c>
      <c r="F205" s="232" cm="1">
        <f t="array" ref="F205">(_xlfn._xlws.FILTER('Median Monthly EUIs'!$H$3:$H$146, ('Median Monthly EUIs'!$B$3:$B$146='Missing Bldgs - Monthly EUI'!E205) * ('Median Monthly EUIs'!$A$3:$A$146='Missing Bldgs - Monthly EUI'!A205))*0.293071)*D205</f>
        <v>1560.2174012395035</v>
      </c>
      <c r="G205" s="232" cm="1">
        <f t="array" ref="G205">(_xlfn._xlws.FILTER('Median Monthly EUIs'!$I$3:$I$134, ('Median Monthly EUIs'!$B$3:$B$134='Missing Bldgs - Monthly EUI'!E205) * ('Median Monthly EUIs'!$A$3:$A$134='Missing Bldgs - Monthly EUI'!A205))/100)*D205</f>
        <v>136.05831671983182</v>
      </c>
    </row>
    <row r="206" spans="1:14" x14ac:dyDescent="0.3">
      <c r="A206" s="3">
        <v>12</v>
      </c>
      <c r="B206" s="237" t="s">
        <v>414</v>
      </c>
      <c r="C206" s="3" t="str">
        <f>VLOOKUP(B206,'Data availability'!$A$2:$B$91,2,FALSE)</f>
        <v>President's House</v>
      </c>
      <c r="D206" s="3">
        <f>VLOOKUP(B206,'Data availability'!$A$2:$G$91,7,FALSE)</f>
        <v>4350</v>
      </c>
      <c r="E206" s="3" t="str">
        <f>VLOOKUP(B206,'Data availability'!$A$2:$H$91,8,FALSE)</f>
        <v>Residential</v>
      </c>
      <c r="F206" s="232" cm="1">
        <f t="array" ref="F206">(_xlfn._xlws.FILTER('Median Monthly EUIs'!$H$3:$H$146, ('Median Monthly EUIs'!$B$3:$B$146='Missing Bldgs - Monthly EUI'!E206) * ('Median Monthly EUIs'!$A$3:$A$146='Missing Bldgs - Monthly EUI'!A206))*0.293071)*D206</f>
        <v>1355.942634125149</v>
      </c>
      <c r="G206" s="232" cm="1">
        <f t="array" ref="G206">(_xlfn._xlws.FILTER('Median Monthly EUIs'!$I$3:$I$134, ('Median Monthly EUIs'!$B$3:$B$134='Missing Bldgs - Monthly EUI'!E206) * ('Median Monthly EUIs'!$A$3:$A$134='Missing Bldgs - Monthly EUI'!A206))/100)*D206</f>
        <v>144.31944656780482</v>
      </c>
    </row>
    <row r="207" spans="1:14" x14ac:dyDescent="0.3">
      <c r="A207" s="3">
        <v>1</v>
      </c>
      <c r="B207" s="237" t="s">
        <v>415</v>
      </c>
      <c r="C207" s="3" t="str">
        <f>VLOOKUP(B207,'Data availability'!$A$2:$B$91,2,FALSE)</f>
        <v>South campus</v>
      </c>
      <c r="D207" s="3">
        <f>VLOOKUP(B207,'Data availability'!$A$2:$G$91,7,FALSE)</f>
        <v>6540</v>
      </c>
      <c r="E207" s="3" t="str">
        <f>VLOOKUP(B207,'Data availability'!$A$2:$H$91,8,FALSE)</f>
        <v>Office</v>
      </c>
      <c r="F207" s="232" cm="1">
        <f t="array" ref="F207">(_xlfn._xlws.FILTER('Median Monthly EUIs'!$H$3:$H$146, ('Median Monthly EUIs'!$B$3:$B$146='Missing Bldgs - Monthly EUI'!E207) * ('Median Monthly EUIs'!$A$3:$A$146='Missing Bldgs - Monthly EUI'!A207))*0.293071)*D207</f>
        <v>4460.5916081901787</v>
      </c>
      <c r="G207" s="232"/>
      <c r="J207" s="1">
        <f>SUM(F207:F218)*3.412/D207</f>
        <v>32.113818130411289</v>
      </c>
      <c r="K207" s="1">
        <f>SUM(G207:G218)*100/D207</f>
        <v>0</v>
      </c>
      <c r="N207" s="1">
        <f>SUM(J207:M207)</f>
        <v>32.113818130411289</v>
      </c>
    </row>
    <row r="208" spans="1:14" x14ac:dyDescent="0.3">
      <c r="A208" s="3">
        <v>2</v>
      </c>
      <c r="B208" s="237" t="s">
        <v>415</v>
      </c>
      <c r="C208" s="3" t="str">
        <f>VLOOKUP(B208,'Data availability'!$A$2:$B$91,2,FALSE)</f>
        <v>South campus</v>
      </c>
      <c r="D208" s="3">
        <f>VLOOKUP(B208,'Data availability'!$A$2:$G$91,7,FALSE)</f>
        <v>6540</v>
      </c>
      <c r="E208" s="3" t="str">
        <f>VLOOKUP(B208,'Data availability'!$A$2:$H$91,8,FALSE)</f>
        <v>Office</v>
      </c>
      <c r="F208" s="232" cm="1">
        <f t="array" ref="F208">(_xlfn._xlws.FILTER('Median Monthly EUIs'!$H$3:$H$146, ('Median Monthly EUIs'!$B$3:$B$146='Missing Bldgs - Monthly EUI'!E208) * ('Median Monthly EUIs'!$A$3:$A$146='Missing Bldgs - Monthly EUI'!A208))*0.293071)*D208</f>
        <v>4293.8556543041896</v>
      </c>
      <c r="G208" s="232"/>
    </row>
    <row r="209" spans="1:14" x14ac:dyDescent="0.3">
      <c r="A209" s="3">
        <v>3</v>
      </c>
      <c r="B209" s="237" t="s">
        <v>415</v>
      </c>
      <c r="C209" s="3" t="str">
        <f>VLOOKUP(B209,'Data availability'!$A$2:$B$91,2,FALSE)</f>
        <v>South campus</v>
      </c>
      <c r="D209" s="3">
        <f>VLOOKUP(B209,'Data availability'!$A$2:$G$91,7,FALSE)</f>
        <v>6540</v>
      </c>
      <c r="E209" s="3" t="str">
        <f>VLOOKUP(B209,'Data availability'!$A$2:$H$91,8,FALSE)</f>
        <v>Office</v>
      </c>
      <c r="F209" s="232" cm="1">
        <f t="array" ref="F209">(_xlfn._xlws.FILTER('Median Monthly EUIs'!$H$3:$H$146, ('Median Monthly EUIs'!$B$3:$B$146='Missing Bldgs - Monthly EUI'!E209) * ('Median Monthly EUIs'!$A$3:$A$146='Missing Bldgs - Monthly EUI'!A209))*0.293071)*D209</f>
        <v>4469.3537611163529</v>
      </c>
      <c r="G209" s="232"/>
    </row>
    <row r="210" spans="1:14" x14ac:dyDescent="0.3">
      <c r="A210" s="3">
        <v>4</v>
      </c>
      <c r="B210" s="237" t="s">
        <v>415</v>
      </c>
      <c r="C210" s="3" t="str">
        <f>VLOOKUP(B210,'Data availability'!$A$2:$B$91,2,FALSE)</f>
        <v>South campus</v>
      </c>
      <c r="D210" s="3">
        <f>VLOOKUP(B210,'Data availability'!$A$2:$G$91,7,FALSE)</f>
        <v>6540</v>
      </c>
      <c r="E210" s="3" t="str">
        <f>VLOOKUP(B210,'Data availability'!$A$2:$H$91,8,FALSE)</f>
        <v>Office</v>
      </c>
      <c r="F210" s="232" cm="1">
        <f t="array" ref="F210">(_xlfn._xlws.FILTER('Median Monthly EUIs'!$H$3:$H$146, ('Median Monthly EUIs'!$B$3:$B$146='Missing Bldgs - Monthly EUI'!E210) * ('Median Monthly EUIs'!$A$3:$A$146='Missing Bldgs - Monthly EUI'!A210))*0.293071)*D210</f>
        <v>4296.6099656477145</v>
      </c>
      <c r="G210" s="232"/>
    </row>
    <row r="211" spans="1:14" x14ac:dyDescent="0.3">
      <c r="A211" s="3">
        <v>5</v>
      </c>
      <c r="B211" s="237" t="s">
        <v>415</v>
      </c>
      <c r="C211" s="3" t="str">
        <f>VLOOKUP(B211,'Data availability'!$A$2:$B$91,2,FALSE)</f>
        <v>South campus</v>
      </c>
      <c r="D211" s="3">
        <f>VLOOKUP(B211,'Data availability'!$A$2:$G$91,7,FALSE)</f>
        <v>6540</v>
      </c>
      <c r="E211" s="3" t="str">
        <f>VLOOKUP(B211,'Data availability'!$A$2:$H$91,8,FALSE)</f>
        <v>Office</v>
      </c>
      <c r="F211" s="232" cm="1">
        <f t="array" ref="F211">(_xlfn._xlws.FILTER('Median Monthly EUIs'!$H$3:$H$146, ('Median Monthly EUIs'!$B$3:$B$146='Missing Bldgs - Monthly EUI'!E211) * ('Median Monthly EUIs'!$A$3:$A$146='Missing Bldgs - Monthly EUI'!A211))*0.293071)*D211</f>
        <v>4311.1307685517031</v>
      </c>
      <c r="G211" s="232"/>
    </row>
    <row r="212" spans="1:14" x14ac:dyDescent="0.3">
      <c r="A212" s="3">
        <v>6</v>
      </c>
      <c r="B212" s="237" t="s">
        <v>415</v>
      </c>
      <c r="C212" s="3" t="str">
        <f>VLOOKUP(B212,'Data availability'!$A$2:$B$91,2,FALSE)</f>
        <v>South campus</v>
      </c>
      <c r="D212" s="3">
        <f>VLOOKUP(B212,'Data availability'!$A$2:$G$91,7,FALSE)</f>
        <v>6540</v>
      </c>
      <c r="E212" s="3" t="str">
        <f>VLOOKUP(B212,'Data availability'!$A$2:$H$91,8,FALSE)</f>
        <v>Office</v>
      </c>
      <c r="F212" s="232" cm="1">
        <f t="array" ref="F212">(_xlfn._xlws.FILTER('Median Monthly EUIs'!$H$3:$H$146, ('Median Monthly EUIs'!$B$3:$B$146='Missing Bldgs - Monthly EUI'!E212) * ('Median Monthly EUIs'!$A$3:$A$146='Missing Bldgs - Monthly EUI'!A212))*0.293071)*D212</f>
        <v>4662.3242733681054</v>
      </c>
      <c r="G212" s="232"/>
    </row>
    <row r="213" spans="1:14" x14ac:dyDescent="0.3">
      <c r="A213" s="3">
        <v>7</v>
      </c>
      <c r="B213" s="237" t="s">
        <v>415</v>
      </c>
      <c r="C213" s="3" t="str">
        <f>VLOOKUP(B213,'Data availability'!$A$2:$B$91,2,FALSE)</f>
        <v>South campus</v>
      </c>
      <c r="D213" s="3">
        <f>VLOOKUP(B213,'Data availability'!$A$2:$G$91,7,FALSE)</f>
        <v>6540</v>
      </c>
      <c r="E213" s="3" t="str">
        <f>VLOOKUP(B213,'Data availability'!$A$2:$H$91,8,FALSE)</f>
        <v>Office</v>
      </c>
      <c r="F213" s="232" cm="1">
        <f t="array" ref="F213">(_xlfn._xlws.FILTER('Median Monthly EUIs'!$H$3:$H$146, ('Median Monthly EUIs'!$B$3:$B$146='Missing Bldgs - Monthly EUI'!E213) * ('Median Monthly EUIs'!$A$3:$A$146='Missing Bldgs - Monthly EUI'!A213))*0.293071)*D213</f>
        <v>4838.3401111042504</v>
      </c>
      <c r="G213" s="232"/>
    </row>
    <row r="214" spans="1:14" x14ac:dyDescent="0.3">
      <c r="A214" s="3">
        <v>8</v>
      </c>
      <c r="B214" s="237" t="s">
        <v>415</v>
      </c>
      <c r="C214" s="3" t="str">
        <f>VLOOKUP(B214,'Data availability'!$A$2:$B$91,2,FALSE)</f>
        <v>South campus</v>
      </c>
      <c r="D214" s="3">
        <f>VLOOKUP(B214,'Data availability'!$A$2:$G$91,7,FALSE)</f>
        <v>6540</v>
      </c>
      <c r="E214" s="3" t="str">
        <f>VLOOKUP(B214,'Data availability'!$A$2:$H$91,8,FALSE)</f>
        <v>Office</v>
      </c>
      <c r="F214" s="232" cm="1">
        <f t="array" ref="F214">(_xlfn._xlws.FILTER('Median Monthly EUIs'!$H$3:$H$146, ('Median Monthly EUIs'!$B$3:$B$146='Missing Bldgs - Monthly EUI'!E214) * ('Median Monthly EUIs'!$A$3:$A$146='Missing Bldgs - Monthly EUI'!A214))*0.293071)*D214</f>
        <v>6998.8007670751649</v>
      </c>
      <c r="G214" s="232"/>
    </row>
    <row r="215" spans="1:14" x14ac:dyDescent="0.3">
      <c r="A215" s="3">
        <v>9</v>
      </c>
      <c r="B215" s="237" t="s">
        <v>415</v>
      </c>
      <c r="C215" s="3" t="str">
        <f>VLOOKUP(B215,'Data availability'!$A$2:$B$91,2,FALSE)</f>
        <v>South campus</v>
      </c>
      <c r="D215" s="3">
        <f>VLOOKUP(B215,'Data availability'!$A$2:$G$91,7,FALSE)</f>
        <v>6540</v>
      </c>
      <c r="E215" s="3" t="str">
        <f>VLOOKUP(B215,'Data availability'!$A$2:$H$91,8,FALSE)</f>
        <v>Office</v>
      </c>
      <c r="F215" s="232" cm="1">
        <f t="array" ref="F215">(_xlfn._xlws.FILTER('Median Monthly EUIs'!$H$3:$H$146, ('Median Monthly EUIs'!$B$3:$B$146='Missing Bldgs - Monthly EUI'!E215) * ('Median Monthly EUIs'!$A$3:$A$146='Missing Bldgs - Monthly EUI'!A215))*0.293071)*D215</f>
        <v>6771.4968630880194</v>
      </c>
      <c r="G215" s="232"/>
    </row>
    <row r="216" spans="1:14" x14ac:dyDescent="0.3">
      <c r="A216" s="3">
        <v>10</v>
      </c>
      <c r="B216" s="237" t="s">
        <v>415</v>
      </c>
      <c r="C216" s="3" t="str">
        <f>VLOOKUP(B216,'Data availability'!$A$2:$B$91,2,FALSE)</f>
        <v>South campus</v>
      </c>
      <c r="D216" s="3">
        <f>VLOOKUP(B216,'Data availability'!$A$2:$G$91,7,FALSE)</f>
        <v>6540</v>
      </c>
      <c r="E216" s="3" t="str">
        <f>VLOOKUP(B216,'Data availability'!$A$2:$H$91,8,FALSE)</f>
        <v>Office</v>
      </c>
      <c r="F216" s="232" cm="1">
        <f t="array" ref="F216">(_xlfn._xlws.FILTER('Median Monthly EUIs'!$H$3:$H$146, ('Median Monthly EUIs'!$B$3:$B$146='Missing Bldgs - Monthly EUI'!E216) * ('Median Monthly EUIs'!$A$3:$A$146='Missing Bldgs - Monthly EUI'!A216))*0.293071)*D216</f>
        <v>6387.2901083675224</v>
      </c>
      <c r="G216" s="232"/>
    </row>
    <row r="217" spans="1:14" x14ac:dyDescent="0.3">
      <c r="A217" s="3">
        <v>11</v>
      </c>
      <c r="B217" s="237" t="s">
        <v>415</v>
      </c>
      <c r="C217" s="3" t="str">
        <f>VLOOKUP(B217,'Data availability'!$A$2:$B$91,2,FALSE)</f>
        <v>South campus</v>
      </c>
      <c r="D217" s="3">
        <f>VLOOKUP(B217,'Data availability'!$A$2:$G$91,7,FALSE)</f>
        <v>6540</v>
      </c>
      <c r="E217" s="3" t="str">
        <f>VLOOKUP(B217,'Data availability'!$A$2:$H$91,8,FALSE)</f>
        <v>Office</v>
      </c>
      <c r="F217" s="232" cm="1">
        <f t="array" ref="F217">(_xlfn._xlws.FILTER('Median Monthly EUIs'!$H$3:$H$146, ('Median Monthly EUIs'!$B$3:$B$146='Missing Bldgs - Monthly EUI'!E217) * ('Median Monthly EUIs'!$A$3:$A$146='Missing Bldgs - Monthly EUI'!A217))*0.293071)*D217</f>
        <v>5450.5583680129912</v>
      </c>
      <c r="G217" s="232"/>
    </row>
    <row r="218" spans="1:14" x14ac:dyDescent="0.3">
      <c r="A218" s="3">
        <v>12</v>
      </c>
      <c r="B218" s="237" t="s">
        <v>415</v>
      </c>
      <c r="C218" s="3" t="str">
        <f>VLOOKUP(B218,'Data availability'!$A$2:$B$91,2,FALSE)</f>
        <v>South campus</v>
      </c>
      <c r="D218" s="3">
        <f>VLOOKUP(B218,'Data availability'!$A$2:$G$91,7,FALSE)</f>
        <v>6540</v>
      </c>
      <c r="E218" s="3" t="str">
        <f>VLOOKUP(B218,'Data availability'!$A$2:$H$91,8,FALSE)</f>
        <v>Office</v>
      </c>
      <c r="F218" s="232" cm="1">
        <f t="array" ref="F218">(_xlfn._xlws.FILTER('Median Monthly EUIs'!$H$3:$H$146, ('Median Monthly EUIs'!$B$3:$B$146='Missing Bldgs - Monthly EUI'!E218) * ('Median Monthly EUIs'!$A$3:$A$146='Missing Bldgs - Monthly EUI'!A218))*0.293071)*D218</f>
        <v>4614.2698417042402</v>
      </c>
      <c r="G218" s="232"/>
    </row>
    <row r="219" spans="1:14" x14ac:dyDescent="0.3">
      <c r="A219" s="3">
        <v>1</v>
      </c>
      <c r="B219" s="237" t="s">
        <v>383</v>
      </c>
      <c r="C219" s="3" t="str">
        <f>VLOOKUP(B219,'Data availability'!$A$2:$B$91,2,FALSE)</f>
        <v>South campus</v>
      </c>
      <c r="D219" s="3">
        <f>VLOOKUP(B219,'Data availability'!$A$2:$G$91,7,FALSE)</f>
        <v>639282</v>
      </c>
      <c r="E219" s="3" t="str">
        <f>VLOOKUP(B219,'Data availability'!$A$2:$H$91,8,FALSE)</f>
        <v>Parking</v>
      </c>
      <c r="F219" s="232" cm="1">
        <f t="array" ref="F219">(_xlfn._xlws.FILTER('Median Monthly EUIs'!$H$3:$H$146, ('Median Monthly EUIs'!$B$3:$B$146='Missing Bldgs - Monthly EUI'!E219) * ('Median Monthly EUIs'!$A$3:$A$146='Missing Bldgs - Monthly EUI'!A219))*0.293071)*D219</f>
        <v>32986.165345205271</v>
      </c>
      <c r="G219" s="232"/>
      <c r="J219" s="1">
        <f>SUM(F219:F230)*3.412/D219</f>
        <v>2.3066964759711746</v>
      </c>
      <c r="K219" s="1"/>
      <c r="N219" s="1">
        <f>SUM(J219:M219)</f>
        <v>2.3066964759711746</v>
      </c>
    </row>
    <row r="220" spans="1:14" x14ac:dyDescent="0.3">
      <c r="A220" s="3">
        <v>2</v>
      </c>
      <c r="B220" s="237" t="s">
        <v>383</v>
      </c>
      <c r="C220" s="3" t="str">
        <f>VLOOKUP(B220,'Data availability'!$A$2:$B$91,2,FALSE)</f>
        <v>South campus</v>
      </c>
      <c r="D220" s="3">
        <f>VLOOKUP(B220,'Data availability'!$A$2:$G$91,7,FALSE)</f>
        <v>639282</v>
      </c>
      <c r="E220" s="3" t="str">
        <f>VLOOKUP(B220,'Data availability'!$A$2:$H$91,8,FALSE)</f>
        <v>Parking</v>
      </c>
      <c r="F220" s="232" cm="1">
        <f t="array" ref="F220">(_xlfn._xlws.FILTER('Median Monthly EUIs'!$H$3:$H$146, ('Median Monthly EUIs'!$B$3:$B$146='Missing Bldgs - Monthly EUI'!E220) * ('Median Monthly EUIs'!$A$3:$A$146='Missing Bldgs - Monthly EUI'!A220))*0.293071)*D220</f>
        <v>32365.080255316676</v>
      </c>
      <c r="G220" s="232"/>
    </row>
    <row r="221" spans="1:14" x14ac:dyDescent="0.3">
      <c r="A221" s="3">
        <v>3</v>
      </c>
      <c r="B221" s="237" t="s">
        <v>383</v>
      </c>
      <c r="C221" s="3" t="str">
        <f>VLOOKUP(B221,'Data availability'!$A$2:$B$91,2,FALSE)</f>
        <v>South campus</v>
      </c>
      <c r="D221" s="3">
        <f>VLOOKUP(B221,'Data availability'!$A$2:$G$91,7,FALSE)</f>
        <v>639282</v>
      </c>
      <c r="E221" s="3" t="str">
        <f>VLOOKUP(B221,'Data availability'!$A$2:$H$91,8,FALSE)</f>
        <v>Parking</v>
      </c>
      <c r="F221" s="232" cm="1">
        <f t="array" ref="F221">(_xlfn._xlws.FILTER('Median Monthly EUIs'!$H$3:$H$146, ('Median Monthly EUIs'!$B$3:$B$146='Missing Bldgs - Monthly EUI'!E221) * ('Median Monthly EUIs'!$A$3:$A$146='Missing Bldgs - Monthly EUI'!A221))*0.293071)*D221</f>
        <v>34571.464970248206</v>
      </c>
      <c r="G221" s="232"/>
    </row>
    <row r="222" spans="1:14" x14ac:dyDescent="0.3">
      <c r="A222" s="3">
        <v>4</v>
      </c>
      <c r="B222" s="237" t="s">
        <v>383</v>
      </c>
      <c r="C222" s="3" t="str">
        <f>VLOOKUP(B222,'Data availability'!$A$2:$B$91,2,FALSE)</f>
        <v>South campus</v>
      </c>
      <c r="D222" s="3">
        <f>VLOOKUP(B222,'Data availability'!$A$2:$G$91,7,FALSE)</f>
        <v>639282</v>
      </c>
      <c r="E222" s="3" t="str">
        <f>VLOOKUP(B222,'Data availability'!$A$2:$H$91,8,FALSE)</f>
        <v>Parking</v>
      </c>
      <c r="F222" s="232" cm="1">
        <f t="array" ref="F222">(_xlfn._xlws.FILTER('Median Monthly EUIs'!$H$3:$H$146, ('Median Monthly EUIs'!$B$3:$B$146='Missing Bldgs - Monthly EUI'!E222) * ('Median Monthly EUIs'!$A$3:$A$146='Missing Bldgs - Monthly EUI'!A222))*0.293071)*D222</f>
        <v>33957.455647317664</v>
      </c>
      <c r="G222" s="232"/>
    </row>
    <row r="223" spans="1:14" x14ac:dyDescent="0.3">
      <c r="A223" s="3">
        <v>5</v>
      </c>
      <c r="B223" s="237" t="s">
        <v>383</v>
      </c>
      <c r="C223" s="3" t="str">
        <f>VLOOKUP(B223,'Data availability'!$A$2:$B$91,2,FALSE)</f>
        <v>South campus</v>
      </c>
      <c r="D223" s="3">
        <f>VLOOKUP(B223,'Data availability'!$A$2:$G$91,7,FALSE)</f>
        <v>639282</v>
      </c>
      <c r="E223" s="3" t="str">
        <f>VLOOKUP(B223,'Data availability'!$A$2:$H$91,8,FALSE)</f>
        <v>Parking</v>
      </c>
      <c r="F223" s="232" cm="1">
        <f t="array" ref="F223">(_xlfn._xlws.FILTER('Median Monthly EUIs'!$H$3:$H$146, ('Median Monthly EUIs'!$B$3:$B$146='Missing Bldgs - Monthly EUI'!E223) * ('Median Monthly EUIs'!$A$3:$A$146='Missing Bldgs - Monthly EUI'!A223))*0.293071)*D223</f>
        <v>35108.629221434581</v>
      </c>
      <c r="G223" s="232"/>
    </row>
    <row r="224" spans="1:14" x14ac:dyDescent="0.3">
      <c r="A224" s="3">
        <v>6</v>
      </c>
      <c r="B224" s="237" t="s">
        <v>383</v>
      </c>
      <c r="C224" s="3" t="str">
        <f>VLOOKUP(B224,'Data availability'!$A$2:$B$91,2,FALSE)</f>
        <v>South campus</v>
      </c>
      <c r="D224" s="3">
        <f>VLOOKUP(B224,'Data availability'!$A$2:$G$91,7,FALSE)</f>
        <v>639282</v>
      </c>
      <c r="E224" s="3" t="str">
        <f>VLOOKUP(B224,'Data availability'!$A$2:$H$91,8,FALSE)</f>
        <v>Parking</v>
      </c>
      <c r="F224" s="232" cm="1">
        <f t="array" ref="F224">(_xlfn._xlws.FILTER('Median Monthly EUIs'!$H$3:$H$146, ('Median Monthly EUIs'!$B$3:$B$146='Missing Bldgs - Monthly EUI'!E224) * ('Median Monthly EUIs'!$A$3:$A$146='Missing Bldgs - Monthly EUI'!A224))*0.293071)*D224</f>
        <v>33830.019750105625</v>
      </c>
      <c r="G224" s="232"/>
    </row>
    <row r="225" spans="1:14" x14ac:dyDescent="0.3">
      <c r="A225" s="3">
        <v>7</v>
      </c>
      <c r="B225" s="237" t="s">
        <v>383</v>
      </c>
      <c r="C225" s="3" t="str">
        <f>VLOOKUP(B225,'Data availability'!$A$2:$B$91,2,FALSE)</f>
        <v>South campus</v>
      </c>
      <c r="D225" s="3">
        <f>VLOOKUP(B225,'Data availability'!$A$2:$G$91,7,FALSE)</f>
        <v>639282</v>
      </c>
      <c r="E225" s="3" t="str">
        <f>VLOOKUP(B225,'Data availability'!$A$2:$H$91,8,FALSE)</f>
        <v>Parking</v>
      </c>
      <c r="F225" s="232" cm="1">
        <f t="array" ref="F225">(_xlfn._xlws.FILTER('Median Monthly EUIs'!$H$3:$H$146, ('Median Monthly EUIs'!$B$3:$B$146='Missing Bldgs - Monthly EUI'!E225) * ('Median Monthly EUIs'!$A$3:$A$146='Missing Bldgs - Monthly EUI'!A225))*0.293071)*D225</f>
        <v>38086.4498881361</v>
      </c>
      <c r="G225" s="232"/>
    </row>
    <row r="226" spans="1:14" x14ac:dyDescent="0.3">
      <c r="A226" s="3">
        <v>8</v>
      </c>
      <c r="B226" s="237" t="s">
        <v>383</v>
      </c>
      <c r="C226" s="3" t="str">
        <f>VLOOKUP(B226,'Data availability'!$A$2:$B$91,2,FALSE)</f>
        <v>South campus</v>
      </c>
      <c r="D226" s="3">
        <f>VLOOKUP(B226,'Data availability'!$A$2:$G$91,7,FALSE)</f>
        <v>639282</v>
      </c>
      <c r="E226" s="3" t="str">
        <f>VLOOKUP(B226,'Data availability'!$A$2:$H$91,8,FALSE)</f>
        <v>Parking</v>
      </c>
      <c r="F226" s="232" cm="1">
        <f t="array" ref="F226">(_xlfn._xlws.FILTER('Median Monthly EUIs'!$H$3:$H$146, ('Median Monthly EUIs'!$B$3:$B$146='Missing Bldgs - Monthly EUI'!E226) * ('Median Monthly EUIs'!$A$3:$A$146='Missing Bldgs - Monthly EUI'!A226))*0.293071)*D226</f>
        <v>38220.310958570873</v>
      </c>
      <c r="G226" s="232"/>
    </row>
    <row r="227" spans="1:14" x14ac:dyDescent="0.3">
      <c r="A227" s="3">
        <v>9</v>
      </c>
      <c r="B227" s="237" t="s">
        <v>383</v>
      </c>
      <c r="C227" s="3" t="str">
        <f>VLOOKUP(B227,'Data availability'!$A$2:$B$91,2,FALSE)</f>
        <v>South campus</v>
      </c>
      <c r="D227" s="3">
        <f>VLOOKUP(B227,'Data availability'!$A$2:$G$91,7,FALSE)</f>
        <v>639282</v>
      </c>
      <c r="E227" s="3" t="str">
        <f>VLOOKUP(B227,'Data availability'!$A$2:$H$91,8,FALSE)</f>
        <v>Parking</v>
      </c>
      <c r="F227" s="232" cm="1">
        <f t="array" ref="F227">(_xlfn._xlws.FILTER('Median Monthly EUIs'!$H$3:$H$146, ('Median Monthly EUIs'!$B$3:$B$146='Missing Bldgs - Monthly EUI'!E227) * ('Median Monthly EUIs'!$A$3:$A$146='Missing Bldgs - Monthly EUI'!A227))*0.293071)*D227</f>
        <v>37888.040539017318</v>
      </c>
      <c r="G227" s="232"/>
    </row>
    <row r="228" spans="1:14" x14ac:dyDescent="0.3">
      <c r="A228" s="3">
        <v>10</v>
      </c>
      <c r="B228" s="237" t="s">
        <v>383</v>
      </c>
      <c r="C228" s="3" t="str">
        <f>VLOOKUP(B228,'Data availability'!$A$2:$B$91,2,FALSE)</f>
        <v>South campus</v>
      </c>
      <c r="D228" s="3">
        <f>VLOOKUP(B228,'Data availability'!$A$2:$G$91,7,FALSE)</f>
        <v>639282</v>
      </c>
      <c r="E228" s="3" t="str">
        <f>VLOOKUP(B228,'Data availability'!$A$2:$H$91,8,FALSE)</f>
        <v>Parking</v>
      </c>
      <c r="F228" s="232" cm="1">
        <f t="array" ref="F228">(_xlfn._xlws.FILTER('Median Monthly EUIs'!$H$3:$H$146, ('Median Monthly EUIs'!$B$3:$B$146='Missing Bldgs - Monthly EUI'!E228) * ('Median Monthly EUIs'!$A$3:$A$146='Missing Bldgs - Monthly EUI'!A228))*0.293071)*D228</f>
        <v>38318.56668446969</v>
      </c>
      <c r="G228" s="232"/>
    </row>
    <row r="229" spans="1:14" x14ac:dyDescent="0.3">
      <c r="A229" s="3">
        <v>11</v>
      </c>
      <c r="B229" s="237" t="s">
        <v>383</v>
      </c>
      <c r="C229" s="3" t="str">
        <f>VLOOKUP(B229,'Data availability'!$A$2:$B$91,2,FALSE)</f>
        <v>South campus</v>
      </c>
      <c r="D229" s="3">
        <f>VLOOKUP(B229,'Data availability'!$A$2:$G$91,7,FALSE)</f>
        <v>639282</v>
      </c>
      <c r="E229" s="3" t="str">
        <f>VLOOKUP(B229,'Data availability'!$A$2:$H$91,8,FALSE)</f>
        <v>Parking</v>
      </c>
      <c r="F229" s="232" cm="1">
        <f t="array" ref="F229">(_xlfn._xlws.FILTER('Median Monthly EUIs'!$H$3:$H$146, ('Median Monthly EUIs'!$B$3:$B$146='Missing Bldgs - Monthly EUI'!E229) * ('Median Monthly EUIs'!$A$3:$A$146='Missing Bldgs - Monthly EUI'!A229))*0.293071)*D229</f>
        <v>37292.278708039368</v>
      </c>
      <c r="G229" s="232"/>
    </row>
    <row r="230" spans="1:14" x14ac:dyDescent="0.3">
      <c r="A230" s="3">
        <v>12</v>
      </c>
      <c r="B230" s="237" t="s">
        <v>383</v>
      </c>
      <c r="C230" s="3" t="str">
        <f>VLOOKUP(B230,'Data availability'!$A$2:$B$91,2,FALSE)</f>
        <v>South campus</v>
      </c>
      <c r="D230" s="3">
        <f>VLOOKUP(B230,'Data availability'!$A$2:$G$91,7,FALSE)</f>
        <v>639282</v>
      </c>
      <c r="E230" s="3" t="str">
        <f>VLOOKUP(B230,'Data availability'!$A$2:$H$91,8,FALSE)</f>
        <v>Parking</v>
      </c>
      <c r="F230" s="232" cm="1">
        <f t="array" ref="F230">(_xlfn._xlws.FILTER('Median Monthly EUIs'!$H$3:$H$146, ('Median Monthly EUIs'!$B$3:$B$146='Missing Bldgs - Monthly EUI'!E230) * ('Median Monthly EUIs'!$A$3:$A$146='Missing Bldgs - Monthly EUI'!A230))*0.293071)*D230</f>
        <v>39564.733973464616</v>
      </c>
      <c r="G230" s="232"/>
    </row>
    <row r="231" spans="1:14" x14ac:dyDescent="0.3">
      <c r="A231" s="3">
        <v>1</v>
      </c>
      <c r="B231" s="237" t="s">
        <v>384</v>
      </c>
      <c r="C231" s="3" t="str">
        <f>VLOOKUP(B231,'Data availability'!$A$2:$B$91,2,FALSE)</f>
        <v>South campus</v>
      </c>
      <c r="D231" s="3">
        <f>VLOOKUP(B231,'Data availability'!$A$2:$G$91,7,FALSE)</f>
        <v>55234</v>
      </c>
      <c r="E231" s="3" t="str">
        <f>VLOOKUP(B231,'Data availability'!$A$2:$H$91,8,FALSE)</f>
        <v>Office</v>
      </c>
      <c r="F231" s="232" cm="1">
        <f t="array" ref="F231">(_xlfn._xlws.FILTER('Median Monthly EUIs'!$H$3:$H$146, ('Median Monthly EUIs'!$B$3:$B$146='Missing Bldgs - Monthly EUI'!E231) * ('Median Monthly EUIs'!$A$3:$A$146='Missing Bldgs - Monthly EUI'!A231))*0.293071)*D231</f>
        <v>37672.219707458156</v>
      </c>
      <c r="G231" s="232"/>
      <c r="J231" s="1">
        <f>SUM(F231:F242)*3.412/D231</f>
        <v>32.113818130411289</v>
      </c>
      <c r="K231" s="1">
        <f>SUM(G231:G242)*100/D231</f>
        <v>0</v>
      </c>
      <c r="N231" s="1">
        <f>SUM(J231:M231)</f>
        <v>32.113818130411289</v>
      </c>
    </row>
    <row r="232" spans="1:14" x14ac:dyDescent="0.3">
      <c r="A232" s="3">
        <v>2</v>
      </c>
      <c r="B232" s="237" t="s">
        <v>384</v>
      </c>
      <c r="C232" s="3" t="str">
        <f>VLOOKUP(B232,'Data availability'!$A$2:$B$91,2,FALSE)</f>
        <v>South campus</v>
      </c>
      <c r="D232" s="3">
        <f>VLOOKUP(B232,'Data availability'!$A$2:$G$91,7,FALSE)</f>
        <v>55234</v>
      </c>
      <c r="E232" s="3" t="str">
        <f>VLOOKUP(B232,'Data availability'!$A$2:$H$91,8,FALSE)</f>
        <v>Office</v>
      </c>
      <c r="F232" s="232" cm="1">
        <f t="array" ref="F232">(_xlfn._xlws.FILTER('Median Monthly EUIs'!$H$3:$H$146, ('Median Monthly EUIs'!$B$3:$B$146='Missing Bldgs - Monthly EUI'!E232) * ('Median Monthly EUIs'!$A$3:$A$146='Missing Bldgs - Monthly EUI'!A232))*0.293071)*D232</f>
        <v>36264.040246152545</v>
      </c>
      <c r="G232" s="232"/>
    </row>
    <row r="233" spans="1:14" x14ac:dyDescent="0.3">
      <c r="A233" s="3">
        <v>3</v>
      </c>
      <c r="B233" s="237" t="s">
        <v>384</v>
      </c>
      <c r="C233" s="3" t="str">
        <f>VLOOKUP(B233,'Data availability'!$A$2:$B$91,2,FALSE)</f>
        <v>South campus</v>
      </c>
      <c r="D233" s="3">
        <f>VLOOKUP(B233,'Data availability'!$A$2:$G$91,7,FALSE)</f>
        <v>55234</v>
      </c>
      <c r="E233" s="3" t="str">
        <f>VLOOKUP(B233,'Data availability'!$A$2:$H$91,8,FALSE)</f>
        <v>Office</v>
      </c>
      <c r="F233" s="232" cm="1">
        <f t="array" ref="F233">(_xlfn._xlws.FILTER('Median Monthly EUIs'!$H$3:$H$146, ('Median Monthly EUIs'!$B$3:$B$146='Missing Bldgs - Monthly EUI'!E233) * ('Median Monthly EUIs'!$A$3:$A$146='Missing Bldgs - Monthly EUI'!A233))*0.293071)*D233</f>
        <v>37746.221046101018</v>
      </c>
      <c r="G233" s="232"/>
    </row>
    <row r="234" spans="1:14" x14ac:dyDescent="0.3">
      <c r="A234" s="3">
        <v>4</v>
      </c>
      <c r="B234" s="237" t="s">
        <v>384</v>
      </c>
      <c r="C234" s="3" t="str">
        <f>VLOOKUP(B234,'Data availability'!$A$2:$B$91,2,FALSE)</f>
        <v>South campus</v>
      </c>
      <c r="D234" s="3">
        <f>VLOOKUP(B234,'Data availability'!$A$2:$G$91,7,FALSE)</f>
        <v>55234</v>
      </c>
      <c r="E234" s="3" t="str">
        <f>VLOOKUP(B234,'Data availability'!$A$2:$H$91,8,FALSE)</f>
        <v>Office</v>
      </c>
      <c r="F234" s="232" cm="1">
        <f t="array" ref="F234">(_xlfn._xlws.FILTER('Median Monthly EUIs'!$H$3:$H$146, ('Median Monthly EUIs'!$B$3:$B$146='Missing Bldgs - Monthly EUI'!E234) * ('Median Monthly EUIs'!$A$3:$A$146='Missing Bldgs - Monthly EUI'!A234))*0.293071)*D234</f>
        <v>36287.301963698148</v>
      </c>
      <c r="G234" s="232"/>
    </row>
    <row r="235" spans="1:14" x14ac:dyDescent="0.3">
      <c r="A235" s="3">
        <v>5</v>
      </c>
      <c r="B235" s="237" t="s">
        <v>384</v>
      </c>
      <c r="C235" s="3" t="str">
        <f>VLOOKUP(B235,'Data availability'!$A$2:$B$91,2,FALSE)</f>
        <v>South campus</v>
      </c>
      <c r="D235" s="3">
        <f>VLOOKUP(B235,'Data availability'!$A$2:$G$91,7,FALSE)</f>
        <v>55234</v>
      </c>
      <c r="E235" s="3" t="str">
        <f>VLOOKUP(B235,'Data availability'!$A$2:$H$91,8,FALSE)</f>
        <v>Office</v>
      </c>
      <c r="F235" s="232" cm="1">
        <f t="array" ref="F235">(_xlfn._xlws.FILTER('Median Monthly EUIs'!$H$3:$H$146, ('Median Monthly EUIs'!$B$3:$B$146='Missing Bldgs - Monthly EUI'!E235) * ('Median Monthly EUIs'!$A$3:$A$146='Missing Bldgs - Monthly EUI'!A235))*0.293071)*D235</f>
        <v>36409.938359355467</v>
      </c>
      <c r="G235" s="232"/>
    </row>
    <row r="236" spans="1:14" x14ac:dyDescent="0.3">
      <c r="A236" s="3">
        <v>6</v>
      </c>
      <c r="B236" s="237" t="s">
        <v>384</v>
      </c>
      <c r="C236" s="3" t="str">
        <f>VLOOKUP(B236,'Data availability'!$A$2:$B$91,2,FALSE)</f>
        <v>South campus</v>
      </c>
      <c r="D236" s="3">
        <f>VLOOKUP(B236,'Data availability'!$A$2:$G$91,7,FALSE)</f>
        <v>55234</v>
      </c>
      <c r="E236" s="3" t="str">
        <f>VLOOKUP(B236,'Data availability'!$A$2:$H$91,8,FALSE)</f>
        <v>Office</v>
      </c>
      <c r="F236" s="232" cm="1">
        <f t="array" ref="F236">(_xlfn._xlws.FILTER('Median Monthly EUIs'!$H$3:$H$146, ('Median Monthly EUIs'!$B$3:$B$146='Missing Bldgs - Monthly EUI'!E236) * ('Median Monthly EUIs'!$A$3:$A$146='Missing Bldgs - Monthly EUI'!A236))*0.293071)*D236</f>
        <v>39375.966194986846</v>
      </c>
      <c r="G236" s="232"/>
    </row>
    <row r="237" spans="1:14" x14ac:dyDescent="0.3">
      <c r="A237" s="3">
        <v>7</v>
      </c>
      <c r="B237" s="237" t="s">
        <v>384</v>
      </c>
      <c r="C237" s="3" t="str">
        <f>VLOOKUP(B237,'Data availability'!$A$2:$B$91,2,FALSE)</f>
        <v>South campus</v>
      </c>
      <c r="D237" s="3">
        <f>VLOOKUP(B237,'Data availability'!$A$2:$G$91,7,FALSE)</f>
        <v>55234</v>
      </c>
      <c r="E237" s="3" t="str">
        <f>VLOOKUP(B237,'Data availability'!$A$2:$H$91,8,FALSE)</f>
        <v>Office</v>
      </c>
      <c r="F237" s="232" cm="1">
        <f t="array" ref="F237">(_xlfn._xlws.FILTER('Median Monthly EUIs'!$H$3:$H$146, ('Median Monthly EUIs'!$B$3:$B$146='Missing Bldgs - Monthly EUI'!E237) * ('Median Monthly EUIs'!$A$3:$A$146='Missing Bldgs - Monthly EUI'!A237))*0.293071)*D237</f>
        <v>40862.519525494215</v>
      </c>
      <c r="G237" s="232"/>
    </row>
    <row r="238" spans="1:14" x14ac:dyDescent="0.3">
      <c r="A238" s="3">
        <v>8</v>
      </c>
      <c r="B238" s="237" t="s">
        <v>384</v>
      </c>
      <c r="C238" s="3" t="str">
        <f>VLOOKUP(B238,'Data availability'!$A$2:$B$91,2,FALSE)</f>
        <v>South campus</v>
      </c>
      <c r="D238" s="3">
        <f>VLOOKUP(B238,'Data availability'!$A$2:$G$91,7,FALSE)</f>
        <v>55234</v>
      </c>
      <c r="E238" s="3" t="str">
        <f>VLOOKUP(B238,'Data availability'!$A$2:$H$91,8,FALSE)</f>
        <v>Office</v>
      </c>
      <c r="F238" s="232" cm="1">
        <f t="array" ref="F238">(_xlfn._xlws.FILTER('Median Monthly EUIs'!$H$3:$H$146, ('Median Monthly EUIs'!$B$3:$B$146='Missing Bldgs - Monthly EUI'!E238) * ('Median Monthly EUIs'!$A$3:$A$146='Missing Bldgs - Monthly EUI'!A238))*0.293071)*D238</f>
        <v>59108.832044132978</v>
      </c>
      <c r="G238" s="232"/>
    </row>
    <row r="239" spans="1:14" x14ac:dyDescent="0.3">
      <c r="A239" s="3">
        <v>9</v>
      </c>
      <c r="B239" s="237" t="s">
        <v>384</v>
      </c>
      <c r="C239" s="3" t="str">
        <f>VLOOKUP(B239,'Data availability'!$A$2:$B$91,2,FALSE)</f>
        <v>South campus</v>
      </c>
      <c r="D239" s="3">
        <f>VLOOKUP(B239,'Data availability'!$A$2:$G$91,7,FALSE)</f>
        <v>55234</v>
      </c>
      <c r="E239" s="3" t="str">
        <f>VLOOKUP(B239,'Data availability'!$A$2:$H$91,8,FALSE)</f>
        <v>Office</v>
      </c>
      <c r="F239" s="232" cm="1">
        <f t="array" ref="F239">(_xlfn._xlws.FILTER('Median Monthly EUIs'!$H$3:$H$146, ('Median Monthly EUIs'!$B$3:$B$146='Missing Bldgs - Monthly EUI'!E239) * ('Median Monthly EUIs'!$A$3:$A$146='Missing Bldgs - Monthly EUI'!A239))*0.293071)*D239</f>
        <v>57189.121977951625</v>
      </c>
      <c r="G239" s="232"/>
    </row>
    <row r="240" spans="1:14" x14ac:dyDescent="0.3">
      <c r="A240" s="3">
        <v>10</v>
      </c>
      <c r="B240" s="237" t="s">
        <v>384</v>
      </c>
      <c r="C240" s="3" t="str">
        <f>VLOOKUP(B240,'Data availability'!$A$2:$B$91,2,FALSE)</f>
        <v>South campus</v>
      </c>
      <c r="D240" s="3">
        <f>VLOOKUP(B240,'Data availability'!$A$2:$G$91,7,FALSE)</f>
        <v>55234</v>
      </c>
      <c r="E240" s="3" t="str">
        <f>VLOOKUP(B240,'Data availability'!$A$2:$H$91,8,FALSE)</f>
        <v>Office</v>
      </c>
      <c r="F240" s="232" cm="1">
        <f t="array" ref="F240">(_xlfn._xlws.FILTER('Median Monthly EUIs'!$H$3:$H$146, ('Median Monthly EUIs'!$B$3:$B$146='Missing Bldgs - Monthly EUI'!E240) * ('Median Monthly EUIs'!$A$3:$A$146='Missing Bldgs - Monthly EUI'!A240))*0.293071)*D240</f>
        <v>53944.278569659291</v>
      </c>
      <c r="G240" s="232"/>
    </row>
    <row r="241" spans="1:14" x14ac:dyDescent="0.3">
      <c r="A241" s="3">
        <v>11</v>
      </c>
      <c r="B241" s="237" t="s">
        <v>384</v>
      </c>
      <c r="C241" s="3" t="str">
        <f>VLOOKUP(B241,'Data availability'!$A$2:$B$91,2,FALSE)</f>
        <v>South campus</v>
      </c>
      <c r="D241" s="3">
        <f>VLOOKUP(B241,'Data availability'!$A$2:$G$91,7,FALSE)</f>
        <v>55234</v>
      </c>
      <c r="E241" s="3" t="str">
        <f>VLOOKUP(B241,'Data availability'!$A$2:$H$91,8,FALSE)</f>
        <v>Office</v>
      </c>
      <c r="F241" s="232" cm="1">
        <f t="array" ref="F241">(_xlfn._xlws.FILTER('Median Monthly EUIs'!$H$3:$H$146, ('Median Monthly EUIs'!$B$3:$B$146='Missing Bldgs - Monthly EUI'!E241) * ('Median Monthly EUIs'!$A$3:$A$146='Missing Bldgs - Monthly EUI'!A241))*0.293071)*D241</f>
        <v>46033.049067099324</v>
      </c>
      <c r="G241" s="232"/>
    </row>
    <row r="242" spans="1:14" x14ac:dyDescent="0.3">
      <c r="A242" s="3">
        <v>12</v>
      </c>
      <c r="B242" s="237" t="s">
        <v>384</v>
      </c>
      <c r="C242" s="3" t="str">
        <f>VLOOKUP(B242,'Data availability'!$A$2:$B$91,2,FALSE)</f>
        <v>South campus</v>
      </c>
      <c r="D242" s="3">
        <f>VLOOKUP(B242,'Data availability'!$A$2:$G$91,7,FALSE)</f>
        <v>55234</v>
      </c>
      <c r="E242" s="3" t="str">
        <f>VLOOKUP(B242,'Data availability'!$A$2:$H$91,8,FALSE)</f>
        <v>Office</v>
      </c>
      <c r="F242" s="232" cm="1">
        <f t="array" ref="F242">(_xlfn._xlws.FILTER('Median Monthly EUIs'!$H$3:$H$146, ('Median Monthly EUIs'!$B$3:$B$146='Missing Bldgs - Monthly EUI'!E242) * ('Median Monthly EUIs'!$A$3:$A$146='Missing Bldgs - Monthly EUI'!A242))*0.293071)*D242</f>
        <v>38970.119332827526</v>
      </c>
      <c r="G242" s="232"/>
    </row>
    <row r="243" spans="1:14" x14ac:dyDescent="0.3">
      <c r="A243" s="3">
        <v>1</v>
      </c>
      <c r="B243" s="237" t="s">
        <v>420</v>
      </c>
      <c r="C243" s="3" t="str">
        <f>VLOOKUP(B243,'Data availability'!$A$2:$B$91,2,FALSE)</f>
        <v>South campus</v>
      </c>
      <c r="D243" s="3">
        <f>VLOOKUP(B243,'Data availability'!$A$2:$G$91,7,FALSE)</f>
        <v>2684</v>
      </c>
      <c r="E243" s="3" t="str">
        <f>VLOOKUP(B243,'Data availability'!$A$2:$H$91,8,FALSE)</f>
        <v>Athletics</v>
      </c>
      <c r="F243" s="232" cm="1">
        <f t="array" ref="F243">(_xlfn._xlws.FILTER('Median Monthly EUIs'!$H$3:$H$146, ('Median Monthly EUIs'!$B$3:$B$146='Missing Bldgs - Monthly EUI'!E243) * ('Median Monthly EUIs'!$A$3:$A$146='Missing Bldgs - Monthly EUI'!A243))*0.293071)*D243</f>
        <v>1495.4482061073857</v>
      </c>
      <c r="G243" s="232"/>
      <c r="J243" s="1">
        <f>SUM(F243:F254)*3.412/D243</f>
        <v>26.941265486458658</v>
      </c>
      <c r="K243" s="1">
        <f>SUM(G243:G254)*100/D243</f>
        <v>0</v>
      </c>
      <c r="N243" s="1">
        <f>SUM(J243:M243)</f>
        <v>26.941265486458658</v>
      </c>
    </row>
    <row r="244" spans="1:14" x14ac:dyDescent="0.3">
      <c r="A244" s="3">
        <v>2</v>
      </c>
      <c r="B244" s="237" t="s">
        <v>420</v>
      </c>
      <c r="C244" s="3" t="str">
        <f>VLOOKUP(B244,'Data availability'!$A$2:$B$91,2,FALSE)</f>
        <v>South campus</v>
      </c>
      <c r="D244" s="3">
        <f>VLOOKUP(B244,'Data availability'!$A$2:$G$91,7,FALSE)</f>
        <v>2684</v>
      </c>
      <c r="E244" s="3" t="str">
        <f>VLOOKUP(B244,'Data availability'!$A$2:$H$91,8,FALSE)</f>
        <v>Athletics</v>
      </c>
      <c r="F244" s="232" cm="1">
        <f t="array" ref="F244">(_xlfn._xlws.FILTER('Median Monthly EUIs'!$H$3:$H$146, ('Median Monthly EUIs'!$B$3:$B$146='Missing Bldgs - Monthly EUI'!E244) * ('Median Monthly EUIs'!$A$3:$A$146='Missing Bldgs - Monthly EUI'!A244))*0.293071)*D244</f>
        <v>1444.7998694553953</v>
      </c>
      <c r="G244" s="232"/>
    </row>
    <row r="245" spans="1:14" x14ac:dyDescent="0.3">
      <c r="A245" s="3">
        <v>3</v>
      </c>
      <c r="B245" s="237" t="s">
        <v>420</v>
      </c>
      <c r="C245" s="3" t="str">
        <f>VLOOKUP(B245,'Data availability'!$A$2:$B$91,2,FALSE)</f>
        <v>South campus</v>
      </c>
      <c r="D245" s="3">
        <f>VLOOKUP(B245,'Data availability'!$A$2:$G$91,7,FALSE)</f>
        <v>2684</v>
      </c>
      <c r="E245" s="3" t="str">
        <f>VLOOKUP(B245,'Data availability'!$A$2:$H$91,8,FALSE)</f>
        <v>Athletics</v>
      </c>
      <c r="F245" s="232" cm="1">
        <f t="array" ref="F245">(_xlfn._xlws.FILTER('Median Monthly EUIs'!$H$3:$H$146, ('Median Monthly EUIs'!$B$3:$B$146='Missing Bldgs - Monthly EUI'!E245) * ('Median Monthly EUIs'!$A$3:$A$146='Missing Bldgs - Monthly EUI'!A245))*0.293071)*D245</f>
        <v>1614.5403216271475</v>
      </c>
      <c r="G245" s="232"/>
    </row>
    <row r="246" spans="1:14" x14ac:dyDescent="0.3">
      <c r="A246" s="3">
        <v>4</v>
      </c>
      <c r="B246" s="237" t="s">
        <v>420</v>
      </c>
      <c r="C246" s="3" t="str">
        <f>VLOOKUP(B246,'Data availability'!$A$2:$B$91,2,FALSE)</f>
        <v>South campus</v>
      </c>
      <c r="D246" s="3">
        <f>VLOOKUP(B246,'Data availability'!$A$2:$G$91,7,FALSE)</f>
        <v>2684</v>
      </c>
      <c r="E246" s="3" t="str">
        <f>VLOOKUP(B246,'Data availability'!$A$2:$H$91,8,FALSE)</f>
        <v>Athletics</v>
      </c>
      <c r="F246" s="232" cm="1">
        <f t="array" ref="F246">(_xlfn._xlws.FILTER('Median Monthly EUIs'!$H$3:$H$146, ('Median Monthly EUIs'!$B$3:$B$146='Missing Bldgs - Monthly EUI'!E246) * ('Median Monthly EUIs'!$A$3:$A$146='Missing Bldgs - Monthly EUI'!A246))*0.293071)*D246</f>
        <v>1471.8812664727996</v>
      </c>
      <c r="G246" s="232"/>
    </row>
    <row r="247" spans="1:14" x14ac:dyDescent="0.3">
      <c r="A247" s="3">
        <v>5</v>
      </c>
      <c r="B247" s="237" t="s">
        <v>420</v>
      </c>
      <c r="C247" s="3" t="str">
        <f>VLOOKUP(B247,'Data availability'!$A$2:$B$91,2,FALSE)</f>
        <v>South campus</v>
      </c>
      <c r="D247" s="3">
        <f>VLOOKUP(B247,'Data availability'!$A$2:$G$91,7,FALSE)</f>
        <v>2684</v>
      </c>
      <c r="E247" s="3" t="str">
        <f>VLOOKUP(B247,'Data availability'!$A$2:$H$91,8,FALSE)</f>
        <v>Athletics</v>
      </c>
      <c r="F247" s="232" cm="1">
        <f t="array" ref="F247">(_xlfn._xlws.FILTER('Median Monthly EUIs'!$H$3:$H$146, ('Median Monthly EUIs'!$B$3:$B$146='Missing Bldgs - Monthly EUI'!E247) * ('Median Monthly EUIs'!$A$3:$A$146='Missing Bldgs - Monthly EUI'!A247))*0.293071)*D247</f>
        <v>1490.0781243788763</v>
      </c>
      <c r="G247" s="232"/>
    </row>
    <row r="248" spans="1:14" x14ac:dyDescent="0.3">
      <c r="A248" s="3">
        <v>6</v>
      </c>
      <c r="B248" s="237" t="s">
        <v>420</v>
      </c>
      <c r="C248" s="3" t="str">
        <f>VLOOKUP(B248,'Data availability'!$A$2:$B$91,2,FALSE)</f>
        <v>South campus</v>
      </c>
      <c r="D248" s="3">
        <f>VLOOKUP(B248,'Data availability'!$A$2:$G$91,7,FALSE)</f>
        <v>2684</v>
      </c>
      <c r="E248" s="3" t="str">
        <f>VLOOKUP(B248,'Data availability'!$A$2:$H$91,8,FALSE)</f>
        <v>Athletics</v>
      </c>
      <c r="F248" s="232" cm="1">
        <f t="array" ref="F248">(_xlfn._xlws.FILTER('Median Monthly EUIs'!$H$3:$H$146, ('Median Monthly EUIs'!$B$3:$B$146='Missing Bldgs - Monthly EUI'!E248) * ('Median Monthly EUIs'!$A$3:$A$146='Missing Bldgs - Monthly EUI'!A248))*0.293071)*D248</f>
        <v>1611.4629273563721</v>
      </c>
      <c r="G248" s="232"/>
    </row>
    <row r="249" spans="1:14" x14ac:dyDescent="0.3">
      <c r="A249" s="3">
        <v>7</v>
      </c>
      <c r="B249" s="237" t="s">
        <v>420</v>
      </c>
      <c r="C249" s="3" t="str">
        <f>VLOOKUP(B249,'Data availability'!$A$2:$B$91,2,FALSE)</f>
        <v>South campus</v>
      </c>
      <c r="D249" s="3">
        <f>VLOOKUP(B249,'Data availability'!$A$2:$G$91,7,FALSE)</f>
        <v>2684</v>
      </c>
      <c r="E249" s="3" t="str">
        <f>VLOOKUP(B249,'Data availability'!$A$2:$H$91,8,FALSE)</f>
        <v>Athletics</v>
      </c>
      <c r="F249" s="232" cm="1">
        <f t="array" ref="F249">(_xlfn._xlws.FILTER('Median Monthly EUIs'!$H$3:$H$146, ('Median Monthly EUIs'!$B$3:$B$146='Missing Bldgs - Monthly EUI'!E249) * ('Median Monthly EUIs'!$A$3:$A$146='Missing Bldgs - Monthly EUI'!A249))*0.293071)*D249</f>
        <v>1672.3001794453314</v>
      </c>
      <c r="G249" s="232"/>
    </row>
    <row r="250" spans="1:14" x14ac:dyDescent="0.3">
      <c r="A250" s="3">
        <v>8</v>
      </c>
      <c r="B250" s="237" t="s">
        <v>420</v>
      </c>
      <c r="C250" s="3" t="str">
        <f>VLOOKUP(B250,'Data availability'!$A$2:$B$91,2,FALSE)</f>
        <v>South campus</v>
      </c>
      <c r="D250" s="3">
        <f>VLOOKUP(B250,'Data availability'!$A$2:$G$91,7,FALSE)</f>
        <v>2684</v>
      </c>
      <c r="E250" s="3" t="str">
        <f>VLOOKUP(B250,'Data availability'!$A$2:$H$91,8,FALSE)</f>
        <v>Athletics</v>
      </c>
      <c r="F250" s="232" cm="1">
        <f t="array" ref="F250">(_xlfn._xlws.FILTER('Median Monthly EUIs'!$H$3:$H$146, ('Median Monthly EUIs'!$B$3:$B$146='Missing Bldgs - Monthly EUI'!E250) * ('Median Monthly EUIs'!$A$3:$A$146='Missing Bldgs - Monthly EUI'!A250))*0.293071)*D250</f>
        <v>2240.072234284185</v>
      </c>
      <c r="G250" s="232"/>
    </row>
    <row r="251" spans="1:14" x14ac:dyDescent="0.3">
      <c r="A251" s="3">
        <v>9</v>
      </c>
      <c r="B251" s="237" t="s">
        <v>420</v>
      </c>
      <c r="C251" s="3" t="str">
        <f>VLOOKUP(B251,'Data availability'!$A$2:$B$91,2,FALSE)</f>
        <v>South campus</v>
      </c>
      <c r="D251" s="3">
        <f>VLOOKUP(B251,'Data availability'!$A$2:$G$91,7,FALSE)</f>
        <v>2684</v>
      </c>
      <c r="E251" s="3" t="str">
        <f>VLOOKUP(B251,'Data availability'!$A$2:$H$91,8,FALSE)</f>
        <v>Athletics</v>
      </c>
      <c r="F251" s="232" cm="1">
        <f t="array" ref="F251">(_xlfn._xlws.FILTER('Median Monthly EUIs'!$H$3:$H$146, ('Median Monthly EUIs'!$B$3:$B$146='Missing Bldgs - Monthly EUI'!E251) * ('Median Monthly EUIs'!$A$3:$A$146='Missing Bldgs - Monthly EUI'!A251))*0.293071)*D251</f>
        <v>2239.5097001347735</v>
      </c>
      <c r="G251" s="232"/>
    </row>
    <row r="252" spans="1:14" x14ac:dyDescent="0.3">
      <c r="A252" s="3">
        <v>10</v>
      </c>
      <c r="B252" s="237" t="s">
        <v>420</v>
      </c>
      <c r="C252" s="3" t="str">
        <f>VLOOKUP(B252,'Data availability'!$A$2:$B$91,2,FALSE)</f>
        <v>South campus</v>
      </c>
      <c r="D252" s="3">
        <f>VLOOKUP(B252,'Data availability'!$A$2:$G$91,7,FALSE)</f>
        <v>2684</v>
      </c>
      <c r="E252" s="3" t="str">
        <f>VLOOKUP(B252,'Data availability'!$A$2:$H$91,8,FALSE)</f>
        <v>Athletics</v>
      </c>
      <c r="F252" s="232" cm="1">
        <f t="array" ref="F252">(_xlfn._xlws.FILTER('Median Monthly EUIs'!$H$3:$H$146, ('Median Monthly EUIs'!$B$3:$B$146='Missing Bldgs - Monthly EUI'!E252) * ('Median Monthly EUIs'!$A$3:$A$146='Missing Bldgs - Monthly EUI'!A252))*0.293071)*D252</f>
        <v>2223.6655026466751</v>
      </c>
      <c r="G252" s="232"/>
    </row>
    <row r="253" spans="1:14" x14ac:dyDescent="0.3">
      <c r="A253" s="3">
        <v>11</v>
      </c>
      <c r="B253" s="237" t="s">
        <v>420</v>
      </c>
      <c r="C253" s="3" t="str">
        <f>VLOOKUP(B253,'Data availability'!$A$2:$B$91,2,FALSE)</f>
        <v>South campus</v>
      </c>
      <c r="D253" s="3">
        <f>VLOOKUP(B253,'Data availability'!$A$2:$G$91,7,FALSE)</f>
        <v>2684</v>
      </c>
      <c r="E253" s="3" t="str">
        <f>VLOOKUP(B253,'Data availability'!$A$2:$H$91,8,FALSE)</f>
        <v>Athletics</v>
      </c>
      <c r="F253" s="232" cm="1">
        <f t="array" ref="F253">(_xlfn._xlws.FILTER('Median Monthly EUIs'!$H$3:$H$146, ('Median Monthly EUIs'!$B$3:$B$146='Missing Bldgs - Monthly EUI'!E253) * ('Median Monthly EUIs'!$A$3:$A$146='Missing Bldgs - Monthly EUI'!A253))*0.293071)*D253</f>
        <v>1969.9690389956747</v>
      </c>
      <c r="G253" s="232"/>
    </row>
    <row r="254" spans="1:14" x14ac:dyDescent="0.3">
      <c r="A254" s="3">
        <v>12</v>
      </c>
      <c r="B254" s="237" t="s">
        <v>420</v>
      </c>
      <c r="C254" s="3" t="str">
        <f>VLOOKUP(B254,'Data availability'!$A$2:$B$91,2,FALSE)</f>
        <v>South campus</v>
      </c>
      <c r="D254" s="3">
        <f>VLOOKUP(B254,'Data availability'!$A$2:$G$91,7,FALSE)</f>
        <v>2684</v>
      </c>
      <c r="E254" s="3" t="str">
        <f>VLOOKUP(B254,'Data availability'!$A$2:$H$91,8,FALSE)</f>
        <v>Athletics</v>
      </c>
      <c r="F254" s="232" cm="1">
        <f t="array" ref="F254">(_xlfn._xlws.FILTER('Median Monthly EUIs'!$H$3:$H$146, ('Median Monthly EUIs'!$B$3:$B$146='Missing Bldgs - Monthly EUI'!E254) * ('Median Monthly EUIs'!$A$3:$A$146='Missing Bldgs - Monthly EUI'!A254))*0.293071)*D254</f>
        <v>1719.225901561686</v>
      </c>
      <c r="G254" s="232"/>
    </row>
  </sheetData>
  <autoFilter ref="A2:I2" xr:uid="{D5A92A02-B4CA-4694-813F-DE686360E94E}"/>
  <mergeCells count="2">
    <mergeCell ref="F1:I1"/>
    <mergeCell ref="J1:N1"/>
  </mergeCells>
  <phoneticPr fontId="43"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2A3D-8FA5-48AC-8267-654162E6C86D}">
  <dimension ref="A1:R48"/>
  <sheetViews>
    <sheetView workbookViewId="0">
      <selection activeCell="B2" sqref="B2:K13"/>
    </sheetView>
  </sheetViews>
  <sheetFormatPr defaultRowHeight="14.4" x14ac:dyDescent="0.3"/>
  <cols>
    <col min="2" max="7" width="9.109375" bestFit="1" customWidth="1"/>
    <col min="8" max="9" width="10" bestFit="1" customWidth="1"/>
    <col min="10" max="11" width="9.109375" bestFit="1" customWidth="1"/>
    <col min="16" max="16" width="12.33203125" customWidth="1"/>
    <col min="17" max="17" width="17.33203125" customWidth="1"/>
    <col min="18" max="18" width="16.77734375" customWidth="1"/>
  </cols>
  <sheetData>
    <row r="1" spans="1:18" x14ac:dyDescent="0.3">
      <c r="A1" t="s">
        <v>660</v>
      </c>
      <c r="B1" t="s">
        <v>126</v>
      </c>
      <c r="C1" t="s">
        <v>658</v>
      </c>
      <c r="D1" t="s">
        <v>139</v>
      </c>
      <c r="E1" t="s">
        <v>659</v>
      </c>
      <c r="F1" t="s">
        <v>167</v>
      </c>
      <c r="G1" t="s">
        <v>182</v>
      </c>
      <c r="H1" t="s">
        <v>642</v>
      </c>
      <c r="I1" t="s">
        <v>643</v>
      </c>
      <c r="J1" t="s">
        <v>181</v>
      </c>
      <c r="K1" t="s">
        <v>184</v>
      </c>
      <c r="M1" t="s">
        <v>707</v>
      </c>
      <c r="O1" t="s">
        <v>660</v>
      </c>
      <c r="P1" t="s">
        <v>644</v>
      </c>
      <c r="Q1" t="s">
        <v>645</v>
      </c>
      <c r="R1" t="s">
        <v>646</v>
      </c>
    </row>
    <row r="2" spans="1:18" x14ac:dyDescent="0.3">
      <c r="A2">
        <v>1</v>
      </c>
      <c r="B2" s="194">
        <v>3784</v>
      </c>
      <c r="C2" s="194">
        <v>8489</v>
      </c>
      <c r="D2" s="194">
        <v>7937</v>
      </c>
      <c r="E2" s="194">
        <v>4259</v>
      </c>
      <c r="F2" s="194">
        <v>7595</v>
      </c>
      <c r="G2" s="194">
        <v>7527</v>
      </c>
      <c r="H2" s="194">
        <v>18320</v>
      </c>
      <c r="I2" s="194">
        <v>30863</v>
      </c>
      <c r="J2" s="194">
        <v>2602</v>
      </c>
      <c r="K2" s="194">
        <v>3525</v>
      </c>
      <c r="M2" s="194">
        <f>SUM(B2:K2)</f>
        <v>94901</v>
      </c>
      <c r="O2">
        <v>1</v>
      </c>
      <c r="P2" s="194">
        <v>125677</v>
      </c>
      <c r="Q2" s="194">
        <v>30863</v>
      </c>
      <c r="R2" s="194">
        <v>3015</v>
      </c>
    </row>
    <row r="3" spans="1:18" x14ac:dyDescent="0.3">
      <c r="A3">
        <v>2</v>
      </c>
      <c r="B3" s="194">
        <v>4795</v>
      </c>
      <c r="C3" s="194">
        <v>10774</v>
      </c>
      <c r="D3" s="194">
        <v>10206</v>
      </c>
      <c r="E3" s="194">
        <v>5008</v>
      </c>
      <c r="F3" s="194">
        <v>9829</v>
      </c>
      <c r="G3" s="194">
        <v>9513</v>
      </c>
      <c r="H3" s="194">
        <v>23487</v>
      </c>
      <c r="I3" s="194">
        <v>38625</v>
      </c>
      <c r="J3" s="194">
        <v>3300</v>
      </c>
      <c r="K3" s="194">
        <v>4663</v>
      </c>
      <c r="M3" s="194">
        <f t="shared" ref="M3:M13" si="0">SUM(B3:K3)</f>
        <v>120200</v>
      </c>
      <c r="O3">
        <v>2</v>
      </c>
      <c r="P3" s="194">
        <v>122759</v>
      </c>
      <c r="Q3" s="194">
        <v>38625</v>
      </c>
      <c r="R3" s="194">
        <v>4193</v>
      </c>
    </row>
    <row r="4" spans="1:18" x14ac:dyDescent="0.3">
      <c r="A4">
        <v>3</v>
      </c>
      <c r="B4" s="194">
        <v>6553</v>
      </c>
      <c r="C4" s="194">
        <v>14396</v>
      </c>
      <c r="D4" s="194">
        <v>14003</v>
      </c>
      <c r="E4" s="194">
        <v>6268</v>
      </c>
      <c r="F4" s="194">
        <v>13460</v>
      </c>
      <c r="G4" s="194">
        <v>12770</v>
      </c>
      <c r="H4" s="194">
        <v>32264</v>
      </c>
      <c r="I4" s="194">
        <v>50953</v>
      </c>
      <c r="J4" s="194">
        <v>4405</v>
      </c>
      <c r="K4" s="194">
        <v>6524</v>
      </c>
      <c r="M4" s="194">
        <f t="shared" si="0"/>
        <v>161596</v>
      </c>
      <c r="O4">
        <v>3</v>
      </c>
      <c r="P4" s="194">
        <v>131618</v>
      </c>
      <c r="Q4" s="194">
        <v>50953</v>
      </c>
      <c r="R4" s="194">
        <v>9496</v>
      </c>
    </row>
    <row r="5" spans="1:18" x14ac:dyDescent="0.3">
      <c r="A5">
        <v>4</v>
      </c>
      <c r="B5" s="194">
        <v>10033</v>
      </c>
      <c r="C5" s="194">
        <v>21935</v>
      </c>
      <c r="D5" s="194">
        <v>21345</v>
      </c>
      <c r="E5" s="194">
        <v>9369</v>
      </c>
      <c r="F5" s="194">
        <v>20801</v>
      </c>
      <c r="G5" s="194">
        <v>19396</v>
      </c>
      <c r="H5" s="194">
        <v>49536</v>
      </c>
      <c r="I5" s="194">
        <v>78263</v>
      </c>
      <c r="J5" s="194">
        <v>6667</v>
      </c>
      <c r="K5" s="194">
        <v>10011</v>
      </c>
      <c r="M5" s="194">
        <f t="shared" si="0"/>
        <v>247356</v>
      </c>
      <c r="O5">
        <v>4</v>
      </c>
      <c r="P5" s="194">
        <v>122816</v>
      </c>
      <c r="Q5" s="194">
        <v>78263</v>
      </c>
      <c r="R5" s="194">
        <v>23034</v>
      </c>
    </row>
    <row r="6" spans="1:18" x14ac:dyDescent="0.3">
      <c r="A6">
        <v>5</v>
      </c>
      <c r="B6" s="194">
        <v>9766</v>
      </c>
      <c r="C6" s="194">
        <v>21269</v>
      </c>
      <c r="D6" s="194">
        <v>21041</v>
      </c>
      <c r="E6" s="194">
        <v>9286</v>
      </c>
      <c r="F6" s="194">
        <v>20437</v>
      </c>
      <c r="G6" s="194">
        <v>19029</v>
      </c>
      <c r="H6" s="194">
        <v>48347</v>
      </c>
      <c r="I6" s="194">
        <v>76591</v>
      </c>
      <c r="J6" s="194">
        <v>6756</v>
      </c>
      <c r="K6" s="194">
        <v>9739</v>
      </c>
      <c r="M6" s="194">
        <f t="shared" si="0"/>
        <v>242261</v>
      </c>
      <c r="O6">
        <v>5</v>
      </c>
      <c r="P6" s="194">
        <v>128796</v>
      </c>
      <c r="Q6" s="194">
        <v>76591</v>
      </c>
      <c r="R6" s="194">
        <v>19653</v>
      </c>
    </row>
    <row r="7" spans="1:18" x14ac:dyDescent="0.3">
      <c r="A7">
        <v>6</v>
      </c>
      <c r="B7" s="194">
        <v>10681</v>
      </c>
      <c r="C7" s="194">
        <v>23528</v>
      </c>
      <c r="D7" s="194">
        <v>23032</v>
      </c>
      <c r="E7" s="194">
        <v>9944</v>
      </c>
      <c r="F7" s="194">
        <v>22435</v>
      </c>
      <c r="G7" s="194">
        <v>20961</v>
      </c>
      <c r="H7" s="194">
        <v>53208</v>
      </c>
      <c r="I7" s="194">
        <v>83782</v>
      </c>
      <c r="J7" s="194">
        <v>7247</v>
      </c>
      <c r="K7" s="194">
        <v>10556</v>
      </c>
      <c r="M7" s="194">
        <f t="shared" si="0"/>
        <v>265374</v>
      </c>
      <c r="O7">
        <v>6</v>
      </c>
      <c r="P7" s="194">
        <v>119102</v>
      </c>
      <c r="Q7" s="194">
        <v>83782</v>
      </c>
      <c r="R7" s="194">
        <v>25332</v>
      </c>
    </row>
    <row r="8" spans="1:18" x14ac:dyDescent="0.3">
      <c r="A8">
        <v>7</v>
      </c>
      <c r="B8" s="194">
        <v>11794</v>
      </c>
      <c r="C8" s="194">
        <v>26164</v>
      </c>
      <c r="D8" s="194">
        <v>25068</v>
      </c>
      <c r="E8" s="194">
        <v>10537</v>
      </c>
      <c r="F8" s="194">
        <v>23768</v>
      </c>
      <c r="G8" s="194">
        <v>23045</v>
      </c>
      <c r="H8" s="194">
        <v>58566</v>
      </c>
      <c r="I8" s="194">
        <v>90448</v>
      </c>
      <c r="J8" s="194">
        <v>7740</v>
      </c>
      <c r="K8" s="194">
        <v>11602</v>
      </c>
      <c r="M8" s="194">
        <f t="shared" si="0"/>
        <v>288732</v>
      </c>
      <c r="O8">
        <v>7</v>
      </c>
      <c r="P8" s="194">
        <v>122728</v>
      </c>
      <c r="Q8" s="194">
        <v>90448</v>
      </c>
      <c r="R8" s="194">
        <v>29071</v>
      </c>
    </row>
    <row r="9" spans="1:18" x14ac:dyDescent="0.3">
      <c r="A9">
        <v>8</v>
      </c>
      <c r="B9" s="194">
        <v>10104</v>
      </c>
      <c r="C9" s="194">
        <v>23053</v>
      </c>
      <c r="D9" s="194">
        <v>21655</v>
      </c>
      <c r="E9" s="194">
        <v>9360</v>
      </c>
      <c r="F9" s="194">
        <v>19850</v>
      </c>
      <c r="G9" s="194">
        <v>20003</v>
      </c>
      <c r="H9" s="194">
        <v>49197</v>
      </c>
      <c r="I9" s="194">
        <v>76547</v>
      </c>
      <c r="J9" s="194">
        <v>6655</v>
      </c>
      <c r="K9" s="194">
        <v>9995</v>
      </c>
      <c r="M9" s="194">
        <f t="shared" si="0"/>
        <v>246419</v>
      </c>
      <c r="O9">
        <v>8</v>
      </c>
      <c r="P9" s="194">
        <v>127633</v>
      </c>
      <c r="Q9" s="194">
        <v>76547</v>
      </c>
      <c r="R9" s="194">
        <v>19758</v>
      </c>
    </row>
    <row r="10" spans="1:18" x14ac:dyDescent="0.3">
      <c r="A10">
        <v>9</v>
      </c>
      <c r="B10" s="194">
        <v>7590</v>
      </c>
      <c r="C10" s="194">
        <v>17340</v>
      </c>
      <c r="D10" s="194">
        <v>16133</v>
      </c>
      <c r="E10" s="194">
        <v>7575</v>
      </c>
      <c r="F10" s="194">
        <v>14464</v>
      </c>
      <c r="G10" s="194">
        <v>14909</v>
      </c>
      <c r="H10" s="194">
        <v>35049</v>
      </c>
      <c r="I10" s="194">
        <v>56317</v>
      </c>
      <c r="J10" s="194">
        <v>5122</v>
      </c>
      <c r="K10" s="194">
        <v>7450</v>
      </c>
      <c r="M10" s="194">
        <f t="shared" si="0"/>
        <v>181949</v>
      </c>
      <c r="O10">
        <v>9</v>
      </c>
      <c r="P10" s="194">
        <v>119934</v>
      </c>
      <c r="Q10" s="194">
        <v>56317</v>
      </c>
      <c r="R10" s="194">
        <v>9672</v>
      </c>
    </row>
    <row r="11" spans="1:18" x14ac:dyDescent="0.3">
      <c r="A11">
        <v>10</v>
      </c>
      <c r="B11" s="194">
        <v>6801</v>
      </c>
      <c r="C11" s="194">
        <v>15290</v>
      </c>
      <c r="D11" s="194">
        <v>14091</v>
      </c>
      <c r="E11" s="194">
        <v>6946</v>
      </c>
      <c r="F11" s="194">
        <v>12364</v>
      </c>
      <c r="G11" s="194">
        <v>13269</v>
      </c>
      <c r="H11" s="194">
        <v>30451</v>
      </c>
      <c r="I11" s="194">
        <v>49625</v>
      </c>
      <c r="J11" s="194">
        <v>4661</v>
      </c>
      <c r="K11" s="194">
        <v>6557</v>
      </c>
      <c r="M11" s="194">
        <f t="shared" si="0"/>
        <v>160055</v>
      </c>
      <c r="O11">
        <v>10</v>
      </c>
      <c r="P11" s="194">
        <v>127769</v>
      </c>
      <c r="Q11" s="194">
        <v>49625</v>
      </c>
      <c r="R11" s="194">
        <v>6825</v>
      </c>
    </row>
    <row r="12" spans="1:18" x14ac:dyDescent="0.3">
      <c r="A12">
        <v>11</v>
      </c>
      <c r="B12" s="194">
        <v>4627</v>
      </c>
      <c r="C12" s="194">
        <v>10363</v>
      </c>
      <c r="D12" s="194">
        <v>9417</v>
      </c>
      <c r="E12" s="194">
        <v>5168</v>
      </c>
      <c r="F12" s="194">
        <v>8323</v>
      </c>
      <c r="G12" s="194">
        <v>9065</v>
      </c>
      <c r="H12" s="194">
        <v>20466</v>
      </c>
      <c r="I12" s="194">
        <v>34271</v>
      </c>
      <c r="J12" s="194">
        <v>3215</v>
      </c>
      <c r="K12" s="194">
        <v>4243</v>
      </c>
      <c r="M12" s="194">
        <f t="shared" si="0"/>
        <v>109158</v>
      </c>
      <c r="O12">
        <v>11</v>
      </c>
      <c r="P12" s="194">
        <v>117497</v>
      </c>
      <c r="Q12" s="194">
        <v>34271</v>
      </c>
      <c r="R12" s="194">
        <v>3731</v>
      </c>
    </row>
    <row r="13" spans="1:18" x14ac:dyDescent="0.3">
      <c r="A13">
        <v>12</v>
      </c>
      <c r="B13" s="194">
        <v>3127</v>
      </c>
      <c r="C13" s="194">
        <v>7076</v>
      </c>
      <c r="D13" s="194">
        <v>6415</v>
      </c>
      <c r="E13" s="194">
        <v>3624</v>
      </c>
      <c r="F13" s="194">
        <v>5668</v>
      </c>
      <c r="G13" s="194">
        <v>6246</v>
      </c>
      <c r="H13" s="194">
        <v>14166</v>
      </c>
      <c r="I13" s="194">
        <v>23935</v>
      </c>
      <c r="J13" s="194">
        <v>2159</v>
      </c>
      <c r="K13" s="194">
        <v>2848</v>
      </c>
      <c r="M13" s="194">
        <f t="shared" si="0"/>
        <v>75264</v>
      </c>
      <c r="O13">
        <v>12</v>
      </c>
      <c r="P13" s="194">
        <v>119289</v>
      </c>
      <c r="Q13" s="194">
        <v>23935</v>
      </c>
      <c r="R13">
        <v>887</v>
      </c>
    </row>
    <row r="14" spans="1:18" x14ac:dyDescent="0.3">
      <c r="A14" t="s">
        <v>651</v>
      </c>
      <c r="B14" s="194">
        <v>89655</v>
      </c>
      <c r="C14" s="194">
        <v>199676</v>
      </c>
      <c r="D14" s="194">
        <v>190343</v>
      </c>
      <c r="E14" s="194">
        <v>87347</v>
      </c>
      <c r="F14" s="194">
        <v>178994</v>
      </c>
      <c r="G14" s="194">
        <v>175733</v>
      </c>
      <c r="H14" s="194">
        <v>433058</v>
      </c>
      <c r="I14" s="194">
        <v>690221</v>
      </c>
      <c r="J14" s="194">
        <v>60529</v>
      </c>
      <c r="K14" s="194">
        <v>87712</v>
      </c>
    </row>
    <row r="15" spans="1:18" x14ac:dyDescent="0.3">
      <c r="A15" t="s">
        <v>652</v>
      </c>
      <c r="B15">
        <v>58</v>
      </c>
      <c r="C15">
        <v>117</v>
      </c>
      <c r="D15">
        <v>131</v>
      </c>
      <c r="E15">
        <v>58</v>
      </c>
      <c r="F15">
        <v>80</v>
      </c>
      <c r="G15">
        <v>102</v>
      </c>
      <c r="H15">
        <v>583</v>
      </c>
      <c r="I15">
        <v>445</v>
      </c>
      <c r="J15">
        <v>73</v>
      </c>
      <c r="K15">
        <v>401</v>
      </c>
    </row>
    <row r="16" spans="1:18" x14ac:dyDescent="0.3">
      <c r="A16" t="s">
        <v>653</v>
      </c>
      <c r="B16">
        <v>50</v>
      </c>
      <c r="C16">
        <v>100</v>
      </c>
      <c r="D16">
        <v>100</v>
      </c>
      <c r="E16">
        <v>50</v>
      </c>
      <c r="F16">
        <v>60</v>
      </c>
      <c r="G16">
        <v>86</v>
      </c>
      <c r="H16">
        <v>480</v>
      </c>
      <c r="I16">
        <v>372</v>
      </c>
      <c r="J16">
        <v>60</v>
      </c>
      <c r="K16">
        <v>316</v>
      </c>
    </row>
    <row r="17" spans="1:11" x14ac:dyDescent="0.3">
      <c r="A17" t="s">
        <v>654</v>
      </c>
      <c r="B17" s="194">
        <v>1538</v>
      </c>
      <c r="C17" s="194">
        <v>1712</v>
      </c>
      <c r="D17" s="194">
        <v>1451</v>
      </c>
      <c r="E17" s="194">
        <v>1498</v>
      </c>
      <c r="F17" s="194">
        <v>2232</v>
      </c>
      <c r="G17" s="194">
        <v>1722</v>
      </c>
      <c r="H17">
        <v>743</v>
      </c>
      <c r="I17" s="194">
        <v>1552</v>
      </c>
      <c r="J17">
        <v>830</v>
      </c>
      <c r="K17">
        <v>219</v>
      </c>
    </row>
    <row r="18" spans="1:11" x14ac:dyDescent="0.3">
      <c r="A18" t="s">
        <v>655</v>
      </c>
      <c r="B18" s="194">
        <v>1793</v>
      </c>
      <c r="C18" s="194">
        <v>1997</v>
      </c>
      <c r="D18" s="194">
        <v>1903</v>
      </c>
      <c r="E18" s="194">
        <v>1747</v>
      </c>
      <c r="F18" s="194">
        <v>2983</v>
      </c>
      <c r="G18" s="194">
        <v>2043</v>
      </c>
      <c r="H18">
        <v>902</v>
      </c>
      <c r="I18" s="194">
        <v>1855</v>
      </c>
      <c r="J18" s="194">
        <v>1009</v>
      </c>
      <c r="K18">
        <v>278</v>
      </c>
    </row>
    <row r="21" spans="1:11" x14ac:dyDescent="0.3">
      <c r="A21" s="271" t="s">
        <v>360</v>
      </c>
      <c r="B21" s="271"/>
      <c r="C21" s="271"/>
      <c r="D21" s="271"/>
      <c r="E21" s="271"/>
      <c r="F21" s="271"/>
      <c r="G21" s="271"/>
      <c r="H21" s="271"/>
      <c r="I21" s="271"/>
      <c r="J21" s="271"/>
      <c r="K21" s="271"/>
    </row>
    <row r="22" spans="1:11" x14ac:dyDescent="0.3">
      <c r="A22">
        <v>1</v>
      </c>
      <c r="B22">
        <v>98751.931034484427</v>
      </c>
      <c r="C22">
        <v>95210.568965517174</v>
      </c>
      <c r="D22">
        <v>64169.937999999966</v>
      </c>
      <c r="E22">
        <v>347888.56569602399</v>
      </c>
      <c r="F22" s="21">
        <v>15674.10344827597</v>
      </c>
      <c r="G22" s="21">
        <v>27602.258620689521</v>
      </c>
      <c r="H22" s="1">
        <v>43042.749999999389</v>
      </c>
      <c r="I22" s="21">
        <v>88851.590909090766</v>
      </c>
      <c r="J22" s="21">
        <v>16215.29545454547</v>
      </c>
      <c r="K22" s="1">
        <v>28571.163793102911</v>
      </c>
    </row>
    <row r="23" spans="1:11" x14ac:dyDescent="0.3">
      <c r="A23">
        <v>2</v>
      </c>
      <c r="B23">
        <v>96351.999999999389</v>
      </c>
      <c r="C23">
        <v>85962.500000000713</v>
      </c>
      <c r="D23">
        <v>32673.156000000017</v>
      </c>
      <c r="E23">
        <v>331966.64062500378</v>
      </c>
      <c r="F23" s="1">
        <v>14051.99999999992</v>
      </c>
      <c r="G23" s="1">
        <v>26236.0000000002</v>
      </c>
      <c r="H23" s="1">
        <v>53340</v>
      </c>
      <c r="I23" s="1">
        <v>74720.750000001266</v>
      </c>
      <c r="J23" s="1">
        <v>14668.000000000149</v>
      </c>
      <c r="K23" s="1">
        <v>25835.499999999811</v>
      </c>
    </row>
    <row r="24" spans="1:11" x14ac:dyDescent="0.3">
      <c r="A24">
        <v>3</v>
      </c>
      <c r="B24">
        <v>101252.3015170677</v>
      </c>
      <c r="C24">
        <v>91537.412136535146</v>
      </c>
      <c r="D24">
        <v>32673.156000000017</v>
      </c>
      <c r="E24">
        <v>350311.62107893819</v>
      </c>
      <c r="F24" s="1">
        <v>13510.201011377931</v>
      </c>
      <c r="G24" s="1">
        <v>23054.13463969684</v>
      </c>
      <c r="H24" s="1">
        <v>54715.874999999192</v>
      </c>
      <c r="I24" s="1">
        <v>64608.12389380455</v>
      </c>
      <c r="J24" s="1">
        <v>14941.955436157001</v>
      </c>
      <c r="K24" s="1">
        <v>27316.052149177951</v>
      </c>
    </row>
    <row r="25" spans="1:11" x14ac:dyDescent="0.3">
      <c r="A25">
        <v>4</v>
      </c>
      <c r="B25">
        <v>94623.698482934138</v>
      </c>
      <c r="C25">
        <v>86044.587863464985</v>
      </c>
      <c r="D25">
        <v>57110.375</v>
      </c>
      <c r="E25">
        <v>330053.14063981816</v>
      </c>
      <c r="F25" s="1">
        <v>9574.798988621902</v>
      </c>
      <c r="G25" s="1">
        <v>16784.365360303262</v>
      </c>
      <c r="H25" s="1">
        <v>52914.749999999833</v>
      </c>
      <c r="I25" s="1">
        <v>35142.126106194322</v>
      </c>
      <c r="J25" s="1">
        <v>12311.169563843039</v>
      </c>
      <c r="K25" s="1">
        <v>23452.19785082194</v>
      </c>
    </row>
    <row r="26" spans="1:11" x14ac:dyDescent="0.3">
      <c r="A26">
        <v>5</v>
      </c>
      <c r="B26">
        <v>94567.000000001324</v>
      </c>
      <c r="C26">
        <v>94837.999999999069</v>
      </c>
      <c r="D26">
        <v>0</v>
      </c>
      <c r="E26">
        <v>336548.14062499721</v>
      </c>
      <c r="F26" s="1">
        <v>9148.4999999998945</v>
      </c>
      <c r="G26" s="1">
        <v>16474.499999999869</v>
      </c>
      <c r="H26" s="1">
        <v>49629.999999999112</v>
      </c>
      <c r="I26" s="1">
        <v>38198.500000000611</v>
      </c>
      <c r="J26" s="1">
        <v>13012.12500000016</v>
      </c>
      <c r="K26" s="1">
        <v>22303.49999999992</v>
      </c>
    </row>
    <row r="27" spans="1:11" x14ac:dyDescent="0.3">
      <c r="A27">
        <v>6</v>
      </c>
      <c r="B27">
        <v>66203.571428572628</v>
      </c>
      <c r="C27">
        <v>96736.46341463484</v>
      </c>
      <c r="D27">
        <v>37692.100999999966</v>
      </c>
      <c r="E27">
        <v>314950.40148627938</v>
      </c>
      <c r="F27" s="1">
        <v>6513.1097560976423</v>
      </c>
      <c r="G27" s="1">
        <v>11786.571428571469</v>
      </c>
      <c r="H27" s="1">
        <v>48220.750000000109</v>
      </c>
      <c r="I27" s="1">
        <v>22262.357142857079</v>
      </c>
      <c r="J27" s="1">
        <v>10883.59756097573</v>
      </c>
      <c r="K27" s="1">
        <v>19456.07142857134</v>
      </c>
    </row>
    <row r="28" spans="1:11" x14ac:dyDescent="0.3">
      <c r="A28">
        <v>7</v>
      </c>
      <c r="B28">
        <v>58777.428571427503</v>
      </c>
      <c r="C28">
        <v>94350.53658536615</v>
      </c>
      <c r="D28">
        <v>64780.156000000017</v>
      </c>
      <c r="E28">
        <v>331711.52820121712</v>
      </c>
      <c r="F28" s="1">
        <v>7158.8902439023341</v>
      </c>
      <c r="G28" s="1">
        <v>10331.928571428551</v>
      </c>
      <c r="H28" s="1">
        <v>47051.000000000648</v>
      </c>
      <c r="I28" s="1">
        <v>22687.14285714272</v>
      </c>
      <c r="J28" s="1">
        <v>11242.55720092911</v>
      </c>
      <c r="K28" s="1">
        <v>20295.428571428569</v>
      </c>
    </row>
    <row r="29" spans="1:11" x14ac:dyDescent="0.3">
      <c r="A29">
        <v>8</v>
      </c>
      <c r="B29">
        <v>45631.557142857811</v>
      </c>
      <c r="C29">
        <v>91171.000000000495</v>
      </c>
      <c r="D29">
        <v>51937.625</v>
      </c>
      <c r="E29">
        <v>316330.08928571618</v>
      </c>
      <c r="F29" s="1">
        <v>9543.3500000000713</v>
      </c>
      <c r="G29" s="1">
        <v>13404.84285714301</v>
      </c>
      <c r="H29" s="1">
        <v>50923.999999999469</v>
      </c>
      <c r="I29" s="1">
        <v>43866.549999999923</v>
      </c>
      <c r="J29" s="1">
        <v>13090.97759103657</v>
      </c>
      <c r="K29" s="1">
        <v>24113.349999999969</v>
      </c>
    </row>
    <row r="30" spans="1:11" x14ac:dyDescent="0.3">
      <c r="A30">
        <v>9</v>
      </c>
      <c r="B30">
        <v>49508.514285714868</v>
      </c>
      <c r="C30">
        <v>96784.96296296161</v>
      </c>
      <c r="D30">
        <v>67725.312999999966</v>
      </c>
      <c r="E30">
        <v>304127.09126984171</v>
      </c>
      <c r="F30" s="1">
        <v>11769.06071428569</v>
      </c>
      <c r="G30" s="1">
        <v>21855.050000000181</v>
      </c>
      <c r="H30" s="1">
        <v>52806.000000000269</v>
      </c>
      <c r="I30" s="1">
        <v>51883.325000000419</v>
      </c>
      <c r="J30" s="1">
        <v>14713.48371848729</v>
      </c>
      <c r="K30" s="1">
        <v>26067.233333333708</v>
      </c>
    </row>
    <row r="31" spans="1:11" x14ac:dyDescent="0.3">
      <c r="A31">
        <v>10</v>
      </c>
      <c r="B31">
        <v>55579.428571429147</v>
      </c>
      <c r="C31">
        <v>96859.037037035945</v>
      </c>
      <c r="D31">
        <v>68362.437000000034</v>
      </c>
      <c r="E31">
        <v>308616.74913194554</v>
      </c>
      <c r="F31" s="1">
        <v>14087.33928571409</v>
      </c>
      <c r="G31" s="1">
        <v>27285.10714285729</v>
      </c>
      <c r="H31" s="1">
        <v>58148.000000000211</v>
      </c>
      <c r="I31" s="1">
        <v>70783.625000000029</v>
      </c>
      <c r="J31" s="1">
        <v>16622.75892857154</v>
      </c>
      <c r="K31" s="1">
        <v>29862.666666666399</v>
      </c>
    </row>
    <row r="32" spans="1:11" x14ac:dyDescent="0.3">
      <c r="A32">
        <v>11</v>
      </c>
      <c r="B32">
        <v>52589.358133669703</v>
      </c>
      <c r="C32">
        <v>89570.839218157795</v>
      </c>
      <c r="D32">
        <v>55756</v>
      </c>
      <c r="E32">
        <v>287355.33703105233</v>
      </c>
      <c r="F32" s="1">
        <v>17368.78089533417</v>
      </c>
      <c r="G32" s="1">
        <v>28718.621059268389</v>
      </c>
      <c r="H32" s="1">
        <v>53666.000000000633</v>
      </c>
      <c r="I32" s="1">
        <v>76702.398486758684</v>
      </c>
      <c r="J32" s="1">
        <v>16182.04035308964</v>
      </c>
      <c r="K32" s="1">
        <v>30724.328499369611</v>
      </c>
    </row>
    <row r="33" spans="1:11" x14ac:dyDescent="0.3">
      <c r="A33">
        <v>12</v>
      </c>
      <c r="B33">
        <v>45972.331521502718</v>
      </c>
      <c r="C33">
        <v>89067.626299082156</v>
      </c>
      <c r="D33">
        <v>59291.75</v>
      </c>
      <c r="E33">
        <v>303753.61070601619</v>
      </c>
      <c r="F33" s="1">
        <v>16423.848415010882</v>
      </c>
      <c r="G33" s="1">
        <v>28482.085837282819</v>
      </c>
      <c r="H33" s="66">
        <v>42197.280911868918</v>
      </c>
      <c r="I33" s="66">
        <v>87867.532547723065</v>
      </c>
      <c r="J33" s="1">
        <v>17346.592980244019</v>
      </c>
      <c r="K33" s="66">
        <v>33103.964604079098</v>
      </c>
    </row>
    <row r="35" spans="1:11" x14ac:dyDescent="0.3">
      <c r="A35" s="271" t="s">
        <v>706</v>
      </c>
      <c r="B35" s="271"/>
      <c r="C35" s="271"/>
      <c r="D35" s="271"/>
      <c r="E35" s="271"/>
      <c r="F35" s="271"/>
      <c r="G35" s="271"/>
      <c r="H35" s="271"/>
      <c r="I35" s="271"/>
      <c r="J35" s="271"/>
      <c r="K35" s="271"/>
    </row>
    <row r="36" spans="1:11" x14ac:dyDescent="0.3">
      <c r="B36" t="s">
        <v>126</v>
      </c>
      <c r="C36" t="s">
        <v>658</v>
      </c>
      <c r="D36" t="s">
        <v>139</v>
      </c>
      <c r="E36" t="s">
        <v>659</v>
      </c>
      <c r="F36" t="s">
        <v>167</v>
      </c>
      <c r="G36" t="s">
        <v>182</v>
      </c>
      <c r="H36" t="s">
        <v>642</v>
      </c>
      <c r="I36" t="s">
        <v>643</v>
      </c>
      <c r="J36" t="s">
        <v>181</v>
      </c>
      <c r="K36" t="s">
        <v>184</v>
      </c>
    </row>
    <row r="37" spans="1:11" x14ac:dyDescent="0.3">
      <c r="A37">
        <v>1</v>
      </c>
      <c r="B37" s="194">
        <f t="shared" ref="B37:K37" si="1">SUM(B2,B22)</f>
        <v>102535.93103448443</v>
      </c>
      <c r="C37" s="194">
        <f t="shared" si="1"/>
        <v>103699.56896551717</v>
      </c>
      <c r="D37" s="194">
        <f t="shared" si="1"/>
        <v>72106.937999999966</v>
      </c>
      <c r="E37" s="194">
        <f t="shared" si="1"/>
        <v>352147.56569602399</v>
      </c>
      <c r="F37" s="194">
        <f t="shared" si="1"/>
        <v>23269.103448275971</v>
      </c>
      <c r="G37" s="194">
        <f t="shared" si="1"/>
        <v>35129.258620689521</v>
      </c>
      <c r="H37" s="194">
        <f t="shared" si="1"/>
        <v>61362.749999999389</v>
      </c>
      <c r="I37" s="194">
        <f t="shared" si="1"/>
        <v>119714.59090909077</v>
      </c>
      <c r="J37" s="194">
        <f t="shared" si="1"/>
        <v>18817.29545454547</v>
      </c>
      <c r="K37" s="194">
        <f t="shared" si="1"/>
        <v>32096.163793102911</v>
      </c>
    </row>
    <row r="38" spans="1:11" x14ac:dyDescent="0.3">
      <c r="A38">
        <v>2</v>
      </c>
      <c r="B38" s="194">
        <f t="shared" ref="B38:K38" si="2">SUM(B3,B23)</f>
        <v>101146.99999999939</v>
      </c>
      <c r="C38" s="194">
        <f t="shared" si="2"/>
        <v>96736.500000000713</v>
      </c>
      <c r="D38" s="194">
        <f t="shared" si="2"/>
        <v>42879.156000000017</v>
      </c>
      <c r="E38" s="194">
        <f t="shared" si="2"/>
        <v>336974.64062500378</v>
      </c>
      <c r="F38" s="194">
        <f t="shared" si="2"/>
        <v>23880.99999999992</v>
      </c>
      <c r="G38" s="194">
        <f t="shared" si="2"/>
        <v>35749.000000000204</v>
      </c>
      <c r="H38" s="194">
        <f t="shared" si="2"/>
        <v>76827</v>
      </c>
      <c r="I38" s="194">
        <f t="shared" si="2"/>
        <v>113345.75000000127</v>
      </c>
      <c r="J38" s="194">
        <f t="shared" si="2"/>
        <v>17968.000000000149</v>
      </c>
      <c r="K38" s="194">
        <f t="shared" si="2"/>
        <v>30498.499999999811</v>
      </c>
    </row>
    <row r="39" spans="1:11" x14ac:dyDescent="0.3">
      <c r="A39">
        <v>3</v>
      </c>
      <c r="B39" s="194">
        <f t="shared" ref="B39:K39" si="3">SUM(B4,B24)</f>
        <v>107805.3015170677</v>
      </c>
      <c r="C39" s="194">
        <f t="shared" si="3"/>
        <v>105933.41213653515</v>
      </c>
      <c r="D39" s="194">
        <f t="shared" si="3"/>
        <v>46676.156000000017</v>
      </c>
      <c r="E39" s="194">
        <f t="shared" si="3"/>
        <v>356579.62107893819</v>
      </c>
      <c r="F39" s="194">
        <f t="shared" si="3"/>
        <v>26970.201011377932</v>
      </c>
      <c r="G39" s="194">
        <f t="shared" si="3"/>
        <v>35824.134639696844</v>
      </c>
      <c r="H39" s="194">
        <f t="shared" si="3"/>
        <v>86979.874999999185</v>
      </c>
      <c r="I39" s="194">
        <f t="shared" si="3"/>
        <v>115561.12389380456</v>
      </c>
      <c r="J39" s="194">
        <f t="shared" si="3"/>
        <v>19346.955436157001</v>
      </c>
      <c r="K39" s="194">
        <f t="shared" si="3"/>
        <v>33840.052149177951</v>
      </c>
    </row>
    <row r="40" spans="1:11" x14ac:dyDescent="0.3">
      <c r="A40">
        <v>4</v>
      </c>
      <c r="B40" s="194">
        <f t="shared" ref="B40:K40" si="4">SUM(B5,B25)</f>
        <v>104656.69848293414</v>
      </c>
      <c r="C40" s="194">
        <f t="shared" si="4"/>
        <v>107979.58786346499</v>
      </c>
      <c r="D40" s="194">
        <f t="shared" si="4"/>
        <v>78455.375</v>
      </c>
      <c r="E40" s="194">
        <f t="shared" si="4"/>
        <v>339422.14063981816</v>
      </c>
      <c r="F40" s="194">
        <f t="shared" si="4"/>
        <v>30375.7989886219</v>
      </c>
      <c r="G40" s="194">
        <f t="shared" si="4"/>
        <v>36180.365360303258</v>
      </c>
      <c r="H40" s="194">
        <f t="shared" si="4"/>
        <v>102450.74999999983</v>
      </c>
      <c r="I40" s="194">
        <f t="shared" si="4"/>
        <v>113405.12610619432</v>
      </c>
      <c r="J40" s="194">
        <f t="shared" si="4"/>
        <v>18978.169563843039</v>
      </c>
      <c r="K40" s="194">
        <f t="shared" si="4"/>
        <v>33463.19785082194</v>
      </c>
    </row>
    <row r="41" spans="1:11" x14ac:dyDescent="0.3">
      <c r="A41">
        <v>5</v>
      </c>
      <c r="B41" s="194">
        <f t="shared" ref="B41:K41" si="5">SUM(B6,B26)</f>
        <v>104333.00000000132</v>
      </c>
      <c r="C41" s="194">
        <f t="shared" si="5"/>
        <v>116106.99999999907</v>
      </c>
      <c r="D41" s="194">
        <f t="shared" si="5"/>
        <v>21041</v>
      </c>
      <c r="E41" s="194">
        <f t="shared" si="5"/>
        <v>345834.14062499721</v>
      </c>
      <c r="F41" s="194">
        <f t="shared" si="5"/>
        <v>29585.499999999894</v>
      </c>
      <c r="G41" s="194">
        <f t="shared" si="5"/>
        <v>35503.499999999869</v>
      </c>
      <c r="H41" s="194">
        <f t="shared" si="5"/>
        <v>97976.999999999112</v>
      </c>
      <c r="I41" s="194">
        <f t="shared" si="5"/>
        <v>114789.50000000061</v>
      </c>
      <c r="J41" s="194">
        <f t="shared" si="5"/>
        <v>19768.12500000016</v>
      </c>
      <c r="K41" s="194">
        <f t="shared" si="5"/>
        <v>32042.49999999992</v>
      </c>
    </row>
    <row r="42" spans="1:11" x14ac:dyDescent="0.3">
      <c r="A42">
        <v>6</v>
      </c>
      <c r="B42" s="194">
        <f t="shared" ref="B42:K42" si="6">SUM(B7,B27)</f>
        <v>76884.571428572628</v>
      </c>
      <c r="C42" s="194">
        <f t="shared" si="6"/>
        <v>120264.46341463484</v>
      </c>
      <c r="D42" s="194">
        <f t="shared" si="6"/>
        <v>60724.100999999966</v>
      </c>
      <c r="E42" s="194">
        <f t="shared" si="6"/>
        <v>324894.40148627938</v>
      </c>
      <c r="F42" s="194">
        <f t="shared" si="6"/>
        <v>28948.109756097641</v>
      </c>
      <c r="G42" s="194">
        <f t="shared" si="6"/>
        <v>32747.571428571471</v>
      </c>
      <c r="H42" s="194">
        <f t="shared" si="6"/>
        <v>101428.75000000012</v>
      </c>
      <c r="I42" s="194">
        <f t="shared" si="6"/>
        <v>106044.35714285707</v>
      </c>
      <c r="J42" s="194">
        <f t="shared" si="6"/>
        <v>18130.59756097573</v>
      </c>
      <c r="K42" s="194">
        <f t="shared" si="6"/>
        <v>30012.07142857134</v>
      </c>
    </row>
    <row r="43" spans="1:11" x14ac:dyDescent="0.3">
      <c r="A43">
        <v>7</v>
      </c>
      <c r="B43" s="194">
        <f t="shared" ref="B43:K43" si="7">SUM(B8,B28)</f>
        <v>70571.428571427503</v>
      </c>
      <c r="C43" s="194">
        <f t="shared" si="7"/>
        <v>120514.53658536615</v>
      </c>
      <c r="D43" s="194">
        <f t="shared" si="7"/>
        <v>89848.156000000017</v>
      </c>
      <c r="E43" s="194">
        <f t="shared" si="7"/>
        <v>342248.52820121712</v>
      </c>
      <c r="F43" s="194">
        <f t="shared" si="7"/>
        <v>30926.890243902333</v>
      </c>
      <c r="G43" s="194">
        <f t="shared" si="7"/>
        <v>33376.928571428551</v>
      </c>
      <c r="H43" s="194">
        <f t="shared" si="7"/>
        <v>105617.00000000064</v>
      </c>
      <c r="I43" s="194">
        <f t="shared" si="7"/>
        <v>113135.14285714272</v>
      </c>
      <c r="J43" s="194">
        <f t="shared" si="7"/>
        <v>18982.55720092911</v>
      </c>
      <c r="K43" s="194">
        <f t="shared" si="7"/>
        <v>31897.428571428569</v>
      </c>
    </row>
    <row r="44" spans="1:11" x14ac:dyDescent="0.3">
      <c r="A44">
        <v>8</v>
      </c>
      <c r="B44" s="194">
        <f t="shared" ref="B44:K44" si="8">SUM(B9,B29)</f>
        <v>55735.557142857811</v>
      </c>
      <c r="C44" s="194">
        <f t="shared" si="8"/>
        <v>114224.00000000049</v>
      </c>
      <c r="D44" s="194">
        <f t="shared" si="8"/>
        <v>73592.625</v>
      </c>
      <c r="E44" s="194">
        <f t="shared" si="8"/>
        <v>325690.08928571618</v>
      </c>
      <c r="F44" s="194">
        <f t="shared" si="8"/>
        <v>29393.350000000071</v>
      </c>
      <c r="G44" s="194">
        <f t="shared" si="8"/>
        <v>33407.842857143012</v>
      </c>
      <c r="H44" s="194">
        <f t="shared" si="8"/>
        <v>100120.99999999948</v>
      </c>
      <c r="I44" s="194">
        <f t="shared" si="8"/>
        <v>120413.54999999993</v>
      </c>
      <c r="J44" s="194">
        <f t="shared" si="8"/>
        <v>19745.977591036572</v>
      </c>
      <c r="K44" s="194">
        <f t="shared" si="8"/>
        <v>34108.349999999969</v>
      </c>
    </row>
    <row r="45" spans="1:11" x14ac:dyDescent="0.3">
      <c r="A45">
        <v>9</v>
      </c>
      <c r="B45" s="194">
        <f t="shared" ref="B45:K45" si="9">SUM(B10,B30)</f>
        <v>57098.514285714868</v>
      </c>
      <c r="C45" s="194">
        <f t="shared" si="9"/>
        <v>114124.96296296161</v>
      </c>
      <c r="D45" s="194">
        <f t="shared" si="9"/>
        <v>83858.312999999966</v>
      </c>
      <c r="E45" s="194">
        <f t="shared" si="9"/>
        <v>311702.09126984171</v>
      </c>
      <c r="F45" s="194">
        <f t="shared" si="9"/>
        <v>26233.06071428569</v>
      </c>
      <c r="G45" s="194">
        <f t="shared" si="9"/>
        <v>36764.050000000178</v>
      </c>
      <c r="H45" s="194">
        <f t="shared" si="9"/>
        <v>87855.000000000262</v>
      </c>
      <c r="I45" s="194">
        <f t="shared" si="9"/>
        <v>108200.32500000042</v>
      </c>
      <c r="J45" s="194">
        <f t="shared" si="9"/>
        <v>19835.483718487289</v>
      </c>
      <c r="K45" s="194">
        <f t="shared" si="9"/>
        <v>33517.233333333708</v>
      </c>
    </row>
    <row r="46" spans="1:11" x14ac:dyDescent="0.3">
      <c r="A46">
        <v>10</v>
      </c>
      <c r="B46" s="194">
        <f t="shared" ref="B46:K46" si="10">SUM(B11,B31)</f>
        <v>62380.428571429147</v>
      </c>
      <c r="C46" s="194">
        <f t="shared" si="10"/>
        <v>112149.03703703595</v>
      </c>
      <c r="D46" s="194">
        <f t="shared" si="10"/>
        <v>82453.437000000034</v>
      </c>
      <c r="E46" s="194">
        <f t="shared" si="10"/>
        <v>315562.74913194554</v>
      </c>
      <c r="F46" s="194">
        <f t="shared" si="10"/>
        <v>26451.33928571409</v>
      </c>
      <c r="G46" s="194">
        <f t="shared" si="10"/>
        <v>40554.10714285729</v>
      </c>
      <c r="H46" s="194">
        <f t="shared" si="10"/>
        <v>88599.000000000204</v>
      </c>
      <c r="I46" s="194">
        <f t="shared" si="10"/>
        <v>120408.62500000003</v>
      </c>
      <c r="J46" s="194">
        <f t="shared" si="10"/>
        <v>21283.75892857154</v>
      </c>
      <c r="K46" s="194">
        <f t="shared" si="10"/>
        <v>36419.666666666395</v>
      </c>
    </row>
    <row r="47" spans="1:11" x14ac:dyDescent="0.3">
      <c r="A47">
        <v>11</v>
      </c>
      <c r="B47" s="194">
        <f t="shared" ref="B47:K47" si="11">SUM(B12,B32)</f>
        <v>57216.358133669703</v>
      </c>
      <c r="C47" s="194">
        <f t="shared" si="11"/>
        <v>99933.839218157795</v>
      </c>
      <c r="D47" s="194">
        <f t="shared" si="11"/>
        <v>65173</v>
      </c>
      <c r="E47" s="194">
        <f t="shared" si="11"/>
        <v>292523.33703105233</v>
      </c>
      <c r="F47" s="194">
        <f t="shared" si="11"/>
        <v>25691.78089533417</v>
      </c>
      <c r="G47" s="194">
        <f t="shared" si="11"/>
        <v>37783.621059268393</v>
      </c>
      <c r="H47" s="194">
        <f t="shared" si="11"/>
        <v>74132.00000000064</v>
      </c>
      <c r="I47" s="194">
        <f t="shared" si="11"/>
        <v>110973.39848675868</v>
      </c>
      <c r="J47" s="194">
        <f t="shared" si="11"/>
        <v>19397.04035308964</v>
      </c>
      <c r="K47" s="194">
        <f t="shared" si="11"/>
        <v>34967.328499369614</v>
      </c>
    </row>
    <row r="48" spans="1:11" x14ac:dyDescent="0.3">
      <c r="A48">
        <v>12</v>
      </c>
      <c r="B48" s="194">
        <f t="shared" ref="B48:K48" si="12">SUM(B13,B33)</f>
        <v>49099.331521502718</v>
      </c>
      <c r="C48" s="194">
        <f t="shared" si="12"/>
        <v>96143.626299082156</v>
      </c>
      <c r="D48" s="194">
        <f t="shared" si="12"/>
        <v>65706.75</v>
      </c>
      <c r="E48" s="194">
        <f t="shared" si="12"/>
        <v>307377.61070601619</v>
      </c>
      <c r="F48" s="194">
        <f t="shared" si="12"/>
        <v>22091.848415010882</v>
      </c>
      <c r="G48" s="194">
        <f t="shared" si="12"/>
        <v>34728.085837282822</v>
      </c>
      <c r="H48" s="194">
        <f t="shared" si="12"/>
        <v>56363.280911868918</v>
      </c>
      <c r="I48" s="194">
        <f t="shared" si="12"/>
        <v>111802.53254772307</v>
      </c>
      <c r="J48" s="194">
        <f t="shared" si="12"/>
        <v>19505.592980244019</v>
      </c>
      <c r="K48" s="194">
        <f t="shared" si="12"/>
        <v>35951.964604079098</v>
      </c>
    </row>
  </sheetData>
  <mergeCells count="2">
    <mergeCell ref="A21:K21"/>
    <mergeCell ref="A35:K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8917E-52C8-4A44-BE92-D35165BE40E6}">
  <dimension ref="A1:AD106"/>
  <sheetViews>
    <sheetView zoomScaleNormal="100" workbookViewId="0">
      <pane xSplit="2" ySplit="2" topLeftCell="C3" activePane="bottomRight" state="frozen"/>
      <selection pane="topRight" activeCell="C1" sqref="C1"/>
      <selection pane="bottomLeft" activeCell="A3" sqref="A3"/>
      <selection pane="bottomRight" activeCell="F15" sqref="F15:F26"/>
    </sheetView>
  </sheetViews>
  <sheetFormatPr defaultRowHeight="14.4" x14ac:dyDescent="0.3"/>
  <cols>
    <col min="1" max="1" width="12.77734375" customWidth="1"/>
    <col min="2" max="2" width="28.33203125" customWidth="1"/>
    <col min="3" max="3" width="14" customWidth="1"/>
    <col min="4" max="4" width="12.77734375" customWidth="1"/>
    <col min="5" max="5" width="18.5546875" customWidth="1"/>
    <col min="6" max="6" width="16.5546875" customWidth="1"/>
    <col min="7" max="7" width="14" customWidth="1"/>
    <col min="8" max="8" width="15.109375" customWidth="1"/>
    <col min="9" max="9" width="17.88671875" customWidth="1"/>
    <col min="10" max="10" width="17" customWidth="1"/>
    <col min="11" max="11" width="12.77734375" customWidth="1"/>
    <col min="12" max="12" width="14.44140625" customWidth="1"/>
    <col min="13" max="21" width="12.77734375" customWidth="1"/>
    <col min="22" max="22" width="12.21875" customWidth="1"/>
    <col min="23" max="23" width="16.109375" customWidth="1"/>
    <col min="24" max="25" width="15" customWidth="1"/>
    <col min="26" max="26" width="14.44140625" customWidth="1"/>
  </cols>
  <sheetData>
    <row r="1" spans="1:22" ht="26.4" thickBot="1" x14ac:dyDescent="0.55000000000000004">
      <c r="A1" s="245"/>
      <c r="B1" s="245"/>
      <c r="C1" s="245"/>
      <c r="D1" s="245"/>
      <c r="E1" s="245"/>
      <c r="F1" s="272" t="s">
        <v>579</v>
      </c>
      <c r="G1" s="272"/>
      <c r="H1" s="272"/>
      <c r="I1" s="272"/>
      <c r="J1" s="272" t="s">
        <v>578</v>
      </c>
      <c r="K1" s="272"/>
      <c r="L1" s="272"/>
      <c r="M1" s="272"/>
      <c r="N1" s="272" t="s">
        <v>580</v>
      </c>
      <c r="O1" s="272"/>
      <c r="P1" s="272"/>
      <c r="Q1" s="272"/>
      <c r="R1" s="273" t="s">
        <v>625</v>
      </c>
      <c r="S1" s="274"/>
      <c r="T1" s="274"/>
      <c r="U1" s="275"/>
    </row>
    <row r="2" spans="1:22" x14ac:dyDescent="0.3">
      <c r="A2" s="43" t="s">
        <v>530</v>
      </c>
      <c r="B2" s="43" t="s">
        <v>1</v>
      </c>
      <c r="C2" s="44" t="s">
        <v>520</v>
      </c>
      <c r="D2" s="44" t="s">
        <v>2</v>
      </c>
      <c r="E2" s="43" t="s">
        <v>3</v>
      </c>
      <c r="F2" s="43" t="s">
        <v>4</v>
      </c>
      <c r="G2" s="43" t="s">
        <v>6</v>
      </c>
      <c r="H2" s="43" t="s">
        <v>7</v>
      </c>
      <c r="I2" s="43" t="s">
        <v>8</v>
      </c>
      <c r="J2" s="43" t="s">
        <v>588</v>
      </c>
      <c r="K2" s="43" t="s">
        <v>587</v>
      </c>
      <c r="L2" s="43" t="s">
        <v>586</v>
      </c>
      <c r="M2" s="43" t="s">
        <v>589</v>
      </c>
      <c r="N2" s="43" t="s">
        <v>590</v>
      </c>
      <c r="O2" s="43" t="s">
        <v>591</v>
      </c>
      <c r="P2" s="43" t="s">
        <v>592</v>
      </c>
      <c r="Q2" s="43" t="s">
        <v>187</v>
      </c>
      <c r="R2" s="151" t="s">
        <v>437</v>
      </c>
      <c r="S2" s="151" t="s">
        <v>439</v>
      </c>
      <c r="T2" s="151" t="s">
        <v>441</v>
      </c>
      <c r="U2" s="151" t="s">
        <v>442</v>
      </c>
      <c r="V2" s="43" t="s">
        <v>4</v>
      </c>
    </row>
    <row r="3" spans="1:22" x14ac:dyDescent="0.3">
      <c r="A3" s="3">
        <v>1</v>
      </c>
      <c r="B3" s="3" t="s">
        <v>132</v>
      </c>
      <c r="C3" s="3" t="s">
        <v>524</v>
      </c>
      <c r="D3" s="3">
        <v>960662</v>
      </c>
      <c r="E3" s="3" t="s">
        <v>134</v>
      </c>
      <c r="F3" s="206">
        <f>N$3*V3</f>
        <v>365132.59097411844</v>
      </c>
      <c r="G3" s="165"/>
      <c r="H3" s="206"/>
      <c r="I3" s="170"/>
      <c r="J3" s="165">
        <f>INDEX('BPD vs SJSU EUIs'!$J$4:$J$17, MATCH($E3, 'BPD vs SJSU EUIs'!$A$4:$A$17, 0))*$D3</f>
        <v>17963614.265385415</v>
      </c>
      <c r="K3" s="165"/>
      <c r="L3" s="165"/>
      <c r="M3" s="165"/>
      <c r="N3" s="1">
        <f>$J3/SUM($J$3:$J$26)</f>
        <v>0.96497694779601528</v>
      </c>
      <c r="O3" s="1"/>
      <c r="P3" s="1"/>
      <c r="Q3" s="1"/>
      <c r="R3" s="195">
        <f>(SUM(F3:F14)*3.412)/D3</f>
        <v>15.798215853946822</v>
      </c>
      <c r="S3" s="195"/>
      <c r="T3" s="1"/>
      <c r="U3" s="1"/>
      <c r="V3" s="4">
        <v>378384.78090909083</v>
      </c>
    </row>
    <row r="4" spans="1:22" x14ac:dyDescent="0.3">
      <c r="A4" s="3">
        <v>2</v>
      </c>
      <c r="B4" s="3" t="s">
        <v>132</v>
      </c>
      <c r="C4" s="3" t="s">
        <v>524</v>
      </c>
      <c r="D4" s="3">
        <v>960662</v>
      </c>
      <c r="E4" s="3" t="s">
        <v>134</v>
      </c>
      <c r="F4" s="206">
        <f t="shared" ref="F4:F14" si="0">N$3*V4</f>
        <v>356083.4512205231</v>
      </c>
      <c r="G4" s="165"/>
      <c r="H4" s="206"/>
      <c r="I4" s="170"/>
      <c r="J4" s="165"/>
      <c r="K4" s="165"/>
      <c r="L4" s="165"/>
      <c r="M4" s="165"/>
      <c r="N4" s="1"/>
      <c r="O4" s="1"/>
      <c r="P4" s="1"/>
      <c r="Q4" s="1"/>
      <c r="R4" s="1"/>
      <c r="S4" s="1"/>
      <c r="T4" s="1"/>
      <c r="U4" s="1"/>
      <c r="V4" s="4">
        <v>369007.20999999985</v>
      </c>
    </row>
    <row r="5" spans="1:22" x14ac:dyDescent="0.3">
      <c r="A5" s="3">
        <v>3</v>
      </c>
      <c r="B5" s="3" t="s">
        <v>132</v>
      </c>
      <c r="C5" s="3" t="s">
        <v>524</v>
      </c>
      <c r="D5" s="3">
        <v>960662</v>
      </c>
      <c r="E5" s="3" t="s">
        <v>134</v>
      </c>
      <c r="F5" s="206">
        <f t="shared" si="0"/>
        <v>377928.59291121725</v>
      </c>
      <c r="G5" s="165"/>
      <c r="H5" s="206"/>
      <c r="I5" s="170"/>
      <c r="J5" s="165"/>
      <c r="K5" s="165"/>
      <c r="L5" s="165"/>
      <c r="M5" s="165"/>
      <c r="N5" s="1"/>
      <c r="O5" s="1"/>
      <c r="P5" s="1"/>
      <c r="Q5" s="1"/>
      <c r="R5" s="1"/>
      <c r="S5" s="1"/>
      <c r="T5" s="1"/>
      <c r="U5" s="1"/>
      <c r="V5" s="4">
        <v>391645.20331226283</v>
      </c>
    </row>
    <row r="6" spans="1:22" x14ac:dyDescent="0.3">
      <c r="A6" s="3">
        <v>4</v>
      </c>
      <c r="B6" s="3" t="s">
        <v>132</v>
      </c>
      <c r="C6" s="3" t="s">
        <v>524</v>
      </c>
      <c r="D6" s="3">
        <v>960662</v>
      </c>
      <c r="E6" s="3" t="s">
        <v>134</v>
      </c>
      <c r="F6" s="206">
        <f t="shared" si="0"/>
        <v>409551.78817630885</v>
      </c>
      <c r="G6" s="165"/>
      <c r="H6" s="206"/>
      <c r="I6" s="170"/>
      <c r="J6" s="165"/>
      <c r="K6" s="165"/>
      <c r="L6" s="165"/>
      <c r="M6" s="165"/>
      <c r="N6" s="1"/>
      <c r="O6" s="1"/>
      <c r="P6" s="1"/>
      <c r="Q6" s="1"/>
      <c r="R6" s="1"/>
      <c r="S6" s="1"/>
      <c r="T6" s="1"/>
      <c r="U6" s="1"/>
      <c r="V6" s="4">
        <v>424416.13668773696</v>
      </c>
    </row>
    <row r="7" spans="1:22" x14ac:dyDescent="0.3">
      <c r="A7" s="3">
        <v>5</v>
      </c>
      <c r="B7" s="3" t="s">
        <v>132</v>
      </c>
      <c r="C7" s="3" t="s">
        <v>524</v>
      </c>
      <c r="D7" s="3">
        <v>960662</v>
      </c>
      <c r="E7" s="3" t="s">
        <v>134</v>
      </c>
      <c r="F7" s="206">
        <f t="shared" si="0"/>
        <v>402231.06130649807</v>
      </c>
      <c r="G7" s="165"/>
      <c r="H7" s="206"/>
      <c r="I7" s="170"/>
      <c r="J7" s="165"/>
      <c r="K7" s="165"/>
      <c r="L7" s="165"/>
      <c r="M7" s="165"/>
      <c r="N7" s="1"/>
      <c r="O7" s="1"/>
      <c r="P7" s="1"/>
      <c r="Q7" s="1"/>
      <c r="R7" s="1"/>
      <c r="S7" s="1"/>
      <c r="T7" s="1"/>
      <c r="U7" s="1"/>
      <c r="V7" s="4">
        <v>416829.7099999999</v>
      </c>
    </row>
    <row r="8" spans="1:22" x14ac:dyDescent="0.3">
      <c r="A8" s="3">
        <v>6</v>
      </c>
      <c r="B8" s="3" t="s">
        <v>132</v>
      </c>
      <c r="C8" s="3" t="s">
        <v>524</v>
      </c>
      <c r="D8" s="3">
        <v>960662</v>
      </c>
      <c r="E8" s="3" t="s">
        <v>134</v>
      </c>
      <c r="F8" s="206">
        <f t="shared" si="0"/>
        <v>218147.31795103959</v>
      </c>
      <c r="G8" s="165"/>
      <c r="H8" s="206"/>
      <c r="I8" s="170"/>
      <c r="J8" s="165"/>
      <c r="K8" s="165"/>
      <c r="L8" s="165"/>
      <c r="M8" s="165"/>
      <c r="N8" s="1"/>
      <c r="O8" s="1"/>
      <c r="P8" s="1"/>
      <c r="Q8" s="1"/>
      <c r="R8" s="1"/>
      <c r="S8" s="1"/>
      <c r="T8" s="1"/>
      <c r="U8" s="1"/>
      <c r="V8" s="4">
        <v>226064.79714285707</v>
      </c>
    </row>
    <row r="9" spans="1:22" x14ac:dyDescent="0.3">
      <c r="A9" s="3">
        <v>7</v>
      </c>
      <c r="B9" s="3" t="s">
        <v>132</v>
      </c>
      <c r="C9" s="3" t="s">
        <v>524</v>
      </c>
      <c r="D9" s="3">
        <v>960662</v>
      </c>
      <c r="E9" s="3" t="s">
        <v>134</v>
      </c>
      <c r="F9" s="206">
        <f t="shared" si="0"/>
        <v>319954.18631479633</v>
      </c>
      <c r="G9" s="165"/>
      <c r="H9" s="206"/>
      <c r="I9" s="170"/>
      <c r="J9" s="165"/>
      <c r="K9" s="165"/>
      <c r="L9" s="165"/>
      <c r="M9" s="165"/>
      <c r="N9" s="1"/>
      <c r="O9" s="1"/>
      <c r="P9" s="1"/>
      <c r="Q9" s="1"/>
      <c r="R9" s="1"/>
      <c r="S9" s="1"/>
      <c r="T9" s="1"/>
      <c r="U9" s="1"/>
      <c r="V9" s="4">
        <v>331566.66285714303</v>
      </c>
    </row>
    <row r="10" spans="1:22" x14ac:dyDescent="0.3">
      <c r="A10" s="3">
        <v>8</v>
      </c>
      <c r="B10" s="3" t="s">
        <v>132</v>
      </c>
      <c r="C10" s="3" t="s">
        <v>524</v>
      </c>
      <c r="D10" s="3">
        <v>960662</v>
      </c>
      <c r="E10" s="3" t="s">
        <v>134</v>
      </c>
      <c r="F10" s="206">
        <f t="shared" si="0"/>
        <v>358366.52878039167</v>
      </c>
      <c r="G10" s="165"/>
      <c r="H10" s="206"/>
      <c r="I10" s="170"/>
      <c r="J10" s="165"/>
      <c r="K10" s="165"/>
      <c r="L10" s="165"/>
      <c r="M10" s="165"/>
      <c r="N10" s="1"/>
      <c r="O10" s="1"/>
      <c r="P10" s="1"/>
      <c r="Q10" s="1"/>
      <c r="R10" s="1"/>
      <c r="S10" s="1"/>
      <c r="T10" s="1"/>
      <c r="U10" s="1"/>
      <c r="V10" s="4">
        <v>371373.14999999991</v>
      </c>
    </row>
    <row r="11" spans="1:22" x14ac:dyDescent="0.3">
      <c r="A11" s="3">
        <v>9</v>
      </c>
      <c r="B11" s="3" t="s">
        <v>132</v>
      </c>
      <c r="C11" s="3" t="s">
        <v>524</v>
      </c>
      <c r="D11" s="3">
        <v>960662</v>
      </c>
      <c r="E11" s="3" t="s">
        <v>134</v>
      </c>
      <c r="F11" s="206">
        <f t="shared" si="0"/>
        <v>416098.25288503151</v>
      </c>
      <c r="G11" s="165"/>
      <c r="H11" s="206"/>
      <c r="I11" s="170"/>
      <c r="J11" s="165"/>
      <c r="K11" s="165"/>
      <c r="L11" s="165"/>
      <c r="M11" s="165"/>
      <c r="N11" s="1"/>
      <c r="O11" s="1"/>
      <c r="P11" s="1"/>
      <c r="Q11" s="1"/>
      <c r="R11" s="1"/>
      <c r="S11" s="1"/>
      <c r="T11" s="1"/>
      <c r="U11" s="1"/>
      <c r="V11" s="4">
        <v>431200.20000000019</v>
      </c>
    </row>
    <row r="12" spans="1:22" x14ac:dyDescent="0.3">
      <c r="A12" s="3">
        <v>10</v>
      </c>
      <c r="B12" s="3" t="s">
        <v>132</v>
      </c>
      <c r="C12" s="3" t="s">
        <v>524</v>
      </c>
      <c r="D12" s="3">
        <v>960662</v>
      </c>
      <c r="E12" s="3" t="s">
        <v>134</v>
      </c>
      <c r="F12" s="206">
        <f t="shared" si="0"/>
        <v>439122.00457373651</v>
      </c>
      <c r="G12" s="165"/>
      <c r="H12" s="206"/>
      <c r="I12" s="170"/>
      <c r="J12" s="165"/>
      <c r="K12" s="165"/>
      <c r="L12" s="165"/>
      <c r="M12" s="165"/>
      <c r="N12" s="1"/>
      <c r="O12" s="1"/>
      <c r="P12" s="1"/>
      <c r="Q12" s="1"/>
      <c r="R12" s="1"/>
      <c r="S12" s="1"/>
      <c r="T12" s="1"/>
      <c r="U12" s="1"/>
      <c r="V12" s="4">
        <v>455059.57999999984</v>
      </c>
    </row>
    <row r="13" spans="1:22" x14ac:dyDescent="0.3">
      <c r="A13" s="3">
        <v>11</v>
      </c>
      <c r="B13" s="3" t="s">
        <v>132</v>
      </c>
      <c r="C13" s="3" t="s">
        <v>524</v>
      </c>
      <c r="D13" s="3">
        <v>960662</v>
      </c>
      <c r="E13" s="3" t="s">
        <v>134</v>
      </c>
      <c r="F13" s="206">
        <f t="shared" si="0"/>
        <v>403710.46241515892</v>
      </c>
      <c r="G13" s="165"/>
      <c r="H13" s="206"/>
      <c r="I13" s="170"/>
      <c r="J13" s="165"/>
      <c r="K13" s="165"/>
      <c r="L13" s="165"/>
      <c r="M13" s="165"/>
      <c r="N13" s="1"/>
      <c r="O13" s="1"/>
      <c r="P13" s="1"/>
      <c r="Q13" s="1"/>
      <c r="R13" s="1"/>
      <c r="S13" s="1"/>
      <c r="T13" s="1"/>
      <c r="U13" s="1"/>
      <c r="V13" s="4">
        <v>418362.80476670881</v>
      </c>
    </row>
    <row r="14" spans="1:22" s="69" customFormat="1" x14ac:dyDescent="0.3">
      <c r="A14" s="64">
        <v>12</v>
      </c>
      <c r="B14" s="64" t="s">
        <v>132</v>
      </c>
      <c r="C14" s="64" t="s">
        <v>524</v>
      </c>
      <c r="D14" s="64">
        <v>960662</v>
      </c>
      <c r="E14" s="64" t="s">
        <v>134</v>
      </c>
      <c r="F14" s="207">
        <f t="shared" si="0"/>
        <v>381723.48074565356</v>
      </c>
      <c r="G14" s="166"/>
      <c r="H14" s="207"/>
      <c r="I14" s="171"/>
      <c r="J14" s="166"/>
      <c r="K14" s="166"/>
      <c r="L14" s="166"/>
      <c r="M14" s="166"/>
      <c r="N14" s="66"/>
      <c r="O14" s="66"/>
      <c r="P14" s="66"/>
      <c r="Q14" s="66"/>
      <c r="R14" s="66"/>
      <c r="S14" s="66"/>
      <c r="T14" s="66"/>
      <c r="U14" s="66"/>
      <c r="V14" s="100">
        <v>395577.82350915327</v>
      </c>
    </row>
    <row r="15" spans="1:22" x14ac:dyDescent="0.3">
      <c r="A15" s="3">
        <v>1</v>
      </c>
      <c r="B15" s="3" t="s">
        <v>692</v>
      </c>
      <c r="C15" s="3" t="str">
        <f>VLOOKUP(B15,'Data availability'!$A$2:$B$91,2,FALSE)</f>
        <v>Main campus</v>
      </c>
      <c r="D15" s="3">
        <f>VLOOKUP(B15,'Data availability'!$A$2:$G$91,7,FALSE)</f>
        <v>290760</v>
      </c>
      <c r="E15" s="3" t="str">
        <f>VLOOKUP(B15,'Data availability'!$A$2:$H$91,8,FALSE)</f>
        <v>Parking</v>
      </c>
      <c r="F15" s="206">
        <f>N$15*V3</f>
        <v>13252.189934972395</v>
      </c>
      <c r="G15" s="165"/>
      <c r="H15" s="170"/>
      <c r="I15" s="170"/>
      <c r="J15" s="165">
        <f>INDEX('BPD vs SJSU EUIs'!$J$4:$J$17, MATCH($E15, 'BPD vs SJSU EUIs'!$A$4:$A$17, 0))*$D15</f>
        <v>651974.74574473489</v>
      </c>
      <c r="K15" s="165"/>
      <c r="L15" s="165"/>
      <c r="M15" s="165"/>
      <c r="N15" s="1">
        <f>$J15/SUM($J$3:$J$26)</f>
        <v>3.5023052203984682E-2</v>
      </c>
      <c r="O15" s="1"/>
      <c r="Q15" s="1"/>
      <c r="R15" s="195">
        <f>(SUM(F15:F26)*3.412)/D15</f>
        <v>1.8944408421199372</v>
      </c>
      <c r="S15" s="1"/>
      <c r="T15" s="1"/>
      <c r="U15" s="1"/>
    </row>
    <row r="16" spans="1:22" x14ac:dyDescent="0.3">
      <c r="A16" s="3">
        <v>2</v>
      </c>
      <c r="B16" s="3" t="s">
        <v>692</v>
      </c>
      <c r="C16" s="3" t="str">
        <f>VLOOKUP(B16,'Data availability'!$A$2:$B$91,2,FALSE)</f>
        <v>Main campus</v>
      </c>
      <c r="D16" s="3">
        <f>VLOOKUP(B16,'Data availability'!$A$2:$G$91,7,FALSE)</f>
        <v>290760</v>
      </c>
      <c r="E16" s="3" t="str">
        <f>VLOOKUP(B16,'Data availability'!$A$2:$H$91,8,FALSE)</f>
        <v>Parking</v>
      </c>
      <c r="F16" s="206">
        <f t="shared" ref="F16:F26" si="1">N$15*V4</f>
        <v>12923.758779476733</v>
      </c>
      <c r="G16" s="165"/>
      <c r="H16" s="170"/>
      <c r="I16" s="170"/>
      <c r="J16" s="165"/>
      <c r="K16" s="165"/>
      <c r="L16" s="165"/>
      <c r="M16" s="165"/>
      <c r="N16" s="1"/>
      <c r="O16" s="1"/>
      <c r="P16" s="1"/>
      <c r="Q16" s="1"/>
      <c r="R16" s="1"/>
      <c r="S16" s="1"/>
      <c r="T16" s="1"/>
      <c r="U16" s="1"/>
    </row>
    <row r="17" spans="1:21" x14ac:dyDescent="0.3">
      <c r="A17" s="3">
        <v>3</v>
      </c>
      <c r="B17" s="3" t="s">
        <v>692</v>
      </c>
      <c r="C17" s="3" t="str">
        <f>VLOOKUP(B17,'Data availability'!$A$2:$B$91,2,FALSE)</f>
        <v>Main campus</v>
      </c>
      <c r="D17" s="3">
        <f>VLOOKUP(B17,'Data availability'!$A$2:$G$91,7,FALSE)</f>
        <v>290760</v>
      </c>
      <c r="E17" s="3" t="str">
        <f>VLOOKUP(B17,'Data availability'!$A$2:$H$91,8,FALSE)</f>
        <v>Parking</v>
      </c>
      <c r="F17" s="206">
        <f t="shared" si="1"/>
        <v>13716.610401045577</v>
      </c>
      <c r="G17" s="165"/>
      <c r="H17" s="170"/>
      <c r="I17" s="170"/>
      <c r="J17" s="165"/>
      <c r="K17" s="165"/>
      <c r="L17" s="165"/>
      <c r="M17" s="165"/>
      <c r="N17" s="1"/>
      <c r="O17" s="1"/>
      <c r="P17" s="1"/>
      <c r="Q17" s="1"/>
      <c r="R17" s="1"/>
      <c r="S17" s="1"/>
      <c r="T17" s="1"/>
      <c r="U17" s="1"/>
    </row>
    <row r="18" spans="1:21" x14ac:dyDescent="0.3">
      <c r="A18" s="3">
        <v>4</v>
      </c>
      <c r="B18" s="3" t="s">
        <v>692</v>
      </c>
      <c r="C18" s="3" t="str">
        <f>VLOOKUP(B18,'Data availability'!$A$2:$B$91,2,FALSE)</f>
        <v>Main campus</v>
      </c>
      <c r="D18" s="3">
        <f>VLOOKUP(B18,'Data availability'!$A$2:$G$91,7,FALSE)</f>
        <v>290760</v>
      </c>
      <c r="E18" s="3" t="str">
        <f>VLOOKUP(B18,'Data availability'!$A$2:$H$91,8,FALSE)</f>
        <v>Parking</v>
      </c>
      <c r="F18" s="206">
        <f t="shared" si="1"/>
        <v>14864.34851142811</v>
      </c>
      <c r="G18" s="165"/>
      <c r="H18" s="170"/>
      <c r="I18" s="170"/>
      <c r="J18" s="165"/>
      <c r="K18" s="165"/>
      <c r="L18" s="165"/>
      <c r="M18" s="165"/>
      <c r="N18" s="1"/>
      <c r="O18" s="1"/>
      <c r="P18" s="1"/>
      <c r="Q18" s="1"/>
      <c r="R18" s="1"/>
      <c r="S18" s="1"/>
      <c r="T18" s="1"/>
      <c r="U18" s="1"/>
    </row>
    <row r="19" spans="1:21" x14ac:dyDescent="0.3">
      <c r="A19" s="3">
        <v>5</v>
      </c>
      <c r="B19" s="3" t="s">
        <v>692</v>
      </c>
      <c r="C19" s="3" t="str">
        <f>VLOOKUP(B19,'Data availability'!$A$2:$B$91,2,FALSE)</f>
        <v>Main campus</v>
      </c>
      <c r="D19" s="3">
        <f>VLOOKUP(B19,'Data availability'!$A$2:$G$91,7,FALSE)</f>
        <v>290760</v>
      </c>
      <c r="E19" s="3" t="str">
        <f>VLOOKUP(B19,'Data availability'!$A$2:$H$91,8,FALSE)</f>
        <v>Parking</v>
      </c>
      <c r="F19" s="206">
        <f t="shared" si="1"/>
        <v>14598.648693501793</v>
      </c>
      <c r="G19" s="165"/>
      <c r="H19" s="170"/>
      <c r="I19" s="170"/>
      <c r="J19" s="165"/>
      <c r="K19" s="165"/>
      <c r="L19" s="165"/>
      <c r="M19" s="165"/>
      <c r="N19" s="1"/>
      <c r="O19" s="1"/>
      <c r="P19" s="1"/>
      <c r="Q19" s="1"/>
      <c r="R19" s="1"/>
      <c r="S19" s="1"/>
      <c r="T19" s="1"/>
      <c r="U19" s="1"/>
    </row>
    <row r="20" spans="1:21" x14ac:dyDescent="0.3">
      <c r="A20" s="3">
        <v>6</v>
      </c>
      <c r="B20" s="3" t="s">
        <v>692</v>
      </c>
      <c r="C20" s="3" t="str">
        <f>VLOOKUP(B20,'Data availability'!$A$2:$B$91,2,FALSE)</f>
        <v>Main campus</v>
      </c>
      <c r="D20" s="3">
        <f>VLOOKUP(B20,'Data availability'!$A$2:$G$91,7,FALSE)</f>
        <v>290760</v>
      </c>
      <c r="E20" s="3" t="str">
        <f>VLOOKUP(B20,'Data availability'!$A$2:$H$91,8,FALSE)</f>
        <v>Parking</v>
      </c>
      <c r="F20" s="206">
        <f t="shared" si="1"/>
        <v>7917.4791918174906</v>
      </c>
      <c r="G20" s="165"/>
      <c r="H20" s="170"/>
      <c r="I20" s="170"/>
      <c r="J20" s="165"/>
      <c r="K20" s="165"/>
      <c r="L20" s="165"/>
      <c r="M20" s="165"/>
      <c r="N20" s="1"/>
      <c r="O20" s="1"/>
      <c r="P20" s="1"/>
      <c r="Q20" s="1"/>
      <c r="R20" s="1"/>
      <c r="S20" s="1"/>
      <c r="T20" s="1"/>
      <c r="U20" s="1"/>
    </row>
    <row r="21" spans="1:21" x14ac:dyDescent="0.3">
      <c r="A21" s="3">
        <v>7</v>
      </c>
      <c r="B21" s="3" t="s">
        <v>692</v>
      </c>
      <c r="C21" s="3" t="str">
        <f>VLOOKUP(B21,'Data availability'!$A$2:$B$91,2,FALSE)</f>
        <v>Main campus</v>
      </c>
      <c r="D21" s="3">
        <f>VLOOKUP(B21,'Data availability'!$A$2:$G$91,7,FALSE)</f>
        <v>290760</v>
      </c>
      <c r="E21" s="3" t="str">
        <f>VLOOKUP(B21,'Data availability'!$A$2:$H$91,8,FALSE)</f>
        <v>Parking</v>
      </c>
      <c r="F21" s="206">
        <f t="shared" si="1"/>
        <v>11612.476542346709</v>
      </c>
      <c r="G21" s="165"/>
      <c r="H21" s="170"/>
      <c r="I21" s="170"/>
      <c r="J21" s="165"/>
      <c r="K21" s="165"/>
      <c r="L21" s="165"/>
      <c r="M21" s="165"/>
      <c r="N21" s="1"/>
      <c r="O21" s="1"/>
      <c r="P21" s="1"/>
      <c r="Q21" s="1"/>
      <c r="R21" s="1"/>
      <c r="S21" s="1"/>
      <c r="T21" s="1"/>
      <c r="U21" s="1"/>
    </row>
    <row r="22" spans="1:21" x14ac:dyDescent="0.3">
      <c r="A22" s="3">
        <v>8</v>
      </c>
      <c r="B22" s="3" t="s">
        <v>692</v>
      </c>
      <c r="C22" s="3" t="str">
        <f>VLOOKUP(B22,'Data availability'!$A$2:$B$91,2,FALSE)</f>
        <v>Main campus</v>
      </c>
      <c r="D22" s="3">
        <f>VLOOKUP(B22,'Data availability'!$A$2:$G$91,7,FALSE)</f>
        <v>290760</v>
      </c>
      <c r="E22" s="3" t="str">
        <f>VLOOKUP(B22,'Data availability'!$A$2:$H$91,8,FALSE)</f>
        <v>Parking</v>
      </c>
      <c r="F22" s="206">
        <f t="shared" si="1"/>
        <v>13006.621219608231</v>
      </c>
      <c r="G22" s="165"/>
      <c r="H22" s="170"/>
      <c r="I22" s="170"/>
      <c r="J22" s="165"/>
      <c r="K22" s="165"/>
      <c r="L22" s="165"/>
      <c r="M22" s="165"/>
      <c r="N22" s="1"/>
      <c r="O22" s="1"/>
      <c r="P22" s="1"/>
      <c r="Q22" s="1"/>
      <c r="R22" s="1"/>
      <c r="S22" s="1"/>
      <c r="T22" s="1"/>
      <c r="U22" s="1"/>
    </row>
    <row r="23" spans="1:21" x14ac:dyDescent="0.3">
      <c r="A23" s="3">
        <v>9</v>
      </c>
      <c r="B23" s="3" t="s">
        <v>692</v>
      </c>
      <c r="C23" s="3" t="str">
        <f>VLOOKUP(B23,'Data availability'!$A$2:$B$91,2,FALSE)</f>
        <v>Main campus</v>
      </c>
      <c r="D23" s="3">
        <f>VLOOKUP(B23,'Data availability'!$A$2:$G$91,7,FALSE)</f>
        <v>290760</v>
      </c>
      <c r="E23" s="3" t="str">
        <f>VLOOKUP(B23,'Data availability'!$A$2:$H$91,8,FALSE)</f>
        <v>Parking</v>
      </c>
      <c r="F23" s="206">
        <f t="shared" si="1"/>
        <v>15101.947114968641</v>
      </c>
      <c r="G23" s="165"/>
      <c r="H23" s="170"/>
      <c r="I23" s="170"/>
      <c r="J23" s="165"/>
      <c r="K23" s="165"/>
      <c r="L23" s="165"/>
      <c r="M23" s="165"/>
      <c r="N23" s="1"/>
      <c r="O23" s="1"/>
      <c r="P23" s="1"/>
      <c r="Q23" s="1"/>
      <c r="R23" s="1"/>
      <c r="S23" s="1"/>
      <c r="T23" s="1"/>
      <c r="U23" s="1"/>
    </row>
    <row r="24" spans="1:21" x14ac:dyDescent="0.3">
      <c r="A24" s="3">
        <v>10</v>
      </c>
      <c r="B24" s="3" t="s">
        <v>692</v>
      </c>
      <c r="C24" s="3" t="str">
        <f>VLOOKUP(B24,'Data availability'!$A$2:$B$91,2,FALSE)</f>
        <v>Main campus</v>
      </c>
      <c r="D24" s="3">
        <f>VLOOKUP(B24,'Data availability'!$A$2:$G$91,7,FALSE)</f>
        <v>290760</v>
      </c>
      <c r="E24" s="3" t="str">
        <f>VLOOKUP(B24,'Data availability'!$A$2:$H$91,8,FALSE)</f>
        <v>Parking</v>
      </c>
      <c r="F24" s="206">
        <f t="shared" si="1"/>
        <v>15937.575426263338</v>
      </c>
      <c r="G24" s="165"/>
      <c r="H24" s="170"/>
      <c r="I24" s="170"/>
      <c r="J24" s="165"/>
      <c r="K24" s="165"/>
      <c r="L24" s="165"/>
      <c r="M24" s="165"/>
      <c r="N24" s="1"/>
      <c r="O24" s="1"/>
      <c r="P24" s="1"/>
      <c r="Q24" s="1"/>
      <c r="R24" s="1"/>
      <c r="S24" s="1"/>
      <c r="T24" s="1"/>
      <c r="U24" s="1"/>
    </row>
    <row r="25" spans="1:21" x14ac:dyDescent="0.3">
      <c r="A25" s="3">
        <v>11</v>
      </c>
      <c r="B25" s="3" t="s">
        <v>692</v>
      </c>
      <c r="C25" s="3" t="str">
        <f>VLOOKUP(B25,'Data availability'!$A$2:$B$91,2,FALSE)</f>
        <v>Main campus</v>
      </c>
      <c r="D25" s="3">
        <f>VLOOKUP(B25,'Data availability'!$A$2:$G$91,7,FALSE)</f>
        <v>290760</v>
      </c>
      <c r="E25" s="3" t="str">
        <f>VLOOKUP(B25,'Data availability'!$A$2:$H$91,8,FALSE)</f>
        <v>Parking</v>
      </c>
      <c r="F25" s="206">
        <f t="shared" si="1"/>
        <v>14652.342351549894</v>
      </c>
      <c r="G25" s="165"/>
      <c r="H25" s="170"/>
      <c r="I25" s="170"/>
      <c r="J25" s="165"/>
      <c r="K25" s="165"/>
      <c r="L25" s="165"/>
      <c r="M25" s="165"/>
      <c r="N25" s="1"/>
      <c r="O25" s="1"/>
      <c r="P25" s="1"/>
      <c r="Q25" s="1"/>
      <c r="R25" s="1"/>
      <c r="S25" s="1"/>
      <c r="T25" s="1"/>
      <c r="U25" s="1"/>
    </row>
    <row r="26" spans="1:21" s="69" customFormat="1" x14ac:dyDescent="0.3">
      <c r="A26" s="64">
        <v>12</v>
      </c>
      <c r="B26" s="64" t="s">
        <v>692</v>
      </c>
      <c r="C26" s="64" t="str">
        <f>VLOOKUP(B26,'Data availability'!$A$2:$B$91,2,FALSE)</f>
        <v>Main campus</v>
      </c>
      <c r="D26" s="64">
        <f>VLOOKUP(B26,'Data availability'!$A$2:$G$91,7,FALSE)</f>
        <v>290760</v>
      </c>
      <c r="E26" s="64" t="str">
        <f>VLOOKUP(B26,'Data availability'!$A$2:$H$91,8,FALSE)</f>
        <v>Parking</v>
      </c>
      <c r="F26" s="207">
        <f t="shared" si="1"/>
        <v>13854.342763499713</v>
      </c>
      <c r="G26" s="166"/>
      <c r="H26" s="171"/>
      <c r="I26" s="171"/>
      <c r="J26" s="166"/>
      <c r="K26" s="166"/>
      <c r="L26" s="166"/>
      <c r="M26" s="166"/>
      <c r="N26" s="66"/>
      <c r="O26" s="66"/>
      <c r="P26" s="66"/>
      <c r="Q26" s="66"/>
      <c r="R26" s="66"/>
      <c r="S26" s="66"/>
      <c r="T26" s="66"/>
      <c r="U26" s="66"/>
    </row>
    <row r="33" spans="1:30" x14ac:dyDescent="0.3">
      <c r="AC33" s="253">
        <f>SUM(AC35:AC106)</f>
        <v>1</v>
      </c>
    </row>
    <row r="34" spans="1:30" ht="60" x14ac:dyDescent="0.5">
      <c r="A34" s="254" t="s">
        <v>697</v>
      </c>
      <c r="B34" s="255"/>
      <c r="C34" s="255"/>
      <c r="D34" s="255"/>
      <c r="E34" s="255"/>
      <c r="F34" s="255"/>
      <c r="G34" s="255"/>
      <c r="H34" s="255"/>
      <c r="I34" s="255"/>
      <c r="J34" s="255"/>
      <c r="K34" s="255"/>
      <c r="L34" s="255"/>
      <c r="M34" s="255"/>
      <c r="N34" s="255"/>
      <c r="O34" s="255"/>
      <c r="P34" s="255"/>
      <c r="Q34" s="255"/>
      <c r="R34" s="255"/>
      <c r="S34" s="255"/>
      <c r="T34" s="255"/>
      <c r="U34" s="255"/>
      <c r="V34" t="s">
        <v>530</v>
      </c>
      <c r="W34" s="180" t="s">
        <v>698</v>
      </c>
      <c r="X34" s="256" t="s">
        <v>704</v>
      </c>
      <c r="Y34" s="180" t="s">
        <v>699</v>
      </c>
      <c r="Z34" s="257" t="s">
        <v>700</v>
      </c>
      <c r="AA34" s="180" t="s">
        <v>701</v>
      </c>
      <c r="AB34" s="256" t="s">
        <v>705</v>
      </c>
      <c r="AC34" t="s">
        <v>702</v>
      </c>
      <c r="AD34" s="258" t="s">
        <v>703</v>
      </c>
    </row>
    <row r="35" spans="1:30" x14ac:dyDescent="0.3">
      <c r="A35" s="3">
        <v>1</v>
      </c>
      <c r="B35" s="3" t="s">
        <v>135</v>
      </c>
      <c r="C35" s="3" t="str">
        <f>VLOOKUP(B35,'Data availability'!$A$2:$B$91,2,FALSE)</f>
        <v>South campus</v>
      </c>
      <c r="D35" s="3">
        <f>VLOOKUP(B35,'Data availability'!$A$2:$G$91,7,FALSE)</f>
        <v>11541</v>
      </c>
      <c r="E35" s="3" t="str">
        <f>VLOOKUP(B35,'Data availability'!$A$2:$H$91,8,FALSE)</f>
        <v>Outdoor Athletics</v>
      </c>
      <c r="F35" s="206"/>
      <c r="J35" s="165"/>
      <c r="K35" s="165"/>
      <c r="L35" s="165"/>
      <c r="M35" s="165"/>
      <c r="N35" s="195"/>
      <c r="O35" s="1"/>
      <c r="Q35" s="1"/>
      <c r="R35" s="195">
        <f>(SUM(AD35:AD46)*3.412)/D35</f>
        <v>165.44978454007742</v>
      </c>
      <c r="V35" s="3">
        <v>1</v>
      </c>
      <c r="W35" s="249">
        <v>38393</v>
      </c>
      <c r="X35" s="249">
        <f>SUMIFS($AB$35:$AB$106,$A$35:$A$106,V35)</f>
        <v>71999.894408601787</v>
      </c>
      <c r="Y35" s="249">
        <f>SUMIFS($AA$35:$AA$106,$A$35:$A$106,V35)</f>
        <v>71999.894408601787</v>
      </c>
      <c r="Z35" s="249">
        <f>SUM(W35,Y35)</f>
        <v>110392.89440860179</v>
      </c>
      <c r="AA35">
        <v>17200.061075268735</v>
      </c>
      <c r="AB35">
        <f>ABS(AA35)</f>
        <v>17200.061075268735</v>
      </c>
      <c r="AC35" s="253"/>
      <c r="AD35" s="194">
        <f t="shared" ref="AD35:AD46" si="2">MAX(AA35,0)+W35*$AC$46</f>
        <v>33373.051394976494</v>
      </c>
    </row>
    <row r="36" spans="1:30" x14ac:dyDescent="0.3">
      <c r="A36" s="3">
        <v>2</v>
      </c>
      <c r="B36" s="3" t="s">
        <v>135</v>
      </c>
      <c r="C36" s="3" t="str">
        <f>VLOOKUP(B36,'Data availability'!$A$2:$B$91,2,FALSE)</f>
        <v>South campus</v>
      </c>
      <c r="D36" s="3">
        <f>VLOOKUP(B36,'Data availability'!$A$2:$G$91,7,FALSE)</f>
        <v>11541</v>
      </c>
      <c r="E36" s="3" t="str">
        <f>VLOOKUP(B36,'Data availability'!$A$2:$H$91,8,FALSE)</f>
        <v>Outdoor Athletics</v>
      </c>
      <c r="F36" s="206"/>
      <c r="V36" s="3">
        <v>2</v>
      </c>
      <c r="W36" s="249">
        <v>47917</v>
      </c>
      <c r="X36" s="249">
        <f>SUMIFS($AB$35:$AB$106,$A$35:$A$106,V36)</f>
        <v>68902.624258064665</v>
      </c>
      <c r="Y36" s="249">
        <f t="shared" ref="Y36:Y46" si="3">SUMIFS($AA$35:$AA$106,$A$35:$A$106,V36)</f>
        <v>68902.624258064665</v>
      </c>
      <c r="Z36" s="249">
        <f t="shared" ref="Z36:Z46" si="4">SUM(W36,Y36)</f>
        <v>116819.62425806466</v>
      </c>
      <c r="AA36">
        <v>38549.124258064563</v>
      </c>
      <c r="AB36">
        <f t="shared" ref="AB36:AB99" si="5">ABS(AA36)</f>
        <v>38549.124258064563</v>
      </c>
      <c r="AC36" s="253"/>
      <c r="AD36" s="194">
        <f t="shared" si="2"/>
        <v>58734.084463035171</v>
      </c>
    </row>
    <row r="37" spans="1:30" x14ac:dyDescent="0.3">
      <c r="A37" s="3">
        <v>3</v>
      </c>
      <c r="B37" s="3" t="s">
        <v>135</v>
      </c>
      <c r="C37" s="3" t="str">
        <f>VLOOKUP(B37,'Data availability'!$A$2:$B$91,2,FALSE)</f>
        <v>South campus</v>
      </c>
      <c r="D37" s="3">
        <f>VLOOKUP(B37,'Data availability'!$A$2:$G$91,7,FALSE)</f>
        <v>11541</v>
      </c>
      <c r="E37" s="3" t="str">
        <f>VLOOKUP(B37,'Data availability'!$A$2:$H$91,8,FALSE)</f>
        <v>Outdoor Athletics</v>
      </c>
      <c r="F37" s="206"/>
      <c r="V37" s="3">
        <v>3</v>
      </c>
      <c r="W37" s="249">
        <v>65898</v>
      </c>
      <c r="X37" s="249">
        <f t="shared" ref="X37:X46" si="6">SUMIFS($AB$35:$AB$106,$A$35:$A$106,V37)</f>
        <v>43459.730158273058</v>
      </c>
      <c r="Y37" s="249">
        <f t="shared" si="3"/>
        <v>43459.730158273058</v>
      </c>
      <c r="Z37" s="249">
        <f t="shared" si="4"/>
        <v>109357.73015827306</v>
      </c>
      <c r="AA37">
        <v>24508.81289208596</v>
      </c>
      <c r="AB37">
        <f t="shared" si="5"/>
        <v>24508.81289208596</v>
      </c>
      <c r="AC37" s="253"/>
      <c r="AD37" s="194">
        <f t="shared" si="2"/>
        <v>52268.240810927979</v>
      </c>
    </row>
    <row r="38" spans="1:30" x14ac:dyDescent="0.3">
      <c r="A38" s="3">
        <v>4</v>
      </c>
      <c r="B38" s="3" t="s">
        <v>135</v>
      </c>
      <c r="C38" s="3" t="str">
        <f>VLOOKUP(B38,'Data availability'!$A$2:$B$91,2,FALSE)</f>
        <v>South campus</v>
      </c>
      <c r="D38" s="3">
        <f>VLOOKUP(B38,'Data availability'!$A$2:$G$91,7,FALSE)</f>
        <v>11541</v>
      </c>
      <c r="E38" s="3" t="str">
        <f>VLOOKUP(B38,'Data availability'!$A$2:$H$91,8,FALSE)</f>
        <v>Outdoor Athletics</v>
      </c>
      <c r="F38" s="206"/>
      <c r="V38" s="3">
        <v>4</v>
      </c>
      <c r="W38" s="249">
        <v>100621</v>
      </c>
      <c r="X38" s="249">
        <f t="shared" si="6"/>
        <v>7950.167477517949</v>
      </c>
      <c r="Y38" s="249">
        <f t="shared" si="3"/>
        <v>6339.7434667265898</v>
      </c>
      <c r="Z38" s="249">
        <f t="shared" si="4"/>
        <v>106960.74346672659</v>
      </c>
      <c r="AA38">
        <v>6790.3169829136359</v>
      </c>
      <c r="AB38">
        <f t="shared" si="5"/>
        <v>6790.3169829136359</v>
      </c>
      <c r="AC38" s="253"/>
      <c r="AD38" s="194">
        <f t="shared" si="2"/>
        <v>49176.753545810891</v>
      </c>
    </row>
    <row r="39" spans="1:30" x14ac:dyDescent="0.3">
      <c r="A39" s="3">
        <v>5</v>
      </c>
      <c r="B39" s="3" t="s">
        <v>135</v>
      </c>
      <c r="C39" s="3" t="str">
        <f>VLOOKUP(B39,'Data availability'!$A$2:$B$91,2,FALSE)</f>
        <v>South campus</v>
      </c>
      <c r="D39" s="3">
        <f>VLOOKUP(B39,'Data availability'!$A$2:$G$91,7,FALSE)</f>
        <v>11541</v>
      </c>
      <c r="E39" s="3" t="str">
        <f>VLOOKUP(B39,'Data availability'!$A$2:$H$91,8,FALSE)</f>
        <v>Outdoor Athletics</v>
      </c>
      <c r="F39" s="206"/>
      <c r="V39" s="3">
        <v>5</v>
      </c>
      <c r="W39" s="249">
        <v>102870</v>
      </c>
      <c r="X39" s="249">
        <f t="shared" si="6"/>
        <v>38370.19962499995</v>
      </c>
      <c r="Y39" s="249">
        <f t="shared" si="3"/>
        <v>1125.4503750000076</v>
      </c>
      <c r="Z39" s="249">
        <f t="shared" si="4"/>
        <v>103995.45037500001</v>
      </c>
      <c r="AA39">
        <v>-2175.1091008062876</v>
      </c>
      <c r="AB39">
        <f t="shared" si="5"/>
        <v>2175.1091008062876</v>
      </c>
      <c r="AC39" s="253"/>
      <c r="AD39" s="194">
        <f t="shared" si="2"/>
        <v>43333.824243699033</v>
      </c>
    </row>
    <row r="40" spans="1:30" x14ac:dyDescent="0.3">
      <c r="A40" s="3">
        <v>6</v>
      </c>
      <c r="B40" s="3" t="s">
        <v>135</v>
      </c>
      <c r="C40" s="3" t="str">
        <f>VLOOKUP(B40,'Data availability'!$A$2:$B$91,2,FALSE)</f>
        <v>South campus</v>
      </c>
      <c r="D40" s="3">
        <f>VLOOKUP(B40,'Data availability'!$A$2:$G$91,7,FALSE)</f>
        <v>11541</v>
      </c>
      <c r="E40" s="3" t="str">
        <f>VLOOKUP(B40,'Data availability'!$A$2:$H$91,8,FALSE)</f>
        <v>Outdoor Athletics</v>
      </c>
      <c r="F40" s="206"/>
      <c r="V40" s="3">
        <v>6</v>
      </c>
      <c r="W40" s="249">
        <v>111250</v>
      </c>
      <c r="X40" s="249">
        <f t="shared" si="6"/>
        <v>26251.758272727318</v>
      </c>
      <c r="Y40" s="249">
        <f t="shared" si="3"/>
        <v>-23455.158272727291</v>
      </c>
      <c r="Z40" s="249">
        <f t="shared" si="4"/>
        <v>87794.841727272709</v>
      </c>
      <c r="AA40">
        <v>-3924.3857287389865</v>
      </c>
      <c r="AB40">
        <f t="shared" si="5"/>
        <v>3924.3857287389865</v>
      </c>
      <c r="AC40" s="253"/>
      <c r="AD40" s="194">
        <f t="shared" si="2"/>
        <v>46863.885944507805</v>
      </c>
    </row>
    <row r="41" spans="1:30" x14ac:dyDescent="0.3">
      <c r="A41" s="3">
        <v>7</v>
      </c>
      <c r="B41" s="3" t="s">
        <v>135</v>
      </c>
      <c r="C41" s="3" t="str">
        <f>VLOOKUP(B41,'Data availability'!$A$2:$B$91,2,FALSE)</f>
        <v>South campus</v>
      </c>
      <c r="D41" s="3">
        <f>VLOOKUP(B41,'Data availability'!$A$2:$G$91,7,FALSE)</f>
        <v>11541</v>
      </c>
      <c r="E41" s="3" t="str">
        <f>VLOOKUP(B41,'Data availability'!$A$2:$H$91,8,FALSE)</f>
        <v>Outdoor Athletics</v>
      </c>
      <c r="F41" s="206"/>
      <c r="V41" s="3">
        <v>7</v>
      </c>
      <c r="W41" s="249">
        <v>115450</v>
      </c>
      <c r="X41" s="249">
        <f t="shared" si="6"/>
        <v>19834.858416927644</v>
      </c>
      <c r="Y41" s="249">
        <f t="shared" si="3"/>
        <v>-19834.858416927644</v>
      </c>
      <c r="Z41" s="249">
        <f t="shared" si="4"/>
        <v>95615.141583072356</v>
      </c>
      <c r="AA41">
        <v>-8.2277351094844562</v>
      </c>
      <c r="AB41">
        <f t="shared" si="5"/>
        <v>8.2277351094844562</v>
      </c>
      <c r="AC41" s="253"/>
      <c r="AD41" s="194">
        <f t="shared" si="2"/>
        <v>48633.129279042027</v>
      </c>
    </row>
    <row r="42" spans="1:30" x14ac:dyDescent="0.3">
      <c r="A42" s="3">
        <v>8</v>
      </c>
      <c r="B42" s="3" t="s">
        <v>135</v>
      </c>
      <c r="C42" s="3" t="str">
        <f>VLOOKUP(B42,'Data availability'!$A$2:$B$91,2,FALSE)</f>
        <v>South campus</v>
      </c>
      <c r="D42" s="3">
        <f>VLOOKUP(B42,'Data availability'!$A$2:$G$91,7,FALSE)</f>
        <v>11541</v>
      </c>
      <c r="E42" s="3" t="str">
        <f>VLOOKUP(B42,'Data availability'!$A$2:$H$91,8,FALSE)</f>
        <v>Outdoor Athletics</v>
      </c>
      <c r="F42" s="206"/>
      <c r="V42" s="3">
        <v>8</v>
      </c>
      <c r="W42" s="249">
        <v>92078</v>
      </c>
      <c r="X42" s="249">
        <f t="shared" si="6"/>
        <v>48221.904689655123</v>
      </c>
      <c r="Y42" s="249">
        <f t="shared" si="3"/>
        <v>48221.904689655123</v>
      </c>
      <c r="Z42" s="249">
        <f t="shared" si="4"/>
        <v>140299.90468965512</v>
      </c>
      <c r="AA42">
        <v>17968.504689655114</v>
      </c>
      <c r="AB42">
        <f t="shared" si="5"/>
        <v>17968.504689655114</v>
      </c>
      <c r="AC42" s="253"/>
      <c r="AD42" s="194">
        <f t="shared" si="2"/>
        <v>56756.216060427156</v>
      </c>
    </row>
    <row r="43" spans="1:30" x14ac:dyDescent="0.3">
      <c r="A43" s="3">
        <v>9</v>
      </c>
      <c r="B43" s="3" t="s">
        <v>135</v>
      </c>
      <c r="C43" s="3" t="str">
        <f>VLOOKUP(B43,'Data availability'!$A$2:$B$91,2,FALSE)</f>
        <v>South campus</v>
      </c>
      <c r="D43" s="3">
        <f>VLOOKUP(B43,'Data availability'!$A$2:$G$91,7,FALSE)</f>
        <v>11541</v>
      </c>
      <c r="E43" s="3" t="str">
        <f>VLOOKUP(B43,'Data availability'!$A$2:$H$91,8,FALSE)</f>
        <v>Outdoor Athletics</v>
      </c>
      <c r="F43" s="206"/>
      <c r="V43" s="3">
        <v>9</v>
      </c>
      <c r="W43" s="249">
        <v>64183</v>
      </c>
      <c r="X43" s="249">
        <f t="shared" si="6"/>
        <v>62997.530999999806</v>
      </c>
      <c r="Y43" s="249">
        <f t="shared" si="3"/>
        <v>62997.530999999806</v>
      </c>
      <c r="Z43" s="249">
        <f t="shared" si="4"/>
        <v>127180.53099999981</v>
      </c>
      <c r="AA43">
        <v>21630.43099999988</v>
      </c>
      <c r="AB43">
        <f t="shared" si="5"/>
        <v>21630.43099999988</v>
      </c>
      <c r="AC43" s="253"/>
      <c r="AD43" s="194">
        <f t="shared" si="2"/>
        <v>48667.417890573764</v>
      </c>
    </row>
    <row r="44" spans="1:30" x14ac:dyDescent="0.3">
      <c r="A44" s="3">
        <v>10</v>
      </c>
      <c r="B44" s="3" t="s">
        <v>135</v>
      </c>
      <c r="C44" s="3" t="str">
        <f>VLOOKUP(B44,'Data availability'!$A$2:$B$91,2,FALSE)</f>
        <v>South campus</v>
      </c>
      <c r="D44" s="3">
        <f>VLOOKUP(B44,'Data availability'!$A$2:$G$91,7,FALSE)</f>
        <v>11541</v>
      </c>
      <c r="E44" s="3" t="str">
        <f>VLOOKUP(B44,'Data availability'!$A$2:$H$91,8,FALSE)</f>
        <v>Outdoor Athletics</v>
      </c>
      <c r="F44" s="206"/>
      <c r="V44" s="3">
        <v>10</v>
      </c>
      <c r="W44" s="249">
        <v>61039</v>
      </c>
      <c r="X44" s="249">
        <f t="shared" si="6"/>
        <v>63112.70479913929</v>
      </c>
      <c r="Y44" s="249">
        <f t="shared" si="3"/>
        <v>63112.70479913929</v>
      </c>
      <c r="Z44" s="249">
        <f t="shared" si="4"/>
        <v>124151.70479913929</v>
      </c>
      <c r="AA44">
        <v>22556.451571018886</v>
      </c>
      <c r="AB44">
        <f t="shared" si="5"/>
        <v>22556.451571018886</v>
      </c>
      <c r="AC44" s="253"/>
      <c r="AD44" s="194">
        <f t="shared" si="2"/>
        <v>48269.033451170006</v>
      </c>
    </row>
    <row r="45" spans="1:30" x14ac:dyDescent="0.3">
      <c r="A45" s="3">
        <v>11</v>
      </c>
      <c r="B45" s="3" t="s">
        <v>135</v>
      </c>
      <c r="C45" s="3" t="str">
        <f>VLOOKUP(B45,'Data availability'!$A$2:$B$91,2,FALSE)</f>
        <v>South campus</v>
      </c>
      <c r="D45" s="3">
        <f>VLOOKUP(B45,'Data availability'!$A$2:$G$91,7,FALSE)</f>
        <v>11541</v>
      </c>
      <c r="E45" s="3" t="str">
        <f>VLOOKUP(B45,'Data availability'!$A$2:$H$91,8,FALSE)</f>
        <v>Outdoor Athletics</v>
      </c>
      <c r="F45" s="206"/>
      <c r="V45" s="3">
        <v>11</v>
      </c>
      <c r="W45" s="249">
        <v>42635</v>
      </c>
      <c r="X45" s="249">
        <f t="shared" si="6"/>
        <v>62444.836329893173</v>
      </c>
      <c r="Y45" s="249">
        <f t="shared" si="3"/>
        <v>62444.836329893173</v>
      </c>
      <c r="Z45" s="249">
        <f t="shared" si="4"/>
        <v>105079.83632989318</v>
      </c>
      <c r="AA45">
        <v>23440.396009626569</v>
      </c>
      <c r="AB45">
        <f t="shared" si="5"/>
        <v>23440.396009626569</v>
      </c>
      <c r="AC45" s="253"/>
      <c r="AD45" s="194">
        <f t="shared" si="2"/>
        <v>41400.322097213895</v>
      </c>
    </row>
    <row r="46" spans="1:30" x14ac:dyDescent="0.3">
      <c r="A46" s="64">
        <v>12</v>
      </c>
      <c r="B46" s="64" t="s">
        <v>135</v>
      </c>
      <c r="C46" s="3" t="str">
        <f>VLOOKUP(B46,'Data availability'!$A$2:$B$91,2,FALSE)</f>
        <v>South campus</v>
      </c>
      <c r="D46" s="3">
        <f>VLOOKUP(B46,'Data availability'!$A$2:$G$91,7,FALSE)</f>
        <v>11541</v>
      </c>
      <c r="E46" s="3" t="str">
        <f>VLOOKUP(B46,'Data availability'!$A$2:$H$91,8,FALSE)</f>
        <v>Outdoor Athletics</v>
      </c>
      <c r="F46" s="206"/>
      <c r="V46" s="64">
        <v>12</v>
      </c>
      <c r="W46" s="249">
        <v>31066</v>
      </c>
      <c r="X46" s="249">
        <f t="shared" si="6"/>
        <v>55288.908387096621</v>
      </c>
      <c r="Y46" s="249">
        <f t="shared" si="3"/>
        <v>55288.908387096621</v>
      </c>
      <c r="Z46" s="249">
        <f t="shared" si="4"/>
        <v>86354.908387096628</v>
      </c>
      <c r="AA46">
        <v>19067.069677419095</v>
      </c>
      <c r="AB46">
        <f t="shared" si="5"/>
        <v>19067.069677419095</v>
      </c>
      <c r="AC46" s="253">
        <f>SUM(AA35:AA46)/SUM($Y$35:$Y$46)</f>
        <v>0.42124841298433979</v>
      </c>
      <c r="AD46" s="194">
        <f t="shared" si="2"/>
        <v>32153.572875190595</v>
      </c>
    </row>
    <row r="47" spans="1:30" x14ac:dyDescent="0.3">
      <c r="A47" s="3">
        <v>1</v>
      </c>
      <c r="B47" s="22" t="s">
        <v>152</v>
      </c>
      <c r="C47" s="3" t="str">
        <f>VLOOKUP(B47,'Data availability'!$A$2:$B$91,2,FALSE)</f>
        <v>South campus</v>
      </c>
      <c r="D47" s="3">
        <f>VLOOKUP(B47,'Data availability'!$A$2:$G$91,7,FALSE)</f>
        <v>15667</v>
      </c>
      <c r="E47" s="3" t="str">
        <f>VLOOKUP(B47,'Data availability'!$A$2:$H$91,8,FALSE)</f>
        <v>Athletics</v>
      </c>
      <c r="F47" s="206"/>
      <c r="J47" s="165"/>
      <c r="K47" s="165"/>
      <c r="L47" s="165"/>
      <c r="M47" s="165"/>
      <c r="N47" s="195"/>
      <c r="O47" s="1"/>
      <c r="Q47" s="1"/>
      <c r="R47" s="195">
        <f>(SUM(AD47:AD58)*3.412)/D47</f>
        <v>27.070364182635377</v>
      </c>
      <c r="AA47">
        <v>5483.2311827957737</v>
      </c>
      <c r="AB47">
        <f t="shared" si="5"/>
        <v>5483.2311827957737</v>
      </c>
      <c r="AC47" s="253"/>
      <c r="AD47" s="194">
        <f t="shared" ref="AD47:AD58" si="7">MAX(AA47,0)+W35*$AC$58</f>
        <v>8729.5697494863998</v>
      </c>
    </row>
    <row r="48" spans="1:30" x14ac:dyDescent="0.3">
      <c r="A48" s="3">
        <v>2</v>
      </c>
      <c r="B48" s="3" t="s">
        <v>152</v>
      </c>
      <c r="C48" s="3" t="str">
        <f>VLOOKUP(B48,'Data availability'!$A$2:$B$91,2,FALSE)</f>
        <v>South campus</v>
      </c>
      <c r="D48" s="3">
        <f>VLOOKUP(B48,'Data availability'!$A$2:$G$91,7,FALSE)</f>
        <v>15667</v>
      </c>
      <c r="E48" s="3" t="str">
        <f>VLOOKUP(B48,'Data availability'!$A$2:$H$91,8,FALSE)</f>
        <v>Athletics</v>
      </c>
      <c r="F48" s="206"/>
      <c r="AA48">
        <v>4382.2688172043072</v>
      </c>
      <c r="AB48">
        <f t="shared" si="5"/>
        <v>4382.2688172043072</v>
      </c>
      <c r="AC48" s="253"/>
      <c r="AD48" s="194">
        <f t="shared" si="7"/>
        <v>8433.9137811330111</v>
      </c>
    </row>
    <row r="49" spans="1:30" x14ac:dyDescent="0.3">
      <c r="A49" s="3">
        <v>3</v>
      </c>
      <c r="B49" s="3" t="s">
        <v>152</v>
      </c>
      <c r="C49" s="3" t="str">
        <f>VLOOKUP(B49,'Data availability'!$A$2:$B$91,2,FALSE)</f>
        <v>South campus</v>
      </c>
      <c r="D49" s="3">
        <f>VLOOKUP(B49,'Data availability'!$A$2:$G$91,7,FALSE)</f>
        <v>15667</v>
      </c>
      <c r="E49" s="3" t="str">
        <f>VLOOKUP(B49,'Data availability'!$A$2:$H$91,8,FALSE)</f>
        <v>Athletics</v>
      </c>
      <c r="F49" s="206"/>
      <c r="AA49">
        <v>3852.7242206235055</v>
      </c>
      <c r="AB49">
        <f t="shared" si="5"/>
        <v>3852.7242206235055</v>
      </c>
      <c r="AC49" s="253"/>
      <c r="AD49" s="194">
        <f t="shared" si="7"/>
        <v>9424.7612812277548</v>
      </c>
    </row>
    <row r="50" spans="1:30" x14ac:dyDescent="0.3">
      <c r="A50" s="3">
        <v>4</v>
      </c>
      <c r="B50" s="3" t="s">
        <v>152</v>
      </c>
      <c r="C50" s="3" t="str">
        <f>VLOOKUP(B50,'Data availability'!$A$2:$B$91,2,FALSE)</f>
        <v>South campus</v>
      </c>
      <c r="D50" s="3">
        <f>VLOOKUP(B50,'Data availability'!$A$2:$G$91,7,FALSE)</f>
        <v>15667</v>
      </c>
      <c r="E50" s="3" t="str">
        <f>VLOOKUP(B50,'Data availability'!$A$2:$H$91,8,FALSE)</f>
        <v>Athletics</v>
      </c>
      <c r="F50" s="206"/>
      <c r="AA50">
        <v>83.942446043166782</v>
      </c>
      <c r="AB50">
        <f t="shared" si="5"/>
        <v>83.942446043166782</v>
      </c>
      <c r="AC50" s="253"/>
      <c r="AD50" s="194">
        <f t="shared" si="7"/>
        <v>8591.9994595346252</v>
      </c>
    </row>
    <row r="51" spans="1:30" x14ac:dyDescent="0.3">
      <c r="A51" s="3">
        <v>5</v>
      </c>
      <c r="B51" s="3" t="s">
        <v>152</v>
      </c>
      <c r="C51" s="3" t="str">
        <f>VLOOKUP(B51,'Data availability'!$A$2:$B$91,2,FALSE)</f>
        <v>South campus</v>
      </c>
      <c r="D51" s="3">
        <f>VLOOKUP(B51,'Data availability'!$A$2:$G$91,7,FALSE)</f>
        <v>15667</v>
      </c>
      <c r="E51" s="3" t="str">
        <f>VLOOKUP(B51,'Data availability'!$A$2:$H$91,8,FALSE)</f>
        <v>Athletics</v>
      </c>
      <c r="F51" s="206"/>
      <c r="AA51">
        <v>-4073.600000000059</v>
      </c>
      <c r="AB51">
        <f t="shared" si="5"/>
        <v>4073.600000000059</v>
      </c>
      <c r="AC51" s="253"/>
      <c r="AD51" s="194">
        <f t="shared" si="7"/>
        <v>8698.2222893617272</v>
      </c>
    </row>
    <row r="52" spans="1:30" x14ac:dyDescent="0.3">
      <c r="A52" s="3">
        <v>6</v>
      </c>
      <c r="B52" s="3" t="s">
        <v>152</v>
      </c>
      <c r="C52" s="3" t="str">
        <f>VLOOKUP(B52,'Data availability'!$A$2:$B$91,2,FALSE)</f>
        <v>South campus</v>
      </c>
      <c r="D52" s="3">
        <f>VLOOKUP(B52,'Data availability'!$A$2:$G$91,7,FALSE)</f>
        <v>15667</v>
      </c>
      <c r="E52" s="3" t="str">
        <f>VLOOKUP(B52,'Data availability'!$A$2:$H$91,8,FALSE)</f>
        <v>Athletics</v>
      </c>
      <c r="F52" s="206"/>
      <c r="AA52">
        <v>-5268.4909090909387</v>
      </c>
      <c r="AB52">
        <f t="shared" si="5"/>
        <v>5268.4909090909387</v>
      </c>
      <c r="AC52" s="253"/>
      <c r="AD52" s="194">
        <f t="shared" si="7"/>
        <v>9406.7972167929638</v>
      </c>
    </row>
    <row r="53" spans="1:30" x14ac:dyDescent="0.3">
      <c r="A53" s="3">
        <v>7</v>
      </c>
      <c r="B53" s="3" t="s">
        <v>152</v>
      </c>
      <c r="C53" s="3" t="str">
        <f>VLOOKUP(B53,'Data availability'!$A$2:$B$91,2,FALSE)</f>
        <v>South campus</v>
      </c>
      <c r="D53" s="3">
        <f>VLOOKUP(B53,'Data availability'!$A$2:$G$91,7,FALSE)</f>
        <v>15667</v>
      </c>
      <c r="E53" s="3" t="str">
        <f>VLOOKUP(B53,'Data availability'!$A$2:$H$91,8,FALSE)</f>
        <v>Athletics</v>
      </c>
      <c r="F53" s="206"/>
      <c r="AA53">
        <v>-3851.6677115988091</v>
      </c>
      <c r="AB53">
        <f t="shared" si="5"/>
        <v>3851.6677115988091</v>
      </c>
      <c r="AC53" s="253"/>
      <c r="AD53" s="194">
        <f t="shared" si="7"/>
        <v>9761.9302353145849</v>
      </c>
    </row>
    <row r="54" spans="1:30" x14ac:dyDescent="0.3">
      <c r="A54" s="3">
        <v>8</v>
      </c>
      <c r="B54" s="3" t="s">
        <v>152</v>
      </c>
      <c r="C54" s="3" t="str">
        <f>VLOOKUP(B54,'Data availability'!$A$2:$B$91,2,FALSE)</f>
        <v>South campus</v>
      </c>
      <c r="D54" s="3">
        <f>VLOOKUP(B54,'Data availability'!$A$2:$G$91,7,FALSE)</f>
        <v>15667</v>
      </c>
      <c r="E54" s="3" t="str">
        <f>VLOOKUP(B54,'Data availability'!$A$2:$H$91,8,FALSE)</f>
        <v>Athletics</v>
      </c>
      <c r="F54" s="206"/>
      <c r="AA54">
        <v>5290.558620689706</v>
      </c>
      <c r="AB54">
        <f t="shared" si="5"/>
        <v>5290.558620689706</v>
      </c>
      <c r="AC54" s="253"/>
      <c r="AD54" s="194">
        <f t="shared" si="7"/>
        <v>13076.258163412065</v>
      </c>
    </row>
    <row r="55" spans="1:30" x14ac:dyDescent="0.3">
      <c r="A55" s="3">
        <v>9</v>
      </c>
      <c r="B55" s="3" t="s">
        <v>152</v>
      </c>
      <c r="C55" s="3" t="str">
        <f>VLOOKUP(B55,'Data availability'!$A$2:$B$91,2,FALSE)</f>
        <v>South campus</v>
      </c>
      <c r="D55" s="3">
        <f>VLOOKUP(B55,'Data availability'!$A$2:$G$91,7,FALSE)</f>
        <v>15667</v>
      </c>
      <c r="E55" s="3" t="str">
        <f>VLOOKUP(B55,'Data availability'!$A$2:$H$91,8,FALSE)</f>
        <v>Athletics</v>
      </c>
      <c r="F55" s="206"/>
      <c r="AA55">
        <v>7645.9499999999962</v>
      </c>
      <c r="AB55">
        <f t="shared" si="5"/>
        <v>7645.9499999999962</v>
      </c>
      <c r="AC55" s="253"/>
      <c r="AD55" s="194">
        <f t="shared" si="7"/>
        <v>13072.974411374584</v>
      </c>
    </row>
    <row r="56" spans="1:30" x14ac:dyDescent="0.3">
      <c r="A56" s="3">
        <v>10</v>
      </c>
      <c r="B56" s="3" t="s">
        <v>152</v>
      </c>
      <c r="C56" s="3" t="str">
        <f>VLOOKUP(B56,'Data availability'!$A$2:$B$91,2,FALSE)</f>
        <v>South campus</v>
      </c>
      <c r="D56" s="3">
        <f>VLOOKUP(B56,'Data availability'!$A$2:$G$91,7,FALSE)</f>
        <v>15667</v>
      </c>
      <c r="E56" s="3" t="str">
        <f>VLOOKUP(B56,'Data availability'!$A$2:$H$91,8,FALSE)</f>
        <v>Athletics</v>
      </c>
      <c r="F56" s="206"/>
      <c r="AA56">
        <v>7819.3030846483543</v>
      </c>
      <c r="AB56">
        <f t="shared" si="5"/>
        <v>7819.3030846483543</v>
      </c>
      <c r="AC56" s="253"/>
      <c r="AD56" s="194">
        <f t="shared" si="7"/>
        <v>12980.485065015328</v>
      </c>
    </row>
    <row r="57" spans="1:30" x14ac:dyDescent="0.3">
      <c r="A57" s="3">
        <v>11</v>
      </c>
      <c r="B57" s="3" t="s">
        <v>152</v>
      </c>
      <c r="C57" s="3" t="str">
        <f>VLOOKUP(B57,'Data availability'!$A$2:$B$91,2,FALSE)</f>
        <v>South campus</v>
      </c>
      <c r="D57" s="3">
        <f>VLOOKUP(B57,'Data availability'!$A$2:$G$91,7,FALSE)</f>
        <v>15667</v>
      </c>
      <c r="E57" s="3" t="str">
        <f>VLOOKUP(B57,'Data availability'!$A$2:$H$91,8,FALSE)</f>
        <v>Athletics</v>
      </c>
      <c r="F57" s="206"/>
      <c r="AA57">
        <v>7894.5275605128636</v>
      </c>
      <c r="AB57">
        <f t="shared" si="5"/>
        <v>7894.5275605128636</v>
      </c>
      <c r="AC57" s="253"/>
      <c r="AD57" s="194">
        <f t="shared" si="7"/>
        <v>11499.550475910328</v>
      </c>
    </row>
    <row r="58" spans="1:30" x14ac:dyDescent="0.3">
      <c r="A58" s="64">
        <v>12</v>
      </c>
      <c r="B58" s="3" t="s">
        <v>152</v>
      </c>
      <c r="C58" s="3" t="str">
        <f>VLOOKUP(B58,'Data availability'!$A$2:$B$91,2,FALSE)</f>
        <v>South campus</v>
      </c>
      <c r="D58" s="3">
        <f>VLOOKUP(B58,'Data availability'!$A$2:$G$91,7,FALSE)</f>
        <v>15667</v>
      </c>
      <c r="E58" s="3" t="str">
        <f>VLOOKUP(B58,'Data availability'!$A$2:$H$91,8,FALSE)</f>
        <v>Athletics</v>
      </c>
      <c r="F58" s="206"/>
      <c r="AA58">
        <v>7996.6774193548945</v>
      </c>
      <c r="AB58">
        <f t="shared" si="5"/>
        <v>7996.6774193548945</v>
      </c>
      <c r="AC58" s="253">
        <f>SUM(AA47:AA58)/SUM($Y$35:$Y$46)</f>
        <v>8.4555480600386188E-2</v>
      </c>
      <c r="AD58" s="194">
        <f t="shared" si="7"/>
        <v>10623.477979686491</v>
      </c>
    </row>
    <row r="59" spans="1:30" x14ac:dyDescent="0.3">
      <c r="A59" s="3">
        <v>1</v>
      </c>
      <c r="B59" s="22" t="s">
        <v>163</v>
      </c>
      <c r="C59" s="3" t="str">
        <f>VLOOKUP(B59,'Data availability'!$A$2:$B$91,2,FALSE)</f>
        <v>South campus</v>
      </c>
      <c r="D59" s="3">
        <f>VLOOKUP(B59,'Data availability'!$A$2:$G$91,7,FALSE)</f>
        <v>15358</v>
      </c>
      <c r="E59" s="3" t="str">
        <f>VLOOKUP(B59,'Data availability'!$A$2:$H$91,8,FALSE)</f>
        <v>Athletics</v>
      </c>
      <c r="F59" s="206"/>
      <c r="J59" s="165"/>
      <c r="K59" s="165"/>
      <c r="L59" s="165"/>
      <c r="M59" s="165"/>
      <c r="N59" s="195"/>
      <c r="O59" s="1"/>
      <c r="Q59" s="1"/>
      <c r="R59" s="195">
        <f>(SUM(AD59:AD70)*3.412)/D59</f>
        <v>47.272623821460698</v>
      </c>
      <c r="AA59">
        <v>30129.526881720205</v>
      </c>
      <c r="AB59">
        <f t="shared" si="5"/>
        <v>30129.526881720205</v>
      </c>
      <c r="AC59" s="253"/>
      <c r="AD59" s="194">
        <f t="shared" ref="AD59:AD70" si="8">MAX(AA59,0)+W35*$AC$70</f>
        <v>36004.670127718804</v>
      </c>
    </row>
    <row r="60" spans="1:30" x14ac:dyDescent="0.3">
      <c r="A60" s="3">
        <v>2</v>
      </c>
      <c r="B60" s="3" t="s">
        <v>163</v>
      </c>
      <c r="C60" s="3" t="str">
        <f>VLOOKUP(B60,'Data availability'!$A$2:$B$91,2,FALSE)</f>
        <v>South campus</v>
      </c>
      <c r="D60" s="3">
        <f>VLOOKUP(B60,'Data availability'!$A$2:$G$91,7,FALSE)</f>
        <v>15358</v>
      </c>
      <c r="E60" s="3" t="str">
        <f>VLOOKUP(B60,'Data availability'!$A$2:$H$91,8,FALSE)</f>
        <v>Athletics</v>
      </c>
      <c r="F60" s="206"/>
      <c r="AA60">
        <v>10035.573118279857</v>
      </c>
      <c r="AB60">
        <f t="shared" si="5"/>
        <v>10035.573118279857</v>
      </c>
      <c r="AC60" s="253"/>
      <c r="AD60" s="194">
        <f t="shared" si="8"/>
        <v>17368.139964280821</v>
      </c>
    </row>
    <row r="61" spans="1:30" x14ac:dyDescent="0.3">
      <c r="A61" s="3">
        <v>3</v>
      </c>
      <c r="B61" s="3" t="s">
        <v>163</v>
      </c>
      <c r="C61" s="3" t="str">
        <f>VLOOKUP(B61,'Data availability'!$A$2:$B$91,2,FALSE)</f>
        <v>South campus</v>
      </c>
      <c r="D61" s="3">
        <f>VLOOKUP(B61,'Data availability'!$A$2:$G$91,7,FALSE)</f>
        <v>15358</v>
      </c>
      <c r="E61" s="3" t="str">
        <f>VLOOKUP(B61,'Data availability'!$A$2:$H$91,8,FALSE)</f>
        <v>Athletics</v>
      </c>
      <c r="F61" s="206"/>
      <c r="AA61">
        <v>3033.2405275779302</v>
      </c>
      <c r="AB61">
        <f t="shared" si="5"/>
        <v>3033.2405275779302</v>
      </c>
      <c r="AC61" s="253"/>
      <c r="AD61" s="194">
        <f t="shared" si="8"/>
        <v>13117.375386141102</v>
      </c>
    </row>
    <row r="62" spans="1:30" x14ac:dyDescent="0.3">
      <c r="A62" s="3">
        <v>4</v>
      </c>
      <c r="B62" s="3" t="s">
        <v>163</v>
      </c>
      <c r="C62" s="3" t="str">
        <f>VLOOKUP(B62,'Data availability'!$A$2:$B$91,2,FALSE)</f>
        <v>South campus</v>
      </c>
      <c r="D62" s="3">
        <f>VLOOKUP(B62,'Data availability'!$A$2:$G$91,7,FALSE)</f>
        <v>15358</v>
      </c>
      <c r="E62" s="3" t="str">
        <f>VLOOKUP(B62,'Data availability'!$A$2:$H$91,8,FALSE)</f>
        <v>Athletics</v>
      </c>
      <c r="F62" s="206"/>
      <c r="AA62">
        <v>-26.132194244602147</v>
      </c>
      <c r="AB62">
        <f t="shared" si="5"/>
        <v>26.132194244602147</v>
      </c>
      <c r="AC62" s="253"/>
      <c r="AD62" s="194">
        <f t="shared" si="8"/>
        <v>15397.671152439907</v>
      </c>
    </row>
    <row r="63" spans="1:30" x14ac:dyDescent="0.3">
      <c r="A63" s="3">
        <v>5</v>
      </c>
      <c r="B63" s="3" t="s">
        <v>163</v>
      </c>
      <c r="C63" s="3" t="str">
        <f>VLOOKUP(B63,'Data availability'!$A$2:$B$91,2,FALSE)</f>
        <v>South campus</v>
      </c>
      <c r="D63" s="3">
        <f>VLOOKUP(B63,'Data availability'!$A$2:$G$91,7,FALSE)</f>
        <v>15358</v>
      </c>
      <c r="E63" s="3" t="str">
        <f>VLOOKUP(B63,'Data availability'!$A$2:$H$91,8,FALSE)</f>
        <v>Athletics</v>
      </c>
      <c r="F63" s="206"/>
      <c r="AA63">
        <v>-3499.6749999999715</v>
      </c>
      <c r="AB63">
        <f t="shared" si="5"/>
        <v>3499.6749999999715</v>
      </c>
      <c r="AC63" s="253"/>
      <c r="AD63" s="194">
        <f t="shared" si="8"/>
        <v>15741.827565334206</v>
      </c>
    </row>
    <row r="64" spans="1:30" x14ac:dyDescent="0.3">
      <c r="A64" s="3">
        <v>6</v>
      </c>
      <c r="B64" s="3" t="s">
        <v>163</v>
      </c>
      <c r="C64" s="3" t="str">
        <f>VLOOKUP(B64,'Data availability'!$A$2:$B$91,2,FALSE)</f>
        <v>South campus</v>
      </c>
      <c r="D64" s="3">
        <f>VLOOKUP(B64,'Data availability'!$A$2:$G$91,7,FALSE)</f>
        <v>15358</v>
      </c>
      <c r="E64" s="3" t="str">
        <f>VLOOKUP(B64,'Data availability'!$A$2:$H$91,8,FALSE)</f>
        <v>Athletics</v>
      </c>
      <c r="F64" s="206"/>
      <c r="AA64">
        <v>-4610.4727272727223</v>
      </c>
      <c r="AB64">
        <f t="shared" si="5"/>
        <v>4610.4727272727223</v>
      </c>
      <c r="AC64" s="253"/>
      <c r="AD64" s="194">
        <f t="shared" si="8"/>
        <v>17024.188943748715</v>
      </c>
    </row>
    <row r="65" spans="1:30" x14ac:dyDescent="0.3">
      <c r="A65" s="3">
        <v>7</v>
      </c>
      <c r="B65" s="3" t="s">
        <v>163</v>
      </c>
      <c r="C65" s="3" t="str">
        <f>VLOOKUP(B65,'Data availability'!$A$2:$B$91,2,FALSE)</f>
        <v>South campus</v>
      </c>
      <c r="D65" s="3">
        <f>VLOOKUP(B65,'Data availability'!$A$2:$G$91,7,FALSE)</f>
        <v>15358</v>
      </c>
      <c r="E65" s="3" t="str">
        <f>VLOOKUP(B65,'Data availability'!$A$2:$H$91,8,FALSE)</f>
        <v>Athletics</v>
      </c>
      <c r="F65" s="206"/>
      <c r="AA65">
        <v>-3568.7272727273107</v>
      </c>
      <c r="AB65">
        <f t="shared" si="5"/>
        <v>3568.7272727273107</v>
      </c>
      <c r="AC65" s="253"/>
      <c r="AD65" s="194">
        <f t="shared" si="8"/>
        <v>17666.89989713069</v>
      </c>
    </row>
    <row r="66" spans="1:30" x14ac:dyDescent="0.3">
      <c r="A66" s="3">
        <v>8</v>
      </c>
      <c r="B66" s="3" t="s">
        <v>163</v>
      </c>
      <c r="C66" s="3" t="str">
        <f>VLOOKUP(B66,'Data availability'!$A$2:$B$91,2,FALSE)</f>
        <v>South campus</v>
      </c>
      <c r="D66" s="3">
        <f>VLOOKUP(B66,'Data availability'!$A$2:$G$91,7,FALSE)</f>
        <v>15358</v>
      </c>
      <c r="E66" s="3" t="str">
        <f>VLOOKUP(B66,'Data availability'!$A$2:$H$91,8,FALSE)</f>
        <v>Athletics</v>
      </c>
      <c r="F66" s="206"/>
      <c r="AA66">
        <v>6997.9999999999254</v>
      </c>
      <c r="AB66">
        <f t="shared" si="5"/>
        <v>6997.9999999999254</v>
      </c>
      <c r="AC66" s="253"/>
      <c r="AD66" s="194">
        <f t="shared" si="8"/>
        <v>21088.366467977401</v>
      </c>
    </row>
    <row r="67" spans="1:30" x14ac:dyDescent="0.3">
      <c r="A67" s="3">
        <v>9</v>
      </c>
      <c r="B67" s="3" t="s">
        <v>163</v>
      </c>
      <c r="C67" s="3" t="str">
        <f>VLOOKUP(B67,'Data availability'!$A$2:$B$91,2,FALSE)</f>
        <v>South campus</v>
      </c>
      <c r="D67" s="3">
        <f>VLOOKUP(B67,'Data availability'!$A$2:$G$91,7,FALSE)</f>
        <v>15358</v>
      </c>
      <c r="E67" s="3" t="str">
        <f>VLOOKUP(B67,'Data availability'!$A$2:$H$91,8,FALSE)</f>
        <v>Athletics</v>
      </c>
      <c r="F67" s="206"/>
      <c r="AA67">
        <v>9177.9999999999782</v>
      </c>
      <c r="AB67">
        <f t="shared" si="5"/>
        <v>9177.9999999999782</v>
      </c>
      <c r="AC67" s="253"/>
      <c r="AD67" s="194">
        <f t="shared" si="8"/>
        <v>18999.694552598845</v>
      </c>
    </row>
    <row r="68" spans="1:30" x14ac:dyDescent="0.3">
      <c r="A68" s="3">
        <v>10</v>
      </c>
      <c r="B68" s="3" t="s">
        <v>163</v>
      </c>
      <c r="C68" s="3" t="str">
        <f>VLOOKUP(B68,'Data availability'!$A$2:$B$91,2,FALSE)</f>
        <v>South campus</v>
      </c>
      <c r="D68" s="3">
        <f>VLOOKUP(B68,'Data availability'!$A$2:$G$91,7,FALSE)</f>
        <v>15358</v>
      </c>
      <c r="E68" s="3" t="str">
        <f>VLOOKUP(B68,'Data availability'!$A$2:$H$91,8,FALSE)</f>
        <v>Athletics</v>
      </c>
      <c r="F68" s="206"/>
      <c r="AA68">
        <v>8254.2022955525044</v>
      </c>
      <c r="AB68">
        <f t="shared" si="5"/>
        <v>8254.2022955525044</v>
      </c>
      <c r="AC68" s="253"/>
      <c r="AD68" s="194">
        <f t="shared" si="8"/>
        <v>17594.781791619724</v>
      </c>
    </row>
    <row r="69" spans="1:30" x14ac:dyDescent="0.3">
      <c r="A69" s="3">
        <v>11</v>
      </c>
      <c r="B69" s="3" t="s">
        <v>163</v>
      </c>
      <c r="C69" s="3" t="str">
        <f>VLOOKUP(B69,'Data availability'!$A$2:$B$91,2,FALSE)</f>
        <v>South campus</v>
      </c>
      <c r="D69" s="3">
        <f>VLOOKUP(B69,'Data availability'!$A$2:$G$91,7,FALSE)</f>
        <v>15358</v>
      </c>
      <c r="E69" s="3" t="str">
        <f>VLOOKUP(B69,'Data availability'!$A$2:$H$91,8,FALSE)</f>
        <v>Athletics</v>
      </c>
      <c r="F69" s="206"/>
      <c r="AA69">
        <v>6416.4106076734488</v>
      </c>
      <c r="AB69">
        <f t="shared" si="5"/>
        <v>6416.4106076734488</v>
      </c>
      <c r="AC69" s="253"/>
      <c r="AD69" s="194">
        <f t="shared" si="8"/>
        <v>12940.691916587844</v>
      </c>
    </row>
    <row r="70" spans="1:30" x14ac:dyDescent="0.3">
      <c r="A70" s="64">
        <v>12</v>
      </c>
      <c r="B70" s="64" t="s">
        <v>163</v>
      </c>
      <c r="C70" s="3" t="str">
        <f>VLOOKUP(B70,'Data availability'!$A$2:$B$91,2,FALSE)</f>
        <v>South campus</v>
      </c>
      <c r="D70" s="3">
        <f>VLOOKUP(B70,'Data availability'!$A$2:$G$91,7,FALSE)</f>
        <v>15358</v>
      </c>
      <c r="E70" s="3" t="str">
        <f>VLOOKUP(B70,'Data availability'!$A$2:$H$91,8,FALSE)</f>
        <v>Athletics</v>
      </c>
      <c r="F70" s="206"/>
      <c r="AA70">
        <v>5084.0000000000136</v>
      </c>
      <c r="AB70">
        <f t="shared" si="5"/>
        <v>5084.0000000000136</v>
      </c>
      <c r="AC70" s="253">
        <f>SUM(AA59:AA70)/SUM($Y$35:$Y$46)</f>
        <v>0.15302641747189857</v>
      </c>
      <c r="AD70" s="194">
        <f t="shared" si="8"/>
        <v>9837.9186851820159</v>
      </c>
    </row>
    <row r="71" spans="1:30" x14ac:dyDescent="0.3">
      <c r="A71" s="3">
        <v>1</v>
      </c>
      <c r="B71" s="42" t="s">
        <v>169</v>
      </c>
      <c r="C71" s="3" t="str">
        <f>VLOOKUP(B71,'Data availability'!$A$2:$B$91,2,FALSE)</f>
        <v>South Campus</v>
      </c>
      <c r="D71" s="3">
        <f>VLOOKUP(B71,'Data availability'!$A$2:$G$91,7,FALSE)</f>
        <v>123650</v>
      </c>
      <c r="E71" s="3" t="str">
        <f>VLOOKUP(B71,'Data availability'!$A$2:$H$91,8,FALSE)</f>
        <v>Outdoor Athletics</v>
      </c>
      <c r="F71" s="206"/>
      <c r="J71" s="165"/>
      <c r="K71" s="165"/>
      <c r="L71" s="165"/>
      <c r="M71" s="165"/>
      <c r="N71" s="195"/>
      <c r="O71" s="1"/>
      <c r="Q71" s="1"/>
      <c r="R71" s="195">
        <f>(SUM(AD71:AD82)*3.412)/D71</f>
        <v>5.890427861865871</v>
      </c>
      <c r="AA71">
        <v>6418.8333333332776</v>
      </c>
      <c r="AB71">
        <f t="shared" si="5"/>
        <v>6418.8333333332776</v>
      </c>
      <c r="AC71" s="253"/>
      <c r="AD71" s="194">
        <f t="shared" ref="AD71:AD82" si="9">MAX(AA71,0)+W35*$AC$82</f>
        <v>12520.872371463076</v>
      </c>
    </row>
    <row r="72" spans="1:30" x14ac:dyDescent="0.3">
      <c r="A72" s="3">
        <v>2</v>
      </c>
      <c r="B72" s="6" t="s">
        <v>169</v>
      </c>
      <c r="C72" s="3" t="str">
        <f>VLOOKUP(B72,'Data availability'!$A$2:$B$91,2,FALSE)</f>
        <v>South Campus</v>
      </c>
      <c r="D72" s="3">
        <f>VLOOKUP(B72,'Data availability'!$A$2:$G$91,7,FALSE)</f>
        <v>123650</v>
      </c>
      <c r="E72" s="3" t="str">
        <f>VLOOKUP(B72,'Data availability'!$A$2:$H$91,8,FALSE)</f>
        <v>Outdoor Athletics</v>
      </c>
      <c r="F72" s="206"/>
      <c r="AA72">
        <v>5902.8333333332803</v>
      </c>
      <c r="AB72">
        <f t="shared" si="5"/>
        <v>5902.8333333332803</v>
      </c>
      <c r="AC72" s="253"/>
      <c r="AD72" s="194">
        <f t="shared" si="9"/>
        <v>13518.581115222312</v>
      </c>
    </row>
    <row r="73" spans="1:30" x14ac:dyDescent="0.3">
      <c r="A73" s="3">
        <v>3</v>
      </c>
      <c r="B73" s="6" t="s">
        <v>169</v>
      </c>
      <c r="C73" s="3" t="str">
        <f>VLOOKUP(B73,'Data availability'!$A$2:$B$91,2,FALSE)</f>
        <v>South Campus</v>
      </c>
      <c r="D73" s="3">
        <f>VLOOKUP(B73,'Data availability'!$A$2:$G$91,7,FALSE)</f>
        <v>123650</v>
      </c>
      <c r="E73" s="3" t="str">
        <f>VLOOKUP(B73,'Data availability'!$A$2:$H$91,8,FALSE)</f>
        <v>Outdoor Athletics</v>
      </c>
      <c r="F73" s="206"/>
      <c r="AA73">
        <v>4736.9868105515416</v>
      </c>
      <c r="AB73">
        <f t="shared" si="5"/>
        <v>4736.9868105515416</v>
      </c>
      <c r="AC73" s="253"/>
      <c r="AD73" s="194">
        <f t="shared" si="9"/>
        <v>15210.567112551322</v>
      </c>
    </row>
    <row r="74" spans="1:30" x14ac:dyDescent="0.3">
      <c r="A74" s="3">
        <v>4</v>
      </c>
      <c r="B74" s="6" t="s">
        <v>169</v>
      </c>
      <c r="C74" s="3" t="str">
        <f>VLOOKUP(B74,'Data availability'!$A$2:$B$91,2,FALSE)</f>
        <v>South Campus</v>
      </c>
      <c r="D74" s="3">
        <f>VLOOKUP(B74,'Data availability'!$A$2:$G$91,7,FALSE)</f>
        <v>123650</v>
      </c>
      <c r="E74" s="3" t="str">
        <f>VLOOKUP(B74,'Data availability'!$A$2:$H$91,8,FALSE)</f>
        <v>Outdoor Athletics</v>
      </c>
      <c r="F74" s="206"/>
      <c r="AA74">
        <v>-350.94514388489142</v>
      </c>
      <c r="AB74">
        <f t="shared" si="5"/>
        <v>350.94514388489142</v>
      </c>
      <c r="AC74" s="253"/>
      <c r="AD74" s="194">
        <f t="shared" si="9"/>
        <v>15992.323341641928</v>
      </c>
    </row>
    <row r="75" spans="1:30" x14ac:dyDescent="0.3">
      <c r="A75" s="3">
        <v>5</v>
      </c>
      <c r="B75" s="6" t="s">
        <v>169</v>
      </c>
      <c r="C75" s="3" t="str">
        <f>VLOOKUP(B75,'Data availability'!$A$2:$B$91,2,FALSE)</f>
        <v>South Campus</v>
      </c>
      <c r="D75" s="3">
        <f>VLOOKUP(B75,'Data availability'!$A$2:$G$91,7,FALSE)</f>
        <v>123650</v>
      </c>
      <c r="E75" s="3" t="str">
        <f>VLOOKUP(B75,'Data availability'!$A$2:$H$91,8,FALSE)</f>
        <v>Outdoor Athletics</v>
      </c>
      <c r="F75" s="206"/>
      <c r="AA75">
        <v>19747.824999999979</v>
      </c>
      <c r="AB75">
        <f t="shared" si="5"/>
        <v>19747.824999999979</v>
      </c>
      <c r="AC75" s="253"/>
      <c r="AD75" s="194">
        <f t="shared" si="9"/>
        <v>36097.595943984881</v>
      </c>
    </row>
    <row r="76" spans="1:30" x14ac:dyDescent="0.3">
      <c r="A76" s="3">
        <v>6</v>
      </c>
      <c r="B76" s="6" t="s">
        <v>169</v>
      </c>
      <c r="C76" s="3" t="str">
        <f>VLOOKUP(B76,'Data availability'!$A$2:$B$91,2,FALSE)</f>
        <v>South Campus</v>
      </c>
      <c r="D76" s="3">
        <f>VLOOKUP(B76,'Data availability'!$A$2:$G$91,7,FALSE)</f>
        <v>123650</v>
      </c>
      <c r="E76" s="3" t="str">
        <f>VLOOKUP(B76,'Data availability'!$A$2:$H$91,8,FALSE)</f>
        <v>Outdoor Athletics</v>
      </c>
      <c r="F76" s="206"/>
      <c r="AA76">
        <v>1398.3000000000141</v>
      </c>
      <c r="AB76">
        <f t="shared" si="5"/>
        <v>1398.3000000000141</v>
      </c>
      <c r="AC76" s="253"/>
      <c r="AD76" s="194">
        <f t="shared" si="9"/>
        <v>19079.956629904951</v>
      </c>
    </row>
    <row r="77" spans="1:30" x14ac:dyDescent="0.3">
      <c r="A77" s="3">
        <v>7</v>
      </c>
      <c r="B77" s="6" t="s">
        <v>169</v>
      </c>
      <c r="C77" s="3" t="str">
        <f>VLOOKUP(B77,'Data availability'!$A$2:$B$91,2,FALSE)</f>
        <v>South Campus</v>
      </c>
      <c r="D77" s="3">
        <f>VLOOKUP(B77,'Data availability'!$A$2:$G$91,7,FALSE)</f>
        <v>123650</v>
      </c>
      <c r="E77" s="3" t="str">
        <f>VLOOKUP(B77,'Data availability'!$A$2:$H$91,8,FALSE)</f>
        <v>Outdoor Athletics</v>
      </c>
      <c r="F77" s="206"/>
      <c r="AA77">
        <v>-4273.8965517240622</v>
      </c>
      <c r="AB77">
        <f t="shared" si="5"/>
        <v>4273.8965517240622</v>
      </c>
      <c r="AC77" s="253"/>
      <c r="AD77" s="194">
        <f t="shared" si="9"/>
        <v>18349.18883525865</v>
      </c>
    </row>
    <row r="78" spans="1:30" x14ac:dyDescent="0.3">
      <c r="A78" s="3">
        <v>8</v>
      </c>
      <c r="B78" s="6" t="s">
        <v>169</v>
      </c>
      <c r="C78" s="3" t="str">
        <f>VLOOKUP(B78,'Data availability'!$A$2:$B$91,2,FALSE)</f>
        <v>South Campus</v>
      </c>
      <c r="D78" s="3">
        <f>VLOOKUP(B78,'Data availability'!$A$2:$G$91,7,FALSE)</f>
        <v>123650</v>
      </c>
      <c r="E78" s="3" t="str">
        <f>VLOOKUP(B78,'Data availability'!$A$2:$H$91,8,FALSE)</f>
        <v>Outdoor Athletics</v>
      </c>
      <c r="F78" s="206"/>
      <c r="AA78">
        <v>5085.6965517241551</v>
      </c>
      <c r="AB78">
        <f t="shared" si="5"/>
        <v>5085.6965517241551</v>
      </c>
      <c r="AC78" s="253"/>
      <c r="AD78" s="194">
        <f t="shared" si="9"/>
        <v>19720.227600428756</v>
      </c>
    </row>
    <row r="79" spans="1:30" x14ac:dyDescent="0.3">
      <c r="A79" s="3">
        <v>9</v>
      </c>
      <c r="B79" s="6" t="s">
        <v>169</v>
      </c>
      <c r="C79" s="3" t="str">
        <f>VLOOKUP(B79,'Data availability'!$A$2:$B$91,2,FALSE)</f>
        <v>South Campus</v>
      </c>
      <c r="D79" s="3">
        <f>VLOOKUP(B79,'Data availability'!$A$2:$G$91,7,FALSE)</f>
        <v>123650</v>
      </c>
      <c r="E79" s="3" t="str">
        <f>VLOOKUP(B79,'Data availability'!$A$2:$H$91,8,FALSE)</f>
        <v>Outdoor Athletics</v>
      </c>
      <c r="F79" s="206"/>
      <c r="AA79">
        <v>7363.449999999928</v>
      </c>
      <c r="AB79">
        <f t="shared" si="5"/>
        <v>7363.449999999928</v>
      </c>
      <c r="AC79" s="253"/>
      <c r="AD79" s="194">
        <f t="shared" si="9"/>
        <v>17564.454651480271</v>
      </c>
    </row>
    <row r="80" spans="1:30" x14ac:dyDescent="0.3">
      <c r="A80" s="3">
        <v>10</v>
      </c>
      <c r="B80" s="6" t="s">
        <v>169</v>
      </c>
      <c r="C80" s="3" t="str">
        <f>VLOOKUP(B80,'Data availability'!$A$2:$B$91,2,FALSE)</f>
        <v>South Campus</v>
      </c>
      <c r="D80" s="3">
        <f>VLOOKUP(B80,'Data availability'!$A$2:$G$91,7,FALSE)</f>
        <v>123650</v>
      </c>
      <c r="E80" s="3" t="str">
        <f>VLOOKUP(B80,'Data availability'!$A$2:$H$91,8,FALSE)</f>
        <v>Outdoor Athletics</v>
      </c>
      <c r="F80" s="206"/>
      <c r="AA80">
        <v>7900.9479913917967</v>
      </c>
      <c r="AB80">
        <f t="shared" si="5"/>
        <v>7900.9479913917967</v>
      </c>
      <c r="AC80" s="253"/>
      <c r="AD80" s="194">
        <f t="shared" si="9"/>
        <v>17602.257106293077</v>
      </c>
    </row>
    <row r="81" spans="1:30" x14ac:dyDescent="0.3">
      <c r="A81" s="3">
        <v>11</v>
      </c>
      <c r="B81" s="6" t="s">
        <v>169</v>
      </c>
      <c r="C81" s="3" t="str">
        <f>VLOOKUP(B81,'Data availability'!$A$2:$B$91,2,FALSE)</f>
        <v>South Campus</v>
      </c>
      <c r="D81" s="3">
        <f>VLOOKUP(B81,'Data availability'!$A$2:$G$91,7,FALSE)</f>
        <v>123650</v>
      </c>
      <c r="E81" s="3" t="str">
        <f>VLOOKUP(B81,'Data availability'!$A$2:$H$91,8,FALSE)</f>
        <v>Outdoor Athletics</v>
      </c>
      <c r="F81" s="206"/>
      <c r="AA81">
        <v>8262.5439440923055</v>
      </c>
      <c r="AB81">
        <f t="shared" si="5"/>
        <v>8262.5439440923055</v>
      </c>
      <c r="AC81" s="253"/>
      <c r="AD81" s="194">
        <f t="shared" si="9"/>
        <v>15038.790509629358</v>
      </c>
    </row>
    <row r="82" spans="1:30" x14ac:dyDescent="0.3">
      <c r="A82" s="64">
        <v>12</v>
      </c>
      <c r="B82" s="6" t="s">
        <v>169</v>
      </c>
      <c r="C82" s="3" t="str">
        <f>VLOOKUP(B82,'Data availability'!$A$2:$B$91,2,FALSE)</f>
        <v>South Campus</v>
      </c>
      <c r="D82" s="3">
        <f>VLOOKUP(B82,'Data availability'!$A$2:$G$91,7,FALSE)</f>
        <v>123650</v>
      </c>
      <c r="E82" s="3" t="str">
        <f>VLOOKUP(B82,'Data availability'!$A$2:$H$91,8,FALSE)</f>
        <v>Outdoor Athletics</v>
      </c>
      <c r="F82" s="206"/>
      <c r="AA82">
        <v>7835.258064516046</v>
      </c>
      <c r="AB82">
        <f t="shared" si="5"/>
        <v>7835.258064516046</v>
      </c>
      <c r="AC82" s="253">
        <f>SUM(AA71:AA82)/SUM($Y$35:$Y$46)</f>
        <v>0.15893623936993201</v>
      </c>
      <c r="AD82" s="194">
        <f t="shared" si="9"/>
        <v>12772.771276782354</v>
      </c>
    </row>
    <row r="83" spans="1:30" x14ac:dyDescent="0.3">
      <c r="A83" s="3">
        <v>1</v>
      </c>
      <c r="B83" s="22" t="s">
        <v>339</v>
      </c>
      <c r="C83" s="3" t="str">
        <f>VLOOKUP(B83,'Data availability'!$A$2:$B$91,2,FALSE)</f>
        <v>South campus</v>
      </c>
      <c r="D83" s="3">
        <f>VLOOKUP(B83,'Data availability'!$A$2:$G$91,7,FALSE)</f>
        <v>22495</v>
      </c>
      <c r="E83" s="3" t="str">
        <f>VLOOKUP(B83,'Data availability'!$A$2:$H$91,8,FALSE)</f>
        <v>Athletics</v>
      </c>
      <c r="F83" s="206"/>
      <c r="J83" s="165"/>
      <c r="K83" s="165"/>
      <c r="L83" s="165"/>
      <c r="M83" s="165"/>
      <c r="N83" s="195"/>
      <c r="O83" s="1"/>
      <c r="Q83" s="1"/>
      <c r="R83" s="195">
        <f>(SUM(AD83:AD94)*3.412)/D83</f>
        <v>8.9423501492232784</v>
      </c>
      <c r="AA83">
        <v>3086.795698924705</v>
      </c>
      <c r="AB83">
        <f t="shared" si="5"/>
        <v>3086.795698924705</v>
      </c>
      <c r="AC83" s="253"/>
      <c r="AD83" s="194">
        <f t="shared" ref="AD83:AD94" si="10">MAX(AA83,0)+W35*$AC$94</f>
        <v>4620.5946320500307</v>
      </c>
    </row>
    <row r="84" spans="1:30" x14ac:dyDescent="0.3">
      <c r="A84" s="3">
        <v>2</v>
      </c>
      <c r="B84" s="3" t="s">
        <v>339</v>
      </c>
      <c r="C84" s="3" t="str">
        <f>VLOOKUP(B84,'Data availability'!$A$2:$B$91,2,FALSE)</f>
        <v>South campus</v>
      </c>
      <c r="D84" s="3">
        <f>VLOOKUP(B84,'Data availability'!$A$2:$G$91,7,FALSE)</f>
        <v>22495</v>
      </c>
      <c r="E84" s="3" t="str">
        <f>VLOOKUP(B84,'Data availability'!$A$2:$H$91,8,FALSE)</f>
        <v>Athletics</v>
      </c>
      <c r="F84" s="206"/>
      <c r="AA84">
        <v>2272.5709677419418</v>
      </c>
      <c r="AB84">
        <f t="shared" si="5"/>
        <v>2272.5709677419418</v>
      </c>
      <c r="AC84" s="253"/>
      <c r="AD84" s="194">
        <f t="shared" si="10"/>
        <v>4186.853349388758</v>
      </c>
    </row>
    <row r="85" spans="1:30" x14ac:dyDescent="0.3">
      <c r="A85" s="3">
        <v>3</v>
      </c>
      <c r="B85" s="3" t="s">
        <v>339</v>
      </c>
      <c r="C85" s="3" t="str">
        <f>VLOOKUP(B85,'Data availability'!$A$2:$B$91,2,FALSE)</f>
        <v>South campus</v>
      </c>
      <c r="D85" s="3">
        <f>VLOOKUP(B85,'Data availability'!$A$2:$G$91,7,FALSE)</f>
        <v>22495</v>
      </c>
      <c r="E85" s="3" t="str">
        <f>VLOOKUP(B85,'Data availability'!$A$2:$H$91,8,FALSE)</f>
        <v>Athletics</v>
      </c>
      <c r="F85" s="206"/>
      <c r="AA85">
        <v>1530.278417266192</v>
      </c>
      <c r="AB85">
        <f t="shared" si="5"/>
        <v>1530.278417266192</v>
      </c>
      <c r="AC85" s="253"/>
      <c r="AD85" s="194">
        <f t="shared" si="10"/>
        <v>4162.9010853330974</v>
      </c>
    </row>
    <row r="86" spans="1:30" x14ac:dyDescent="0.3">
      <c r="A86" s="3">
        <v>4</v>
      </c>
      <c r="B86" s="3" t="s">
        <v>339</v>
      </c>
      <c r="C86" s="3" t="str">
        <f>VLOOKUP(B86,'Data availability'!$A$2:$B$91,2,FALSE)</f>
        <v>South campus</v>
      </c>
      <c r="D86" s="3">
        <f>VLOOKUP(B86,'Data availability'!$A$2:$G$91,7,FALSE)</f>
        <v>22495</v>
      </c>
      <c r="E86" s="3" t="str">
        <f>VLOOKUP(B86,'Data availability'!$A$2:$H$91,8,FALSE)</f>
        <v>Athletics</v>
      </c>
      <c r="F86" s="206"/>
      <c r="AA86">
        <v>-428.13466726618668</v>
      </c>
      <c r="AB86">
        <f t="shared" si="5"/>
        <v>428.13466726618668</v>
      </c>
      <c r="AC86" s="253"/>
      <c r="AD86" s="194">
        <f t="shared" si="10"/>
        <v>4019.8052366317661</v>
      </c>
    </row>
    <row r="87" spans="1:30" x14ac:dyDescent="0.3">
      <c r="A87" s="3">
        <v>5</v>
      </c>
      <c r="B87" s="3" t="s">
        <v>339</v>
      </c>
      <c r="C87" s="3" t="str">
        <f>VLOOKUP(B87,'Data availability'!$A$2:$B$91,2,FALSE)</f>
        <v>South campus</v>
      </c>
      <c r="D87" s="3">
        <f>VLOOKUP(B87,'Data availability'!$A$2:$G$91,7,FALSE)</f>
        <v>22495</v>
      </c>
      <c r="E87" s="3" t="str">
        <f>VLOOKUP(B87,'Data availability'!$A$2:$H$91,8,FALSE)</f>
        <v>Athletics</v>
      </c>
      <c r="F87" s="206"/>
      <c r="AA87">
        <v>-2094.6437500000002</v>
      </c>
      <c r="AB87">
        <f t="shared" si="5"/>
        <v>2094.6437500000002</v>
      </c>
      <c r="AC87" s="253"/>
      <c r="AD87" s="194">
        <f t="shared" si="10"/>
        <v>4109.6527036335337</v>
      </c>
    </row>
    <row r="88" spans="1:30" x14ac:dyDescent="0.3">
      <c r="A88" s="3">
        <v>6</v>
      </c>
      <c r="B88" s="3" t="s">
        <v>339</v>
      </c>
      <c r="C88" s="3" t="str">
        <f>VLOOKUP(B88,'Data availability'!$A$2:$B$91,2,FALSE)</f>
        <v>South campus</v>
      </c>
      <c r="D88" s="3">
        <f>VLOOKUP(B88,'Data availability'!$A$2:$G$91,7,FALSE)</f>
        <v>22495</v>
      </c>
      <c r="E88" s="3" t="str">
        <f>VLOOKUP(B88,'Data availability'!$A$2:$H$91,8,FALSE)</f>
        <v>Athletics</v>
      </c>
      <c r="F88" s="206"/>
      <c r="AA88">
        <v>-2325.018181818205</v>
      </c>
      <c r="AB88">
        <f t="shared" si="5"/>
        <v>2325.018181818205</v>
      </c>
      <c r="AC88" s="253"/>
      <c r="AD88" s="194">
        <f t="shared" si="10"/>
        <v>4444.4333943737784</v>
      </c>
    </row>
    <row r="89" spans="1:30" x14ac:dyDescent="0.3">
      <c r="A89" s="3">
        <v>7</v>
      </c>
      <c r="B89" s="3" t="s">
        <v>339</v>
      </c>
      <c r="C89" s="3" t="str">
        <f>VLOOKUP(B89,'Data availability'!$A$2:$B$91,2,FALSE)</f>
        <v>South campus</v>
      </c>
      <c r="D89" s="3">
        <f>VLOOKUP(B89,'Data availability'!$A$2:$G$91,7,FALSE)</f>
        <v>22495</v>
      </c>
      <c r="E89" s="3" t="str">
        <f>VLOOKUP(B89,'Data availability'!$A$2:$H$91,8,FALSE)</f>
        <v>Athletics</v>
      </c>
      <c r="F89" s="206"/>
      <c r="AA89">
        <v>-1613.9059561128299</v>
      </c>
      <c r="AB89">
        <f t="shared" si="5"/>
        <v>1613.9059561128299</v>
      </c>
      <c r="AC89" s="253"/>
      <c r="AD89" s="194">
        <f t="shared" si="10"/>
        <v>4612.2232393748563</v>
      </c>
    </row>
    <row r="90" spans="1:30" x14ac:dyDescent="0.3">
      <c r="A90" s="3">
        <v>8</v>
      </c>
      <c r="B90" s="3" t="s">
        <v>339</v>
      </c>
      <c r="C90" s="3" t="str">
        <f>VLOOKUP(B90,'Data availability'!$A$2:$B$91,2,FALSE)</f>
        <v>South campus</v>
      </c>
      <c r="D90" s="3">
        <f>VLOOKUP(B90,'Data availability'!$A$2:$G$91,7,FALSE)</f>
        <v>22495</v>
      </c>
      <c r="E90" s="3" t="str">
        <f>VLOOKUP(B90,'Data availability'!$A$2:$H$91,8,FALSE)</f>
        <v>Athletics</v>
      </c>
      <c r="F90" s="206"/>
      <c r="AA90">
        <v>2218.7241379310321</v>
      </c>
      <c r="AB90">
        <f t="shared" si="5"/>
        <v>2218.7241379310321</v>
      </c>
      <c r="AC90" s="253"/>
      <c r="AD90" s="194">
        <f t="shared" si="10"/>
        <v>5897.2368398379876</v>
      </c>
    </row>
    <row r="91" spans="1:30" x14ac:dyDescent="0.3">
      <c r="A91" s="3">
        <v>9</v>
      </c>
      <c r="B91" s="3" t="s">
        <v>339</v>
      </c>
      <c r="C91" s="3" t="str">
        <f>VLOOKUP(B91,'Data availability'!$A$2:$B$91,2,FALSE)</f>
        <v>South campus</v>
      </c>
      <c r="D91" s="3">
        <f>VLOOKUP(B91,'Data availability'!$A$2:$G$91,7,FALSE)</f>
        <v>22495</v>
      </c>
      <c r="E91" s="3" t="str">
        <f>VLOOKUP(B91,'Data availability'!$A$2:$H$91,8,FALSE)</f>
        <v>Athletics</v>
      </c>
      <c r="F91" s="206"/>
      <c r="AA91">
        <v>3322.0000000000259</v>
      </c>
      <c r="AB91">
        <f t="shared" si="5"/>
        <v>3322.0000000000259</v>
      </c>
      <c r="AC91" s="253"/>
      <c r="AD91" s="194">
        <f t="shared" si="10"/>
        <v>5886.1084813581583</v>
      </c>
    </row>
    <row r="92" spans="1:30" x14ac:dyDescent="0.3">
      <c r="A92" s="3">
        <v>10</v>
      </c>
      <c r="B92" s="3" t="s">
        <v>339</v>
      </c>
      <c r="C92" s="3" t="str">
        <f>VLOOKUP(B92,'Data availability'!$A$2:$B$91,2,FALSE)</f>
        <v>South campus</v>
      </c>
      <c r="D92" s="3">
        <f>VLOOKUP(B92,'Data availability'!$A$2:$G$91,7,FALSE)</f>
        <v>22495</v>
      </c>
      <c r="E92" s="3" t="str">
        <f>VLOOKUP(B92,'Data availability'!$A$2:$H$91,8,FALSE)</f>
        <v>Athletics</v>
      </c>
      <c r="F92" s="206"/>
      <c r="AA92">
        <v>3581.1793400287161</v>
      </c>
      <c r="AB92">
        <f t="shared" si="5"/>
        <v>3581.1793400287161</v>
      </c>
      <c r="AC92" s="253"/>
      <c r="AD92" s="194">
        <f t="shared" si="10"/>
        <v>6019.6851374146136</v>
      </c>
    </row>
    <row r="93" spans="1:30" x14ac:dyDescent="0.3">
      <c r="A93" s="3">
        <v>11</v>
      </c>
      <c r="B93" s="3" t="s">
        <v>339</v>
      </c>
      <c r="C93" s="3" t="str">
        <f>VLOOKUP(B93,'Data availability'!$A$2:$B$91,2,FALSE)</f>
        <v>South campus</v>
      </c>
      <c r="D93" s="3">
        <f>VLOOKUP(B93,'Data availability'!$A$2:$G$91,7,FALSE)</f>
        <v>22495</v>
      </c>
      <c r="E93" s="3" t="str">
        <f>VLOOKUP(B93,'Data availability'!$A$2:$H$91,8,FALSE)</f>
        <v>Athletics</v>
      </c>
      <c r="F93" s="206"/>
      <c r="AA93">
        <v>3992.0464664229421</v>
      </c>
      <c r="AB93">
        <f t="shared" si="5"/>
        <v>3992.0464664229421</v>
      </c>
      <c r="AC93" s="253"/>
      <c r="AD93" s="194">
        <f t="shared" si="10"/>
        <v>5695.3131429993555</v>
      </c>
    </row>
    <row r="94" spans="1:30" x14ac:dyDescent="0.3">
      <c r="A94" s="64">
        <v>12</v>
      </c>
      <c r="B94" s="3" t="s">
        <v>339</v>
      </c>
      <c r="C94" s="3" t="str">
        <f>VLOOKUP(B94,'Data availability'!$A$2:$B$91,2,FALSE)</f>
        <v>South campus</v>
      </c>
      <c r="D94" s="3">
        <f>VLOOKUP(B94,'Data availability'!$A$2:$G$91,7,FALSE)</f>
        <v>22495</v>
      </c>
      <c r="E94" s="3" t="str">
        <f>VLOOKUP(B94,'Data availability'!$A$2:$H$91,8,FALSE)</f>
        <v>Athletics</v>
      </c>
      <c r="F94" s="206"/>
      <c r="AA94">
        <v>4060.193548387073</v>
      </c>
      <c r="AB94">
        <f t="shared" si="5"/>
        <v>4060.193548387073</v>
      </c>
      <c r="AC94" s="253">
        <f>SUM(AA83:AA94)/SUM($Y$35:$Y$46)</f>
        <v>3.9949963095494638E-2</v>
      </c>
      <c r="AD94" s="194">
        <f t="shared" si="10"/>
        <v>5301.2791019117094</v>
      </c>
    </row>
    <row r="95" spans="1:30" x14ac:dyDescent="0.3">
      <c r="A95" s="3">
        <v>1</v>
      </c>
      <c r="B95" s="22" t="s">
        <v>175</v>
      </c>
      <c r="C95" s="3" t="str">
        <f>VLOOKUP(B95,'Data availability'!$A$2:$B$91,2,FALSE)</f>
        <v>South campus</v>
      </c>
      <c r="D95" s="3">
        <f>VLOOKUP(B95,'Data availability'!$A$2:$G$91,7,FALSE)</f>
        <v>22203</v>
      </c>
      <c r="E95" s="3" t="str">
        <f>VLOOKUP(B95,'Data availability'!$A$2:$H$91,8,FALSE)</f>
        <v>Office</v>
      </c>
      <c r="F95" s="206"/>
      <c r="G95" s="165"/>
      <c r="H95" s="170"/>
      <c r="I95" s="170"/>
      <c r="J95" s="165"/>
      <c r="K95" s="165"/>
      <c r="L95" s="165"/>
      <c r="M95" s="165"/>
      <c r="N95" s="195"/>
      <c r="O95" s="1"/>
      <c r="Q95" s="1"/>
      <c r="R95" s="195">
        <f>(SUM(AD95:AD106)*3.412)/D95</f>
        <v>32.115158874063965</v>
      </c>
      <c r="AA95" s="16">
        <v>9681.4462365590916</v>
      </c>
      <c r="AB95">
        <f t="shared" si="5"/>
        <v>9681.4462365590916</v>
      </c>
      <c r="AC95" s="253"/>
      <c r="AD95" s="194">
        <f t="shared" ref="AD95:AD106" si="11">MAX(AA95,0)+W35*$AC$106</f>
        <v>15144.13613290698</v>
      </c>
    </row>
    <row r="96" spans="1:30" x14ac:dyDescent="0.3">
      <c r="A96" s="3">
        <v>2</v>
      </c>
      <c r="B96" s="3" t="s">
        <v>175</v>
      </c>
      <c r="C96" s="3" t="str">
        <f>VLOOKUP(B96,'Data availability'!$A$2:$B$91,2,FALSE)</f>
        <v>South campus</v>
      </c>
      <c r="D96" s="3">
        <f>VLOOKUP(B96,'Data availability'!$A$2:$G$91,7,FALSE)</f>
        <v>22203</v>
      </c>
      <c r="E96" s="3" t="str">
        <f>VLOOKUP(B96,'Data availability'!$A$2:$H$91,8,FALSE)</f>
        <v>Office</v>
      </c>
      <c r="F96" s="206"/>
      <c r="G96" s="165"/>
      <c r="H96" s="170"/>
      <c r="I96" s="170"/>
      <c r="J96" s="165"/>
      <c r="K96" s="165"/>
      <c r="L96" s="165"/>
      <c r="M96" s="165"/>
      <c r="N96" s="1"/>
      <c r="O96" s="1"/>
      <c r="P96" s="1"/>
      <c r="Q96" s="1"/>
      <c r="R96" s="1"/>
      <c r="AA96" s="9">
        <v>7760.2537634407199</v>
      </c>
      <c r="AB96">
        <f t="shared" si="5"/>
        <v>7760.2537634407199</v>
      </c>
      <c r="AC96" s="253"/>
      <c r="AD96" s="194">
        <f t="shared" si="11"/>
        <v>14578.051585004594</v>
      </c>
    </row>
    <row r="97" spans="1:30" x14ac:dyDescent="0.3">
      <c r="A97" s="3">
        <v>3</v>
      </c>
      <c r="B97" s="3" t="s">
        <v>175</v>
      </c>
      <c r="C97" s="3" t="str">
        <f>VLOOKUP(B97,'Data availability'!$A$2:$B$91,2,FALSE)</f>
        <v>South campus</v>
      </c>
      <c r="D97" s="3">
        <f>VLOOKUP(B97,'Data availability'!$A$2:$G$91,7,FALSE)</f>
        <v>22203</v>
      </c>
      <c r="E97" s="3" t="str">
        <f>VLOOKUP(B97,'Data availability'!$A$2:$H$91,8,FALSE)</f>
        <v>Office</v>
      </c>
      <c r="F97" s="206"/>
      <c r="G97" s="165"/>
      <c r="H97" s="170"/>
      <c r="I97" s="170"/>
      <c r="J97" s="165"/>
      <c r="K97" s="165"/>
      <c r="L97" s="165"/>
      <c r="M97" s="165"/>
      <c r="N97" s="1"/>
      <c r="O97" s="1"/>
      <c r="P97" s="1"/>
      <c r="Q97" s="1"/>
      <c r="R97" s="1"/>
      <c r="AA97" s="9">
        <v>5797.6872901679289</v>
      </c>
      <c r="AB97">
        <f t="shared" si="5"/>
        <v>5797.6872901679289</v>
      </c>
      <c r="AC97" s="253"/>
      <c r="AD97" s="194">
        <f t="shared" si="11"/>
        <v>15173.884482091802</v>
      </c>
    </row>
    <row r="98" spans="1:30" x14ac:dyDescent="0.3">
      <c r="A98" s="3">
        <v>4</v>
      </c>
      <c r="B98" s="3" t="s">
        <v>175</v>
      </c>
      <c r="C98" s="3" t="str">
        <f>VLOOKUP(B98,'Data availability'!$A$2:$B$91,2,FALSE)</f>
        <v>South campus</v>
      </c>
      <c r="D98" s="3">
        <f>VLOOKUP(B98,'Data availability'!$A$2:$G$91,7,FALSE)</f>
        <v>22203</v>
      </c>
      <c r="E98" s="3" t="str">
        <f>VLOOKUP(B98,'Data availability'!$A$2:$H$91,8,FALSE)</f>
        <v>Office</v>
      </c>
      <c r="F98" s="206"/>
      <c r="G98" s="165"/>
      <c r="H98" s="170"/>
      <c r="I98" s="170"/>
      <c r="J98" s="165"/>
      <c r="K98" s="165"/>
      <c r="L98" s="165"/>
      <c r="M98" s="165"/>
      <c r="N98" s="1"/>
      <c r="O98" s="1"/>
      <c r="P98" s="1"/>
      <c r="Q98" s="1"/>
      <c r="R98" s="1"/>
      <c r="AA98" s="9">
        <v>270.69604316546713</v>
      </c>
      <c r="AB98">
        <f t="shared" si="5"/>
        <v>270.69604316546713</v>
      </c>
      <c r="AC98" s="253"/>
      <c r="AD98" s="194">
        <f t="shared" si="11"/>
        <v>14587.402736063157</v>
      </c>
    </row>
    <row r="99" spans="1:30" x14ac:dyDescent="0.3">
      <c r="A99" s="3">
        <v>5</v>
      </c>
      <c r="B99" s="3" t="s">
        <v>175</v>
      </c>
      <c r="C99" s="3" t="str">
        <f>VLOOKUP(B99,'Data availability'!$A$2:$B$91,2,FALSE)</f>
        <v>South campus</v>
      </c>
      <c r="D99" s="3">
        <f>VLOOKUP(B99,'Data availability'!$A$2:$G$91,7,FALSE)</f>
        <v>22203</v>
      </c>
      <c r="E99" s="3" t="str">
        <f>VLOOKUP(B99,'Data availability'!$A$2:$H$91,8,FALSE)</f>
        <v>Office</v>
      </c>
      <c r="F99" s="206"/>
      <c r="G99" s="165"/>
      <c r="H99" s="170"/>
      <c r="I99" s="170"/>
      <c r="J99" s="165"/>
      <c r="K99" s="165"/>
      <c r="L99" s="165"/>
      <c r="M99" s="165"/>
      <c r="N99" s="1"/>
      <c r="O99" s="1"/>
      <c r="P99" s="1"/>
      <c r="Q99" s="1"/>
      <c r="R99" s="1"/>
      <c r="AA99" s="9">
        <v>-6779.346774193652</v>
      </c>
      <c r="AB99">
        <f t="shared" si="5"/>
        <v>6779.346774193652</v>
      </c>
      <c r="AC99" s="253"/>
      <c r="AD99" s="194">
        <f t="shared" si="11"/>
        <v>14636.702253986596</v>
      </c>
    </row>
    <row r="100" spans="1:30" x14ac:dyDescent="0.3">
      <c r="A100" s="3">
        <v>6</v>
      </c>
      <c r="B100" s="3" t="s">
        <v>175</v>
      </c>
      <c r="C100" s="3" t="str">
        <f>VLOOKUP(B100,'Data availability'!$A$2:$B$91,2,FALSE)</f>
        <v>South campus</v>
      </c>
      <c r="D100" s="3">
        <f>VLOOKUP(B100,'Data availability'!$A$2:$G$91,7,FALSE)</f>
        <v>22203</v>
      </c>
      <c r="E100" s="3" t="str">
        <f>VLOOKUP(B100,'Data availability'!$A$2:$H$91,8,FALSE)</f>
        <v>Office</v>
      </c>
      <c r="F100" s="206"/>
      <c r="G100" s="165"/>
      <c r="H100" s="170"/>
      <c r="I100" s="170"/>
      <c r="J100" s="165"/>
      <c r="K100" s="165"/>
      <c r="L100" s="165"/>
      <c r="M100" s="165"/>
      <c r="N100" s="1"/>
      <c r="O100" s="1"/>
      <c r="P100" s="1"/>
      <c r="Q100" s="1"/>
      <c r="R100" s="1"/>
      <c r="AA100" s="9">
        <v>-8725.0907258064508</v>
      </c>
      <c r="AB100">
        <f t="shared" ref="AB100:AB106" si="12">ABS(AA100)</f>
        <v>8725.0907258064508</v>
      </c>
      <c r="AC100" s="253"/>
      <c r="AD100" s="194">
        <f t="shared" si="11"/>
        <v>15829.037870671807</v>
      </c>
    </row>
    <row r="101" spans="1:30" x14ac:dyDescent="0.3">
      <c r="A101" s="3">
        <v>7</v>
      </c>
      <c r="B101" s="3" t="s">
        <v>175</v>
      </c>
      <c r="C101" s="3" t="str">
        <f>VLOOKUP(B101,'Data availability'!$A$2:$B$91,2,FALSE)</f>
        <v>South campus</v>
      </c>
      <c r="D101" s="3">
        <f>VLOOKUP(B101,'Data availability'!$A$2:$G$91,7,FALSE)</f>
        <v>22203</v>
      </c>
      <c r="E101" s="3" t="str">
        <f>VLOOKUP(B101,'Data availability'!$A$2:$H$91,8,FALSE)</f>
        <v>Office</v>
      </c>
      <c r="F101" s="206"/>
      <c r="G101" s="165"/>
      <c r="H101" s="170"/>
      <c r="I101" s="170"/>
      <c r="J101" s="165"/>
      <c r="K101" s="165"/>
      <c r="L101" s="165"/>
      <c r="M101" s="165"/>
      <c r="N101" s="1"/>
      <c r="O101" s="1"/>
      <c r="P101" s="1"/>
      <c r="Q101" s="1"/>
      <c r="R101" s="1"/>
      <c r="AA101" s="9">
        <v>-6518.4331896551448</v>
      </c>
      <c r="AB101">
        <f t="shared" si="12"/>
        <v>6518.4331896551448</v>
      </c>
      <c r="AC101" s="253"/>
      <c r="AD101" s="194">
        <f t="shared" si="11"/>
        <v>16426.628513879194</v>
      </c>
    </row>
    <row r="102" spans="1:30" x14ac:dyDescent="0.3">
      <c r="A102" s="3">
        <v>8</v>
      </c>
      <c r="B102" s="3" t="s">
        <v>175</v>
      </c>
      <c r="C102" s="3" t="str">
        <f>VLOOKUP(B102,'Data availability'!$A$2:$B$91,2,FALSE)</f>
        <v>South campus</v>
      </c>
      <c r="D102" s="3">
        <f>VLOOKUP(B102,'Data availability'!$A$2:$G$91,7,FALSE)</f>
        <v>22203</v>
      </c>
      <c r="E102" s="3" t="str">
        <f>VLOOKUP(B102,'Data availability'!$A$2:$H$91,8,FALSE)</f>
        <v>Office</v>
      </c>
      <c r="F102" s="206"/>
      <c r="G102" s="165"/>
      <c r="H102" s="170"/>
      <c r="I102" s="170"/>
      <c r="J102" s="165"/>
      <c r="K102" s="165"/>
      <c r="L102" s="165"/>
      <c r="M102" s="165"/>
      <c r="N102" s="1"/>
      <c r="O102" s="1"/>
      <c r="P102" s="1"/>
      <c r="Q102" s="1"/>
      <c r="R102" s="1"/>
      <c r="AA102" s="9">
        <v>10660.420689655193</v>
      </c>
      <c r="AB102">
        <f t="shared" si="12"/>
        <v>10660.420689655193</v>
      </c>
      <c r="AC102" s="253"/>
      <c r="AD102" s="194">
        <f t="shared" si="11"/>
        <v>23761.599557571768</v>
      </c>
    </row>
    <row r="103" spans="1:30" x14ac:dyDescent="0.3">
      <c r="A103" s="3">
        <v>9</v>
      </c>
      <c r="B103" s="3" t="s">
        <v>175</v>
      </c>
      <c r="C103" s="3" t="str">
        <f>VLOOKUP(B103,'Data availability'!$A$2:$B$91,2,FALSE)</f>
        <v>South campus</v>
      </c>
      <c r="D103" s="3">
        <f>VLOOKUP(B103,'Data availability'!$A$2:$G$91,7,FALSE)</f>
        <v>22203</v>
      </c>
      <c r="E103" s="3" t="str">
        <f>VLOOKUP(B103,'Data availability'!$A$2:$H$91,8,FALSE)</f>
        <v>Office</v>
      </c>
      <c r="F103" s="206"/>
      <c r="G103" s="165"/>
      <c r="H103" s="170"/>
      <c r="I103" s="170"/>
      <c r="J103" s="165"/>
      <c r="K103" s="165"/>
      <c r="L103" s="165"/>
      <c r="M103" s="165"/>
      <c r="N103" s="1"/>
      <c r="O103" s="1"/>
      <c r="P103" s="1"/>
      <c r="Q103" s="1"/>
      <c r="R103" s="1"/>
      <c r="AA103" s="9">
        <v>13857.69999999999</v>
      </c>
      <c r="AB103">
        <f t="shared" si="12"/>
        <v>13857.69999999999</v>
      </c>
      <c r="AC103" s="253"/>
      <c r="AD103" s="194">
        <f t="shared" si="11"/>
        <v>22989.88101261418</v>
      </c>
    </row>
    <row r="104" spans="1:30" x14ac:dyDescent="0.3">
      <c r="A104" s="3">
        <v>10</v>
      </c>
      <c r="B104" s="3" t="s">
        <v>175</v>
      </c>
      <c r="C104" s="3" t="str">
        <f>VLOOKUP(B104,'Data availability'!$A$2:$B$91,2,FALSE)</f>
        <v>South campus</v>
      </c>
      <c r="D104" s="3">
        <f>VLOOKUP(B104,'Data availability'!$A$2:$G$91,7,FALSE)</f>
        <v>22203</v>
      </c>
      <c r="E104" s="3" t="str">
        <f>VLOOKUP(B104,'Data availability'!$A$2:$H$91,8,FALSE)</f>
        <v>Office</v>
      </c>
      <c r="F104" s="206"/>
      <c r="G104" s="165"/>
      <c r="H104" s="170"/>
      <c r="I104" s="170"/>
      <c r="J104" s="165"/>
      <c r="K104" s="165"/>
      <c r="L104" s="165"/>
      <c r="M104" s="165"/>
      <c r="N104" s="1"/>
      <c r="O104" s="1"/>
      <c r="P104" s="1"/>
      <c r="Q104" s="1"/>
      <c r="R104" s="1"/>
      <c r="AA104" s="9">
        <v>13000.620516499035</v>
      </c>
      <c r="AB104">
        <f t="shared" si="12"/>
        <v>13000.620516499035</v>
      </c>
      <c r="AC104" s="253"/>
      <c r="AD104" s="194">
        <f t="shared" si="11"/>
        <v>21685.462247626554</v>
      </c>
    </row>
    <row r="105" spans="1:30" x14ac:dyDescent="0.3">
      <c r="A105" s="3">
        <v>11</v>
      </c>
      <c r="B105" s="3" t="s">
        <v>175</v>
      </c>
      <c r="C105" s="3" t="str">
        <f>VLOOKUP(B105,'Data availability'!$A$2:$B$91,2,FALSE)</f>
        <v>South campus</v>
      </c>
      <c r="D105" s="3">
        <f>VLOOKUP(B105,'Data availability'!$A$2:$G$91,7,FALSE)</f>
        <v>22203</v>
      </c>
      <c r="E105" s="3" t="str">
        <f>VLOOKUP(B105,'Data availability'!$A$2:$H$91,8,FALSE)</f>
        <v>Office</v>
      </c>
      <c r="F105" s="206"/>
      <c r="G105" s="165"/>
      <c r="H105" s="170"/>
      <c r="I105" s="170"/>
      <c r="J105" s="165"/>
      <c r="K105" s="165"/>
      <c r="L105" s="165"/>
      <c r="M105" s="165"/>
      <c r="N105" s="1"/>
      <c r="O105" s="1"/>
      <c r="P105" s="1"/>
      <c r="Q105" s="1"/>
      <c r="R105" s="1"/>
      <c r="AA105" s="9">
        <v>12438.91174156504</v>
      </c>
      <c r="AB105">
        <f t="shared" si="12"/>
        <v>12438.91174156504</v>
      </c>
      <c r="AC105" s="253"/>
      <c r="AD105" s="194">
        <f t="shared" si="11"/>
        <v>18505.168187552386</v>
      </c>
    </row>
    <row r="106" spans="1:30" x14ac:dyDescent="0.3">
      <c r="A106" s="64">
        <v>12</v>
      </c>
      <c r="B106" s="3" t="s">
        <v>175</v>
      </c>
      <c r="C106" s="3" t="str">
        <f>VLOOKUP(B106,'Data availability'!$A$2:$B$91,2,FALSE)</f>
        <v>South campus</v>
      </c>
      <c r="D106" s="3">
        <f>VLOOKUP(B106,'Data availability'!$A$2:$G$91,7,FALSE)</f>
        <v>22203</v>
      </c>
      <c r="E106" s="3" t="str">
        <f>VLOOKUP(B106,'Data availability'!$A$2:$H$91,8,FALSE)</f>
        <v>Office</v>
      </c>
      <c r="F106" s="206"/>
      <c r="G106" s="166"/>
      <c r="H106" s="171"/>
      <c r="I106" s="171"/>
      <c r="J106" s="166"/>
      <c r="K106" s="166"/>
      <c r="L106" s="166"/>
      <c r="M106" s="166"/>
      <c r="N106" s="66"/>
      <c r="O106" s="66"/>
      <c r="P106" s="66"/>
      <c r="Q106" s="66"/>
      <c r="R106" s="66"/>
      <c r="AA106" s="9">
        <v>11245.709677419503</v>
      </c>
      <c r="AB106">
        <f t="shared" si="12"/>
        <v>11245.709677419503</v>
      </c>
      <c r="AC106" s="253">
        <f>SUM(AA95:AA106)/SUM($Y$35:$Y$46)</f>
        <v>0.14228348647794883</v>
      </c>
      <c r="AD106" s="194">
        <f t="shared" si="11"/>
        <v>15665.888468343463</v>
      </c>
    </row>
  </sheetData>
  <autoFilter ref="A34:AD106" xr:uid="{2578917E-52C8-4A44-BE92-D35165BE40E6}"/>
  <mergeCells count="4">
    <mergeCell ref="F1:I1"/>
    <mergeCell ref="J1:M1"/>
    <mergeCell ref="N1:Q1"/>
    <mergeCell ref="R1:U1"/>
  </mergeCells>
  <phoneticPr fontId="43"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3F442-C918-463F-A655-6BC5217791EA}">
  <dimension ref="A1:AP146"/>
  <sheetViews>
    <sheetView workbookViewId="0">
      <selection activeCell="C3" sqref="C3"/>
    </sheetView>
  </sheetViews>
  <sheetFormatPr defaultRowHeight="14.4" x14ac:dyDescent="0.3"/>
  <cols>
    <col min="2" max="2" width="22.44140625" customWidth="1"/>
    <col min="3" max="3" width="12.33203125" customWidth="1"/>
    <col min="4" max="4" width="11" customWidth="1"/>
    <col min="5" max="5" width="13.21875" customWidth="1"/>
    <col min="6" max="6" width="11.44140625" customWidth="1"/>
    <col min="8" max="8" width="14.77734375" customWidth="1"/>
    <col min="9" max="9" width="15.33203125" customWidth="1"/>
    <col min="10" max="10" width="18.5546875" customWidth="1"/>
    <col min="11" max="12" width="10.77734375" customWidth="1"/>
    <col min="15" max="15" width="9.5546875" customWidth="1"/>
    <col min="17" max="17" width="17.109375" customWidth="1"/>
    <col min="18" max="18" width="17.6640625" customWidth="1"/>
    <col min="19" max="19" width="17.5546875" customWidth="1"/>
    <col min="27" max="27" width="10" customWidth="1"/>
  </cols>
  <sheetData>
    <row r="1" spans="1:42" ht="26.4" thickBot="1" x14ac:dyDescent="0.55000000000000004">
      <c r="A1" s="276" t="s">
        <v>683</v>
      </c>
      <c r="B1" s="277"/>
      <c r="C1" s="277"/>
      <c r="D1" s="277"/>
      <c r="E1" s="277"/>
      <c r="F1" s="278"/>
      <c r="G1" s="213"/>
      <c r="H1" s="276" t="s">
        <v>684</v>
      </c>
      <c r="I1" s="277"/>
      <c r="J1" s="277"/>
      <c r="K1" s="277"/>
      <c r="L1" s="277"/>
      <c r="M1" s="278"/>
      <c r="O1" s="279" t="s">
        <v>372</v>
      </c>
      <c r="P1" s="280"/>
      <c r="Q1" s="280"/>
      <c r="R1" s="280"/>
      <c r="T1" s="281" t="s">
        <v>674</v>
      </c>
      <c r="U1" s="282"/>
      <c r="V1" s="283"/>
    </row>
    <row r="2" spans="1:42" ht="25.2" customHeight="1" x14ac:dyDescent="0.3">
      <c r="A2" s="214" t="s">
        <v>530</v>
      </c>
      <c r="B2" s="214" t="s">
        <v>661</v>
      </c>
      <c r="C2" s="215" t="s">
        <v>188</v>
      </c>
      <c r="D2" s="215" t="s">
        <v>186</v>
      </c>
      <c r="E2" s="215" t="s">
        <v>185</v>
      </c>
      <c r="F2" s="215" t="s">
        <v>445</v>
      </c>
      <c r="H2" s="215" t="s">
        <v>188</v>
      </c>
      <c r="I2" s="215" t="s">
        <v>186</v>
      </c>
      <c r="K2" s="217"/>
      <c r="L2" s="217"/>
      <c r="N2" s="219"/>
      <c r="O2" s="215" t="s">
        <v>188</v>
      </c>
      <c r="P2" s="215" t="s">
        <v>186</v>
      </c>
      <c r="Q2" s="215" t="s">
        <v>185</v>
      </c>
      <c r="R2" s="215" t="s">
        <v>445</v>
      </c>
      <c r="T2" s="220" t="s">
        <v>2</v>
      </c>
      <c r="U2" s="196" t="s">
        <v>664</v>
      </c>
      <c r="V2" s="221" t="s">
        <v>665</v>
      </c>
      <c r="W2" s="217"/>
      <c r="X2" s="217"/>
      <c r="Z2" s="219"/>
      <c r="AA2" s="217"/>
      <c r="AB2" s="217"/>
      <c r="AC2" s="217"/>
      <c r="AD2" s="217"/>
      <c r="AE2" s="217"/>
      <c r="AF2" s="219"/>
      <c r="AG2" s="217"/>
      <c r="AH2" s="217"/>
      <c r="AI2" s="217"/>
      <c r="AJ2" s="217"/>
      <c r="AL2" s="219"/>
      <c r="AM2" s="217"/>
      <c r="AN2" s="217"/>
      <c r="AO2" s="217"/>
      <c r="AP2" s="217"/>
    </row>
    <row r="3" spans="1:42" x14ac:dyDescent="0.3">
      <c r="A3" s="3">
        <v>1</v>
      </c>
      <c r="B3" s="3" t="s">
        <v>127</v>
      </c>
      <c r="C3" s="231" cm="1">
        <f t="array" ref="C3">MEDIAN(_xlfn._xlws.FILTER('SkYSPark Data_w Will''s Data'!$M$3:$M$782,('SkYSPark Data_w Will''s Data'!$F$3:$F$782=$B3)*('SkYSPark Data_w Will''s Data'!$B$3:$B$782=$A3)*('SkYSPark Data_w Will''s Data'!$Z$3:$Z$782=FALSE)*('SkYSPark Data_w Will''s Data'!$D$3:$D$782="Main Campus")))</f>
        <v>1.932358396898797</v>
      </c>
      <c r="D3" s="231" cm="1">
        <f t="array" ref="D3">MEDIAN(_xlfn._xlws.FILTER('SkYSPark Data_w Will''s Data'!$N$3:$N$782,('SkYSPark Data_w Will''s Data'!$F$3:$F$782=$B3)*('SkYSPark Data_w Will''s Data'!$B$3:$B$782=$A3)*('SkYSPark Data_w Will''s Data'!$N$3:$N$782&gt;0)*('SkYSPark Data_w Will''s Data'!$D$3:$D$782="Main Campus")))</f>
        <v>3.8034458741620168E-2</v>
      </c>
      <c r="E3" s="231" cm="1">
        <f t="array" ref="E3">MEDIAN(_xlfn._xlws.FILTER('SkYSPark Data_w Will''s Data'!$O$3:$O$782,('SkYSPark Data_w Will''s Data'!$F$3:$F$782=$B3)*('SkYSPark Data_w Will''s Data'!$B$3:$B$782=$A3)*('SkYSPark Data_w Will''s Data'!$AA$3:$AA$782=FALSE)*('SkYSPark Data_w Will''s Data'!$D$3:$D$782="Main Campus")))</f>
        <v>4.4745086312782281</v>
      </c>
      <c r="F3" s="231" cm="1">
        <f t="array" ref="F3">MEDIAN(_xlfn._xlws.FILTER('SkYSPark Data_w Will''s Data'!$P$3:$P$782,('SkYSPark Data_w Will''s Data'!$F$3:$F$782=$B3)*('SkYSPark Data_w Will''s Data'!$B$3:$B$782=$A3)*('SkYSPark Data_w Will''s Data'!$AB$3:$AB$782=FALSE)*('SkYSPark Data_w Will''s Data'!$D$3:$D$782="Main Campus")))</f>
        <v>0.41583180371977946</v>
      </c>
      <c r="H3" cm="1">
        <f t="array" ref="H3">MEDIAN(_xlfn._xlws.FILTER('SkYSPark Data_w Will''s Data'!$M$3:$M$782,('SkYSPark Data_w Will''s Data'!$F$3:$F$782=$B3)*('SkYSPark Data_w Will''s Data'!$B$3:$B$782=$A3)*('SkYSPark Data_w Will''s Data'!$Z$3:$Z$782=FALSE)*('SkYSPark Data_w Will''s Data'!$D$3:$D$782&lt;&gt;"Main Campus")))</f>
        <v>0.48695153150571768</v>
      </c>
      <c r="I3" cm="1">
        <f t="array" ref="I3">MEDIAN(_xlfn._xlws.FILTER('SkYSPark Data_w Will''s Data'!$N$3:$N$782,('SkYSPark Data_w Will''s Data'!$F$3:$F$782=$B3)*('SkYSPark Data_w Will''s Data'!$B$3:$B$782=$A3)*('SkYSPark Data_w Will''s Data'!$N$3:$N$782&gt;0)*('SkYSPark Data_w Will''s Data'!$D$3:$D$782&lt;&gt;"Main Campus")))</f>
        <v>0.7757256734309419</v>
      </c>
      <c r="O3" cm="1">
        <f t="array" ref="O3">COUNT(_xlfn._xlws.FILTER('SkYSPark Data_w Will''s Data'!$M$3:$M$782,('SkYSPark Data_w Will''s Data'!$F$3:$F$782=$B3)*('SkYSPark Data_w Will''s Data'!$B$3:$B$782=$A3)*('SkYSPark Data_w Will''s Data'!$Z$3:$Z$782=FALSE)*('SkYSPark Data_w Will''s Data'!$D$3:$D$782="Main Campus")))</f>
        <v>13</v>
      </c>
      <c r="T3" s="222">
        <f>SUMIFS('SkYSPark Data_w Will''s Data'!$E$3:$E$782,'SkYSPark Data_w Will''s Data'!$B$3:$B$782,'Median Monthly EUIs'!A3,'SkYSPark Data_w Will''s Data'!$F$3:$F$782,'Median Monthly EUIs'!B3,'SkYSPark Data_w Will''s Data'!$AA$3:$AA$782,FALSE)</f>
        <v>1129862</v>
      </c>
      <c r="U3" s="223">
        <f>SUMIFS('SkYSPark Data_w Will''s Data'!$J$3:$J$782,'SkYSPark Data_w Will''s Data'!$B$3:$B$782,'Median Monthly EUIs'!A3,'SkYSPark Data_w Will''s Data'!$F$3:$F$782,'Median Monthly EUIs'!B3,'SkYSPark Data_w Will''s Data'!$AA$3:$AA$782,FALSE)</f>
        <v>50735.327612456815</v>
      </c>
      <c r="V3" s="136">
        <f>(U3*100)/T3</f>
        <v>4.4904003862822908</v>
      </c>
      <c r="AB3" s="218"/>
      <c r="AH3" s="218"/>
      <c r="AN3" s="218"/>
    </row>
    <row r="4" spans="1:42" x14ac:dyDescent="0.3">
      <c r="A4" s="3">
        <v>2</v>
      </c>
      <c r="B4" s="3" t="s">
        <v>127</v>
      </c>
      <c r="C4" s="231" cm="1">
        <f t="array" ref="C4">MEDIAN(_xlfn._xlws.FILTER('SkYSPark Data_w Will''s Data'!$M$3:$M$782,('SkYSPark Data_w Will''s Data'!$F$3:$F$782=$B4)*('SkYSPark Data_w Will''s Data'!$B$3:$B$782=$A4)*('SkYSPark Data_w Will''s Data'!$Z$3:$Z$782=FALSE)*('SkYSPark Data_w Will''s Data'!$D$3:$D$782="Main Campus")))</f>
        <v>1.9346227237296083</v>
      </c>
      <c r="D4" s="231" cm="1">
        <f t="array" ref="D4">MEDIAN(_xlfn._xlws.FILTER('SkYSPark Data_w Will''s Data'!$N$3:$N$782,('SkYSPark Data_w Will''s Data'!$F$3:$F$782=$B4)*('SkYSPark Data_w Will''s Data'!$B$3:$B$782=$A4)*('SkYSPark Data_w Will''s Data'!$N$3:$N$782&gt;0)*('SkYSPark Data_w Will''s Data'!$D$3:$D$782="Main Campus")))</f>
        <v>6.3250121373191331E-2</v>
      </c>
      <c r="E4" s="231" cm="1">
        <f t="array" ref="E4">MEDIAN(_xlfn._xlws.FILTER('SkYSPark Data_w Will''s Data'!$O$3:$O$782,('SkYSPark Data_w Will''s Data'!$F$3:$F$782=$B4)*('SkYSPark Data_w Will''s Data'!$B$3:$B$782=$A4)*('SkYSPark Data_w Will''s Data'!$AA$3:$AA$782=FALSE)*('SkYSPark Data_w Will''s Data'!$D$3:$D$782="Main Campus")))</f>
        <v>3.1111618584331229</v>
      </c>
      <c r="F4" s="231" cm="1">
        <f t="array" ref="F4">MEDIAN(_xlfn._xlws.FILTER('SkYSPark Data_w Will''s Data'!$P$3:$P$782,('SkYSPark Data_w Will''s Data'!$F$3:$F$782=$B4)*('SkYSPark Data_w Will''s Data'!$B$3:$B$782=$A4)*('SkYSPark Data_w Will''s Data'!$AB$3:$AB$782=FALSE)*('SkYSPark Data_w Will''s Data'!$D$3:$D$782="Main Campus")))</f>
        <v>0.43833340155444311</v>
      </c>
      <c r="H4" cm="1">
        <f t="array" ref="H4">MEDIAN(_xlfn._xlws.FILTER('SkYSPark Data_w Will''s Data'!$M$3:$M$782,('SkYSPark Data_w Will''s Data'!$F$3:$F$782=$B4)*('SkYSPark Data_w Will''s Data'!$B$3:$B$782=$A4)*('SkYSPark Data_w Will''s Data'!$Z$3:$Z$782=FALSE)*('SkYSPark Data_w Will''s Data'!$D$3:$D$782&lt;&gt;"Main Campus")))</f>
        <v>0.58470984570728879</v>
      </c>
      <c r="I4" cm="1">
        <f t="array" ref="I4">MEDIAN(_xlfn._xlws.FILTER('SkYSPark Data_w Will''s Data'!$N$3:$N$782,('SkYSPark Data_w Will''s Data'!$F$3:$F$782=$B4)*('SkYSPark Data_w Will''s Data'!$B$3:$B$782=$A4)*('SkYSPark Data_w Will''s Data'!$N$3:$N$782&gt;0)*('SkYSPark Data_w Will''s Data'!$D$3:$D$782&lt;&gt;"Main Campus")))</f>
        <v>0.95590151146745428</v>
      </c>
      <c r="T4" s="222">
        <f>SUMIFS('SkYSPark Data_w Will''s Data'!$E$3:$E$782,'SkYSPark Data_w Will''s Data'!$B$3:$B$782,'Median Monthly EUIs'!A4,'SkYSPark Data_w Will''s Data'!$F$3:$F$782,'Median Monthly EUIs'!B4,'SkYSPark Data_w Will''s Data'!$AA$3:$AA$782,FALSE)</f>
        <v>1129862</v>
      </c>
      <c r="U4" s="223">
        <f>SUMIFS('SkYSPark Data_w Will''s Data'!$J$3:$J$782,'SkYSPark Data_w Will''s Data'!$B$3:$B$782,'Median Monthly EUIs'!A4,'SkYSPark Data_w Will''s Data'!$F$3:$F$782,'Median Monthly EUIs'!B4,'SkYSPark Data_w Will''s Data'!$AA$3:$AA$782,FALSE)</f>
        <v>38348.622023125019</v>
      </c>
      <c r="V4" s="136">
        <f t="shared" ref="V4:V14" si="0">(U4*100)/T4</f>
        <v>3.3940978653255902</v>
      </c>
      <c r="AB4" s="218"/>
      <c r="AH4" s="218"/>
      <c r="AN4" s="218"/>
    </row>
    <row r="5" spans="1:42" x14ac:dyDescent="0.3">
      <c r="A5" s="3">
        <v>3</v>
      </c>
      <c r="B5" s="3" t="s">
        <v>127</v>
      </c>
      <c r="C5" s="231" cm="1">
        <f t="array" ref="C5">MEDIAN(_xlfn._xlws.FILTER('SkYSPark Data_w Will''s Data'!$M$3:$M$782,('SkYSPark Data_w Will''s Data'!$F$3:$F$782=$B5)*('SkYSPark Data_w Will''s Data'!$B$3:$B$782=$A5)*('SkYSPark Data_w Will''s Data'!$Z$3:$Z$782=FALSE)*('SkYSPark Data_w Will''s Data'!$D$3:$D$782="Main Campus")))</f>
        <v>2.2329501558276972</v>
      </c>
      <c r="D5" s="231" cm="1">
        <f t="array" ref="D5">MEDIAN(_xlfn._xlws.FILTER('SkYSPark Data_w Will''s Data'!$N$3:$N$782,('SkYSPark Data_w Will''s Data'!$F$3:$F$782=$B5)*('SkYSPark Data_w Will''s Data'!$B$3:$B$782=$A5)*('SkYSPark Data_w Will''s Data'!$N$3:$N$782&gt;0)*('SkYSPark Data_w Will''s Data'!$D$3:$D$782="Main Campus")))</f>
        <v>7.2068166371666742E-2</v>
      </c>
      <c r="E5" s="231" cm="1">
        <f t="array" ref="E5">MEDIAN(_xlfn._xlws.FILTER('SkYSPark Data_w Will''s Data'!$O$3:$O$782,('SkYSPark Data_w Will''s Data'!$F$3:$F$782=$B5)*('SkYSPark Data_w Will''s Data'!$B$3:$B$782=$A5)*('SkYSPark Data_w Will''s Data'!$AA$3:$AA$782=FALSE)*('SkYSPark Data_w Will''s Data'!$D$3:$D$782="Main Campus")))</f>
        <v>4.2298052735755434</v>
      </c>
      <c r="F5" s="231" cm="1">
        <f t="array" ref="F5">MEDIAN(_xlfn._xlws.FILTER('SkYSPark Data_w Will''s Data'!$P$3:$P$782,('SkYSPark Data_w Will''s Data'!$F$3:$F$782=$B5)*('SkYSPark Data_w Will''s Data'!$B$3:$B$782=$A5)*('SkYSPark Data_w Will''s Data'!$AB$3:$AB$782=FALSE)*('SkYSPark Data_w Will''s Data'!$D$3:$D$782="Main Campus")))</f>
        <v>0.22573996371710425</v>
      </c>
      <c r="H5" cm="1">
        <f t="array" ref="H5">MEDIAN(_xlfn._xlws.FILTER('SkYSPark Data_w Will''s Data'!$M$3:$M$782,('SkYSPark Data_w Will''s Data'!$F$3:$F$782=$B5)*('SkYSPark Data_w Will''s Data'!$B$3:$B$782=$A5)*('SkYSPark Data_w Will''s Data'!$Z$3:$Z$782=FALSE)*('SkYSPark Data_w Will''s Data'!$D$3:$D$782&lt;&gt;"Main Campus")))</f>
        <v>0.57000118712668713</v>
      </c>
      <c r="I5" cm="1">
        <f t="array" ref="I5">MEDIAN(_xlfn._xlws.FILTER('SkYSPark Data_w Will''s Data'!$N$3:$N$782,('SkYSPark Data_w Will''s Data'!$F$3:$F$782=$B5)*('SkYSPark Data_w Will''s Data'!$B$3:$B$782=$A5)*('SkYSPark Data_w Will''s Data'!$N$3:$N$782&gt;0)*('SkYSPark Data_w Will''s Data'!$D$3:$D$782&lt;&gt;"Main Campus")))</f>
        <v>0.98201055727321085</v>
      </c>
      <c r="T5" s="222">
        <f>SUMIFS('SkYSPark Data_w Will''s Data'!$E$3:$E$782,'SkYSPark Data_w Will''s Data'!$B$3:$B$782,'Median Monthly EUIs'!A5,'SkYSPark Data_w Will''s Data'!$F$3:$F$782,'Median Monthly EUIs'!B5,'SkYSPark Data_w Will''s Data'!$AA$3:$AA$782,FALSE)</f>
        <v>1129862</v>
      </c>
      <c r="U5" s="223">
        <f>SUMIFS('SkYSPark Data_w Will''s Data'!$J$3:$J$782,'SkYSPark Data_w Will''s Data'!$B$3:$B$782,'Median Monthly EUIs'!A5,'SkYSPark Data_w Will''s Data'!$F$3:$F$782,'Median Monthly EUIs'!B5,'SkYSPark Data_w Will''s Data'!$AA$3:$AA$782,FALSE)</f>
        <v>46590.221783871057</v>
      </c>
      <c r="V5" s="136">
        <f t="shared" si="0"/>
        <v>4.1235320582399488</v>
      </c>
      <c r="AB5" s="218"/>
      <c r="AH5" s="218"/>
      <c r="AN5" s="218"/>
    </row>
    <row r="6" spans="1:42" x14ac:dyDescent="0.3">
      <c r="A6" s="3">
        <v>4</v>
      </c>
      <c r="B6" s="3" t="s">
        <v>127</v>
      </c>
      <c r="C6" s="231" cm="1">
        <f t="array" ref="C6">MEDIAN(_xlfn._xlws.FILTER('SkYSPark Data_w Will''s Data'!$M$3:$M$782,('SkYSPark Data_w Will''s Data'!$F$3:$F$782=$B6)*('SkYSPark Data_w Will''s Data'!$B$3:$B$782=$A6)*('SkYSPark Data_w Will''s Data'!$Z$3:$Z$782=FALSE)*('SkYSPark Data_w Will''s Data'!$D$3:$D$782="Main Campus")))</f>
        <v>2.1240221327877786</v>
      </c>
      <c r="D6" s="231" cm="1">
        <f t="array" ref="D6">MEDIAN(_xlfn._xlws.FILTER('SkYSPark Data_w Will''s Data'!$N$3:$N$782,('SkYSPark Data_w Will''s Data'!$F$3:$F$782=$B6)*('SkYSPark Data_w Will''s Data'!$B$3:$B$782=$A6)*('SkYSPark Data_w Will''s Data'!$N$3:$N$782&gt;0)*('SkYSPark Data_w Will''s Data'!$D$3:$D$782="Main Campus")))</f>
        <v>8.1139170702791141E-2</v>
      </c>
      <c r="E6" s="231" cm="1">
        <f t="array" ref="E6">MEDIAN(_xlfn._xlws.FILTER('SkYSPark Data_w Will''s Data'!$O$3:$O$782,('SkYSPark Data_w Will''s Data'!$F$3:$F$782=$B6)*('SkYSPark Data_w Will''s Data'!$B$3:$B$782=$A6)*('SkYSPark Data_w Will''s Data'!$AA$3:$AA$782=FALSE)*('SkYSPark Data_w Will''s Data'!$D$3:$D$782="Main Campus")))</f>
        <v>2.8680789364209858</v>
      </c>
      <c r="F6" s="231" cm="1">
        <f t="array" ref="F6">MEDIAN(_xlfn._xlws.FILTER('SkYSPark Data_w Will''s Data'!$P$3:$P$782,('SkYSPark Data_w Will''s Data'!$F$3:$F$782=$B6)*('SkYSPark Data_w Will''s Data'!$B$3:$B$782=$A6)*('SkYSPark Data_w Will''s Data'!$AB$3:$AB$782=FALSE)*('SkYSPark Data_w Will''s Data'!$D$3:$D$782="Main Campus")))</f>
        <v>0.76847466259354569</v>
      </c>
      <c r="H6" cm="1">
        <f t="array" ref="H6">MEDIAN(_xlfn._xlws.FILTER('SkYSPark Data_w Will''s Data'!$M$3:$M$782,('SkYSPark Data_w Will''s Data'!$F$3:$F$782=$B6)*('SkYSPark Data_w Will''s Data'!$B$3:$B$782=$A6)*('SkYSPark Data_w Will''s Data'!$Z$3:$Z$782=FALSE)*('SkYSPark Data_w Will''s Data'!$D$3:$D$782&lt;&gt;"Main Campus")))</f>
        <v>0.66997310964988288</v>
      </c>
      <c r="I6" cm="1">
        <f t="array" ref="I6">MEDIAN(_xlfn._xlws.FILTER('SkYSPark Data_w Will''s Data'!$N$3:$N$782,('SkYSPark Data_w Will''s Data'!$F$3:$F$782=$B6)*('SkYSPark Data_w Will''s Data'!$B$3:$B$782=$A6)*('SkYSPark Data_w Will''s Data'!$N$3:$N$782&gt;0)*('SkYSPark Data_w Will''s Data'!$D$3:$D$782&lt;&gt;"Main Campus")))</f>
        <v>0.7211114017435547</v>
      </c>
      <c r="T6" s="222">
        <f>SUMIFS('SkYSPark Data_w Will''s Data'!$E$3:$E$782,'SkYSPark Data_w Will''s Data'!$B$3:$B$782,'Median Monthly EUIs'!A6,'SkYSPark Data_w Will''s Data'!$F$3:$F$782,'Median Monthly EUIs'!B6,'SkYSPark Data_w Will''s Data'!$AA$3:$AA$782,FALSE)</f>
        <v>1129862</v>
      </c>
      <c r="U6" s="223">
        <f>SUMIFS('SkYSPark Data_w Will''s Data'!$J$3:$J$782,'SkYSPark Data_w Will''s Data'!$B$3:$B$782,'Median Monthly EUIs'!A6,'SkYSPark Data_w Will''s Data'!$F$3:$F$782,'Median Monthly EUIs'!B6,'SkYSPark Data_w Will''s Data'!$AA$3:$AA$782,FALSE)</f>
        <v>34610.316766754215</v>
      </c>
      <c r="V6" s="136">
        <f t="shared" si="0"/>
        <v>3.0632339849250809</v>
      </c>
      <c r="AB6" s="218"/>
      <c r="AH6" s="218"/>
      <c r="AN6" s="218"/>
    </row>
    <row r="7" spans="1:42" x14ac:dyDescent="0.3">
      <c r="A7" s="3">
        <v>5</v>
      </c>
      <c r="B7" s="3" t="s">
        <v>127</v>
      </c>
      <c r="C7" s="231" cm="1">
        <f t="array" ref="C7">MEDIAN(_xlfn._xlws.FILTER('SkYSPark Data_w Will''s Data'!$M$3:$M$782,('SkYSPark Data_w Will''s Data'!$F$3:$F$782=$B7)*('SkYSPark Data_w Will''s Data'!$B$3:$B$782=$A7)*('SkYSPark Data_w Will''s Data'!$Z$3:$Z$782=FALSE)*('SkYSPark Data_w Will''s Data'!$D$3:$D$782="Main Campus")))</f>
        <v>2.0640022498966624</v>
      </c>
      <c r="D7" s="231" cm="1">
        <f t="array" ref="D7">MEDIAN(_xlfn._xlws.FILTER('SkYSPark Data_w Will''s Data'!$N$3:$N$782,('SkYSPark Data_w Will''s Data'!$F$3:$F$782=$B7)*('SkYSPark Data_w Will''s Data'!$B$3:$B$782=$A7)*('SkYSPark Data_w Will''s Data'!$N$3:$N$782&gt;0)*('SkYSPark Data_w Will''s Data'!$D$3:$D$782="Main Campus")))</f>
        <v>6.8871816579807468E-2</v>
      </c>
      <c r="E7" s="231" cm="1">
        <f t="array" ref="E7">MEDIAN(_xlfn._xlws.FILTER('SkYSPark Data_w Will''s Data'!$O$3:$O$782,('SkYSPark Data_w Will''s Data'!$F$3:$F$782=$B7)*('SkYSPark Data_w Will''s Data'!$B$3:$B$782=$A7)*('SkYSPark Data_w Will''s Data'!$AA$3:$AA$782=FALSE)*('SkYSPark Data_w Will''s Data'!$D$3:$D$782="Main Campus")))</f>
        <v>2.3875893858733237</v>
      </c>
      <c r="F7" s="231" cm="1">
        <f t="array" ref="F7">MEDIAN(_xlfn._xlws.FILTER('SkYSPark Data_w Will''s Data'!$P$3:$P$782,('SkYSPark Data_w Will''s Data'!$F$3:$F$782=$B7)*('SkYSPark Data_w Will''s Data'!$B$3:$B$782=$A7)*('SkYSPark Data_w Will''s Data'!$AB$3:$AB$782=FALSE)*('SkYSPark Data_w Will''s Data'!$D$3:$D$782="Main Campus")))</f>
        <v>0.97733044553496262</v>
      </c>
      <c r="H7" cm="1">
        <f t="array" ref="H7">MEDIAN(_xlfn._xlws.FILTER('SkYSPark Data_w Will''s Data'!$M$3:$M$782,('SkYSPark Data_w Will''s Data'!$F$3:$F$782=$B7)*('SkYSPark Data_w Will''s Data'!$B$3:$B$782=$A7)*('SkYSPark Data_w Will''s Data'!$Z$3:$Z$782=FALSE)*('SkYSPark Data_w Will''s Data'!$D$3:$D$782&lt;&gt;"Main Campus")))</f>
        <v>0.71783058126638688</v>
      </c>
      <c r="I7" cm="1">
        <f t="array" ref="I7">MEDIAN(_xlfn._xlws.FILTER('SkYSPark Data_w Will''s Data'!$N$3:$N$782,('SkYSPark Data_w Will''s Data'!$F$3:$F$782=$B7)*('SkYSPark Data_w Will''s Data'!$B$3:$B$782=$A7)*('SkYSPark Data_w Will''s Data'!$N$3:$N$782&gt;0)*('SkYSPark Data_w Will''s Data'!$D$3:$D$782&lt;&gt;"Main Campus")))</f>
        <v>0.38358637553689801</v>
      </c>
      <c r="T7" s="222">
        <f>SUMIFS('SkYSPark Data_w Will''s Data'!$E$3:$E$782,'SkYSPark Data_w Will''s Data'!$B$3:$B$782,'Median Monthly EUIs'!A7,'SkYSPark Data_w Will''s Data'!$F$3:$F$782,'Median Monthly EUIs'!B7,'SkYSPark Data_w Will''s Data'!$AA$3:$AA$782,FALSE)</f>
        <v>1129862</v>
      </c>
      <c r="U7" s="223">
        <f>SUMIFS('SkYSPark Data_w Will''s Data'!$J$3:$J$782,'SkYSPark Data_w Will''s Data'!$B$3:$B$782,'Median Monthly EUIs'!A7,'SkYSPark Data_w Will''s Data'!$F$3:$F$782,'Median Monthly EUIs'!B7,'SkYSPark Data_w Will''s Data'!$AA$3:$AA$782,FALSE)</f>
        <v>25718.50156249994</v>
      </c>
      <c r="V7" s="136">
        <f t="shared" si="0"/>
        <v>2.2762515743072993</v>
      </c>
      <c r="AB7" s="218"/>
      <c r="AH7" s="218"/>
      <c r="AN7" s="218"/>
    </row>
    <row r="8" spans="1:42" x14ac:dyDescent="0.3">
      <c r="A8" s="3">
        <v>6</v>
      </c>
      <c r="B8" s="3" t="s">
        <v>127</v>
      </c>
      <c r="C8" s="231" cm="1">
        <f t="array" ref="C8">MEDIAN(_xlfn._xlws.FILTER('SkYSPark Data_w Will''s Data'!$M$3:$M$782,('SkYSPark Data_w Will''s Data'!$F$3:$F$782=$B8)*('SkYSPark Data_w Will''s Data'!$B$3:$B$782=$A8)*('SkYSPark Data_w Will''s Data'!$Z$3:$Z$782=FALSE)*('SkYSPark Data_w Will''s Data'!$D$3:$D$782="Main Campus")))</f>
        <v>1.9820409134643275</v>
      </c>
      <c r="D8" s="231" cm="1">
        <f t="array" ref="D8">MEDIAN(_xlfn._xlws.FILTER('SkYSPark Data_w Will''s Data'!$N$3:$N$782,('SkYSPark Data_w Will''s Data'!$F$3:$F$782=$B8)*('SkYSPark Data_w Will''s Data'!$B$3:$B$782=$A8)*('SkYSPark Data_w Will''s Data'!$N$3:$N$782&gt;0)*('SkYSPark Data_w Will''s Data'!$D$3:$D$782="Main Campus")))</f>
        <v>5.9324832485997278E-2</v>
      </c>
      <c r="E8" s="231" cm="1">
        <f t="array" ref="E8">MEDIAN(_xlfn._xlws.FILTER('SkYSPark Data_w Will''s Data'!$O$3:$O$782,('SkYSPark Data_w Will''s Data'!$F$3:$F$782=$B8)*('SkYSPark Data_w Will''s Data'!$B$3:$B$782=$A8)*('SkYSPark Data_w Will''s Data'!$AA$3:$AA$782=FALSE)*('SkYSPark Data_w Will''s Data'!$D$3:$D$782="Main Campus")))</f>
        <v>1.0777050941733961</v>
      </c>
      <c r="F8" s="231" cm="1">
        <f t="array" ref="F8">MEDIAN(_xlfn._xlws.FILTER('SkYSPark Data_w Will''s Data'!$P$3:$P$782,('SkYSPark Data_w Will''s Data'!$F$3:$F$782=$B8)*('SkYSPark Data_w Will''s Data'!$B$3:$B$782=$A8)*('SkYSPark Data_w Will''s Data'!$AB$3:$AB$782=FALSE)*('SkYSPark Data_w Will''s Data'!$D$3:$D$782="Main Campus")))</f>
        <v>1.6439705461065333</v>
      </c>
      <c r="H8" cm="1">
        <f t="array" ref="H8">MEDIAN(_xlfn._xlws.FILTER('SkYSPark Data_w Will''s Data'!$M$3:$M$782,('SkYSPark Data_w Will''s Data'!$F$3:$F$782=$B8)*('SkYSPark Data_w Will''s Data'!$B$3:$B$782=$A8)*('SkYSPark Data_w Will''s Data'!$Z$3:$Z$782=FALSE)*('SkYSPark Data_w Will''s Data'!$D$3:$D$782&lt;&gt;"Main Campus")))</f>
        <v>0.79183646099565852</v>
      </c>
      <c r="I8" cm="1">
        <f t="array" ref="I8">MEDIAN(_xlfn._xlws.FILTER('SkYSPark Data_w Will''s Data'!$N$3:$N$782,('SkYSPark Data_w Will''s Data'!$F$3:$F$782=$B8)*('SkYSPark Data_w Will''s Data'!$B$3:$B$782=$A8)*('SkYSPark Data_w Will''s Data'!$N$3:$N$782&gt;0)*('SkYSPark Data_w Will''s Data'!$D$3:$D$782&lt;&gt;"Main Campus")))</f>
        <v>0.21143984416810063</v>
      </c>
      <c r="T8" s="222">
        <f>SUMIFS('SkYSPark Data_w Will''s Data'!$E$3:$E$782,'SkYSPark Data_w Will''s Data'!$B$3:$B$782,'Median Monthly EUIs'!A8,'SkYSPark Data_w Will''s Data'!$F$3:$F$782,'Median Monthly EUIs'!B8,'SkYSPark Data_w Will''s Data'!$AA$3:$AA$782,FALSE)</f>
        <v>1129862</v>
      </c>
      <c r="U8" s="223">
        <f>SUMIFS('SkYSPark Data_w Will''s Data'!$J$3:$J$782,'SkYSPark Data_w Will''s Data'!$B$3:$B$782,'Median Monthly EUIs'!A8,'SkYSPark Data_w Will''s Data'!$F$3:$F$782,'Median Monthly EUIs'!B8,'SkYSPark Data_w Will''s Data'!$AA$3:$AA$782,FALSE)</f>
        <v>14306.460059886773</v>
      </c>
      <c r="V8" s="136">
        <f t="shared" si="0"/>
        <v>1.2662130472470774</v>
      </c>
      <c r="AB8" s="218"/>
      <c r="AH8" s="218"/>
      <c r="AN8" s="218"/>
    </row>
    <row r="9" spans="1:42" x14ac:dyDescent="0.3">
      <c r="A9" s="3">
        <v>7</v>
      </c>
      <c r="B9" s="3" t="s">
        <v>127</v>
      </c>
      <c r="C9" s="231" cm="1">
        <f t="array" ref="C9">MEDIAN(_xlfn._xlws.FILTER('SkYSPark Data_w Will''s Data'!$M$3:$M$782,('SkYSPark Data_w Will''s Data'!$F$3:$F$782=$B9)*('SkYSPark Data_w Will''s Data'!$B$3:$B$782=$A9)*('SkYSPark Data_w Will''s Data'!$Z$3:$Z$782=FALSE)*('SkYSPark Data_w Will''s Data'!$D$3:$D$782="Main Campus")))</f>
        <v>2.0636173262206334</v>
      </c>
      <c r="D9" s="231" cm="1">
        <f t="array" ref="D9">MEDIAN(_xlfn._xlws.FILTER('SkYSPark Data_w Will''s Data'!$N$3:$N$782,('SkYSPark Data_w Will''s Data'!$F$3:$F$782=$B9)*('SkYSPark Data_w Will''s Data'!$B$3:$B$782=$A9)*('SkYSPark Data_w Will''s Data'!$N$3:$N$782&gt;0)*('SkYSPark Data_w Will''s Data'!$D$3:$D$782="Main Campus")))</f>
        <v>6.2743198740652525E-2</v>
      </c>
      <c r="E9" s="231" cm="1">
        <f t="array" ref="E9">MEDIAN(_xlfn._xlws.FILTER('SkYSPark Data_w Will''s Data'!$O$3:$O$782,('SkYSPark Data_w Will''s Data'!$F$3:$F$782=$B9)*('SkYSPark Data_w Will''s Data'!$B$3:$B$782=$A9)*('SkYSPark Data_w Will''s Data'!$AA$3:$AA$782=FALSE)*('SkYSPark Data_w Will''s Data'!$D$3:$D$782="Main Campus")))</f>
        <v>0.89773051192596731</v>
      </c>
      <c r="F9" s="231" cm="1">
        <f t="array" ref="F9">MEDIAN(_xlfn._xlws.FILTER('SkYSPark Data_w Will''s Data'!$P$3:$P$782,('SkYSPark Data_w Will''s Data'!$F$3:$F$782=$B9)*('SkYSPark Data_w Will''s Data'!$B$3:$B$782=$A9)*('SkYSPark Data_w Will''s Data'!$AB$3:$AB$782=FALSE)*('SkYSPark Data_w Will''s Data'!$D$3:$D$782="Main Campus")))</f>
        <v>1.963405134393005</v>
      </c>
      <c r="H9" cm="1">
        <f t="array" ref="H9">MEDIAN(_xlfn._xlws.FILTER('SkYSPark Data_w Will''s Data'!$M$3:$M$782,('SkYSPark Data_w Will''s Data'!$F$3:$F$782=$B9)*('SkYSPark Data_w Will''s Data'!$B$3:$B$782=$A9)*('SkYSPark Data_w Will''s Data'!$Z$3:$Z$782=FALSE)*('SkYSPark Data_w Will''s Data'!$D$3:$D$782&lt;&gt;"Main Campus")))</f>
        <v>0.6554371537348469</v>
      </c>
      <c r="I9" cm="1">
        <f t="array" ref="I9">MEDIAN(_xlfn._xlws.FILTER('SkYSPark Data_w Will''s Data'!$N$3:$N$782,('SkYSPark Data_w Will''s Data'!$F$3:$F$782=$B9)*('SkYSPark Data_w Will''s Data'!$B$3:$B$782=$A9)*('SkYSPark Data_w Will''s Data'!$N$3:$N$782&gt;0)*('SkYSPark Data_w Will''s Data'!$D$3:$D$782&lt;&gt;"Main Campus")))</f>
        <v>9.9345604369385221E-2</v>
      </c>
      <c r="T9" s="222">
        <f>SUMIFS('SkYSPark Data_w Will''s Data'!$E$3:$E$782,'SkYSPark Data_w Will''s Data'!$B$3:$B$782,'Median Monthly EUIs'!A9,'SkYSPark Data_w Will''s Data'!$F$3:$F$782,'Median Monthly EUIs'!B9,'SkYSPark Data_w Will''s Data'!$AA$3:$AA$782,FALSE)</f>
        <v>1129862</v>
      </c>
      <c r="U9" s="223">
        <f>SUMIFS('SkYSPark Data_w Will''s Data'!$J$3:$J$782,'SkYSPark Data_w Will''s Data'!$B$3:$B$782,'Median Monthly EUIs'!A9,'SkYSPark Data_w Will''s Data'!$F$3:$F$782,'Median Monthly EUIs'!B9,'SkYSPark Data_w Will''s Data'!$AA$3:$AA$782,FALSE)</f>
        <v>15748.458154349324</v>
      </c>
      <c r="V9" s="136">
        <f t="shared" si="0"/>
        <v>1.3938390842730639</v>
      </c>
      <c r="AB9" s="218"/>
      <c r="AH9" s="218"/>
      <c r="AN9" s="218"/>
    </row>
    <row r="10" spans="1:42" x14ac:dyDescent="0.3">
      <c r="A10" s="3">
        <v>8</v>
      </c>
      <c r="B10" s="3" t="s">
        <v>127</v>
      </c>
      <c r="C10" s="231" cm="1">
        <f t="array" ref="C10">MEDIAN(_xlfn._xlws.FILTER('SkYSPark Data_w Will''s Data'!$M$3:$M$782,('SkYSPark Data_w Will''s Data'!$F$3:$F$782=$B10)*('SkYSPark Data_w Will''s Data'!$B$3:$B$782=$A10)*('SkYSPark Data_w Will''s Data'!$Z$3:$Z$782=FALSE)*('SkYSPark Data_w Will''s Data'!$D$3:$D$782="Main Campus")))</f>
        <v>2.1495090710549518</v>
      </c>
      <c r="D10" s="231" cm="1">
        <f t="array" ref="D10">MEDIAN(_xlfn._xlws.FILTER('SkYSPark Data_w Will''s Data'!$N$3:$N$782,('SkYSPark Data_w Will''s Data'!$F$3:$F$782=$B10)*('SkYSPark Data_w Will''s Data'!$B$3:$B$782=$A10)*('SkYSPark Data_w Will''s Data'!$N$3:$N$782&gt;0)*('SkYSPark Data_w Will''s Data'!$D$3:$D$782="Main Campus")))</f>
        <v>6.3037638227902565E-2</v>
      </c>
      <c r="E10" s="231" cm="1">
        <f t="array" ref="E10">MEDIAN(_xlfn._xlws.FILTER('SkYSPark Data_w Will''s Data'!$O$3:$O$782,('SkYSPark Data_w Will''s Data'!$F$3:$F$782=$B10)*('SkYSPark Data_w Will''s Data'!$B$3:$B$782=$A10)*('SkYSPark Data_w Will''s Data'!$AA$3:$AA$782=FALSE)*('SkYSPark Data_w Will''s Data'!$D$3:$D$782="Main Campus")))</f>
        <v>0.4048460596832979</v>
      </c>
      <c r="F10" s="231" cm="1">
        <f t="array" ref="F10">MEDIAN(_xlfn._xlws.FILTER('SkYSPark Data_w Will''s Data'!$P$3:$P$782,('SkYSPark Data_w Will''s Data'!$F$3:$F$782=$B10)*('SkYSPark Data_w Will''s Data'!$B$3:$B$782=$A10)*('SkYSPark Data_w Will''s Data'!$AB$3:$AB$782=FALSE)*('SkYSPark Data_w Will''s Data'!$D$3:$D$782="Main Campus")))</f>
        <v>3.3681192648943883</v>
      </c>
      <c r="H10" cm="1">
        <f t="array" ref="H10">MEDIAN(_xlfn._xlws.FILTER('SkYSPark Data_w Will''s Data'!$M$3:$M$782,('SkYSPark Data_w Will''s Data'!$F$3:$F$782=$B10)*('SkYSPark Data_w Will''s Data'!$B$3:$B$782=$A10)*('SkYSPark Data_w Will''s Data'!$Z$3:$Z$782=FALSE)*('SkYSPark Data_w Will''s Data'!$D$3:$D$782&lt;&gt;"Main Campus")))</f>
        <v>0.85970123160210477</v>
      </c>
      <c r="I10" cm="1">
        <f t="array" ref="I10">MEDIAN(_xlfn._xlws.FILTER('SkYSPark Data_w Will''s Data'!$N$3:$N$782,('SkYSPark Data_w Will''s Data'!$F$3:$F$782=$B10)*('SkYSPark Data_w Will''s Data'!$B$3:$B$782=$A10)*('SkYSPark Data_w Will''s Data'!$N$3:$N$782&gt;0)*('SkYSPark Data_w Will''s Data'!$D$3:$D$782&lt;&gt;"Main Campus")))</f>
        <v>0.24099673338131017</v>
      </c>
      <c r="T10" s="222">
        <f>SUMIFS('SkYSPark Data_w Will''s Data'!$E$3:$E$782,'SkYSPark Data_w Will''s Data'!$B$3:$B$782,'Median Monthly EUIs'!A10,'SkYSPark Data_w Will''s Data'!$F$3:$F$782,'Median Monthly EUIs'!B10,'SkYSPark Data_w Will''s Data'!$AA$3:$AA$782,FALSE)</f>
        <v>1129862</v>
      </c>
      <c r="U10" s="223">
        <f>SUMIFS('SkYSPark Data_w Will''s Data'!$J$3:$J$782,'SkYSPark Data_w Will''s Data'!$B$3:$B$782,'Median Monthly EUIs'!A10,'SkYSPark Data_w Will''s Data'!$F$3:$F$782,'Median Monthly EUIs'!B10,'SkYSPark Data_w Will''s Data'!$AA$3:$AA$782,FALSE)</f>
        <v>9225.8837656745327</v>
      </c>
      <c r="V10" s="136">
        <f t="shared" si="0"/>
        <v>0.8165496109856365</v>
      </c>
      <c r="AB10" s="218"/>
      <c r="AH10" s="218"/>
      <c r="AN10" s="218"/>
    </row>
    <row r="11" spans="1:42" x14ac:dyDescent="0.3">
      <c r="A11" s="3">
        <v>9</v>
      </c>
      <c r="B11" s="3" t="s">
        <v>127</v>
      </c>
      <c r="C11" s="231" cm="1">
        <f t="array" ref="C11">MEDIAN(_xlfn._xlws.FILTER('SkYSPark Data_w Will''s Data'!$M$3:$M$782,('SkYSPark Data_w Will''s Data'!$F$3:$F$782=$B11)*('SkYSPark Data_w Will''s Data'!$B$3:$B$782=$A11)*('SkYSPark Data_w Will''s Data'!$Z$3:$Z$782=FALSE)*('SkYSPark Data_w Will''s Data'!$D$3:$D$782="Main Campus")))</f>
        <v>2.4218909765578815</v>
      </c>
      <c r="D11" s="231" cm="1">
        <f t="array" ref="D11">MEDIAN(_xlfn._xlws.FILTER('SkYSPark Data_w Will''s Data'!$N$3:$N$782,('SkYSPark Data_w Will''s Data'!$F$3:$F$782=$B11)*('SkYSPark Data_w Will''s Data'!$B$3:$B$782=$A11)*('SkYSPark Data_w Will''s Data'!$N$3:$N$782&gt;0)*('SkYSPark Data_w Will''s Data'!$D$3:$D$782="Main Campus")))</f>
        <v>8.1856373355065126E-2</v>
      </c>
      <c r="E11" s="231" cm="1">
        <f t="array" ref="E11">MEDIAN(_xlfn._xlws.FILTER('SkYSPark Data_w Will''s Data'!$O$3:$O$782,('SkYSPark Data_w Will''s Data'!$F$3:$F$782=$B11)*('SkYSPark Data_w Will''s Data'!$B$3:$B$782=$A11)*('SkYSPark Data_w Will''s Data'!$AA$3:$AA$782=FALSE)*('SkYSPark Data_w Will''s Data'!$D$3:$D$782="Main Campus")))</f>
        <v>0.75581341260031332</v>
      </c>
      <c r="F11" s="231" cm="1">
        <f t="array" ref="F11">MEDIAN(_xlfn._xlws.FILTER('SkYSPark Data_w Will''s Data'!$P$3:$P$782,('SkYSPark Data_w Will''s Data'!$F$3:$F$782=$B11)*('SkYSPark Data_w Will''s Data'!$B$3:$B$782=$A11)*('SkYSPark Data_w Will''s Data'!$AB$3:$AB$782=FALSE)*('SkYSPark Data_w Will''s Data'!$D$3:$D$782="Main Campus")))</f>
        <v>2.5378433554157587</v>
      </c>
      <c r="H11" cm="1">
        <f t="array" ref="H11">MEDIAN(_xlfn._xlws.FILTER('SkYSPark Data_w Will''s Data'!$M$3:$M$782,('SkYSPark Data_w Will''s Data'!$F$3:$F$782=$B11)*('SkYSPark Data_w Will''s Data'!$B$3:$B$782=$A11)*('SkYSPark Data_w Will''s Data'!$Z$3:$Z$782=FALSE)*('SkYSPark Data_w Will''s Data'!$D$3:$D$782&lt;&gt;"Main Campus")))</f>
        <v>0.89042951900136624</v>
      </c>
      <c r="I11" cm="1">
        <f t="array" ref="I11">MEDIAN(_xlfn._xlws.FILTER('SkYSPark Data_w Will''s Data'!$N$3:$N$782,('SkYSPark Data_w Will''s Data'!$F$3:$F$782=$B11)*('SkYSPark Data_w Will''s Data'!$B$3:$B$782=$A11)*('SkYSPark Data_w Will''s Data'!$N$3:$N$782&gt;0)*('SkYSPark Data_w Will''s Data'!$D$3:$D$782&lt;&gt;"Main Campus")))</f>
        <v>0.4406858561564107</v>
      </c>
      <c r="T11" s="222">
        <f>SUMIFS('SkYSPark Data_w Will''s Data'!$E$3:$E$782,'SkYSPark Data_w Will''s Data'!$B$3:$B$782,'Median Monthly EUIs'!A11,'SkYSPark Data_w Will''s Data'!$F$3:$F$782,'Median Monthly EUIs'!B11,'SkYSPark Data_w Will''s Data'!$AA$3:$AA$782,FALSE)</f>
        <v>1129862</v>
      </c>
      <c r="U11" s="223">
        <f>SUMIFS('SkYSPark Data_w Will''s Data'!$J$3:$J$782,'SkYSPark Data_w Will''s Data'!$B$3:$B$782,'Median Monthly EUIs'!A11,'SkYSPark Data_w Will''s Data'!$F$3:$F$782,'Median Monthly EUIs'!B11,'SkYSPark Data_w Will''s Data'!$AA$3:$AA$782,FALSE)</f>
        <v>10301.458810110717</v>
      </c>
      <c r="V11" s="136">
        <f t="shared" si="0"/>
        <v>0.91174486885218864</v>
      </c>
      <c r="AB11" s="218"/>
      <c r="AH11" s="218"/>
      <c r="AN11" s="218"/>
    </row>
    <row r="12" spans="1:42" x14ac:dyDescent="0.3">
      <c r="A12" s="3">
        <v>10</v>
      </c>
      <c r="B12" s="3" t="s">
        <v>127</v>
      </c>
      <c r="C12" s="231" cm="1">
        <f t="array" ref="C12">MEDIAN(_xlfn._xlws.FILTER('SkYSPark Data_w Will''s Data'!$M$3:$M$782,('SkYSPark Data_w Will''s Data'!$F$3:$F$782=$B12)*('SkYSPark Data_w Will''s Data'!$B$3:$B$782=$A12)*('SkYSPark Data_w Will''s Data'!$Z$3:$Z$782=FALSE)*('SkYSPark Data_w Will''s Data'!$D$3:$D$782="Main Campus")))</f>
        <v>2.5765556995765655</v>
      </c>
      <c r="D12" s="231" cm="1">
        <f t="array" ref="D12">MEDIAN(_xlfn._xlws.FILTER('SkYSPark Data_w Will''s Data'!$N$3:$N$782,('SkYSPark Data_w Will''s Data'!$F$3:$F$782=$B12)*('SkYSPark Data_w Will''s Data'!$B$3:$B$782=$A12)*('SkYSPark Data_w Will''s Data'!$N$3:$N$782&gt;0)*('SkYSPark Data_w Will''s Data'!$D$3:$D$782="Main Campus")))</f>
        <v>8.0854878831823962E-2</v>
      </c>
      <c r="E12" s="231" cm="1">
        <f t="array" ref="E12">MEDIAN(_xlfn._xlws.FILTER('SkYSPark Data_w Will''s Data'!$O$3:$O$782,('SkYSPark Data_w Will''s Data'!$F$3:$F$782=$B12)*('SkYSPark Data_w Will''s Data'!$B$3:$B$782=$A12)*('SkYSPark Data_w Will''s Data'!$AA$3:$AA$782=FALSE)*('SkYSPark Data_w Will''s Data'!$D$3:$D$782="Main Campus")))</f>
        <v>1.9071183306808699</v>
      </c>
      <c r="F12" s="231" cm="1">
        <f t="array" ref="F12">MEDIAN(_xlfn._xlws.FILTER('SkYSPark Data_w Will''s Data'!$P$3:$P$782,('SkYSPark Data_w Will''s Data'!$F$3:$F$782=$B12)*('SkYSPark Data_w Will''s Data'!$B$3:$B$782=$A12)*('SkYSPark Data_w Will''s Data'!$AB$3:$AB$782=FALSE)*('SkYSPark Data_w Will''s Data'!$D$3:$D$782="Main Campus")))</f>
        <v>2.5539966610704474</v>
      </c>
      <c r="H12" cm="1">
        <f t="array" ref="H12">MEDIAN(_xlfn._xlws.FILTER('SkYSPark Data_w Will''s Data'!$M$3:$M$782,('SkYSPark Data_w Will''s Data'!$F$3:$F$782=$B12)*('SkYSPark Data_w Will''s Data'!$B$3:$B$782=$A12)*('SkYSPark Data_w Will''s Data'!$Z$3:$Z$782=FALSE)*('SkYSPark Data_w Will''s Data'!$D$3:$D$782&lt;&gt;"Main Campus")))</f>
        <v>0.67132997398054139</v>
      </c>
      <c r="I12" cm="1">
        <f t="array" ref="I12">MEDIAN(_xlfn._xlws.FILTER('SkYSPark Data_w Will''s Data'!$N$3:$N$782,('SkYSPark Data_w Will''s Data'!$F$3:$F$782=$B12)*('SkYSPark Data_w Will''s Data'!$B$3:$B$782=$A12)*('SkYSPark Data_w Will''s Data'!$N$3:$N$782&gt;0)*('SkYSPark Data_w Will''s Data'!$D$3:$D$782&lt;&gt;"Main Campus")))</f>
        <v>0.23832886015550486</v>
      </c>
      <c r="T12" s="222">
        <f>SUMIFS('SkYSPark Data_w Will''s Data'!$E$3:$E$782,'SkYSPark Data_w Will''s Data'!$B$3:$B$782,'Median Monthly EUIs'!A12,'SkYSPark Data_w Will''s Data'!$F$3:$F$782,'Median Monthly EUIs'!B12,'SkYSPark Data_w Will''s Data'!$AA$3:$AA$782,FALSE)</f>
        <v>1129862</v>
      </c>
      <c r="U12" s="223">
        <f>SUMIFS('SkYSPark Data_w Will''s Data'!$J$3:$J$782,'SkYSPark Data_w Will''s Data'!$B$3:$B$782,'Median Monthly EUIs'!A12,'SkYSPark Data_w Will''s Data'!$F$3:$F$782,'Median Monthly EUIs'!B12,'SkYSPark Data_w Will''s Data'!$AA$3:$AA$782,FALSE)</f>
        <v>23594.388850603485</v>
      </c>
      <c r="V12" s="136">
        <f t="shared" si="0"/>
        <v>2.0882540390422446</v>
      </c>
      <c r="AB12" s="218"/>
      <c r="AH12" s="218"/>
      <c r="AN12" s="218"/>
    </row>
    <row r="13" spans="1:42" x14ac:dyDescent="0.3">
      <c r="A13" s="3">
        <v>11</v>
      </c>
      <c r="B13" s="3" t="s">
        <v>127</v>
      </c>
      <c r="C13" s="231" cm="1">
        <f t="array" ref="C13">MEDIAN(_xlfn._xlws.FILTER('SkYSPark Data_w Will''s Data'!$M$3:$M$782,('SkYSPark Data_w Will''s Data'!$F$3:$F$782=$B13)*('SkYSPark Data_w Will''s Data'!$B$3:$B$782=$A13)*('SkYSPark Data_w Will''s Data'!$Z$3:$Z$782=FALSE)*('SkYSPark Data_w Will''s Data'!$D$3:$D$782="Main Campus")))</f>
        <v>2.3753517087686973</v>
      </c>
      <c r="D13" s="231" cm="1">
        <f t="array" ref="D13">MEDIAN(_xlfn._xlws.FILTER('SkYSPark Data_w Will''s Data'!$N$3:$N$782,('SkYSPark Data_w Will''s Data'!$F$3:$F$782=$B13)*('SkYSPark Data_w Will''s Data'!$B$3:$B$782=$A13)*('SkYSPark Data_w Will''s Data'!$N$3:$N$782&gt;0)*('SkYSPark Data_w Will''s Data'!$D$3:$D$782="Main Campus")))</f>
        <v>7.2159382870686378E-2</v>
      </c>
      <c r="E13" s="231" cm="1">
        <f t="array" ref="E13">MEDIAN(_xlfn._xlws.FILTER('SkYSPark Data_w Will''s Data'!$O$3:$O$782,('SkYSPark Data_w Will''s Data'!$F$3:$F$782=$B13)*('SkYSPark Data_w Will''s Data'!$B$3:$B$782=$A13)*('SkYSPark Data_w Will''s Data'!$AA$3:$AA$782=FALSE)*('SkYSPark Data_w Will''s Data'!$D$3:$D$782="Main Campus")))</f>
        <v>3.7098629628852757</v>
      </c>
      <c r="F13" s="231" cm="1">
        <f t="array" ref="F13">MEDIAN(_xlfn._xlws.FILTER('SkYSPark Data_w Will''s Data'!$P$3:$P$782,('SkYSPark Data_w Will''s Data'!$F$3:$F$782=$B13)*('SkYSPark Data_w Will''s Data'!$B$3:$B$782=$A13)*('SkYSPark Data_w Will''s Data'!$AB$3:$AB$782=FALSE)*('SkYSPark Data_w Will''s Data'!$D$3:$D$782="Main Campus")))</f>
        <v>0.93839395085973054</v>
      </c>
      <c r="H13" cm="1">
        <f t="array" ref="H13">MEDIAN(_xlfn._xlws.FILTER('SkYSPark Data_w Will''s Data'!$M$3:$M$782,('SkYSPark Data_w Will''s Data'!$F$3:$F$782=$B13)*('SkYSPark Data_w Will''s Data'!$B$3:$B$782=$A13)*('SkYSPark Data_w Will''s Data'!$Z$3:$Z$782=FALSE)*('SkYSPark Data_w Will''s Data'!$D$3:$D$782&lt;&gt;"Main Campus")))</f>
        <v>0.57744716936989637</v>
      </c>
      <c r="I13" cm="1">
        <f t="array" ref="I13">MEDIAN(_xlfn._xlws.FILTER('SkYSPark Data_w Will''s Data'!$N$3:$N$782,('SkYSPark Data_w Will''s Data'!$F$3:$F$782=$B13)*('SkYSPark Data_w Will''s Data'!$B$3:$B$782=$A13)*('SkYSPark Data_w Will''s Data'!$N$3:$N$782&gt;0)*('SkYSPark Data_w Will''s Data'!$D$3:$D$782&lt;&gt;"Main Campus")))</f>
        <v>0.30308726757425242</v>
      </c>
      <c r="T13" s="222">
        <f>SUMIFS('SkYSPark Data_w Will''s Data'!$E$3:$E$782,'SkYSPark Data_w Will''s Data'!$B$3:$B$782,'Median Monthly EUIs'!A13,'SkYSPark Data_w Will''s Data'!$F$3:$F$782,'Median Monthly EUIs'!B13,'SkYSPark Data_w Will''s Data'!$AA$3:$AA$782,FALSE)</f>
        <v>1129862</v>
      </c>
      <c r="U13" s="223">
        <f>SUMIFS('SkYSPark Data_w Will''s Data'!$J$3:$J$782,'SkYSPark Data_w Will''s Data'!$B$3:$B$782,'Median Monthly EUIs'!A13,'SkYSPark Data_w Will''s Data'!$F$3:$F$782,'Median Monthly EUIs'!B13,'SkYSPark Data_w Will''s Data'!$AA$3:$AA$782,FALSE)</f>
        <v>41281.911262659174</v>
      </c>
      <c r="V13" s="136">
        <f t="shared" si="0"/>
        <v>3.6537126890415976</v>
      </c>
      <c r="AB13" s="218"/>
      <c r="AH13" s="218"/>
      <c r="AN13" s="218"/>
    </row>
    <row r="14" spans="1:42" ht="15" thickBot="1" x14ac:dyDescent="0.35">
      <c r="A14" s="3">
        <v>12</v>
      </c>
      <c r="B14" s="3" t="s">
        <v>127</v>
      </c>
      <c r="C14" s="231" cm="1">
        <f t="array" ref="C14">MEDIAN(_xlfn._xlws.FILTER('SkYSPark Data_w Will''s Data'!$M$3:$M$782,('SkYSPark Data_w Will''s Data'!$F$3:$F$782=$B14)*('SkYSPark Data_w Will''s Data'!$B$3:$B$782=$A14)*('SkYSPark Data_w Will''s Data'!$Z$3:$Z$782=FALSE)*('SkYSPark Data_w Will''s Data'!$D$3:$D$782="Main Campus")))</f>
        <v>2.3840092218259192</v>
      </c>
      <c r="D14" s="231" cm="1">
        <f t="array" ref="D14">MEDIAN(_xlfn._xlws.FILTER('SkYSPark Data_w Will''s Data'!$N$3:$N$782,('SkYSPark Data_w Will''s Data'!$F$3:$F$782=$B14)*('SkYSPark Data_w Will''s Data'!$B$3:$B$782=$A14)*('SkYSPark Data_w Will''s Data'!$N$3:$N$782&gt;0)*('SkYSPark Data_w Will''s Data'!$D$3:$D$782="Main Campus")))</f>
        <v>6.5219444420264366E-2</v>
      </c>
      <c r="E14" s="231" cm="1">
        <f t="array" ref="E14">MEDIAN(_xlfn._xlws.FILTER('SkYSPark Data_w Will''s Data'!$O$3:$O$782,('SkYSPark Data_w Will''s Data'!$F$3:$F$782=$B14)*('SkYSPark Data_w Will''s Data'!$B$3:$B$782=$A14)*('SkYSPark Data_w Will''s Data'!$AA$3:$AA$782=FALSE)*('SkYSPark Data_w Will''s Data'!$D$3:$D$782="Main Campus")))</f>
        <v>3.2390210913042212</v>
      </c>
      <c r="F14" s="231" cm="1">
        <f t="array" ref="F14">MEDIAN(_xlfn._xlws.FILTER('SkYSPark Data_w Will''s Data'!$P$3:$P$782,('SkYSPark Data_w Will''s Data'!$F$3:$F$782=$B14)*('SkYSPark Data_w Will''s Data'!$B$3:$B$782=$A14)*('SkYSPark Data_w Will''s Data'!$AB$3:$AB$782=FALSE)*('SkYSPark Data_w Will''s Data'!$D$3:$D$782="Main Campus")))</f>
        <v>0.72033548610352116</v>
      </c>
      <c r="H14" cm="1">
        <f t="array" ref="H14">MEDIAN(_xlfn._xlws.FILTER('SkYSPark Data_w Will''s Data'!$M$3:$M$782,('SkYSPark Data_w Will''s Data'!$F$3:$F$782=$B14)*('SkYSPark Data_w Will''s Data'!$B$3:$B$782=$A14)*('SkYSPark Data_w Will''s Data'!$Z$3:$Z$782=FALSE)*('SkYSPark Data_w Will''s Data'!$D$3:$D$782&lt;&gt;"Main Campus")))</f>
        <v>0.50552850456660414</v>
      </c>
      <c r="I14" cm="1">
        <f t="array" ref="I14">MEDIAN(_xlfn._xlws.FILTER('SkYSPark Data_w Will''s Data'!$N$3:$N$782,('SkYSPark Data_w Will''s Data'!$F$3:$F$782=$B14)*('SkYSPark Data_w Will''s Data'!$B$3:$B$782=$A14)*('SkYSPark Data_w Will''s Data'!$N$3:$N$782&gt;0)*('SkYSPark Data_w Will''s Data'!$D$3:$D$782&lt;&gt;"Main Campus")))</f>
        <v>0.50039673501426529</v>
      </c>
      <c r="T14" s="224">
        <f>SUMIFS('SkYSPark Data_w Will''s Data'!$E$3:$E$782,'SkYSPark Data_w Will''s Data'!$B$3:$B$782,'Median Monthly EUIs'!A14,'SkYSPark Data_w Will''s Data'!$F$3:$F$782,'Median Monthly EUIs'!B14,'SkYSPark Data_w Will''s Data'!$AA$3:$AA$782,FALSE)</f>
        <v>1129862</v>
      </c>
      <c r="U14" s="225">
        <f>SUMIFS('SkYSPark Data_w Will''s Data'!$J$3:$J$782,'SkYSPark Data_w Will''s Data'!$B$3:$B$782,'Median Monthly EUIs'!A14,'SkYSPark Data_w Will''s Data'!$F$3:$F$782,'Median Monthly EUIs'!B14,'SkYSPark Data_w Will''s Data'!$AA$3:$AA$782,FALSE)</f>
        <v>48360.940352556601</v>
      </c>
      <c r="V14" s="216">
        <f t="shared" si="0"/>
        <v>4.2802519557748298</v>
      </c>
      <c r="AB14" s="218"/>
      <c r="AH14" s="218"/>
      <c r="AN14" s="218"/>
    </row>
    <row r="15" spans="1:42" x14ac:dyDescent="0.3">
      <c r="A15" s="3">
        <v>1</v>
      </c>
      <c r="B15" s="3" t="s">
        <v>123</v>
      </c>
      <c r="C15" s="231" cm="1">
        <f t="array" ref="C15">MEDIAN(_xlfn._xlws.FILTER('SkYSPark Data_w Will''s Data'!$M$3:$M$782,('SkYSPark Data_w Will''s Data'!$F$3:$F$782=$B15)*('SkYSPark Data_w Will''s Data'!$B$3:$B$782=$A15)*('SkYSPark Data_w Will''s Data'!$Z$3:$Z$782=FALSE)*('SkYSPark Data_w Will''s Data'!$D$3:$D$782="Main Campus")))</f>
        <v>2.3333315624275537</v>
      </c>
      <c r="D15" s="231" cm="1">
        <f t="array" ref="D15">MEDIAN(_xlfn._xlws.FILTER('SkYSPark Data_w Will''s Data'!$N$3:$N$782,('SkYSPark Data_w Will''s Data'!$F$3:$F$782=$B15)*('SkYSPark Data_w Will''s Data'!$B$3:$B$782=$A15)*('SkYSPark Data_w Will''s Data'!$N$3:$N$782&gt;0)*('SkYSPark Data_w Will''s Data'!$D$3:$D$782="Main Campus")))</f>
        <v>1.3880945307127903</v>
      </c>
      <c r="E15" s="231" cm="1">
        <f t="array" ref="E15">MEDIAN(_xlfn._xlws.FILTER('SkYSPark Data_w Will''s Data'!$O$3:$O$782,('SkYSPark Data_w Will''s Data'!$F$3:$F$782=$B15)*('SkYSPark Data_w Will''s Data'!$B$3:$B$782=$A15)*('SkYSPark Data_w Will''s Data'!$AA$3:$AA$782=FALSE)*('SkYSPark Data_w Will''s Data'!$D$3:$D$782="Main Campus")))</f>
        <v>4.3145621747598639</v>
      </c>
      <c r="F15" s="231" cm="1">
        <f t="array" ref="F15">MEDIAN(_xlfn._xlws.FILTER('SkYSPark Data_w Will''s Data'!$P$3:$P$782,('SkYSPark Data_w Will''s Data'!$F$3:$F$782=$B15)*('SkYSPark Data_w Will''s Data'!$B$3:$B$782=$A15)*('SkYSPark Data_w Will''s Data'!$AB$3:$AB$782=FALSE)*('SkYSPark Data_w Will''s Data'!$D$3:$D$782="Main Campus")))</f>
        <v>0.4336841836968468</v>
      </c>
      <c r="H15" cm="1">
        <f t="array" ref="H15">MEDIAN(_xlfn._xlws.FILTER('SkYSPark Data_w Will''s Data'!$M$3:$M$782,('SkYSPark Data_w Will''s Data'!$F$3:$F$782=$B15)*('SkYSPark Data_w Will''s Data'!$B$3:$B$782=$A15)*('SkYSPark Data_w Will''s Data'!$Z$3:$Z$782=FALSE)*('SkYSPark Data_w Will''s Data'!$D$3:$D$782&lt;&gt;"Main Campus")))</f>
        <v>2.327243727670973</v>
      </c>
      <c r="I15" cm="1">
        <f t="array" ref="I15">MEDIAN(_xlfn._xlws.FILTER('SkYSPark Data_w Will''s Data'!$N$3:$N$782,('SkYSPark Data_w Will''s Data'!$F$3:$F$782=$B15)*('SkYSPark Data_w Will''s Data'!$B$3:$B$782=$A15)*('SkYSPark Data_w Will''s Data'!$N$3:$N$782&gt;0)*('SkYSPark Data_w Will''s Data'!$D$3:$D$782&lt;&gt;"Main Campus")))</f>
        <v>6.1842431202990866</v>
      </c>
    </row>
    <row r="16" spans="1:42" x14ac:dyDescent="0.3">
      <c r="A16" s="3">
        <v>2</v>
      </c>
      <c r="B16" s="3" t="s">
        <v>123</v>
      </c>
      <c r="C16" s="231" cm="1">
        <f t="array" ref="C16">MEDIAN(_xlfn._xlws.FILTER('SkYSPark Data_w Will''s Data'!$M$3:$M$782,('SkYSPark Data_w Will''s Data'!$F$3:$F$782=$B16)*('SkYSPark Data_w Will''s Data'!$B$3:$B$782=$A16)*('SkYSPark Data_w Will''s Data'!$Z$3:$Z$782=FALSE)*('SkYSPark Data_w Will''s Data'!$D$3:$D$782="Main Campus")))</f>
        <v>2.2164341913167638</v>
      </c>
      <c r="D16" s="231" cm="1">
        <f t="array" ref="D16">MEDIAN(_xlfn._xlws.FILTER('SkYSPark Data_w Will''s Data'!$N$3:$N$782,('SkYSPark Data_w Will''s Data'!$F$3:$F$782=$B16)*('SkYSPark Data_w Will''s Data'!$B$3:$B$782=$A16)*('SkYSPark Data_w Will''s Data'!$N$3:$N$782&gt;0)*('SkYSPark Data_w Will''s Data'!$D$3:$D$782="Main Campus")))</f>
        <v>1.6612512359668992</v>
      </c>
      <c r="E16" s="231" cm="1">
        <f t="array" ref="E16">MEDIAN(_xlfn._xlws.FILTER('SkYSPark Data_w Will''s Data'!$O$3:$O$782,('SkYSPark Data_w Will''s Data'!$F$3:$F$782=$B16)*('SkYSPark Data_w Will''s Data'!$B$3:$B$782=$A16)*('SkYSPark Data_w Will''s Data'!$AA$3:$AA$782=FALSE)*('SkYSPark Data_w Will''s Data'!$D$3:$D$782="Main Campus")))</f>
        <v>4.1985887096774404</v>
      </c>
      <c r="F16" s="231" cm="1">
        <f t="array" ref="F16">MEDIAN(_xlfn._xlws.FILTER('SkYSPark Data_w Will''s Data'!$P$3:$P$782,('SkYSPark Data_w Will''s Data'!$F$3:$F$782=$B16)*('SkYSPark Data_w Will''s Data'!$B$3:$B$782=$A16)*('SkYSPark Data_w Will''s Data'!$AB$3:$AB$782=FALSE)*('SkYSPark Data_w Will''s Data'!$D$3:$D$782="Main Campus")))</f>
        <v>0.34485540574596552</v>
      </c>
      <c r="H16" cm="1">
        <f t="array" ref="H16">MEDIAN(_xlfn._xlws.FILTER('SkYSPark Data_w Will''s Data'!$M$3:$M$782,('SkYSPark Data_w Will''s Data'!$F$3:$F$782=$B16)*('SkYSPark Data_w Will''s Data'!$B$3:$B$782=$A16)*('SkYSPark Data_w Will''s Data'!$Z$3:$Z$782=FALSE)*('SkYSPark Data_w Will''s Data'!$D$3:$D$782&lt;&gt;"Main Campus")))</f>
        <v>2.2402518582189646</v>
      </c>
      <c r="I16" cm="1">
        <f t="array" ref="I16">MEDIAN(_xlfn._xlws.FILTER('SkYSPark Data_w Will''s Data'!$N$3:$N$782,('SkYSPark Data_w Will''s Data'!$F$3:$F$782=$B16)*('SkYSPark Data_w Will''s Data'!$B$3:$B$782=$A16)*('SkYSPark Data_w Will''s Data'!$N$3:$N$782&gt;0)*('SkYSPark Data_w Will''s Data'!$D$3:$D$782&lt;&gt;"Main Campus")))</f>
        <v>6.2301701733472781</v>
      </c>
    </row>
    <row r="17" spans="1:9" x14ac:dyDescent="0.3">
      <c r="A17" s="3">
        <v>3</v>
      </c>
      <c r="B17" s="3" t="s">
        <v>123</v>
      </c>
      <c r="C17" s="231" cm="1">
        <f t="array" ref="C17">MEDIAN(_xlfn._xlws.FILTER('SkYSPark Data_w Will''s Data'!$M$3:$M$782,('SkYSPark Data_w Will''s Data'!$F$3:$F$782=$B17)*('SkYSPark Data_w Will''s Data'!$B$3:$B$782=$A17)*('SkYSPark Data_w Will''s Data'!$Z$3:$Z$782=FALSE)*('SkYSPark Data_w Will''s Data'!$D$3:$D$782="Main Campus")))</f>
        <v>2.334379505000677</v>
      </c>
      <c r="D17" s="231" cm="1">
        <f t="array" ref="D17">MEDIAN(_xlfn._xlws.FILTER('SkYSPark Data_w Will''s Data'!$N$3:$N$782,('SkYSPark Data_w Will''s Data'!$F$3:$F$782=$B17)*('SkYSPark Data_w Will''s Data'!$B$3:$B$782=$A17)*('SkYSPark Data_w Will''s Data'!$N$3:$N$782&gt;0)*('SkYSPark Data_w Will''s Data'!$D$3:$D$782="Main Campus")))</f>
        <v>1.3571177949673494</v>
      </c>
      <c r="E17" s="231" cm="1">
        <f t="array" ref="E17">MEDIAN(_xlfn._xlws.FILTER('SkYSPark Data_w Will''s Data'!$O$3:$O$782,('SkYSPark Data_w Will''s Data'!$F$3:$F$782=$B17)*('SkYSPark Data_w Will''s Data'!$B$3:$B$782=$A17)*('SkYSPark Data_w Will''s Data'!$AA$3:$AA$782=FALSE)*('SkYSPark Data_w Will''s Data'!$D$3:$D$782="Main Campus")))</f>
        <v>3.6509144575882844</v>
      </c>
      <c r="F17" s="231" cm="1">
        <f t="array" ref="F17">MEDIAN(_xlfn._xlws.FILTER('SkYSPark Data_w Will''s Data'!$P$3:$P$782,('SkYSPark Data_w Will''s Data'!$F$3:$F$782=$B17)*('SkYSPark Data_w Will''s Data'!$B$3:$B$782=$A17)*('SkYSPark Data_w Will''s Data'!$AB$3:$AB$782=FALSE)*('SkYSPark Data_w Will''s Data'!$D$3:$D$782="Main Campus")))</f>
        <v>0.60339378579521075</v>
      </c>
      <c r="H17" cm="1">
        <f t="array" ref="H17">MEDIAN(_xlfn._xlws.FILTER('SkYSPark Data_w Will''s Data'!$M$3:$M$782,('SkYSPark Data_w Will''s Data'!$F$3:$F$782=$B17)*('SkYSPark Data_w Will''s Data'!$B$3:$B$782=$A17)*('SkYSPark Data_w Will''s Data'!$Z$3:$Z$782=FALSE)*('SkYSPark Data_w Will''s Data'!$D$3:$D$782&lt;&gt;"Main Campus")))</f>
        <v>2.33181524356606</v>
      </c>
      <c r="I17" cm="1">
        <f t="array" ref="I17">MEDIAN(_xlfn._xlws.FILTER('SkYSPark Data_w Will''s Data'!$N$3:$N$782,('SkYSPark Data_w Will''s Data'!$F$3:$F$782=$B17)*('SkYSPark Data_w Will''s Data'!$B$3:$B$782=$A17)*('SkYSPark Data_w Will''s Data'!$N$3:$N$782&gt;0)*('SkYSPark Data_w Will''s Data'!$D$3:$D$782&lt;&gt;"Main Campus")))</f>
        <v>6.4114210530634965</v>
      </c>
    </row>
    <row r="18" spans="1:9" x14ac:dyDescent="0.3">
      <c r="A18" s="3">
        <v>4</v>
      </c>
      <c r="B18" s="3" t="s">
        <v>123</v>
      </c>
      <c r="C18" s="231" cm="1">
        <f t="array" ref="C18">MEDIAN(_xlfn._xlws.FILTER('SkYSPark Data_w Will''s Data'!$M$3:$M$782,('SkYSPark Data_w Will''s Data'!$F$3:$F$782=$B18)*('SkYSPark Data_w Will''s Data'!$B$3:$B$782=$A18)*('SkYSPark Data_w Will''s Data'!$Z$3:$Z$782=FALSE)*('SkYSPark Data_w Will''s Data'!$D$3:$D$782="Main Campus")))</f>
        <v>2.3192833014975607</v>
      </c>
      <c r="D18" s="231" cm="1">
        <f t="array" ref="D18">MEDIAN(_xlfn._xlws.FILTER('SkYSPark Data_w Will''s Data'!$N$3:$N$782,('SkYSPark Data_w Will''s Data'!$F$3:$F$782=$B18)*('SkYSPark Data_w Will''s Data'!$B$3:$B$782=$A18)*('SkYSPark Data_w Will''s Data'!$N$3:$N$782&gt;0)*('SkYSPark Data_w Will''s Data'!$D$3:$D$782="Main Campus")))</f>
        <v>0.73562933903486782</v>
      </c>
      <c r="E18" s="231" cm="1">
        <f t="array" ref="E18">MEDIAN(_xlfn._xlws.FILTER('SkYSPark Data_w Will''s Data'!$O$3:$O$782,('SkYSPark Data_w Will''s Data'!$F$3:$F$782=$B18)*('SkYSPark Data_w Will''s Data'!$B$3:$B$782=$A18)*('SkYSPark Data_w Will''s Data'!$AA$3:$AA$782=FALSE)*('SkYSPark Data_w Will''s Data'!$D$3:$D$782="Main Campus")))</f>
        <v>2.237924192791275</v>
      </c>
      <c r="F18" s="231" cm="1">
        <f t="array" ref="F18">MEDIAN(_xlfn._xlws.FILTER('SkYSPark Data_w Will''s Data'!$P$3:$P$782,('SkYSPark Data_w Will''s Data'!$F$3:$F$782=$B18)*('SkYSPark Data_w Will''s Data'!$B$3:$B$782=$A18)*('SkYSPark Data_w Will''s Data'!$AB$3:$AB$782=FALSE)*('SkYSPark Data_w Will''s Data'!$D$3:$D$782="Main Campus")))</f>
        <v>0.79634777166445891</v>
      </c>
      <c r="H18" cm="1">
        <f t="array" ref="H18">MEDIAN(_xlfn._xlws.FILTER('SkYSPark Data_w Will''s Data'!$M$3:$M$782,('SkYSPark Data_w Will''s Data'!$F$3:$F$782=$B18)*('SkYSPark Data_w Will''s Data'!$B$3:$B$782=$A18)*('SkYSPark Data_w Will''s Data'!$Z$3:$Z$782=FALSE)*('SkYSPark Data_w Will''s Data'!$D$3:$D$782&lt;&gt;"Main Campus")))</f>
        <v>2.2416888769737193</v>
      </c>
      <c r="I18" cm="1">
        <f t="array" ref="I18">MEDIAN(_xlfn._xlws.FILTER('SkYSPark Data_w Will''s Data'!$N$3:$N$782,('SkYSPark Data_w Will''s Data'!$F$3:$F$782=$B18)*('SkYSPark Data_w Will''s Data'!$B$3:$B$782=$A18)*('SkYSPark Data_w Will''s Data'!$N$3:$N$782&gt;0)*('SkYSPark Data_w Will''s Data'!$D$3:$D$782&lt;&gt;"Main Campus")))</f>
        <v>5.1592127190019275</v>
      </c>
    </row>
    <row r="19" spans="1:9" x14ac:dyDescent="0.3">
      <c r="A19" s="3">
        <v>5</v>
      </c>
      <c r="B19" s="3" t="s">
        <v>123</v>
      </c>
      <c r="C19" s="231" cm="1">
        <f t="array" ref="C19">MEDIAN(_xlfn._xlws.FILTER('SkYSPark Data_w Will''s Data'!$M$3:$M$782,('SkYSPark Data_w Will''s Data'!$F$3:$F$782=$B19)*('SkYSPark Data_w Will''s Data'!$B$3:$B$782=$A19)*('SkYSPark Data_w Will''s Data'!$Z$3:$Z$782=FALSE)*('SkYSPark Data_w Will''s Data'!$D$3:$D$782="Main Campus")))</f>
        <v>2.2122595123579583</v>
      </c>
      <c r="D19" s="231" cm="1">
        <f t="array" ref="D19">MEDIAN(_xlfn._xlws.FILTER('SkYSPark Data_w Will''s Data'!$N$3:$N$782,('SkYSPark Data_w Will''s Data'!$F$3:$F$782=$B19)*('SkYSPark Data_w Will''s Data'!$B$3:$B$782=$A19)*('SkYSPark Data_w Will''s Data'!$N$3:$N$782&gt;0)*('SkYSPark Data_w Will''s Data'!$D$3:$D$782="Main Campus")))</f>
        <v>0.47977875620662813</v>
      </c>
      <c r="E19" s="231" cm="1">
        <f t="array" ref="E19">MEDIAN(_xlfn._xlws.FILTER('SkYSPark Data_w Will''s Data'!$O$3:$O$782,('SkYSPark Data_w Will''s Data'!$F$3:$F$782=$B19)*('SkYSPark Data_w Will''s Data'!$B$3:$B$782=$A19)*('SkYSPark Data_w Will''s Data'!$AA$3:$AA$782=FALSE)*('SkYSPark Data_w Will''s Data'!$D$3:$D$782="Main Campus")))</f>
        <v>1.6674202443073693</v>
      </c>
      <c r="F19" s="231" cm="1">
        <f t="array" ref="F19">MEDIAN(_xlfn._xlws.FILTER('SkYSPark Data_w Will''s Data'!$P$3:$P$782,('SkYSPark Data_w Will''s Data'!$F$3:$F$782=$B19)*('SkYSPark Data_w Will''s Data'!$B$3:$B$782=$A19)*('SkYSPark Data_w Will''s Data'!$AB$3:$AB$782=FALSE)*('SkYSPark Data_w Will''s Data'!$D$3:$D$782="Main Campus")))</f>
        <v>0.92556653225807439</v>
      </c>
      <c r="H19" cm="1">
        <f t="array" ref="H19">MEDIAN(_xlfn._xlws.FILTER('SkYSPark Data_w Will''s Data'!$M$3:$M$782,('SkYSPark Data_w Will''s Data'!$F$3:$F$782=$B19)*('SkYSPark Data_w Will''s Data'!$B$3:$B$782=$A19)*('SkYSPark Data_w Will''s Data'!$Z$3:$Z$782=FALSE)*('SkYSPark Data_w Will''s Data'!$D$3:$D$782&lt;&gt;"Main Campus")))</f>
        <v>2.2492648781967421</v>
      </c>
      <c r="I19" cm="1">
        <f t="array" ref="I19">MEDIAN(_xlfn._xlws.FILTER('SkYSPark Data_w Will''s Data'!$N$3:$N$782,('SkYSPark Data_w Will''s Data'!$F$3:$F$782=$B19)*('SkYSPark Data_w Will''s Data'!$B$3:$B$782=$A19)*('SkYSPark Data_w Will''s Data'!$N$3:$N$782&gt;0)*('SkYSPark Data_w Will''s Data'!$D$3:$D$782&lt;&gt;"Main Campus")))</f>
        <v>3.2398024291012164</v>
      </c>
    </row>
    <row r="20" spans="1:9" x14ac:dyDescent="0.3">
      <c r="A20" s="3">
        <v>6</v>
      </c>
      <c r="B20" s="3" t="s">
        <v>123</v>
      </c>
      <c r="C20" s="231" cm="1">
        <f t="array" ref="C20">MEDIAN(_xlfn._xlws.FILTER('SkYSPark Data_w Will''s Data'!$M$3:$M$782,('SkYSPark Data_w Will''s Data'!$F$3:$F$782=$B20)*('SkYSPark Data_w Will''s Data'!$B$3:$B$782=$A20)*('SkYSPark Data_w Will''s Data'!$Z$3:$Z$782=FALSE)*('SkYSPark Data_w Will''s Data'!$D$3:$D$782="Main Campus")))</f>
        <v>2.1332655640798124</v>
      </c>
      <c r="D20" s="231" cm="1">
        <f t="array" ref="D20">MEDIAN(_xlfn._xlws.FILTER('SkYSPark Data_w Will''s Data'!$N$3:$N$782,('SkYSPark Data_w Will''s Data'!$F$3:$F$782=$B20)*('SkYSPark Data_w Will''s Data'!$B$3:$B$782=$A20)*('SkYSPark Data_w Will''s Data'!$N$3:$N$782&gt;0)*('SkYSPark Data_w Will''s Data'!$D$3:$D$782="Main Campus")))</f>
        <v>0.21621297756188226</v>
      </c>
      <c r="E20" s="231" cm="1">
        <f t="array" ref="E20">MEDIAN(_xlfn._xlws.FILTER('SkYSPark Data_w Will''s Data'!$O$3:$O$782,('SkYSPark Data_w Will''s Data'!$F$3:$F$782=$B20)*('SkYSPark Data_w Will''s Data'!$B$3:$B$782=$A20)*('SkYSPark Data_w Will''s Data'!$AA$3:$AA$782=FALSE)*('SkYSPark Data_w Will''s Data'!$D$3:$D$782="Main Campus")))</f>
        <v>1.0441359064770803</v>
      </c>
      <c r="F20" s="231" cm="1">
        <f t="array" ref="F20">MEDIAN(_xlfn._xlws.FILTER('SkYSPark Data_w Will''s Data'!$P$3:$P$782,('SkYSPark Data_w Will''s Data'!$F$3:$F$782=$B20)*('SkYSPark Data_w Will''s Data'!$B$3:$B$782=$A20)*('SkYSPark Data_w Will''s Data'!$AB$3:$AB$782=FALSE)*('SkYSPark Data_w Will''s Data'!$D$3:$D$782="Main Campus")))</f>
        <v>0.86909430935287924</v>
      </c>
      <c r="H20" cm="1">
        <f t="array" ref="H20">MEDIAN(_xlfn._xlws.FILTER('SkYSPark Data_w Will''s Data'!$M$3:$M$782,('SkYSPark Data_w Will''s Data'!$F$3:$F$782=$B20)*('SkYSPark Data_w Will''s Data'!$B$3:$B$782=$A20)*('SkYSPark Data_w Will''s Data'!$Z$3:$Z$782=FALSE)*('SkYSPark Data_w Will''s Data'!$D$3:$D$782&lt;&gt;"Main Campus")))</f>
        <v>2.4324945824767918</v>
      </c>
      <c r="I20" cm="1">
        <f t="array" ref="I20">MEDIAN(_xlfn._xlws.FILTER('SkYSPark Data_w Will''s Data'!$N$3:$N$782,('SkYSPark Data_w Will''s Data'!$F$3:$F$782=$B20)*('SkYSPark Data_w Will''s Data'!$B$3:$B$782=$A20)*('SkYSPark Data_w Will''s Data'!$N$3:$N$782&gt;0)*('SkYSPark Data_w Will''s Data'!$D$3:$D$782&lt;&gt;"Main Campus")))</f>
        <v>2.4000305718992361</v>
      </c>
    </row>
    <row r="21" spans="1:9" x14ac:dyDescent="0.3">
      <c r="A21" s="3">
        <v>7</v>
      </c>
      <c r="B21" s="3" t="s">
        <v>123</v>
      </c>
      <c r="C21" s="231" cm="1">
        <f t="array" ref="C21">MEDIAN(_xlfn._xlws.FILTER('SkYSPark Data_w Will''s Data'!$M$3:$M$782,('SkYSPark Data_w Will''s Data'!$F$3:$F$782=$B21)*('SkYSPark Data_w Will''s Data'!$B$3:$B$782=$A21)*('SkYSPark Data_w Will''s Data'!$Z$3:$Z$782=FALSE)*('SkYSPark Data_w Will''s Data'!$D$3:$D$782="Main Campus")))</f>
        <v>2.2052430904187372</v>
      </c>
      <c r="D21" s="231" cm="1">
        <f t="array" ref="D21">MEDIAN(_xlfn._xlws.FILTER('SkYSPark Data_w Will''s Data'!$N$3:$N$782,('SkYSPark Data_w Will''s Data'!$F$3:$F$782=$B21)*('SkYSPark Data_w Will''s Data'!$B$3:$B$782=$A21)*('SkYSPark Data_w Will''s Data'!$N$3:$N$782&gt;0)*('SkYSPark Data_w Will''s Data'!$D$3:$D$782="Main Campus")))</f>
        <v>0.59427558325708896</v>
      </c>
      <c r="E21" s="231" cm="1">
        <f t="array" ref="E21">MEDIAN(_xlfn._xlws.FILTER('SkYSPark Data_w Will''s Data'!$O$3:$O$782,('SkYSPark Data_w Will''s Data'!$F$3:$F$782=$B21)*('SkYSPark Data_w Will''s Data'!$B$3:$B$782=$A21)*('SkYSPark Data_w Will''s Data'!$AA$3:$AA$782=FALSE)*('SkYSPark Data_w Will''s Data'!$D$3:$D$782="Main Campus")))</f>
        <v>1.0614756173663351</v>
      </c>
      <c r="F21" s="231" cm="1">
        <f t="array" ref="F21">MEDIAN(_xlfn._xlws.FILTER('SkYSPark Data_w Will''s Data'!$P$3:$P$782,('SkYSPark Data_w Will''s Data'!$F$3:$F$782=$B21)*('SkYSPark Data_w Will''s Data'!$B$3:$B$782=$A21)*('SkYSPark Data_w Will''s Data'!$AB$3:$AB$782=FALSE)*('SkYSPark Data_w Will''s Data'!$D$3:$D$782="Main Campus")))</f>
        <v>0.98459407270356059</v>
      </c>
      <c r="H21" cm="1">
        <f t="array" ref="H21">MEDIAN(_xlfn._xlws.FILTER('SkYSPark Data_w Will''s Data'!$M$3:$M$782,('SkYSPark Data_w Will''s Data'!$F$3:$F$782=$B21)*('SkYSPark Data_w Will''s Data'!$B$3:$B$782=$A21)*('SkYSPark Data_w Will''s Data'!$Z$3:$Z$782=FALSE)*('SkYSPark Data_w Will''s Data'!$D$3:$D$782&lt;&gt;"Main Campus")))</f>
        <v>2.5243280858152417</v>
      </c>
      <c r="I21" cm="1">
        <f t="array" ref="I21">MEDIAN(_xlfn._xlws.FILTER('SkYSPark Data_w Will''s Data'!$N$3:$N$782,('SkYSPark Data_w Will''s Data'!$F$3:$F$782=$B21)*('SkYSPark Data_w Will''s Data'!$B$3:$B$782=$A21)*('SkYSPark Data_w Will''s Data'!$N$3:$N$782&gt;0)*('SkYSPark Data_w Will''s Data'!$D$3:$D$782&lt;&gt;"Main Campus")))</f>
        <v>2.5768261332886575</v>
      </c>
    </row>
    <row r="22" spans="1:9" x14ac:dyDescent="0.3">
      <c r="A22" s="3">
        <v>8</v>
      </c>
      <c r="B22" s="3" t="s">
        <v>123</v>
      </c>
      <c r="C22" s="231" cm="1">
        <f t="array" ref="C22">MEDIAN(_xlfn._xlws.FILTER('SkYSPark Data_w Will''s Data'!$M$3:$M$782,('SkYSPark Data_w Will''s Data'!$F$3:$F$782=$B22)*('SkYSPark Data_w Will''s Data'!$B$3:$B$782=$A22)*('SkYSPark Data_w Will''s Data'!$Z$3:$Z$782=FALSE)*('SkYSPark Data_w Will''s Data'!$D$3:$D$782="Main Campus")))</f>
        <v>2.3514833517459142</v>
      </c>
      <c r="D22" s="231" cm="1">
        <f t="array" ref="D22">MEDIAN(_xlfn._xlws.FILTER('SkYSPark Data_w Will''s Data'!$N$3:$N$782,('SkYSPark Data_w Will''s Data'!$F$3:$F$782=$B22)*('SkYSPark Data_w Will''s Data'!$B$3:$B$782=$A22)*('SkYSPark Data_w Will''s Data'!$N$3:$N$782&gt;0)*('SkYSPark Data_w Will''s Data'!$D$3:$D$782="Main Campus")))</f>
        <v>0.73054595707745529</v>
      </c>
      <c r="E22" s="231" cm="1">
        <f t="array" ref="E22">MEDIAN(_xlfn._xlws.FILTER('SkYSPark Data_w Will''s Data'!$O$3:$O$782,('SkYSPark Data_w Will''s Data'!$F$3:$F$782=$B22)*('SkYSPark Data_w Will''s Data'!$B$3:$B$782=$A22)*('SkYSPark Data_w Will''s Data'!$AA$3:$AA$782=FALSE)*('SkYSPark Data_w Will''s Data'!$D$3:$D$782="Main Campus")))</f>
        <v>0.82026085309596919</v>
      </c>
      <c r="F22" s="231" cm="1">
        <f t="array" ref="F22">MEDIAN(_xlfn._xlws.FILTER('SkYSPark Data_w Will''s Data'!$P$3:$P$782,('SkYSPark Data_w Will''s Data'!$F$3:$F$782=$B22)*('SkYSPark Data_w Will''s Data'!$B$3:$B$782=$A22)*('SkYSPark Data_w Will''s Data'!$AB$3:$AB$782=FALSE)*('SkYSPark Data_w Will''s Data'!$D$3:$D$782="Main Campus")))</f>
        <v>1.0184628239148361</v>
      </c>
      <c r="H22" cm="1">
        <f t="array" ref="H22">MEDIAN(_xlfn._xlws.FILTER('SkYSPark Data_w Will''s Data'!$M$3:$M$782,('SkYSPark Data_w Will''s Data'!$F$3:$F$782=$B22)*('SkYSPark Data_w Will''s Data'!$B$3:$B$782=$A22)*('SkYSPark Data_w Will''s Data'!$Z$3:$Z$782=FALSE)*('SkYSPark Data_w Will''s Data'!$D$3:$D$782&lt;&gt;"Main Campus")))</f>
        <v>3.6515145561606484</v>
      </c>
      <c r="I22" cm="1">
        <f t="array" ref="I22">MEDIAN(_xlfn._xlws.FILTER('SkYSPark Data_w Will''s Data'!$N$3:$N$782,('SkYSPark Data_w Will''s Data'!$F$3:$F$782=$B22)*('SkYSPark Data_w Will''s Data'!$B$3:$B$782=$A22)*('SkYSPark Data_w Will''s Data'!$N$3:$N$782&gt;0)*('SkYSPark Data_w Will''s Data'!$D$3:$D$782&lt;&gt;"Main Campus")))</f>
        <v>2.5461506962143168</v>
      </c>
    </row>
    <row r="23" spans="1:9" x14ac:dyDescent="0.3">
      <c r="A23" s="3">
        <v>9</v>
      </c>
      <c r="B23" s="3" t="s">
        <v>123</v>
      </c>
      <c r="C23" s="231" cm="1">
        <f t="array" ref="C23">MEDIAN(_xlfn._xlws.FILTER('SkYSPark Data_w Will''s Data'!$M$3:$M$782,('SkYSPark Data_w Will''s Data'!$F$3:$F$782=$B23)*('SkYSPark Data_w Will''s Data'!$B$3:$B$782=$A23)*('SkYSPark Data_w Will''s Data'!$Z$3:$Z$782=FALSE)*('SkYSPark Data_w Will''s Data'!$D$3:$D$782="Main Campus")))</f>
        <v>2.2189174060605579</v>
      </c>
      <c r="D23" s="231" cm="1">
        <f t="array" ref="D23">MEDIAN(_xlfn._xlws.FILTER('SkYSPark Data_w Will''s Data'!$N$3:$N$782,('SkYSPark Data_w Will''s Data'!$F$3:$F$782=$B23)*('SkYSPark Data_w Will''s Data'!$B$3:$B$782=$A23)*('SkYSPark Data_w Will''s Data'!$N$3:$N$782&gt;0)*('SkYSPark Data_w Will''s Data'!$D$3:$D$782="Main Campus")))</f>
        <v>0.47136253585316717</v>
      </c>
      <c r="E23" s="231" cm="1">
        <f t="array" ref="E23">MEDIAN(_xlfn._xlws.FILTER('SkYSPark Data_w Will''s Data'!$O$3:$O$782,('SkYSPark Data_w Will''s Data'!$F$3:$F$782=$B23)*('SkYSPark Data_w Will''s Data'!$B$3:$B$782=$A23)*('SkYSPark Data_w Will''s Data'!$AA$3:$AA$782=FALSE)*('SkYSPark Data_w Will''s Data'!$D$3:$D$782="Main Campus")))</f>
        <v>0.97433003013229924</v>
      </c>
      <c r="F23" s="231" cm="1">
        <f t="array" ref="F23">MEDIAN(_xlfn._xlws.FILTER('SkYSPark Data_w Will''s Data'!$P$3:$P$782,('SkYSPark Data_w Will''s Data'!$F$3:$F$782=$B23)*('SkYSPark Data_w Will''s Data'!$B$3:$B$782=$A23)*('SkYSPark Data_w Will''s Data'!$AB$3:$AB$782=FALSE)*('SkYSPark Data_w Will''s Data'!$D$3:$D$782="Main Campus")))</f>
        <v>0.89351780234524336</v>
      </c>
      <c r="H23" cm="1">
        <f t="array" ref="H23">MEDIAN(_xlfn._xlws.FILTER('SkYSPark Data_w Will''s Data'!$M$3:$M$782,('SkYSPark Data_w Will''s Data'!$F$3:$F$782=$B23)*('SkYSPark Data_w Will''s Data'!$B$3:$B$782=$A23)*('SkYSPark Data_w Will''s Data'!$Z$3:$Z$782=FALSE)*('SkYSPark Data_w Will''s Data'!$D$3:$D$782&lt;&gt;"Main Campus")))</f>
        <v>3.5329223084736108</v>
      </c>
      <c r="I23" cm="1">
        <f t="array" ref="I23">MEDIAN(_xlfn._xlws.FILTER('SkYSPark Data_w Will''s Data'!$N$3:$N$782,('SkYSPark Data_w Will''s Data'!$F$3:$F$782=$B23)*('SkYSPark Data_w Will''s Data'!$B$3:$B$782=$A23)*('SkYSPark Data_w Will''s Data'!$N$3:$N$782&gt;0)*('SkYSPark Data_w Will''s Data'!$D$3:$D$782&lt;&gt;"Main Campus")))</f>
        <v>2.6317764866609701</v>
      </c>
    </row>
    <row r="24" spans="1:9" x14ac:dyDescent="0.3">
      <c r="A24" s="3">
        <v>10</v>
      </c>
      <c r="B24" s="3" t="s">
        <v>123</v>
      </c>
      <c r="C24" s="231" cm="1">
        <f t="array" ref="C24">MEDIAN(_xlfn._xlws.FILTER('SkYSPark Data_w Will''s Data'!$M$3:$M$782,('SkYSPark Data_w Will''s Data'!$F$3:$F$782=$B24)*('SkYSPark Data_w Will''s Data'!$B$3:$B$782=$A24)*('SkYSPark Data_w Will''s Data'!$Z$3:$Z$782=FALSE)*('SkYSPark Data_w Will''s Data'!$D$3:$D$782="Main Campus")))</f>
        <v>2.2004898348078985</v>
      </c>
      <c r="D24" s="231" cm="1">
        <f t="array" ref="D24">MEDIAN(_xlfn._xlws.FILTER('SkYSPark Data_w Will''s Data'!$N$3:$N$782,('SkYSPark Data_w Will''s Data'!$F$3:$F$782=$B24)*('SkYSPark Data_w Will''s Data'!$B$3:$B$782=$A24)*('SkYSPark Data_w Will''s Data'!$N$3:$N$782&gt;0)*('SkYSPark Data_w Will''s Data'!$D$3:$D$782="Main Campus")))</f>
        <v>0.3393261338950021</v>
      </c>
      <c r="E24" s="231" cm="1">
        <f t="array" ref="E24">MEDIAN(_xlfn._xlws.FILTER('SkYSPark Data_w Will''s Data'!$O$3:$O$782,('SkYSPark Data_w Will''s Data'!$F$3:$F$782=$B24)*('SkYSPark Data_w Will''s Data'!$B$3:$B$782=$A24)*('SkYSPark Data_w Will''s Data'!$AA$3:$AA$782=FALSE)*('SkYSPark Data_w Will''s Data'!$D$3:$D$782="Main Campus")))</f>
        <v>1.4295681100060844</v>
      </c>
      <c r="F24" s="231" cm="1">
        <f t="array" ref="F24">MEDIAN(_xlfn._xlws.FILTER('SkYSPark Data_w Will''s Data'!$P$3:$P$782,('SkYSPark Data_w Will''s Data'!$F$3:$F$782=$B24)*('SkYSPark Data_w Will''s Data'!$B$3:$B$782=$A24)*('SkYSPark Data_w Will''s Data'!$AB$3:$AB$782=FALSE)*('SkYSPark Data_w Will''s Data'!$D$3:$D$782="Main Campus")))</f>
        <v>0.89224530619959419</v>
      </c>
      <c r="H24" cm="1">
        <f t="array" ref="H24">MEDIAN(_xlfn._xlws.FILTER('SkYSPark Data_w Will''s Data'!$M$3:$M$782,('SkYSPark Data_w Will''s Data'!$F$3:$F$782=$B24)*('SkYSPark Data_w Will''s Data'!$B$3:$B$782=$A24)*('SkYSPark Data_w Will''s Data'!$Z$3:$Z$782=FALSE)*('SkYSPark Data_w Will''s Data'!$D$3:$D$782&lt;&gt;"Main Campus")))</f>
        <v>3.3324684587173712</v>
      </c>
      <c r="I24" cm="1">
        <f t="array" ref="I24">MEDIAN(_xlfn._xlws.FILTER('SkYSPark Data_w Will''s Data'!$N$3:$N$782,('SkYSPark Data_w Will''s Data'!$F$3:$F$782=$B24)*('SkYSPark Data_w Will''s Data'!$B$3:$B$782=$A24)*('SkYSPark Data_w Will''s Data'!$N$3:$N$782&gt;0)*('SkYSPark Data_w Will''s Data'!$D$3:$D$782&lt;&gt;"Main Campus")))</f>
        <v>4.05912807548403</v>
      </c>
    </row>
    <row r="25" spans="1:9" x14ac:dyDescent="0.3">
      <c r="A25" s="3">
        <v>11</v>
      </c>
      <c r="B25" s="3" t="s">
        <v>123</v>
      </c>
      <c r="C25" s="231" cm="1">
        <f t="array" ref="C25">MEDIAN(_xlfn._xlws.FILTER('SkYSPark Data_w Will''s Data'!$M$3:$M$782,('SkYSPark Data_w Will''s Data'!$F$3:$F$782=$B25)*('SkYSPark Data_w Will''s Data'!$B$3:$B$782=$A25)*('SkYSPark Data_w Will''s Data'!$Z$3:$Z$782=FALSE)*('SkYSPark Data_w Will''s Data'!$D$3:$D$782="Main Campus")))</f>
        <v>2.1321010595736074</v>
      </c>
      <c r="D25" s="231" cm="1">
        <f t="array" ref="D25">MEDIAN(_xlfn._xlws.FILTER('SkYSPark Data_w Will''s Data'!$N$3:$N$782,('SkYSPark Data_w Will''s Data'!$F$3:$F$782=$B25)*('SkYSPark Data_w Will''s Data'!$B$3:$B$782=$A25)*('SkYSPark Data_w Will''s Data'!$N$3:$N$782&gt;0)*('SkYSPark Data_w Will''s Data'!$D$3:$D$782="Main Campus")))</f>
        <v>0.61058254894085118</v>
      </c>
      <c r="E25" s="231" cm="1">
        <f t="array" ref="E25">MEDIAN(_xlfn._xlws.FILTER('SkYSPark Data_w Will''s Data'!$O$3:$O$782,('SkYSPark Data_w Will''s Data'!$F$3:$F$782=$B25)*('SkYSPark Data_w Will''s Data'!$B$3:$B$782=$A25)*('SkYSPark Data_w Will''s Data'!$AA$3:$AA$782=FALSE)*('SkYSPark Data_w Will''s Data'!$D$3:$D$782="Main Campus")))</f>
        <v>2.5751343998781913</v>
      </c>
      <c r="F25" s="231" cm="1">
        <f t="array" ref="F25">MEDIAN(_xlfn._xlws.FILTER('SkYSPark Data_w Will''s Data'!$P$3:$P$782,('SkYSPark Data_w Will''s Data'!$F$3:$F$782=$B25)*('SkYSPark Data_w Will''s Data'!$B$3:$B$782=$A25)*('SkYSPark Data_w Will''s Data'!$AB$3:$AB$782=FALSE)*('SkYSPark Data_w Will''s Data'!$D$3:$D$782="Main Campus")))</f>
        <v>0.67126384436144615</v>
      </c>
      <c r="H25" cm="1">
        <f t="array" ref="H25">MEDIAN(_xlfn._xlws.FILTER('SkYSPark Data_w Will''s Data'!$M$3:$M$782,('SkYSPark Data_w Will''s Data'!$F$3:$F$782=$B25)*('SkYSPark Data_w Will''s Data'!$B$3:$B$782=$A25)*('SkYSPark Data_w Will''s Data'!$Z$3:$Z$782=FALSE)*('SkYSPark Data_w Will''s Data'!$D$3:$D$782&lt;&gt;"Main Campus")))</f>
        <v>2.843743361524512</v>
      </c>
      <c r="I25" cm="1">
        <f t="array" ref="I25">MEDIAN(_xlfn._xlws.FILTER('SkYSPark Data_w Will''s Data'!$N$3:$N$782,('SkYSPark Data_w Will''s Data'!$F$3:$F$782=$B25)*('SkYSPark Data_w Will''s Data'!$B$3:$B$782=$A25)*('SkYSPark Data_w Will''s Data'!$N$3:$N$782&gt;0)*('SkYSPark Data_w Will''s Data'!$D$3:$D$782&lt;&gt;"Main Campus")))</f>
        <v>5.2429181945396026</v>
      </c>
    </row>
    <row r="26" spans="1:9" x14ac:dyDescent="0.3">
      <c r="A26" s="3">
        <v>12</v>
      </c>
      <c r="B26" s="3" t="s">
        <v>123</v>
      </c>
      <c r="C26" s="231" cm="1">
        <f t="array" ref="C26">MEDIAN(_xlfn._xlws.FILTER('SkYSPark Data_w Will''s Data'!$M$3:$M$782,('SkYSPark Data_w Will''s Data'!$F$3:$F$782=$B26)*('SkYSPark Data_w Will''s Data'!$B$3:$B$782=$A26)*('SkYSPark Data_w Will''s Data'!$Z$3:$Z$782=FALSE)*('SkYSPark Data_w Will''s Data'!$D$3:$D$782="Main Campus")))</f>
        <v>2.3014306677610286</v>
      </c>
      <c r="D26" s="231" cm="1">
        <f t="array" ref="D26">MEDIAN(_xlfn._xlws.FILTER('SkYSPark Data_w Will''s Data'!$N$3:$N$782,('SkYSPark Data_w Will''s Data'!$F$3:$F$782=$B26)*('SkYSPark Data_w Will''s Data'!$B$3:$B$782=$A26)*('SkYSPark Data_w Will''s Data'!$N$3:$N$782&gt;0)*('SkYSPark Data_w Will''s Data'!$D$3:$D$782="Main Campus")))</f>
        <v>1.3171921457957987</v>
      </c>
      <c r="E26" s="231" cm="1">
        <f t="array" ref="E26">MEDIAN(_xlfn._xlws.FILTER('SkYSPark Data_w Will''s Data'!$O$3:$O$782,('SkYSPark Data_w Will''s Data'!$F$3:$F$782=$B26)*('SkYSPark Data_w Will''s Data'!$B$3:$B$782=$A26)*('SkYSPark Data_w Will''s Data'!$AA$3:$AA$782=FALSE)*('SkYSPark Data_w Will''s Data'!$D$3:$D$782="Main Campus")))</f>
        <v>3.7123962373767267</v>
      </c>
      <c r="F26" s="231" cm="1">
        <f t="array" ref="F26">MEDIAN(_xlfn._xlws.FILTER('SkYSPark Data_w Will''s Data'!$P$3:$P$782,('SkYSPark Data_w Will''s Data'!$F$3:$F$782=$B26)*('SkYSPark Data_w Will''s Data'!$B$3:$B$782=$A26)*('SkYSPark Data_w Will''s Data'!$AB$3:$AB$782=FALSE)*('SkYSPark Data_w Will''s Data'!$D$3:$D$782="Main Campus")))</f>
        <v>0.51809384213048193</v>
      </c>
      <c r="H26" cm="1">
        <f t="array" ref="H26">MEDIAN(_xlfn._xlws.FILTER('SkYSPark Data_w Will''s Data'!$M$3:$M$782,('SkYSPark Data_w Will''s Data'!$F$3:$F$782=$B26)*('SkYSPark Data_w Will''s Data'!$B$3:$B$782=$A26)*('SkYSPark Data_w Will''s Data'!$Z$3:$Z$782=FALSE)*('SkYSPark Data_w Will''s Data'!$D$3:$D$782&lt;&gt;"Main Campus")))</f>
        <v>2.4074229362693282</v>
      </c>
      <c r="I26" cm="1">
        <f t="array" ref="I26">MEDIAN(_xlfn._xlws.FILTER('SkYSPark Data_w Will''s Data'!$N$3:$N$782,('SkYSPark Data_w Will''s Data'!$F$3:$F$782=$B26)*('SkYSPark Data_w Will''s Data'!$B$3:$B$782=$A26)*('SkYSPark Data_w Will''s Data'!$N$3:$N$782&gt;0)*('SkYSPark Data_w Will''s Data'!$D$3:$D$782&lt;&gt;"Main Campus")))</f>
        <v>5.1669239346581053</v>
      </c>
    </row>
    <row r="27" spans="1:9" x14ac:dyDescent="0.3">
      <c r="A27" s="3">
        <v>1</v>
      </c>
      <c r="B27" s="3" t="s">
        <v>134</v>
      </c>
      <c r="C27" s="231" cm="1">
        <f t="array" ref="C27">MEDIAN(_xlfn._xlws.FILTER('SkYSPark Data_w Will''s Data'!$M$3:$M$782,('SkYSPark Data_w Will''s Data'!$F$3:$F$782=$B27)*('SkYSPark Data_w Will''s Data'!$B$3:$B$782=$A27)*('SkYSPark Data_w Will''s Data'!$Z$3:$Z$782=FALSE)*('SkYSPark Data_w Will''s Data'!$D$3:$D$782="Main Campus")))</f>
        <v>1.301236610489771</v>
      </c>
      <c r="D27" s="231" cm="1">
        <f t="array" ref="D27">MEDIAN(_xlfn._xlws.FILTER('SkYSPark Data_w Will''s Data'!$N$3:$N$782,('SkYSPark Data_w Will''s Data'!$F$3:$F$782=$B27)*('SkYSPark Data_w Will''s Data'!$B$3:$B$782=$A27)*('SkYSPark Data_w Will''s Data'!$N$3:$N$782&gt;0)*('SkYSPark Data_w Will''s Data'!$D$3:$D$782="Main Campus")))</f>
        <v>3.2813072732778688</v>
      </c>
      <c r="E27" s="231" cm="1">
        <f t="array" ref="E27">MEDIAN(_xlfn._xlws.FILTER('SkYSPark Data_w Will''s Data'!$O$3:$O$782,('SkYSPark Data_w Will''s Data'!$F$3:$F$782=$B27)*('SkYSPark Data_w Will''s Data'!$B$3:$B$782=$A27)*('SkYSPark Data_w Will''s Data'!$AA$3:$AA$782=FALSE)*('SkYSPark Data_w Will''s Data'!$D$3:$D$782="Main Campus")))</f>
        <v>5.1547847067812826</v>
      </c>
      <c r="F27" s="231" cm="1">
        <f t="array" ref="F27">MEDIAN(_xlfn._xlws.FILTER('SkYSPark Data_w Will''s Data'!$P$3:$P$782,('SkYSPark Data_w Will''s Data'!$F$3:$F$782=$B27)*('SkYSPark Data_w Will''s Data'!$B$3:$B$782=$A27)*('SkYSPark Data_w Will''s Data'!$AB$3:$AB$782=FALSE)*('SkYSPark Data_w Will''s Data'!$D$3:$D$782="Main Campus")))</f>
        <v>0.29375779816196013</v>
      </c>
      <c r="H27" cm="1">
        <f t="array" ref="H27">MEDIAN(_xlfn._xlws.FILTER('SkYSPark Data_w Will''s Data'!$M$3:$M$782,('SkYSPark Data_w Will''s Data'!$F$3:$F$782=$B27)*('SkYSPark Data_w Will''s Data'!$B$3:$B$782=$A27)*('SkYSPark Data_w Will''s Data'!$Z$3:$Z$782=FALSE)*('SkYSPark Data_w Will''s Data'!$D$3:$D$782&lt;&gt;"Main Campus")))</f>
        <v>1.1414568868096815</v>
      </c>
      <c r="I27" cm="1">
        <f t="array" ref="I27">MEDIAN(_xlfn._xlws.FILTER('SkYSPark Data_w Will''s Data'!$N$3:$N$782,('SkYSPark Data_w Will''s Data'!$F$3:$F$782=$B27)*('SkYSPark Data_w Will''s Data'!$B$3:$B$782=$A27)*('SkYSPark Data_w Will''s Data'!$N$3:$N$782&gt;0)*('SkYSPark Data_w Will''s Data'!$D$3:$D$782&lt;&gt;"Main Campus")))</f>
        <v>3.7462416552004743</v>
      </c>
    </row>
    <row r="28" spans="1:9" x14ac:dyDescent="0.3">
      <c r="A28" s="3">
        <v>2</v>
      </c>
      <c r="B28" s="3" t="s">
        <v>134</v>
      </c>
      <c r="C28" s="231" cm="1">
        <f t="array" ref="C28">MEDIAN(_xlfn._xlws.FILTER('SkYSPark Data_w Will''s Data'!$M$3:$M$782,('SkYSPark Data_w Will''s Data'!$F$3:$F$782=$B28)*('SkYSPark Data_w Will''s Data'!$B$3:$B$782=$A28)*('SkYSPark Data_w Will''s Data'!$Z$3:$Z$782=FALSE)*('SkYSPark Data_w Will''s Data'!$D$3:$D$782="Main Campus")))</f>
        <v>1.7097943052704974</v>
      </c>
      <c r="D28" s="231" cm="1">
        <f t="array" ref="D28">MEDIAN(_xlfn._xlws.FILTER('SkYSPark Data_w Will''s Data'!$N$3:$N$782,('SkYSPark Data_w Will''s Data'!$F$3:$F$782=$B28)*('SkYSPark Data_w Will''s Data'!$B$3:$B$782=$A28)*('SkYSPark Data_w Will''s Data'!$N$3:$N$782&gt;0)*('SkYSPark Data_w Will''s Data'!$D$3:$D$782="Main Campus")))</f>
        <v>4.9097496384840742</v>
      </c>
      <c r="E28" s="231" cm="1">
        <f t="array" ref="E28">MEDIAN(_xlfn._xlws.FILTER('SkYSPark Data_w Will''s Data'!$O$3:$O$782,('SkYSPark Data_w Will''s Data'!$F$3:$F$782=$B28)*('SkYSPark Data_w Will''s Data'!$B$3:$B$782=$A28)*('SkYSPark Data_w Will''s Data'!$AA$3:$AA$782=FALSE)*('SkYSPark Data_w Will''s Data'!$D$3:$D$782="Main Campus")))</f>
        <v>5.1672232944153453</v>
      </c>
      <c r="F28" s="231" cm="1">
        <f t="array" ref="F28">MEDIAN(_xlfn._xlws.FILTER('SkYSPark Data_w Will''s Data'!$P$3:$P$782,('SkYSPark Data_w Will''s Data'!$F$3:$F$782=$B28)*('SkYSPark Data_w Will''s Data'!$B$3:$B$782=$A28)*('SkYSPark Data_w Will''s Data'!$AB$3:$AB$782=FALSE)*('SkYSPark Data_w Will''s Data'!$D$3:$D$782="Main Campus")))</f>
        <v>0.50826907269801413</v>
      </c>
      <c r="H28" cm="1">
        <f t="array" ref="H28">MEDIAN(_xlfn._xlws.FILTER('SkYSPark Data_w Will''s Data'!$M$3:$M$782,('SkYSPark Data_w Will''s Data'!$F$3:$F$782=$B28)*('SkYSPark Data_w Will''s Data'!$B$3:$B$782=$A28)*('SkYSPark Data_w Will''s Data'!$Z$3:$Z$782=FALSE)*('SkYSPark Data_w Will''s Data'!$D$3:$D$782&lt;&gt;"Main Campus")))</f>
        <v>1.1592051592356098</v>
      </c>
      <c r="I28" cm="1">
        <f t="array" ref="I28">MEDIAN(_xlfn._xlws.FILTER('SkYSPark Data_w Will''s Data'!$N$3:$N$782,('SkYSPark Data_w Will''s Data'!$F$3:$F$782=$B28)*('SkYSPark Data_w Will''s Data'!$B$3:$B$782=$A28)*('SkYSPark Data_w Will''s Data'!$N$3:$N$782&gt;0)*('SkYSPark Data_w Will''s Data'!$D$3:$D$782&lt;&gt;"Main Campus")))</f>
        <v>4.103021114678393</v>
      </c>
    </row>
    <row r="29" spans="1:9" x14ac:dyDescent="0.3">
      <c r="A29" s="3">
        <v>3</v>
      </c>
      <c r="B29" s="3" t="s">
        <v>134</v>
      </c>
      <c r="C29" s="231" cm="1">
        <f t="array" ref="C29">MEDIAN(_xlfn._xlws.FILTER('SkYSPark Data_w Will''s Data'!$M$3:$M$782,('SkYSPark Data_w Will''s Data'!$F$3:$F$782=$B29)*('SkYSPark Data_w Will''s Data'!$B$3:$B$782=$A29)*('SkYSPark Data_w Will''s Data'!$Z$3:$Z$782=FALSE)*('SkYSPark Data_w Will''s Data'!$D$3:$D$782="Main Campus")))</f>
        <v>1.7684640913296967</v>
      </c>
      <c r="D29" s="231" cm="1">
        <f t="array" ref="D29">MEDIAN(_xlfn._xlws.FILTER('SkYSPark Data_w Will''s Data'!$N$3:$N$782,('SkYSPark Data_w Will''s Data'!$F$3:$F$782=$B29)*('SkYSPark Data_w Will''s Data'!$B$3:$B$782=$A29)*('SkYSPark Data_w Will''s Data'!$N$3:$N$782&gt;0)*('SkYSPark Data_w Will''s Data'!$D$3:$D$782="Main Campus")))</f>
        <v>4.0512838099553043</v>
      </c>
      <c r="E29" s="231" cm="1">
        <f t="array" ref="E29">MEDIAN(_xlfn._xlws.FILTER('SkYSPark Data_w Will''s Data'!$O$3:$O$782,('SkYSPark Data_w Will''s Data'!$F$3:$F$782=$B29)*('SkYSPark Data_w Will''s Data'!$B$3:$B$782=$A29)*('SkYSPark Data_w Will''s Data'!$AA$3:$AA$782=FALSE)*('SkYSPark Data_w Will''s Data'!$D$3:$D$782="Main Campus")))</f>
        <v>4.719405777937685</v>
      </c>
      <c r="F29" s="231" cm="1">
        <f t="array" ref="F29">MEDIAN(_xlfn._xlws.FILTER('SkYSPark Data_w Will''s Data'!$P$3:$P$782,('SkYSPark Data_w Will''s Data'!$F$3:$F$782=$B29)*('SkYSPark Data_w Will''s Data'!$B$3:$B$782=$A29)*('SkYSPark Data_w Will''s Data'!$AB$3:$AB$782=FALSE)*('SkYSPark Data_w Will''s Data'!$D$3:$D$782="Main Campus")))</f>
        <v>0.65825520813452454</v>
      </c>
      <c r="H29" cm="1">
        <f t="array" ref="H29">MEDIAN(_xlfn._xlws.FILTER('SkYSPark Data_w Will''s Data'!$M$3:$M$782,('SkYSPark Data_w Will''s Data'!$F$3:$F$782=$B29)*('SkYSPark Data_w Will''s Data'!$B$3:$B$782=$A29)*('SkYSPark Data_w Will''s Data'!$Z$3:$Z$782=FALSE)*('SkYSPark Data_w Will''s Data'!$D$3:$D$782&lt;&gt;"Main Campus")))</f>
        <v>1.3033074652882657</v>
      </c>
      <c r="I29" cm="1">
        <f t="array" ref="I29">MEDIAN(_xlfn._xlws.FILTER('SkYSPark Data_w Will''s Data'!$N$3:$N$782,('SkYSPark Data_w Will''s Data'!$F$3:$F$782=$B29)*('SkYSPark Data_w Will''s Data'!$B$3:$B$782=$A29)*('SkYSPark Data_w Will''s Data'!$N$3:$N$782&gt;0)*('SkYSPark Data_w Will''s Data'!$D$3:$D$782&lt;&gt;"Main Campus")))</f>
        <v>3.8086810172714487</v>
      </c>
    </row>
    <row r="30" spans="1:9" x14ac:dyDescent="0.3">
      <c r="A30" s="3">
        <v>4</v>
      </c>
      <c r="B30" s="3" t="s">
        <v>134</v>
      </c>
      <c r="C30" s="231" cm="1">
        <f t="array" ref="C30">MEDIAN(_xlfn._xlws.FILTER('SkYSPark Data_w Will''s Data'!$M$3:$M$782,('SkYSPark Data_w Will''s Data'!$F$3:$F$782=$B30)*('SkYSPark Data_w Will''s Data'!$B$3:$B$782=$A30)*('SkYSPark Data_w Will''s Data'!$Z$3:$Z$782=FALSE)*('SkYSPark Data_w Will''s Data'!$D$3:$D$782="Main Campus")))</f>
        <v>1.6636504992385928</v>
      </c>
      <c r="D30" s="231" cm="1">
        <f t="array" ref="D30">MEDIAN(_xlfn._xlws.FILTER('SkYSPark Data_w Will''s Data'!$N$3:$N$782,('SkYSPark Data_w Will''s Data'!$F$3:$F$782=$B30)*('SkYSPark Data_w Will''s Data'!$B$3:$B$782=$A30)*('SkYSPark Data_w Will''s Data'!$N$3:$N$782&gt;0)*('SkYSPark Data_w Will''s Data'!$D$3:$D$782="Main Campus")))</f>
        <v>2.5443358435997601</v>
      </c>
      <c r="E30" s="231" cm="1">
        <f t="array" ref="E30">MEDIAN(_xlfn._xlws.FILTER('SkYSPark Data_w Will''s Data'!$O$3:$O$782,('SkYSPark Data_w Will''s Data'!$F$3:$F$782=$B30)*('SkYSPark Data_w Will''s Data'!$B$3:$B$782=$A30)*('SkYSPark Data_w Will''s Data'!$AA$3:$AA$782=FALSE)*('SkYSPark Data_w Will''s Data'!$D$3:$D$782="Main Campus")))</f>
        <v>3.7821888234956296</v>
      </c>
      <c r="F30" s="231" cm="1">
        <f t="array" ref="F30">MEDIAN(_xlfn._xlws.FILTER('SkYSPark Data_w Will''s Data'!$P$3:$P$782,('SkYSPark Data_w Will''s Data'!$F$3:$F$782=$B30)*('SkYSPark Data_w Will''s Data'!$B$3:$B$782=$A30)*('SkYSPark Data_w Will''s Data'!$AB$3:$AB$782=FALSE)*('SkYSPark Data_w Will''s Data'!$D$3:$D$782="Main Campus")))</f>
        <v>0.89467740620561909</v>
      </c>
      <c r="H30" cm="1">
        <f t="array" ref="H30">MEDIAN(_xlfn._xlws.FILTER('SkYSPark Data_w Will''s Data'!$M$3:$M$782,('SkYSPark Data_w Will''s Data'!$F$3:$F$782=$B30)*('SkYSPark Data_w Will''s Data'!$B$3:$B$782=$A30)*('SkYSPark Data_w Will''s Data'!$Z$3:$Z$782=FALSE)*('SkYSPark Data_w Will''s Data'!$D$3:$D$782&lt;&gt;"Main Campus")))</f>
        <v>1.2980325709518443</v>
      </c>
      <c r="I30" cm="1">
        <f t="array" ref="I30">MEDIAN(_xlfn._xlws.FILTER('SkYSPark Data_w Will''s Data'!$N$3:$N$782,('SkYSPark Data_w Will''s Data'!$F$3:$F$782=$B30)*('SkYSPark Data_w Will''s Data'!$B$3:$B$782=$A30)*('SkYSPark Data_w Will''s Data'!$N$3:$N$782&gt;0)*('SkYSPark Data_w Will''s Data'!$D$3:$D$782&lt;&gt;"Main Campus")))</f>
        <v>2.9771026188527649</v>
      </c>
    </row>
    <row r="31" spans="1:9" x14ac:dyDescent="0.3">
      <c r="A31" s="3">
        <v>5</v>
      </c>
      <c r="B31" s="3" t="s">
        <v>134</v>
      </c>
      <c r="C31" s="231" cm="1">
        <f t="array" ref="C31">MEDIAN(_xlfn._xlws.FILTER('SkYSPark Data_w Will''s Data'!$M$3:$M$782,('SkYSPark Data_w Will''s Data'!$F$3:$F$782=$B31)*('SkYSPark Data_w Will''s Data'!$B$3:$B$782=$A31)*('SkYSPark Data_w Will''s Data'!$Z$3:$Z$782=FALSE)*('SkYSPark Data_w Will''s Data'!$D$3:$D$782="Main Campus")))</f>
        <v>1.5328536441030409</v>
      </c>
      <c r="D31" s="231" cm="1">
        <f t="array" ref="D31">MEDIAN(_xlfn._xlws.FILTER('SkYSPark Data_w Will''s Data'!$N$3:$N$782,('SkYSPark Data_w Will''s Data'!$F$3:$F$782=$B31)*('SkYSPark Data_w Will''s Data'!$B$3:$B$782=$A31)*('SkYSPark Data_w Will''s Data'!$N$3:$N$782&gt;0)*('SkYSPark Data_w Will''s Data'!$D$3:$D$782="Main Campus")))</f>
        <v>2.2823950943580038</v>
      </c>
      <c r="E31" s="231" cm="1">
        <f t="array" ref="E31">MEDIAN(_xlfn._xlws.FILTER('SkYSPark Data_w Will''s Data'!$O$3:$O$782,('SkYSPark Data_w Will''s Data'!$F$3:$F$782=$B31)*('SkYSPark Data_w Will''s Data'!$B$3:$B$782=$A31)*('SkYSPark Data_w Will''s Data'!$AA$3:$AA$782=FALSE)*('SkYSPark Data_w Will''s Data'!$D$3:$D$782="Main Campus")))</f>
        <v>1.6885046717032686</v>
      </c>
      <c r="F31" s="231" cm="1">
        <f t="array" ref="F31">MEDIAN(_xlfn._xlws.FILTER('SkYSPark Data_w Will''s Data'!$P$3:$P$782,('SkYSPark Data_w Will''s Data'!$F$3:$F$782=$B31)*('SkYSPark Data_w Will''s Data'!$B$3:$B$782=$A31)*('SkYSPark Data_w Will''s Data'!$AB$3:$AB$782=FALSE)*('SkYSPark Data_w Will''s Data'!$D$3:$D$782="Main Campus")))</f>
        <v>1.0869025104873367</v>
      </c>
      <c r="H31" cm="1">
        <f t="array" ref="H31">MEDIAN(_xlfn._xlws.FILTER('SkYSPark Data_w Will''s Data'!$M$3:$M$782,('SkYSPark Data_w Will''s Data'!$F$3:$F$782=$B31)*('SkYSPark Data_w Will''s Data'!$B$3:$B$782=$A31)*('SkYSPark Data_w Will''s Data'!$Z$3:$Z$782=FALSE)*('SkYSPark Data_w Will''s Data'!$D$3:$D$782&lt;&gt;"Main Campus")))</f>
        <v>1.2647918454239058</v>
      </c>
      <c r="I31" cm="1">
        <f t="array" ref="I31">MEDIAN(_xlfn._xlws.FILTER('SkYSPark Data_w Will''s Data'!$N$3:$N$782,('SkYSPark Data_w Will''s Data'!$F$3:$F$782=$B31)*('SkYSPark Data_w Will''s Data'!$B$3:$B$782=$A31)*('SkYSPark Data_w Will''s Data'!$N$3:$N$782&gt;0)*('SkYSPark Data_w Will''s Data'!$D$3:$D$782&lt;&gt;"Main Campus")))</f>
        <v>2.4486818720379366</v>
      </c>
    </row>
    <row r="32" spans="1:9" x14ac:dyDescent="0.3">
      <c r="A32" s="3">
        <v>6</v>
      </c>
      <c r="B32" s="3" t="s">
        <v>134</v>
      </c>
      <c r="C32" s="231" cm="1">
        <f t="array" ref="C32">MEDIAN(_xlfn._xlws.FILTER('SkYSPark Data_w Will''s Data'!$M$3:$M$782,('SkYSPark Data_w Will''s Data'!$F$3:$F$782=$B32)*('SkYSPark Data_w Will''s Data'!$B$3:$B$782=$A32)*('SkYSPark Data_w Will''s Data'!$Z$3:$Z$782=FALSE)*('SkYSPark Data_w Will''s Data'!$D$3:$D$782="Main Campus")))</f>
        <v>1.0348408884905436</v>
      </c>
      <c r="D32" s="231" cm="1">
        <f t="array" ref="D32">MEDIAN(_xlfn._xlws.FILTER('SkYSPark Data_w Will''s Data'!$N$3:$N$782,('SkYSPark Data_w Will''s Data'!$F$3:$F$782=$B32)*('SkYSPark Data_w Will''s Data'!$B$3:$B$782=$A32)*('SkYSPark Data_w Will''s Data'!$N$3:$N$782&gt;0)*('SkYSPark Data_w Will''s Data'!$D$3:$D$782="Main Campus")))</f>
        <v>1.0788007351068345</v>
      </c>
      <c r="E32" s="231" cm="1">
        <f t="array" ref="E32">MEDIAN(_xlfn._xlws.FILTER('SkYSPark Data_w Will''s Data'!$O$3:$O$782,('SkYSPark Data_w Will''s Data'!$F$3:$F$782=$B32)*('SkYSPark Data_w Will''s Data'!$B$3:$B$782=$A32)*('SkYSPark Data_w Will''s Data'!$AA$3:$AA$782=FALSE)*('SkYSPark Data_w Will''s Data'!$D$3:$D$782="Main Campus")))</f>
        <v>0.97099987250487096</v>
      </c>
      <c r="F32" s="231" cm="1">
        <f t="array" ref="F32">MEDIAN(_xlfn._xlws.FILTER('SkYSPark Data_w Will''s Data'!$P$3:$P$782,('SkYSPark Data_w Will''s Data'!$F$3:$F$782=$B32)*('SkYSPark Data_w Will''s Data'!$B$3:$B$782=$A32)*('SkYSPark Data_w Will''s Data'!$AB$3:$AB$782=FALSE)*('SkYSPark Data_w Will''s Data'!$D$3:$D$782="Main Campus")))</f>
        <v>1.128283546342852</v>
      </c>
      <c r="H32" cm="1">
        <f t="array" ref="H32">MEDIAN(_xlfn._xlws.FILTER('SkYSPark Data_w Will''s Data'!$M$3:$M$782,('SkYSPark Data_w Will''s Data'!$F$3:$F$782=$B32)*('SkYSPark Data_w Will''s Data'!$B$3:$B$782=$A32)*('SkYSPark Data_w Will''s Data'!$Z$3:$Z$782=FALSE)*('SkYSPark Data_w Will''s Data'!$D$3:$D$782&lt;&gt;"Main Campus")))</f>
        <v>1.1652619637704018</v>
      </c>
      <c r="I32" cm="1">
        <f t="array" ref="I32">MEDIAN(_xlfn._xlws.FILTER('SkYSPark Data_w Will''s Data'!$N$3:$N$782,('SkYSPark Data_w Will''s Data'!$F$3:$F$782=$B32)*('SkYSPark Data_w Will''s Data'!$B$3:$B$782=$A32)*('SkYSPark Data_w Will''s Data'!$N$3:$N$782&gt;0)*('SkYSPark Data_w Will''s Data'!$D$3:$D$782&lt;&gt;"Main Campus")))</f>
        <v>1.8626611629210639</v>
      </c>
    </row>
    <row r="33" spans="1:9" x14ac:dyDescent="0.3">
      <c r="A33" s="3">
        <v>7</v>
      </c>
      <c r="B33" s="3" t="s">
        <v>134</v>
      </c>
      <c r="C33" s="231" cm="1">
        <f t="array" ref="C33">MEDIAN(_xlfn._xlws.FILTER('SkYSPark Data_w Will''s Data'!$M$3:$M$782,('SkYSPark Data_w Will''s Data'!$F$3:$F$782=$B33)*('SkYSPark Data_w Will''s Data'!$B$3:$B$782=$A33)*('SkYSPark Data_w Will''s Data'!$Z$3:$Z$782=FALSE)*('SkYSPark Data_w Will''s Data'!$D$3:$D$782="Main Campus")))</f>
        <v>1.180161695082198</v>
      </c>
      <c r="D33" s="231" cm="1">
        <f t="array" ref="D33">MEDIAN(_xlfn._xlws.FILTER('SkYSPark Data_w Will''s Data'!$N$3:$N$782,('SkYSPark Data_w Will''s Data'!$F$3:$F$782=$B33)*('SkYSPark Data_w Will''s Data'!$B$3:$B$782=$A33)*('SkYSPark Data_w Will''s Data'!$N$3:$N$782&gt;0)*('SkYSPark Data_w Will''s Data'!$D$3:$D$782="Main Campus")))</f>
        <v>1.1590116031353292</v>
      </c>
      <c r="E33" s="231" cm="1">
        <f t="array" ref="E33">MEDIAN(_xlfn._xlws.FILTER('SkYSPark Data_w Will''s Data'!$O$3:$O$782,('SkYSPark Data_w Will''s Data'!$F$3:$F$782=$B33)*('SkYSPark Data_w Will''s Data'!$B$3:$B$782=$A33)*('SkYSPark Data_w Will''s Data'!$AA$3:$AA$782=FALSE)*('SkYSPark Data_w Will''s Data'!$D$3:$D$782="Main Campus")))</f>
        <v>0.71552879259516011</v>
      </c>
      <c r="F33" s="231" cm="1">
        <f t="array" ref="F33">MEDIAN(_xlfn._xlws.FILTER('SkYSPark Data_w Will''s Data'!$P$3:$P$782,('SkYSPark Data_w Will''s Data'!$F$3:$F$782=$B33)*('SkYSPark Data_w Will''s Data'!$B$3:$B$782=$A33)*('SkYSPark Data_w Will''s Data'!$AB$3:$AB$782=FALSE)*('SkYSPark Data_w Will''s Data'!$D$3:$D$782="Main Campus")))</f>
        <v>1.7333225749229206</v>
      </c>
      <c r="H33" cm="1">
        <f t="array" ref="H33">MEDIAN(_xlfn._xlws.FILTER('SkYSPark Data_w Will''s Data'!$M$3:$M$782,('SkYSPark Data_w Will''s Data'!$F$3:$F$782=$B33)*('SkYSPark Data_w Will''s Data'!$B$3:$B$782=$A33)*('SkYSPark Data_w Will''s Data'!$Z$3:$Z$782=FALSE)*('SkYSPark Data_w Will''s Data'!$D$3:$D$782&lt;&gt;"Main Campus")))</f>
        <v>1.2528579536258626</v>
      </c>
      <c r="I33" cm="1">
        <f t="array" ref="I33">MEDIAN(_xlfn._xlws.FILTER('SkYSPark Data_w Will''s Data'!$N$3:$N$782,('SkYSPark Data_w Will''s Data'!$F$3:$F$782=$B33)*('SkYSPark Data_w Will''s Data'!$B$3:$B$782=$A33)*('SkYSPark Data_w Will''s Data'!$N$3:$N$782&gt;0)*('SkYSPark Data_w Will''s Data'!$D$3:$D$782&lt;&gt;"Main Campus")))</f>
        <v>1.5818172552616585</v>
      </c>
    </row>
    <row r="34" spans="1:9" x14ac:dyDescent="0.3">
      <c r="A34" s="3">
        <v>8</v>
      </c>
      <c r="B34" s="3" t="s">
        <v>134</v>
      </c>
      <c r="C34" s="231" cm="1">
        <f t="array" ref="C34">MEDIAN(_xlfn._xlws.FILTER('SkYSPark Data_w Will''s Data'!$M$3:$M$782,('SkYSPark Data_w Will''s Data'!$F$3:$F$782=$B34)*('SkYSPark Data_w Will''s Data'!$B$3:$B$782=$A34)*('SkYSPark Data_w Will''s Data'!$Z$3:$Z$782=FALSE)*('SkYSPark Data_w Will''s Data'!$D$3:$D$782="Main Campus")))</f>
        <v>1.6244570633512141</v>
      </c>
      <c r="D34" s="231" cm="1">
        <f t="array" ref="D34">MEDIAN(_xlfn._xlws.FILTER('SkYSPark Data_w Will''s Data'!$N$3:$N$782,('SkYSPark Data_w Will''s Data'!$F$3:$F$782=$B34)*('SkYSPark Data_w Will''s Data'!$B$3:$B$782=$A34)*('SkYSPark Data_w Will''s Data'!$N$3:$N$782&gt;0)*('SkYSPark Data_w Will''s Data'!$D$3:$D$782="Main Campus")))</f>
        <v>1.1714621514540455</v>
      </c>
      <c r="E34" s="231" cm="1">
        <f t="array" ref="E34">MEDIAN(_xlfn._xlws.FILTER('SkYSPark Data_w Will''s Data'!$O$3:$O$782,('SkYSPark Data_w Will''s Data'!$F$3:$F$782=$B34)*('SkYSPark Data_w Will''s Data'!$B$3:$B$782=$A34)*('SkYSPark Data_w Will''s Data'!$AA$3:$AA$782=FALSE)*('SkYSPark Data_w Will''s Data'!$D$3:$D$782="Main Campus")))</f>
        <v>0.47862063742259053</v>
      </c>
      <c r="F34" s="231" cm="1">
        <f t="array" ref="F34">MEDIAN(_xlfn._xlws.FILTER('SkYSPark Data_w Will''s Data'!$P$3:$P$782,('SkYSPark Data_w Will''s Data'!$F$3:$F$782=$B34)*('SkYSPark Data_w Will''s Data'!$B$3:$B$782=$A34)*('SkYSPark Data_w Will''s Data'!$AB$3:$AB$782=FALSE)*('SkYSPark Data_w Will''s Data'!$D$3:$D$782="Main Campus")))</f>
        <v>2.2064339896012961</v>
      </c>
      <c r="H34" cm="1">
        <f t="array" ref="H34">MEDIAN(_xlfn._xlws.FILTER('SkYSPark Data_w Will''s Data'!$M$3:$M$782,('SkYSPark Data_w Will''s Data'!$F$3:$F$782=$B34)*('SkYSPark Data_w Will''s Data'!$B$3:$B$782=$A34)*('SkYSPark Data_w Will''s Data'!$Z$3:$Z$782=FALSE)*('SkYSPark Data_w Will''s Data'!$D$3:$D$782&lt;&gt;"Main Campus")))</f>
        <v>1.4097956956632558</v>
      </c>
      <c r="I34" cm="1">
        <f t="array" ref="I34">MEDIAN(_xlfn._xlws.FILTER('SkYSPark Data_w Will''s Data'!$N$3:$N$782,('SkYSPark Data_w Will''s Data'!$F$3:$F$782=$B34)*('SkYSPark Data_w Will''s Data'!$B$3:$B$782=$A34)*('SkYSPark Data_w Will''s Data'!$N$3:$N$782&gt;0)*('SkYSPark Data_w Will''s Data'!$D$3:$D$782&lt;&gt;"Main Campus")))</f>
        <v>1.6139733985629039</v>
      </c>
    </row>
    <row r="35" spans="1:9" x14ac:dyDescent="0.3">
      <c r="A35" s="3">
        <v>9</v>
      </c>
      <c r="B35" s="3" t="s">
        <v>134</v>
      </c>
      <c r="C35" s="231" cm="1">
        <f t="array" ref="C35">MEDIAN(_xlfn._xlws.FILTER('SkYSPark Data_w Will''s Data'!$M$3:$M$782,('SkYSPark Data_w Will''s Data'!$F$3:$F$782=$B35)*('SkYSPark Data_w Will''s Data'!$B$3:$B$782=$A35)*('SkYSPark Data_w Will''s Data'!$Z$3:$Z$782=FALSE)*('SkYSPark Data_w Will''s Data'!$D$3:$D$782="Main Campus")))</f>
        <v>1.9489093671798519</v>
      </c>
      <c r="D35" s="231" cm="1">
        <f t="array" ref="D35">MEDIAN(_xlfn._xlws.FILTER('SkYSPark Data_w Will''s Data'!$N$3:$N$782,('SkYSPark Data_w Will''s Data'!$F$3:$F$782=$B35)*('SkYSPark Data_w Will''s Data'!$B$3:$B$782=$A35)*('SkYSPark Data_w Will''s Data'!$N$3:$N$782&gt;0)*('SkYSPark Data_w Will''s Data'!$D$3:$D$782="Main Campus")))</f>
        <v>1.6908012566199671</v>
      </c>
      <c r="E35" s="231" cm="1">
        <f t="array" ref="E35">MEDIAN(_xlfn._xlws.FILTER('SkYSPark Data_w Will''s Data'!$O$3:$O$782,('SkYSPark Data_w Will''s Data'!$F$3:$F$782=$B35)*('SkYSPark Data_w Will''s Data'!$B$3:$B$782=$A35)*('SkYSPark Data_w Will''s Data'!$AA$3:$AA$782=FALSE)*('SkYSPark Data_w Will''s Data'!$D$3:$D$782="Main Campus")))</f>
        <v>1.5296975048381707</v>
      </c>
      <c r="F35" s="231" cm="1">
        <f t="array" ref="F35">MEDIAN(_xlfn._xlws.FILTER('SkYSPark Data_w Will''s Data'!$P$3:$P$782,('SkYSPark Data_w Will''s Data'!$F$3:$F$782=$B35)*('SkYSPark Data_w Will''s Data'!$B$3:$B$782=$A35)*('SkYSPark Data_w Will''s Data'!$AB$3:$AB$782=FALSE)*('SkYSPark Data_w Will''s Data'!$D$3:$D$782="Main Campus")))</f>
        <v>1.7440084769257451</v>
      </c>
      <c r="H35" cm="1">
        <f t="array" ref="H35">MEDIAN(_xlfn._xlws.FILTER('SkYSPark Data_w Will''s Data'!$M$3:$M$782,('SkYSPark Data_w Will''s Data'!$F$3:$F$782=$B35)*('SkYSPark Data_w Will''s Data'!$B$3:$B$782=$A35)*('SkYSPark Data_w Will''s Data'!$Z$3:$Z$782=FALSE)*('SkYSPark Data_w Will''s Data'!$D$3:$D$782&lt;&gt;"Main Campus")))</f>
        <v>1.416185726171675</v>
      </c>
      <c r="I35" cm="1">
        <f t="array" ref="I35">MEDIAN(_xlfn._xlws.FILTER('SkYSPark Data_w Will''s Data'!$N$3:$N$782,('SkYSPark Data_w Will''s Data'!$F$3:$F$782=$B35)*('SkYSPark Data_w Will''s Data'!$B$3:$B$782=$A35)*('SkYSPark Data_w Will''s Data'!$N$3:$N$782&gt;0)*('SkYSPark Data_w Will''s Data'!$D$3:$D$782&lt;&gt;"Main Campus")))</f>
        <v>2.2393364928909754</v>
      </c>
    </row>
    <row r="36" spans="1:9" x14ac:dyDescent="0.3">
      <c r="A36" s="3">
        <v>10</v>
      </c>
      <c r="B36" s="3" t="s">
        <v>134</v>
      </c>
      <c r="C36" s="231" cm="1">
        <f t="array" ref="C36">MEDIAN(_xlfn._xlws.FILTER('SkYSPark Data_w Will''s Data'!$M$3:$M$782,('SkYSPark Data_w Will''s Data'!$F$3:$F$782=$B36)*('SkYSPark Data_w Will''s Data'!$B$3:$B$782=$A36)*('SkYSPark Data_w Will''s Data'!$Z$3:$Z$782=FALSE)*('SkYSPark Data_w Will''s Data'!$D$3:$D$782="Main Campus")))</f>
        <v>1.9539175476018709</v>
      </c>
      <c r="D36" s="231" cm="1">
        <f t="array" ref="D36">MEDIAN(_xlfn._xlws.FILTER('SkYSPark Data_w Will''s Data'!$N$3:$N$782,('SkYSPark Data_w Will''s Data'!$F$3:$F$782=$B36)*('SkYSPark Data_w Will''s Data'!$B$3:$B$782=$A36)*('SkYSPark Data_w Will''s Data'!$N$3:$N$782&gt;0)*('SkYSPark Data_w Will''s Data'!$D$3:$D$782="Main Campus")))</f>
        <v>2.4780228424072268</v>
      </c>
      <c r="E36" s="231" cm="1">
        <f t="array" ref="E36">MEDIAN(_xlfn._xlws.FILTER('SkYSPark Data_w Will''s Data'!$O$3:$O$782,('SkYSPark Data_w Will''s Data'!$F$3:$F$782=$B36)*('SkYSPark Data_w Will''s Data'!$B$3:$B$782=$A36)*('SkYSPark Data_w Will''s Data'!$AA$3:$AA$782=FALSE)*('SkYSPark Data_w Will''s Data'!$D$3:$D$782="Main Campus")))</f>
        <v>2.209447217839239</v>
      </c>
      <c r="F36" s="231" cm="1">
        <f t="array" ref="F36">MEDIAN(_xlfn._xlws.FILTER('SkYSPark Data_w Will''s Data'!$P$3:$P$782,('SkYSPark Data_w Will''s Data'!$F$3:$F$782=$B36)*('SkYSPark Data_w Will''s Data'!$B$3:$B$782=$A36)*('SkYSPark Data_w Will''s Data'!$AB$3:$AB$782=FALSE)*('SkYSPark Data_w Will''s Data'!$D$3:$D$782="Main Campus")))</f>
        <v>1.6462733781323711</v>
      </c>
      <c r="H36" cm="1">
        <f t="array" ref="H36">MEDIAN(_xlfn._xlws.FILTER('SkYSPark Data_w Will''s Data'!$M$3:$M$782,('SkYSPark Data_w Will''s Data'!$F$3:$F$782=$B36)*('SkYSPark Data_w Will''s Data'!$B$3:$B$782=$A36)*('SkYSPark Data_w Will''s Data'!$Z$3:$Z$782=FALSE)*('SkYSPark Data_w Will''s Data'!$D$3:$D$782&lt;&gt;"Main Campus")))</f>
        <v>1.3919235295866799</v>
      </c>
      <c r="I36" cm="1">
        <f t="array" ref="I36">MEDIAN(_xlfn._xlws.FILTER('SkYSPark Data_w Will''s Data'!$N$3:$N$782,('SkYSPark Data_w Will''s Data'!$F$3:$F$782=$B36)*('SkYSPark Data_w Will''s Data'!$B$3:$B$782=$A36)*('SkYSPark Data_w Will''s Data'!$N$3:$N$782&gt;0)*('SkYSPark Data_w Will''s Data'!$D$3:$D$782&lt;&gt;"Main Campus")))</f>
        <v>2.6177253305342543</v>
      </c>
    </row>
    <row r="37" spans="1:9" x14ac:dyDescent="0.3">
      <c r="A37" s="3">
        <v>11</v>
      </c>
      <c r="B37" s="3" t="s">
        <v>134</v>
      </c>
      <c r="C37" s="231" cm="1">
        <f t="array" ref="C37">MEDIAN(_xlfn._xlws.FILTER('SkYSPark Data_w Will''s Data'!$M$3:$M$782,('SkYSPark Data_w Will''s Data'!$F$3:$F$782=$B37)*('SkYSPark Data_w Will''s Data'!$B$3:$B$782=$A37)*('SkYSPark Data_w Will''s Data'!$Z$3:$Z$782=FALSE)*('SkYSPark Data_w Will''s Data'!$D$3:$D$782="Main Campus")))</f>
        <v>1.6849197426973026</v>
      </c>
      <c r="D37" s="231" cm="1">
        <f t="array" ref="D37">MEDIAN(_xlfn._xlws.FILTER('SkYSPark Data_w Will''s Data'!$N$3:$N$782,('SkYSPark Data_w Will''s Data'!$F$3:$F$782=$B37)*('SkYSPark Data_w Will''s Data'!$B$3:$B$782=$A37)*('SkYSPark Data_w Will''s Data'!$N$3:$N$782&gt;0)*('SkYSPark Data_w Will''s Data'!$D$3:$D$782="Main Campus")))</f>
        <v>3.1983975806603064</v>
      </c>
      <c r="E37" s="231" cm="1">
        <f t="array" ref="E37">MEDIAN(_xlfn._xlws.FILTER('SkYSPark Data_w Will''s Data'!$O$3:$O$782,('SkYSPark Data_w Will''s Data'!$F$3:$F$782=$B37)*('SkYSPark Data_w Will''s Data'!$B$3:$B$782=$A37)*('SkYSPark Data_w Will''s Data'!$AA$3:$AA$782=FALSE)*('SkYSPark Data_w Will''s Data'!$D$3:$D$782="Main Campus")))</f>
        <v>3.2987439964936685</v>
      </c>
      <c r="F37" s="231" cm="1">
        <f t="array" ref="F37">MEDIAN(_xlfn._xlws.FILTER('SkYSPark Data_w Will''s Data'!$P$3:$P$782,('SkYSPark Data_w Will''s Data'!$F$3:$F$782=$B37)*('SkYSPark Data_w Will''s Data'!$B$3:$B$782=$A37)*('SkYSPark Data_w Will''s Data'!$AB$3:$AB$782=FALSE)*('SkYSPark Data_w Will''s Data'!$D$3:$D$782="Main Campus")))</f>
        <v>0.77412261769733504</v>
      </c>
      <c r="H37" cm="1">
        <f t="array" ref="H37">MEDIAN(_xlfn._xlws.FILTER('SkYSPark Data_w Will''s Data'!$M$3:$M$782,('SkYSPark Data_w Will''s Data'!$F$3:$F$782=$B37)*('SkYSPark Data_w Will''s Data'!$B$3:$B$782=$A37)*('SkYSPark Data_w Will''s Data'!$Z$3:$Z$782=FALSE)*('SkYSPark Data_w Will''s Data'!$D$3:$D$782&lt;&gt;"Main Campus")))</f>
        <v>1.2238354083195198</v>
      </c>
      <c r="I37" cm="1">
        <f t="array" ref="I37">MEDIAN(_xlfn._xlws.FILTER('SkYSPark Data_w Will''s Data'!$N$3:$N$782,('SkYSPark Data_w Will''s Data'!$F$3:$F$782=$B37)*('SkYSPark Data_w Will''s Data'!$B$3:$B$782=$A37)*('SkYSPark Data_w Will''s Data'!$N$3:$N$782&gt;0)*('SkYSPark Data_w Will''s Data'!$D$3:$D$782&lt;&gt;"Main Campus")))</f>
        <v>3.1277773958582027</v>
      </c>
    </row>
    <row r="38" spans="1:9" x14ac:dyDescent="0.3">
      <c r="A38" s="3">
        <v>12</v>
      </c>
      <c r="B38" s="3" t="s">
        <v>134</v>
      </c>
      <c r="C38" s="231" cm="1">
        <f t="array" ref="C38">MEDIAN(_xlfn._xlws.FILTER('SkYSPark Data_w Will''s Data'!$M$3:$M$782,('SkYSPark Data_w Will''s Data'!$F$3:$F$782=$B38)*('SkYSPark Data_w Will''s Data'!$B$3:$B$782=$A38)*('SkYSPark Data_w Will''s Data'!$Z$3:$Z$782=FALSE)*('SkYSPark Data_w Will''s Data'!$D$3:$D$782="Main Campus")))</f>
        <v>1.3947868884506929</v>
      </c>
      <c r="D38" s="231" cm="1">
        <f t="array" ref="D38">MEDIAN(_xlfn._xlws.FILTER('SkYSPark Data_w Will''s Data'!$N$3:$N$782,('SkYSPark Data_w Will''s Data'!$F$3:$F$782=$B38)*('SkYSPark Data_w Will''s Data'!$B$3:$B$782=$A38)*('SkYSPark Data_w Will''s Data'!$N$3:$N$782&gt;0)*('SkYSPark Data_w Will''s Data'!$D$3:$D$782="Main Campus")))</f>
        <v>3.8008283292330227</v>
      </c>
      <c r="E38" s="231" cm="1">
        <f t="array" ref="E38">MEDIAN(_xlfn._xlws.FILTER('SkYSPark Data_w Will''s Data'!$O$3:$O$782,('SkYSPark Data_w Will''s Data'!$F$3:$F$782=$B38)*('SkYSPark Data_w Will''s Data'!$B$3:$B$782=$A38)*('SkYSPark Data_w Will''s Data'!$AA$3:$AA$782=FALSE)*('SkYSPark Data_w Will''s Data'!$D$3:$D$782="Main Campus")))</f>
        <v>4.2599063340154597</v>
      </c>
      <c r="F38" s="231" cm="1">
        <f t="array" ref="F38">MEDIAN(_xlfn._xlws.FILTER('SkYSPark Data_w Will''s Data'!$P$3:$P$782,('SkYSPark Data_w Will''s Data'!$F$3:$F$782=$B38)*('SkYSPark Data_w Will''s Data'!$B$3:$B$782=$A38)*('SkYSPark Data_w Will''s Data'!$AB$3:$AB$782=FALSE)*('SkYSPark Data_w Will''s Data'!$D$3:$D$782="Main Campus")))</f>
        <v>0.48581646140350043</v>
      </c>
      <c r="H38" cm="1">
        <f t="array" ref="H38">MEDIAN(_xlfn._xlws.FILTER('SkYSPark Data_w Will''s Data'!$M$3:$M$782,('SkYSPark Data_w Will''s Data'!$F$3:$F$782=$B38)*('SkYSPark Data_w Will''s Data'!$B$3:$B$782=$A38)*('SkYSPark Data_w Will''s Data'!$Z$3:$Z$782=FALSE)*('SkYSPark Data_w Will''s Data'!$D$3:$D$782&lt;&gt;"Main Campus")))</f>
        <v>1.063602165937938</v>
      </c>
      <c r="I38" cm="1">
        <f t="array" ref="I38">MEDIAN(_xlfn._xlws.FILTER('SkYSPark Data_w Will''s Data'!$N$3:$N$782,('SkYSPark Data_w Will''s Data'!$F$3:$F$782=$B38)*('SkYSPark Data_w Will''s Data'!$B$3:$B$782=$A38)*('SkYSPark Data_w Will''s Data'!$N$3:$N$782&gt;0)*('SkYSPark Data_w Will''s Data'!$D$3:$D$782&lt;&gt;"Main Campus")))</f>
        <v>3.3176884268460878</v>
      </c>
    </row>
    <row r="39" spans="1:9" x14ac:dyDescent="0.3">
      <c r="A39" s="3">
        <v>1</v>
      </c>
      <c r="B39" s="3" t="s">
        <v>147</v>
      </c>
      <c r="C39" s="231" cm="1">
        <f t="array" ref="C39">MEDIAN(_xlfn._xlws.FILTER('SkYSPark Data_w Will''s Data'!$M$3:$M$782,('SkYSPark Data_w Will''s Data'!$F$3:$F$782=$B39)*('SkYSPark Data_w Will''s Data'!$B$3:$B$782=$A39)*('SkYSPark Data_w Will''s Data'!$Z$3:$Z$782=FALSE)*('SkYSPark Data_w Will''s Data'!$D$3:$D$782="Main Campus")))</f>
        <v>3.1336153916098066</v>
      </c>
      <c r="D39" s="231" t="e" cm="1" vm="1">
        <f t="array" ref="D39">MEDIAN(_xlfn._xlws.FILTER('SkYSPark Data_w Will''s Data'!$N$3:$N$782,('SkYSPark Data_w Will''s Data'!$F$3:$F$782=$B39)*('SkYSPark Data_w Will''s Data'!$B$3:$B$782=$A39)*('SkYSPark Data_w Will''s Data'!$N$3:$N$782&gt;0)*('SkYSPark Data_w Will''s Data'!$D$3:$D$782="Main Campus")))</f>
        <v>#VALUE!</v>
      </c>
      <c r="E39" s="231" cm="1">
        <f t="array" ref="E39">MEDIAN(_xlfn._xlws.FILTER('SkYSPark Data_w Will''s Data'!$O$3:$O$782,('SkYSPark Data_w Will''s Data'!$F$3:$F$782=$B39)*('SkYSPark Data_w Will''s Data'!$B$3:$B$782=$A39)*('SkYSPark Data_w Will''s Data'!$AA$3:$AA$782=FALSE)*('SkYSPark Data_w Will''s Data'!$D$3:$D$782="Main Campus")))</f>
        <v>2.5492649669397403</v>
      </c>
      <c r="F39" s="231" cm="1">
        <f t="array" ref="F39">MEDIAN(_xlfn._xlws.FILTER('SkYSPark Data_w Will''s Data'!$P$3:$P$782,('SkYSPark Data_w Will''s Data'!$F$3:$F$782=$B39)*('SkYSPark Data_w Will''s Data'!$B$3:$B$782=$A39)*('SkYSPark Data_w Will''s Data'!$AB$3:$AB$782=FALSE)*('SkYSPark Data_w Will''s Data'!$D$3:$D$782="Main Campus")))</f>
        <v>1.5019609364480588</v>
      </c>
      <c r="H39" t="e" cm="1" vm="1">
        <f t="array" ref="H39">MEDIAN(_xlfn._xlws.FILTER('SkYSPark Data_w Will''s Data'!$M$3:$M$782,('SkYSPark Data_w Will''s Data'!$F$3:$F$782=$B39)*('SkYSPark Data_w Will''s Data'!$B$3:$B$782=$A39)*('SkYSPark Data_w Will''s Data'!$Z$3:$Z$782=FALSE)*('SkYSPark Data_w Will''s Data'!$D$3:$D$782&lt;&gt;"Main Campus")))</f>
        <v>#VALUE!</v>
      </c>
      <c r="I39" t="e" cm="1" vm="1">
        <f t="array" ref="I39">MEDIAN(_xlfn._xlws.FILTER('SkYSPark Data_w Will''s Data'!$N$3:$N$782,('SkYSPark Data_w Will''s Data'!$F$3:$F$782=$B39)*('SkYSPark Data_w Will''s Data'!$B$3:$B$782=$A39)*('SkYSPark Data_w Will''s Data'!$N$3:$N$782&gt;0)*('SkYSPark Data_w Will''s Data'!$D$3:$D$782&lt;&gt;"Main Campus")))</f>
        <v>#VALUE!</v>
      </c>
    </row>
    <row r="40" spans="1:9" x14ac:dyDescent="0.3">
      <c r="A40" s="3">
        <v>2</v>
      </c>
      <c r="B40" s="3" t="s">
        <v>147</v>
      </c>
      <c r="C40" s="231" cm="1">
        <f t="array" ref="C40">MEDIAN(_xlfn._xlws.FILTER('SkYSPark Data_w Will''s Data'!$M$3:$M$782,('SkYSPark Data_w Will''s Data'!$F$3:$F$782=$B40)*('SkYSPark Data_w Will''s Data'!$B$3:$B$782=$A40)*('SkYSPark Data_w Will''s Data'!$Z$3:$Z$782=FALSE)*('SkYSPark Data_w Will''s Data'!$D$3:$D$782="Main Campus")))</f>
        <v>2.4936905252843662</v>
      </c>
      <c r="D40" s="231" t="e" cm="1" vm="1">
        <f t="array" ref="D40">MEDIAN(_xlfn._xlws.FILTER('SkYSPark Data_w Will''s Data'!$N$3:$N$782,('SkYSPark Data_w Will''s Data'!$F$3:$F$782=$B40)*('SkYSPark Data_w Will''s Data'!$B$3:$B$782=$A40)*('SkYSPark Data_w Will''s Data'!$N$3:$N$782&gt;0)*('SkYSPark Data_w Will''s Data'!$D$3:$D$782="Main Campus")))</f>
        <v>#VALUE!</v>
      </c>
      <c r="E40" s="231" cm="1">
        <f t="array" ref="E40">MEDIAN(_xlfn._xlws.FILTER('SkYSPark Data_w Will''s Data'!$O$3:$O$782,('SkYSPark Data_w Will''s Data'!$F$3:$F$782=$B40)*('SkYSPark Data_w Will''s Data'!$B$3:$B$782=$A40)*('SkYSPark Data_w Will''s Data'!$AA$3:$AA$782=FALSE)*('SkYSPark Data_w Will''s Data'!$D$3:$D$782="Main Campus")))</f>
        <v>2.4150366270650037</v>
      </c>
      <c r="F40" s="231" cm="1">
        <f t="array" ref="F40">MEDIAN(_xlfn._xlws.FILTER('SkYSPark Data_w Will''s Data'!$P$3:$P$782,('SkYSPark Data_w Will''s Data'!$F$3:$F$782=$B40)*('SkYSPark Data_w Will''s Data'!$B$3:$B$782=$A40)*('SkYSPark Data_w Will''s Data'!$AB$3:$AB$782=FALSE)*('SkYSPark Data_w Will''s Data'!$D$3:$D$782="Main Campus")))</f>
        <v>1.4320830157384994</v>
      </c>
      <c r="H40" t="e" cm="1" vm="1">
        <f t="array" ref="H40">MEDIAN(_xlfn._xlws.FILTER('SkYSPark Data_w Will''s Data'!$M$3:$M$782,('SkYSPark Data_w Will''s Data'!$F$3:$F$782=$B40)*('SkYSPark Data_w Will''s Data'!$B$3:$B$782=$A40)*('SkYSPark Data_w Will''s Data'!$Z$3:$Z$782=FALSE)*('SkYSPark Data_w Will''s Data'!$D$3:$D$782&lt;&gt;"Main Campus")))</f>
        <v>#VALUE!</v>
      </c>
      <c r="I40" t="e" cm="1" vm="1">
        <f t="array" ref="I40">MEDIAN(_xlfn._xlws.FILTER('SkYSPark Data_w Will''s Data'!$N$3:$N$782,('SkYSPark Data_w Will''s Data'!$F$3:$F$782=$B40)*('SkYSPark Data_w Will''s Data'!$B$3:$B$782=$A40)*('SkYSPark Data_w Will''s Data'!$N$3:$N$782&gt;0)*('SkYSPark Data_w Will''s Data'!$D$3:$D$782&lt;&gt;"Main Campus")))</f>
        <v>#VALUE!</v>
      </c>
    </row>
    <row r="41" spans="1:9" x14ac:dyDescent="0.3">
      <c r="A41" s="3">
        <v>3</v>
      </c>
      <c r="B41" s="3" t="s">
        <v>147</v>
      </c>
      <c r="C41" s="231" cm="1">
        <f t="array" ref="C41">MEDIAN(_xlfn._xlws.FILTER('SkYSPark Data_w Will''s Data'!$M$3:$M$782,('SkYSPark Data_w Will''s Data'!$F$3:$F$782=$B41)*('SkYSPark Data_w Will''s Data'!$B$3:$B$782=$A41)*('SkYSPark Data_w Will''s Data'!$Z$3:$Z$782=FALSE)*('SkYSPark Data_w Will''s Data'!$D$3:$D$782="Main Campus")))</f>
        <v>2.494155702639306</v>
      </c>
      <c r="D41" s="231" t="e" cm="1" vm="1">
        <f t="array" ref="D41">MEDIAN(_xlfn._xlws.FILTER('SkYSPark Data_w Will''s Data'!$N$3:$N$782,('SkYSPark Data_w Will''s Data'!$F$3:$F$782=$B41)*('SkYSPark Data_w Will''s Data'!$B$3:$B$782=$A41)*('SkYSPark Data_w Will''s Data'!$N$3:$N$782&gt;0)*('SkYSPark Data_w Will''s Data'!$D$3:$D$782="Main Campus")))</f>
        <v>#VALUE!</v>
      </c>
      <c r="E41" s="231" cm="1">
        <f t="array" ref="E41">MEDIAN(_xlfn._xlws.FILTER('SkYSPark Data_w Will''s Data'!$O$3:$O$782,('SkYSPark Data_w Will''s Data'!$F$3:$F$782=$B41)*('SkYSPark Data_w Will''s Data'!$B$3:$B$782=$A41)*('SkYSPark Data_w Will''s Data'!$AA$3:$AA$782=FALSE)*('SkYSPark Data_w Will''s Data'!$D$3:$D$782="Main Campus")))</f>
        <v>2.1924666975015614</v>
      </c>
      <c r="F41" s="231" cm="1">
        <f t="array" ref="F41">MEDIAN(_xlfn._xlws.FILTER('SkYSPark Data_w Will''s Data'!$P$3:$P$782,('SkYSPark Data_w Will''s Data'!$F$3:$F$782=$B41)*('SkYSPark Data_w Will''s Data'!$B$3:$B$782=$A41)*('SkYSPark Data_w Will''s Data'!$AB$3:$AB$782=FALSE)*('SkYSPark Data_w Will''s Data'!$D$3:$D$782="Main Campus")))</f>
        <v>1.6340432396930986</v>
      </c>
      <c r="H41" t="e" cm="1" vm="1">
        <f t="array" ref="H41">MEDIAN(_xlfn._xlws.FILTER('SkYSPark Data_w Will''s Data'!$M$3:$M$782,('SkYSPark Data_w Will''s Data'!$F$3:$F$782=$B41)*('SkYSPark Data_w Will''s Data'!$B$3:$B$782=$A41)*('SkYSPark Data_w Will''s Data'!$Z$3:$Z$782=FALSE)*('SkYSPark Data_w Will''s Data'!$D$3:$D$782&lt;&gt;"Main Campus")))</f>
        <v>#VALUE!</v>
      </c>
      <c r="I41" t="e" cm="1" vm="1">
        <f t="array" ref="I41">MEDIAN(_xlfn._xlws.FILTER('SkYSPark Data_w Will''s Data'!$N$3:$N$782,('SkYSPark Data_w Will''s Data'!$F$3:$F$782=$B41)*('SkYSPark Data_w Will''s Data'!$B$3:$B$782=$A41)*('SkYSPark Data_w Will''s Data'!$N$3:$N$782&gt;0)*('SkYSPark Data_w Will''s Data'!$D$3:$D$782&lt;&gt;"Main Campus")))</f>
        <v>#VALUE!</v>
      </c>
    </row>
    <row r="42" spans="1:9" x14ac:dyDescent="0.3">
      <c r="A42" s="3">
        <v>4</v>
      </c>
      <c r="B42" s="3" t="s">
        <v>147</v>
      </c>
      <c r="C42" s="231" cm="1">
        <f t="array" ref="C42">MEDIAN(_xlfn._xlws.FILTER('SkYSPark Data_w Will''s Data'!$M$3:$M$782,('SkYSPark Data_w Will''s Data'!$F$3:$F$782=$B42)*('SkYSPark Data_w Will''s Data'!$B$3:$B$782=$A42)*('SkYSPark Data_w Will''s Data'!$Z$3:$Z$782=FALSE)*('SkYSPark Data_w Will''s Data'!$D$3:$D$782="Main Campus")))</f>
        <v>2.4070433086695462</v>
      </c>
      <c r="D42" s="231" t="e" cm="1" vm="1">
        <f t="array" ref="D42">MEDIAN(_xlfn._xlws.FILTER('SkYSPark Data_w Will''s Data'!$N$3:$N$782,('SkYSPark Data_w Will''s Data'!$F$3:$F$782=$B42)*('SkYSPark Data_w Will''s Data'!$B$3:$B$782=$A42)*('SkYSPark Data_w Will''s Data'!$N$3:$N$782&gt;0)*('SkYSPark Data_w Will''s Data'!$D$3:$D$782="Main Campus")))</f>
        <v>#VALUE!</v>
      </c>
      <c r="E42" s="231" cm="1">
        <f t="array" ref="E42">MEDIAN(_xlfn._xlws.FILTER('SkYSPark Data_w Will''s Data'!$O$3:$O$782,('SkYSPark Data_w Will''s Data'!$F$3:$F$782=$B42)*('SkYSPark Data_w Will''s Data'!$B$3:$B$782=$A42)*('SkYSPark Data_w Will''s Data'!$AA$3:$AA$782=FALSE)*('SkYSPark Data_w Will''s Data'!$D$3:$D$782="Main Campus")))</f>
        <v>1.1342984025242788</v>
      </c>
      <c r="F42" s="231" cm="1">
        <f t="array" ref="F42">MEDIAN(_xlfn._xlws.FILTER('SkYSPark Data_w Will''s Data'!$P$3:$P$782,('SkYSPark Data_w Will''s Data'!$F$3:$F$782=$B42)*('SkYSPark Data_w Will''s Data'!$B$3:$B$782=$A42)*('SkYSPark Data_w Will''s Data'!$AB$3:$AB$782=FALSE)*('SkYSPark Data_w Will''s Data'!$D$3:$D$782="Main Campus")))</f>
        <v>2.1061756669634581</v>
      </c>
      <c r="H42" t="e" cm="1" vm="1">
        <f t="array" ref="H42">MEDIAN(_xlfn._xlws.FILTER('SkYSPark Data_w Will''s Data'!$M$3:$M$782,('SkYSPark Data_w Will''s Data'!$F$3:$F$782=$B42)*('SkYSPark Data_w Will''s Data'!$B$3:$B$782=$A42)*('SkYSPark Data_w Will''s Data'!$Z$3:$Z$782=FALSE)*('SkYSPark Data_w Will''s Data'!$D$3:$D$782&lt;&gt;"Main Campus")))</f>
        <v>#VALUE!</v>
      </c>
      <c r="I42" t="e" cm="1" vm="1">
        <f t="array" ref="I42">MEDIAN(_xlfn._xlws.FILTER('SkYSPark Data_w Will''s Data'!$N$3:$N$782,('SkYSPark Data_w Will''s Data'!$F$3:$F$782=$B42)*('SkYSPark Data_w Will''s Data'!$B$3:$B$782=$A42)*('SkYSPark Data_w Will''s Data'!$N$3:$N$782&gt;0)*('SkYSPark Data_w Will''s Data'!$D$3:$D$782&lt;&gt;"Main Campus")))</f>
        <v>#VALUE!</v>
      </c>
    </row>
    <row r="43" spans="1:9" x14ac:dyDescent="0.3">
      <c r="A43" s="3">
        <v>5</v>
      </c>
      <c r="B43" s="3" t="s">
        <v>147</v>
      </c>
      <c r="C43" s="231" cm="1">
        <f t="array" ref="C43">MEDIAN(_xlfn._xlws.FILTER('SkYSPark Data_w Will''s Data'!$M$3:$M$782,('SkYSPark Data_w Will''s Data'!$F$3:$F$782=$B43)*('SkYSPark Data_w Will''s Data'!$B$3:$B$782=$A43)*('SkYSPark Data_w Will''s Data'!$Z$3:$Z$782=FALSE)*('SkYSPark Data_w Will''s Data'!$D$3:$D$782="Main Campus")))</f>
        <v>2.4674004017136384</v>
      </c>
      <c r="D43" s="231" t="e" cm="1" vm="1">
        <f t="array" ref="D43">MEDIAN(_xlfn._xlws.FILTER('SkYSPark Data_w Will''s Data'!$N$3:$N$782,('SkYSPark Data_w Will''s Data'!$F$3:$F$782=$B43)*('SkYSPark Data_w Will''s Data'!$B$3:$B$782=$A43)*('SkYSPark Data_w Will''s Data'!$N$3:$N$782&gt;0)*('SkYSPark Data_w Will''s Data'!$D$3:$D$782="Main Campus")))</f>
        <v>#VALUE!</v>
      </c>
      <c r="E43" s="231" cm="1">
        <f t="array" ref="E43">MEDIAN(_xlfn._xlws.FILTER('SkYSPark Data_w Will''s Data'!$O$3:$O$782,('SkYSPark Data_w Will''s Data'!$F$3:$F$782=$B43)*('SkYSPark Data_w Will''s Data'!$B$3:$B$782=$A43)*('SkYSPark Data_w Will''s Data'!$AA$3:$AA$782=FALSE)*('SkYSPark Data_w Will''s Data'!$D$3:$D$782="Main Campus")))</f>
        <v>0.8460261086773232</v>
      </c>
      <c r="F43" s="231" cm="1">
        <f t="array" ref="F43">MEDIAN(_xlfn._xlws.FILTER('SkYSPark Data_w Will''s Data'!$P$3:$P$782,('SkYSPark Data_w Will''s Data'!$F$3:$F$782=$B43)*('SkYSPark Data_w Will''s Data'!$B$3:$B$782=$A43)*('SkYSPark Data_w Will''s Data'!$AB$3:$AB$782=FALSE)*('SkYSPark Data_w Will''s Data'!$D$3:$D$782="Main Campus")))</f>
        <v>2.3924896116149199</v>
      </c>
      <c r="H43" t="e" cm="1" vm="1">
        <f t="array" ref="H43">MEDIAN(_xlfn._xlws.FILTER('SkYSPark Data_w Will''s Data'!$M$3:$M$782,('SkYSPark Data_w Will''s Data'!$F$3:$F$782=$B43)*('SkYSPark Data_w Will''s Data'!$B$3:$B$782=$A43)*('SkYSPark Data_w Will''s Data'!$Z$3:$Z$782=FALSE)*('SkYSPark Data_w Will''s Data'!$D$3:$D$782&lt;&gt;"Main Campus")))</f>
        <v>#VALUE!</v>
      </c>
      <c r="I43" t="e" cm="1" vm="1">
        <f t="array" ref="I43">MEDIAN(_xlfn._xlws.FILTER('SkYSPark Data_w Will''s Data'!$N$3:$N$782,('SkYSPark Data_w Will''s Data'!$F$3:$F$782=$B43)*('SkYSPark Data_w Will''s Data'!$B$3:$B$782=$A43)*('SkYSPark Data_w Will''s Data'!$N$3:$N$782&gt;0)*('SkYSPark Data_w Will''s Data'!$D$3:$D$782&lt;&gt;"Main Campus")))</f>
        <v>#VALUE!</v>
      </c>
    </row>
    <row r="44" spans="1:9" x14ac:dyDescent="0.3">
      <c r="A44" s="3">
        <v>6</v>
      </c>
      <c r="B44" s="3" t="s">
        <v>147</v>
      </c>
      <c r="C44" s="231" cm="1">
        <f t="array" ref="C44">MEDIAN(_xlfn._xlws.FILTER('SkYSPark Data_w Will''s Data'!$M$3:$M$782,('SkYSPark Data_w Will''s Data'!$F$3:$F$782=$B44)*('SkYSPark Data_w Will''s Data'!$B$3:$B$782=$A44)*('SkYSPark Data_w Will''s Data'!$Z$3:$Z$782=FALSE)*('SkYSPark Data_w Will''s Data'!$D$3:$D$782="Main Campus")))</f>
        <v>2.0078882587877942</v>
      </c>
      <c r="D44" s="231" t="e" cm="1" vm="1">
        <f t="array" ref="D44">MEDIAN(_xlfn._xlws.FILTER('SkYSPark Data_w Will''s Data'!$N$3:$N$782,('SkYSPark Data_w Will''s Data'!$F$3:$F$782=$B44)*('SkYSPark Data_w Will''s Data'!$B$3:$B$782=$A44)*('SkYSPark Data_w Will''s Data'!$N$3:$N$782&gt;0)*('SkYSPark Data_w Will''s Data'!$D$3:$D$782="Main Campus")))</f>
        <v>#VALUE!</v>
      </c>
      <c r="E44" s="231" cm="1">
        <f t="array" ref="E44">MEDIAN(_xlfn._xlws.FILTER('SkYSPark Data_w Will''s Data'!$O$3:$O$782,('SkYSPark Data_w Will''s Data'!$F$3:$F$782=$B44)*('SkYSPark Data_w Will''s Data'!$B$3:$B$782=$A44)*('SkYSPark Data_w Will''s Data'!$AA$3:$AA$782=FALSE)*('SkYSPark Data_w Will''s Data'!$D$3:$D$782="Main Campus")))</f>
        <v>0.43077602709900564</v>
      </c>
      <c r="F44" s="231" cm="1">
        <f t="array" ref="F44">MEDIAN(_xlfn._xlws.FILTER('SkYSPark Data_w Will''s Data'!$P$3:$P$782,('SkYSPark Data_w Will''s Data'!$F$3:$F$782=$B44)*('SkYSPark Data_w Will''s Data'!$B$3:$B$782=$A44)*('SkYSPark Data_w Will''s Data'!$AB$3:$AB$782=FALSE)*('SkYSPark Data_w Will''s Data'!$D$3:$D$782="Main Campus")))</f>
        <v>2.7635951823672822</v>
      </c>
      <c r="H44" t="e" cm="1" vm="1">
        <f t="array" ref="H44">MEDIAN(_xlfn._xlws.FILTER('SkYSPark Data_w Will''s Data'!$M$3:$M$782,('SkYSPark Data_w Will''s Data'!$F$3:$F$782=$B44)*('SkYSPark Data_w Will''s Data'!$B$3:$B$782=$A44)*('SkYSPark Data_w Will''s Data'!$Z$3:$Z$782=FALSE)*('SkYSPark Data_w Will''s Data'!$D$3:$D$782&lt;&gt;"Main Campus")))</f>
        <v>#VALUE!</v>
      </c>
      <c r="I44" t="e" cm="1" vm="1">
        <f t="array" ref="I44">MEDIAN(_xlfn._xlws.FILTER('SkYSPark Data_w Will''s Data'!$N$3:$N$782,('SkYSPark Data_w Will''s Data'!$F$3:$F$782=$B44)*('SkYSPark Data_w Will''s Data'!$B$3:$B$782=$A44)*('SkYSPark Data_w Will''s Data'!$N$3:$N$782&gt;0)*('SkYSPark Data_w Will''s Data'!$D$3:$D$782&lt;&gt;"Main Campus")))</f>
        <v>#VALUE!</v>
      </c>
    </row>
    <row r="45" spans="1:9" x14ac:dyDescent="0.3">
      <c r="A45" s="3">
        <v>7</v>
      </c>
      <c r="B45" s="3" t="s">
        <v>147</v>
      </c>
      <c r="C45" s="231" cm="1">
        <f t="array" ref="C45">MEDIAN(_xlfn._xlws.FILTER('SkYSPark Data_w Will''s Data'!$M$3:$M$782,('SkYSPark Data_w Will''s Data'!$F$3:$F$782=$B45)*('SkYSPark Data_w Will''s Data'!$B$3:$B$782=$A45)*('SkYSPark Data_w Will''s Data'!$Z$3:$Z$782=FALSE)*('SkYSPark Data_w Will''s Data'!$D$3:$D$782="Main Campus")))</f>
        <v>2.1027994943010393</v>
      </c>
      <c r="D45" s="231" t="e" cm="1" vm="1">
        <f t="array" ref="D45">MEDIAN(_xlfn._xlws.FILTER('SkYSPark Data_w Will''s Data'!$N$3:$N$782,('SkYSPark Data_w Will''s Data'!$F$3:$F$782=$B45)*('SkYSPark Data_w Will''s Data'!$B$3:$B$782=$A45)*('SkYSPark Data_w Will''s Data'!$N$3:$N$782&gt;0)*('SkYSPark Data_w Will''s Data'!$D$3:$D$782="Main Campus")))</f>
        <v>#VALUE!</v>
      </c>
      <c r="E45" s="231" cm="1">
        <f t="array" ref="E45">MEDIAN(_xlfn._xlws.FILTER('SkYSPark Data_w Will''s Data'!$O$3:$O$782,('SkYSPark Data_w Will''s Data'!$F$3:$F$782=$B45)*('SkYSPark Data_w Will''s Data'!$B$3:$B$782=$A45)*('SkYSPark Data_w Will''s Data'!$AA$3:$AA$782=FALSE)*('SkYSPark Data_w Will''s Data'!$D$3:$D$782="Main Campus")))</f>
        <v>0.25780678492212267</v>
      </c>
      <c r="F45" s="231" cm="1">
        <f t="array" ref="F45">MEDIAN(_xlfn._xlws.FILTER('SkYSPark Data_w Will''s Data'!$P$3:$P$782,('SkYSPark Data_w Will''s Data'!$F$3:$F$782=$B45)*('SkYSPark Data_w Will''s Data'!$B$3:$B$782=$A45)*('SkYSPark Data_w Will''s Data'!$AB$3:$AB$782=FALSE)*('SkYSPark Data_w Will''s Data'!$D$3:$D$782="Main Campus")))</f>
        <v>3.5262433652899547</v>
      </c>
      <c r="H45" t="e" cm="1" vm="1">
        <f t="array" ref="H45">MEDIAN(_xlfn._xlws.FILTER('SkYSPark Data_w Will''s Data'!$M$3:$M$782,('SkYSPark Data_w Will''s Data'!$F$3:$F$782=$B45)*('SkYSPark Data_w Will''s Data'!$B$3:$B$782=$A45)*('SkYSPark Data_w Will''s Data'!$Z$3:$Z$782=FALSE)*('SkYSPark Data_w Will''s Data'!$D$3:$D$782&lt;&gt;"Main Campus")))</f>
        <v>#VALUE!</v>
      </c>
      <c r="I45" t="e" cm="1" vm="1">
        <f t="array" ref="I45">MEDIAN(_xlfn._xlws.FILTER('SkYSPark Data_w Will''s Data'!$N$3:$N$782,('SkYSPark Data_w Will''s Data'!$F$3:$F$782=$B45)*('SkYSPark Data_w Will''s Data'!$B$3:$B$782=$A45)*('SkYSPark Data_w Will''s Data'!$N$3:$N$782&gt;0)*('SkYSPark Data_w Will''s Data'!$D$3:$D$782&lt;&gt;"Main Campus")))</f>
        <v>#VALUE!</v>
      </c>
    </row>
    <row r="46" spans="1:9" x14ac:dyDescent="0.3">
      <c r="A46" s="3">
        <v>8</v>
      </c>
      <c r="B46" s="3" t="s">
        <v>147</v>
      </c>
      <c r="C46" s="231" cm="1">
        <f t="array" ref="C46">MEDIAN(_xlfn._xlws.FILTER('SkYSPark Data_w Will''s Data'!$M$3:$M$782,('SkYSPark Data_w Will''s Data'!$F$3:$F$782=$B46)*('SkYSPark Data_w Will''s Data'!$B$3:$B$782=$A46)*('SkYSPark Data_w Will''s Data'!$Z$3:$Z$782=FALSE)*('SkYSPark Data_w Will''s Data'!$D$3:$D$782="Main Campus")))</f>
        <v>1.9448073905294967</v>
      </c>
      <c r="D46" s="231" t="e" cm="1" vm="1">
        <f t="array" ref="D46">MEDIAN(_xlfn._xlws.FILTER('SkYSPark Data_w Will''s Data'!$N$3:$N$782,('SkYSPark Data_w Will''s Data'!$F$3:$F$782=$B46)*('SkYSPark Data_w Will''s Data'!$B$3:$B$782=$A46)*('SkYSPark Data_w Will''s Data'!$N$3:$N$782&gt;0)*('SkYSPark Data_w Will''s Data'!$D$3:$D$782="Main Campus")))</f>
        <v>#VALUE!</v>
      </c>
      <c r="E46" s="231" cm="1">
        <f t="array" ref="E46">MEDIAN(_xlfn._xlws.FILTER('SkYSPark Data_w Will''s Data'!$O$3:$O$782,('SkYSPark Data_w Will''s Data'!$F$3:$F$782=$B46)*('SkYSPark Data_w Will''s Data'!$B$3:$B$782=$A46)*('SkYSPark Data_w Will''s Data'!$AA$3:$AA$782=FALSE)*('SkYSPark Data_w Will''s Data'!$D$3:$D$782="Main Campus")))</f>
        <v>0.17915266270563668</v>
      </c>
      <c r="F46" s="231" cm="1">
        <f t="array" ref="F46">MEDIAN(_xlfn._xlws.FILTER('SkYSPark Data_w Will''s Data'!$P$3:$P$782,('SkYSPark Data_w Will''s Data'!$F$3:$F$782=$B46)*('SkYSPark Data_w Will''s Data'!$B$3:$B$782=$A46)*('SkYSPark Data_w Will''s Data'!$AB$3:$AB$782=FALSE)*('SkYSPark Data_w Will''s Data'!$D$3:$D$782="Main Campus")))</f>
        <v>3.7812716647736839</v>
      </c>
      <c r="H46" t="e" cm="1" vm="1">
        <f t="array" ref="H46">MEDIAN(_xlfn._xlws.FILTER('SkYSPark Data_w Will''s Data'!$M$3:$M$782,('SkYSPark Data_w Will''s Data'!$F$3:$F$782=$B46)*('SkYSPark Data_w Will''s Data'!$B$3:$B$782=$A46)*('SkYSPark Data_w Will''s Data'!$Z$3:$Z$782=FALSE)*('SkYSPark Data_w Will''s Data'!$D$3:$D$782&lt;&gt;"Main Campus")))</f>
        <v>#VALUE!</v>
      </c>
      <c r="I46" t="e" cm="1" vm="1">
        <f t="array" ref="I46">MEDIAN(_xlfn._xlws.FILTER('SkYSPark Data_w Will''s Data'!$N$3:$N$782,('SkYSPark Data_w Will''s Data'!$F$3:$F$782=$B46)*('SkYSPark Data_w Will''s Data'!$B$3:$B$782=$A46)*('SkYSPark Data_w Will''s Data'!$N$3:$N$782&gt;0)*('SkYSPark Data_w Will''s Data'!$D$3:$D$782&lt;&gt;"Main Campus")))</f>
        <v>#VALUE!</v>
      </c>
    </row>
    <row r="47" spans="1:9" x14ac:dyDescent="0.3">
      <c r="A47" s="3">
        <v>9</v>
      </c>
      <c r="B47" s="3" t="s">
        <v>147</v>
      </c>
      <c r="C47" s="231" cm="1">
        <f t="array" ref="C47">MEDIAN(_xlfn._xlws.FILTER('SkYSPark Data_w Will''s Data'!$M$3:$M$782,('SkYSPark Data_w Will''s Data'!$F$3:$F$782=$B47)*('SkYSPark Data_w Will''s Data'!$B$3:$B$782=$A47)*('SkYSPark Data_w Will''s Data'!$Z$3:$Z$782=FALSE)*('SkYSPark Data_w Will''s Data'!$D$3:$D$782="Main Campus")))</f>
        <v>2.2167385658202026</v>
      </c>
      <c r="D47" s="231" t="e" cm="1" vm="1">
        <f t="array" ref="D47">MEDIAN(_xlfn._xlws.FILTER('SkYSPark Data_w Will''s Data'!$N$3:$N$782,('SkYSPark Data_w Will''s Data'!$F$3:$F$782=$B47)*('SkYSPark Data_w Will''s Data'!$B$3:$B$782=$A47)*('SkYSPark Data_w Will''s Data'!$N$3:$N$782&gt;0)*('SkYSPark Data_w Will''s Data'!$D$3:$D$782="Main Campus")))</f>
        <v>#VALUE!</v>
      </c>
      <c r="E47" s="231" cm="1">
        <f t="array" ref="E47">MEDIAN(_xlfn._xlws.FILTER('SkYSPark Data_w Will''s Data'!$O$3:$O$782,('SkYSPark Data_w Will''s Data'!$F$3:$F$782=$B47)*('SkYSPark Data_w Will''s Data'!$B$3:$B$782=$A47)*('SkYSPark Data_w Will''s Data'!$AA$3:$AA$782=FALSE)*('SkYSPark Data_w Will''s Data'!$D$3:$D$782="Main Campus")))</f>
        <v>0.29740084469593492</v>
      </c>
      <c r="F47" s="231" cm="1">
        <f t="array" ref="F47">MEDIAN(_xlfn._xlws.FILTER('SkYSPark Data_w Will''s Data'!$P$3:$P$782,('SkYSPark Data_w Will''s Data'!$F$3:$F$782=$B47)*('SkYSPark Data_w Will''s Data'!$B$3:$B$782=$A47)*('SkYSPark Data_w Will''s Data'!$AB$3:$AB$782=FALSE)*('SkYSPark Data_w Will''s Data'!$D$3:$D$782="Main Campus")))</f>
        <v>3.2838068959794686</v>
      </c>
      <c r="H47" t="e" cm="1" vm="1">
        <f t="array" ref="H47">MEDIAN(_xlfn._xlws.FILTER('SkYSPark Data_w Will''s Data'!$M$3:$M$782,('SkYSPark Data_w Will''s Data'!$F$3:$F$782=$B47)*('SkYSPark Data_w Will''s Data'!$B$3:$B$782=$A47)*('SkYSPark Data_w Will''s Data'!$Z$3:$Z$782=FALSE)*('SkYSPark Data_w Will''s Data'!$D$3:$D$782&lt;&gt;"Main Campus")))</f>
        <v>#VALUE!</v>
      </c>
      <c r="I47" t="e" cm="1" vm="1">
        <f t="array" ref="I47">MEDIAN(_xlfn._xlws.FILTER('SkYSPark Data_w Will''s Data'!$N$3:$N$782,('SkYSPark Data_w Will''s Data'!$F$3:$F$782=$B47)*('SkYSPark Data_w Will''s Data'!$B$3:$B$782=$A47)*('SkYSPark Data_w Will''s Data'!$N$3:$N$782&gt;0)*('SkYSPark Data_w Will''s Data'!$D$3:$D$782&lt;&gt;"Main Campus")))</f>
        <v>#VALUE!</v>
      </c>
    </row>
    <row r="48" spans="1:9" x14ac:dyDescent="0.3">
      <c r="A48" s="3">
        <v>10</v>
      </c>
      <c r="B48" s="3" t="s">
        <v>147</v>
      </c>
      <c r="C48" s="231" cm="1">
        <f t="array" ref="C48">MEDIAN(_xlfn._xlws.FILTER('SkYSPark Data_w Will''s Data'!$M$3:$M$782,('SkYSPark Data_w Will''s Data'!$F$3:$F$782=$B48)*('SkYSPark Data_w Will''s Data'!$B$3:$B$782=$A48)*('SkYSPark Data_w Will''s Data'!$Z$3:$Z$782=FALSE)*('SkYSPark Data_w Will''s Data'!$D$3:$D$782="Main Campus")))</f>
        <v>2.3750517801678837</v>
      </c>
      <c r="D48" s="231" t="e" cm="1" vm="1">
        <f t="array" ref="D48">MEDIAN(_xlfn._xlws.FILTER('SkYSPark Data_w Will''s Data'!$N$3:$N$782,('SkYSPark Data_w Will''s Data'!$F$3:$F$782=$B48)*('SkYSPark Data_w Will''s Data'!$B$3:$B$782=$A48)*('SkYSPark Data_w Will''s Data'!$N$3:$N$782&gt;0)*('SkYSPark Data_w Will''s Data'!$D$3:$D$782="Main Campus")))</f>
        <v>#VALUE!</v>
      </c>
      <c r="E48" s="231" cm="1">
        <f t="array" ref="E48">MEDIAN(_xlfn._xlws.FILTER('SkYSPark Data_w Will''s Data'!$O$3:$O$782,('SkYSPark Data_w Will''s Data'!$F$3:$F$782=$B48)*('SkYSPark Data_w Will''s Data'!$B$3:$B$782=$A48)*('SkYSPark Data_w Will''s Data'!$AA$3:$AA$782=FALSE)*('SkYSPark Data_w Will''s Data'!$D$3:$D$782="Main Campus")))</f>
        <v>0.4588518541517384</v>
      </c>
      <c r="F48" s="231" cm="1">
        <f t="array" ref="F48">MEDIAN(_xlfn._xlws.FILTER('SkYSPark Data_w Will''s Data'!$P$3:$P$782,('SkYSPark Data_w Will''s Data'!$F$3:$F$782=$B48)*('SkYSPark Data_w Will''s Data'!$B$3:$B$782=$A48)*('SkYSPark Data_w Will''s Data'!$AB$3:$AB$782=FALSE)*('SkYSPark Data_w Will''s Data'!$D$3:$D$782="Main Campus")))</f>
        <v>3.0006382035655808</v>
      </c>
      <c r="H48" t="e" cm="1" vm="1">
        <f t="array" ref="H48">MEDIAN(_xlfn._xlws.FILTER('SkYSPark Data_w Will''s Data'!$M$3:$M$782,('SkYSPark Data_w Will''s Data'!$F$3:$F$782=$B48)*('SkYSPark Data_w Will''s Data'!$B$3:$B$782=$A48)*('SkYSPark Data_w Will''s Data'!$Z$3:$Z$782=FALSE)*('SkYSPark Data_w Will''s Data'!$D$3:$D$782&lt;&gt;"Main Campus")))</f>
        <v>#VALUE!</v>
      </c>
      <c r="I48" t="e" cm="1" vm="1">
        <f t="array" ref="I48">MEDIAN(_xlfn._xlws.FILTER('SkYSPark Data_w Will''s Data'!$N$3:$N$782,('SkYSPark Data_w Will''s Data'!$F$3:$F$782=$B48)*('SkYSPark Data_w Will''s Data'!$B$3:$B$782=$A48)*('SkYSPark Data_w Will''s Data'!$N$3:$N$782&gt;0)*('SkYSPark Data_w Will''s Data'!$D$3:$D$782&lt;&gt;"Main Campus")))</f>
        <v>#VALUE!</v>
      </c>
    </row>
    <row r="49" spans="1:9" x14ac:dyDescent="0.3">
      <c r="A49" s="3">
        <v>11</v>
      </c>
      <c r="B49" s="3" t="s">
        <v>147</v>
      </c>
      <c r="C49" s="231" cm="1">
        <f t="array" ref="C49">MEDIAN(_xlfn._xlws.FILTER('SkYSPark Data_w Will''s Data'!$M$3:$M$782,('SkYSPark Data_w Will''s Data'!$F$3:$F$782=$B49)*('SkYSPark Data_w Will''s Data'!$B$3:$B$782=$A49)*('SkYSPark Data_w Will''s Data'!$Z$3:$Z$782=FALSE)*('SkYSPark Data_w Will''s Data'!$D$3:$D$782="Main Campus")))</f>
        <v>2.4822046530981137</v>
      </c>
      <c r="D49" s="231" t="e" cm="1" vm="1">
        <f t="array" ref="D49">MEDIAN(_xlfn._xlws.FILTER('SkYSPark Data_w Will''s Data'!$N$3:$N$782,('SkYSPark Data_w Will''s Data'!$F$3:$F$782=$B49)*('SkYSPark Data_w Will''s Data'!$B$3:$B$782=$A49)*('SkYSPark Data_w Will''s Data'!$N$3:$N$782&gt;0)*('SkYSPark Data_w Will''s Data'!$D$3:$D$782="Main Campus")))</f>
        <v>#VALUE!</v>
      </c>
      <c r="E49" s="231" cm="1">
        <f t="array" ref="E49">MEDIAN(_xlfn._xlws.FILTER('SkYSPark Data_w Will''s Data'!$O$3:$O$782,('SkYSPark Data_w Will''s Data'!$F$3:$F$782=$B49)*('SkYSPark Data_w Will''s Data'!$B$3:$B$782=$A49)*('SkYSPark Data_w Will''s Data'!$AA$3:$AA$782=FALSE)*('SkYSPark Data_w Will''s Data'!$D$3:$D$782="Main Campus")))</f>
        <v>1.1180353770493547</v>
      </c>
      <c r="F49" s="231" cm="1">
        <f t="array" ref="F49">MEDIAN(_xlfn._xlws.FILTER('SkYSPark Data_w Will''s Data'!$P$3:$P$782,('SkYSPark Data_w Will''s Data'!$F$3:$F$782=$B49)*('SkYSPark Data_w Will''s Data'!$B$3:$B$782=$A49)*('SkYSPark Data_w Will''s Data'!$AB$3:$AB$782=FALSE)*('SkYSPark Data_w Will''s Data'!$D$3:$D$782="Main Campus")))</f>
        <v>2.0031109872298427</v>
      </c>
      <c r="H49" t="e" cm="1" vm="1">
        <f t="array" ref="H49">MEDIAN(_xlfn._xlws.FILTER('SkYSPark Data_w Will''s Data'!$M$3:$M$782,('SkYSPark Data_w Will''s Data'!$F$3:$F$782=$B49)*('SkYSPark Data_w Will''s Data'!$B$3:$B$782=$A49)*('SkYSPark Data_w Will''s Data'!$Z$3:$Z$782=FALSE)*('SkYSPark Data_w Will''s Data'!$D$3:$D$782&lt;&gt;"Main Campus")))</f>
        <v>#VALUE!</v>
      </c>
      <c r="I49" t="e" cm="1" vm="1">
        <f t="array" ref="I49">MEDIAN(_xlfn._xlws.FILTER('SkYSPark Data_w Will''s Data'!$N$3:$N$782,('SkYSPark Data_w Will''s Data'!$F$3:$F$782=$B49)*('SkYSPark Data_w Will''s Data'!$B$3:$B$782=$A49)*('SkYSPark Data_w Will''s Data'!$N$3:$N$782&gt;0)*('SkYSPark Data_w Will''s Data'!$D$3:$D$782&lt;&gt;"Main Campus")))</f>
        <v>#VALUE!</v>
      </c>
    </row>
    <row r="50" spans="1:9" x14ac:dyDescent="0.3">
      <c r="A50" s="3">
        <v>12</v>
      </c>
      <c r="B50" s="3" t="s">
        <v>147</v>
      </c>
      <c r="C50" s="231" cm="1">
        <f t="array" ref="C50">MEDIAN(_xlfn._xlws.FILTER('SkYSPark Data_w Will''s Data'!$M$3:$M$782,('SkYSPark Data_w Will''s Data'!$F$3:$F$782=$B50)*('SkYSPark Data_w Will''s Data'!$B$3:$B$782=$A50)*('SkYSPark Data_w Will''s Data'!$Z$3:$Z$782=FALSE)*('SkYSPark Data_w Will''s Data'!$D$3:$D$782="Main Campus")))</f>
        <v>2.4840141543993561</v>
      </c>
      <c r="D50" s="231" t="e" cm="1" vm="1">
        <f t="array" ref="D50">MEDIAN(_xlfn._xlws.FILTER('SkYSPark Data_w Will''s Data'!$N$3:$N$782,('SkYSPark Data_w Will''s Data'!$F$3:$F$782=$B50)*('SkYSPark Data_w Will''s Data'!$B$3:$B$782=$A50)*('SkYSPark Data_w Will''s Data'!$N$3:$N$782&gt;0)*('SkYSPark Data_w Will''s Data'!$D$3:$D$782="Main Campus")))</f>
        <v>#VALUE!</v>
      </c>
      <c r="E50" s="231" cm="1">
        <f t="array" ref="E50">MEDIAN(_xlfn._xlws.FILTER('SkYSPark Data_w Will''s Data'!$O$3:$O$782,('SkYSPark Data_w Will''s Data'!$F$3:$F$782=$B50)*('SkYSPark Data_w Will''s Data'!$B$3:$B$782=$A50)*('SkYSPark Data_w Will''s Data'!$AA$3:$AA$782=FALSE)*('SkYSPark Data_w Will''s Data'!$D$3:$D$782="Main Campus")))</f>
        <v>1.7888353206010537</v>
      </c>
      <c r="F50" s="231" cm="1">
        <f t="array" ref="F50">MEDIAN(_xlfn._xlws.FILTER('SkYSPark Data_w Will''s Data'!$P$3:$P$782,('SkYSPark Data_w Will''s Data'!$F$3:$F$782=$B50)*('SkYSPark Data_w Will''s Data'!$B$3:$B$782=$A50)*('SkYSPark Data_w Will''s Data'!$AB$3:$AB$782=FALSE)*('SkYSPark Data_w Will''s Data'!$D$3:$D$782="Main Campus")))</f>
        <v>1.8485380416261028</v>
      </c>
      <c r="H50" t="e" cm="1" vm="1">
        <f t="array" ref="H50">MEDIAN(_xlfn._xlws.FILTER('SkYSPark Data_w Will''s Data'!$M$3:$M$782,('SkYSPark Data_w Will''s Data'!$F$3:$F$782=$B50)*('SkYSPark Data_w Will''s Data'!$B$3:$B$782=$A50)*('SkYSPark Data_w Will''s Data'!$Z$3:$Z$782=FALSE)*('SkYSPark Data_w Will''s Data'!$D$3:$D$782&lt;&gt;"Main Campus")))</f>
        <v>#VALUE!</v>
      </c>
      <c r="I50" t="e" cm="1" vm="1">
        <f t="array" ref="I50">MEDIAN(_xlfn._xlws.FILTER('SkYSPark Data_w Will''s Data'!$N$3:$N$782,('SkYSPark Data_w Will''s Data'!$F$3:$F$782=$B50)*('SkYSPark Data_w Will''s Data'!$B$3:$B$782=$A50)*('SkYSPark Data_w Will''s Data'!$N$3:$N$782&gt;0)*('SkYSPark Data_w Will''s Data'!$D$3:$D$782&lt;&gt;"Main Campus")))</f>
        <v>#VALUE!</v>
      </c>
    </row>
    <row r="51" spans="1:9" x14ac:dyDescent="0.3">
      <c r="A51" s="3">
        <v>1</v>
      </c>
      <c r="B51" s="3" t="s">
        <v>149</v>
      </c>
      <c r="C51" s="231" cm="1">
        <f t="array" ref="C51">MEDIAN(_xlfn._xlws.FILTER('SkYSPark Data_w Will''s Data'!$M$3:$M$782,('SkYSPark Data_w Will''s Data'!$F$3:$F$782=$B51)*('SkYSPark Data_w Will''s Data'!$B$3:$B$782=$A51)*('SkYSPark Data_w Will''s Data'!$Z$3:$Z$782=FALSE)*('SkYSPark Data_w Will''s Data'!$D$3:$D$782="Main Campus")))</f>
        <v>2.4994393338555527</v>
      </c>
      <c r="D51" s="231" cm="1">
        <f t="array" ref="D51">MEDIAN(_xlfn._xlws.FILTER('SkYSPark Data_w Will''s Data'!$N$3:$N$782,('SkYSPark Data_w Will''s Data'!$F$3:$F$782=$B51)*('SkYSPark Data_w Will''s Data'!$B$3:$B$782=$A51)*('SkYSPark Data_w Will''s Data'!$N$3:$N$782&gt;0)*('SkYSPark Data_w Will''s Data'!$D$3:$D$782="Main Campus")))</f>
        <v>0.33880257183660978</v>
      </c>
      <c r="E51" s="231" cm="1">
        <f t="array" ref="E51">MEDIAN(_xlfn._xlws.FILTER('SkYSPark Data_w Will''s Data'!$O$3:$O$782,('SkYSPark Data_w Will''s Data'!$F$3:$F$782=$B51)*('SkYSPark Data_w Will''s Data'!$B$3:$B$782=$A51)*('SkYSPark Data_w Will''s Data'!$AA$3:$AA$782=FALSE)*('SkYSPark Data_w Will''s Data'!$D$3:$D$782="Main Campus")))</f>
        <v>8.330255515812226</v>
      </c>
      <c r="F51" s="231" cm="1">
        <f t="array" ref="F51">MEDIAN(_xlfn._xlws.FILTER('SkYSPark Data_w Will''s Data'!$P$3:$P$782,('SkYSPark Data_w Will''s Data'!$F$3:$F$782=$B51)*('SkYSPark Data_w Will''s Data'!$B$3:$B$782=$A51)*('SkYSPark Data_w Will''s Data'!$AB$3:$AB$782=FALSE)*('SkYSPark Data_w Will''s Data'!$D$3:$D$782="Main Campus")))</f>
        <v>1.1726351953248177</v>
      </c>
      <c r="H51" cm="1">
        <f t="array" ref="H51">MEDIAN(_xlfn._xlws.FILTER('SkYSPark Data_w Will''s Data'!$M$3:$M$782,('SkYSPark Data_w Will''s Data'!$F$3:$F$782=$B51)*('SkYSPark Data_w Will''s Data'!$B$3:$B$782=$A51)*('SkYSPark Data_w Will''s Data'!$Z$3:$Z$782=FALSE)*('SkYSPark Data_w Will''s Data'!$D$3:$D$782&lt;&gt;"Main Campus")))</f>
        <v>3.8916784725413889</v>
      </c>
      <c r="I51" cm="1">
        <f t="array" ref="I51">MEDIAN(_xlfn._xlws.FILTER('SkYSPark Data_w Will''s Data'!$N$3:$N$782,('SkYSPark Data_w Will''s Data'!$F$3:$F$782=$B51)*('SkYSPark Data_w Will''s Data'!$B$3:$B$782=$A51)*('SkYSPark Data_w Will''s Data'!$N$3:$N$782&gt;0)*('SkYSPark Data_w Will''s Data'!$D$3:$D$782&lt;&gt;"Main Campus")))</f>
        <v>7.7301653211278261</v>
      </c>
    </row>
    <row r="52" spans="1:9" x14ac:dyDescent="0.3">
      <c r="A52" s="3">
        <v>2</v>
      </c>
      <c r="B52" s="3" t="s">
        <v>149</v>
      </c>
      <c r="C52" s="231" cm="1">
        <f t="array" ref="C52">MEDIAN(_xlfn._xlws.FILTER('SkYSPark Data_w Will''s Data'!$M$3:$M$782,('SkYSPark Data_w Will''s Data'!$F$3:$F$782=$B52)*('SkYSPark Data_w Will''s Data'!$B$3:$B$782=$A52)*('SkYSPark Data_w Will''s Data'!$Z$3:$Z$782=FALSE)*('SkYSPark Data_w Will''s Data'!$D$3:$D$782="Main Campus")))</f>
        <v>2.4926720646615581</v>
      </c>
      <c r="D52" s="231" cm="1">
        <f t="array" ref="D52">MEDIAN(_xlfn._xlws.FILTER('SkYSPark Data_w Will''s Data'!$N$3:$N$782,('SkYSPark Data_w Will''s Data'!$F$3:$F$782=$B52)*('SkYSPark Data_w Will''s Data'!$B$3:$B$782=$A52)*('SkYSPark Data_w Will''s Data'!$N$3:$N$782&gt;0)*('SkYSPark Data_w Will''s Data'!$D$3:$D$782="Main Campus")))</f>
        <v>0.74656692662627733</v>
      </c>
      <c r="E52" s="231" cm="1">
        <f t="array" ref="E52">MEDIAN(_xlfn._xlws.FILTER('SkYSPark Data_w Will''s Data'!$O$3:$O$782,('SkYSPark Data_w Will''s Data'!$F$3:$F$782=$B52)*('SkYSPark Data_w Will''s Data'!$B$3:$B$782=$A52)*('SkYSPark Data_w Will''s Data'!$AA$3:$AA$782=FALSE)*('SkYSPark Data_w Will''s Data'!$D$3:$D$782="Main Campus")))</f>
        <v>7.6099598010980847</v>
      </c>
      <c r="F52" s="231" cm="1">
        <f t="array" ref="F52">MEDIAN(_xlfn._xlws.FILTER('SkYSPark Data_w Will''s Data'!$P$3:$P$782,('SkYSPark Data_w Will''s Data'!$F$3:$F$782=$B52)*('SkYSPark Data_w Will''s Data'!$B$3:$B$782=$A52)*('SkYSPark Data_w Will''s Data'!$AB$3:$AB$782=FALSE)*('SkYSPark Data_w Will''s Data'!$D$3:$D$782="Main Campus")))</f>
        <v>1.1515784252720149</v>
      </c>
      <c r="H52" cm="1">
        <f t="array" ref="H52">MEDIAN(_xlfn._xlws.FILTER('SkYSPark Data_w Will''s Data'!$M$3:$M$782,('SkYSPark Data_w Will''s Data'!$F$3:$F$782=$B52)*('SkYSPark Data_w Will''s Data'!$B$3:$B$782=$A52)*('SkYSPark Data_w Will''s Data'!$Z$3:$Z$782=FALSE)*('SkYSPark Data_w Will''s Data'!$D$3:$D$782&lt;&gt;"Main Campus")))</f>
        <v>3.7434661164063328</v>
      </c>
      <c r="I52" cm="1">
        <f t="array" ref="I52">MEDIAN(_xlfn._xlws.FILTER('SkYSPark Data_w Will''s Data'!$N$3:$N$782,('SkYSPark Data_w Will''s Data'!$F$3:$F$782=$B52)*('SkYSPark Data_w Will''s Data'!$B$3:$B$782=$A52)*('SkYSPark Data_w Will''s Data'!$N$3:$N$782&gt;0)*('SkYSPark Data_w Will''s Data'!$D$3:$D$782&lt;&gt;"Main Campus")))</f>
        <v>7.7614168289379126</v>
      </c>
    </row>
    <row r="53" spans="1:9" x14ac:dyDescent="0.3">
      <c r="A53" s="3">
        <v>3</v>
      </c>
      <c r="B53" s="3" t="s">
        <v>149</v>
      </c>
      <c r="C53" s="231" cm="1">
        <f t="array" ref="C53">MEDIAN(_xlfn._xlws.FILTER('SkYSPark Data_w Will''s Data'!$M$3:$M$782,('SkYSPark Data_w Will''s Data'!$F$3:$F$782=$B53)*('SkYSPark Data_w Will''s Data'!$B$3:$B$782=$A53)*('SkYSPark Data_w Will''s Data'!$Z$3:$Z$782=FALSE)*('SkYSPark Data_w Will''s Data'!$D$3:$D$782="Main Campus")))</f>
        <v>3.8389626864462127</v>
      </c>
      <c r="D53" s="231" cm="1">
        <f t="array" ref="D53">MEDIAN(_xlfn._xlws.FILTER('SkYSPark Data_w Will''s Data'!$N$3:$N$782,('SkYSPark Data_w Will''s Data'!$F$3:$F$782=$B53)*('SkYSPark Data_w Will''s Data'!$B$3:$B$782=$A53)*('SkYSPark Data_w Will''s Data'!$N$3:$N$782&gt;0)*('SkYSPark Data_w Will''s Data'!$D$3:$D$782="Main Campus")))</f>
        <v>0.88263083688536215</v>
      </c>
      <c r="E53" s="231" cm="1">
        <f t="array" ref="E53">MEDIAN(_xlfn._xlws.FILTER('SkYSPark Data_w Will''s Data'!$O$3:$O$782,('SkYSPark Data_w Will''s Data'!$F$3:$F$782=$B53)*('SkYSPark Data_w Will''s Data'!$B$3:$B$782=$A53)*('SkYSPark Data_w Will''s Data'!$AA$3:$AA$782=FALSE)*('SkYSPark Data_w Will''s Data'!$D$3:$D$782="Main Campus")))</f>
        <v>8.2668118664558321</v>
      </c>
      <c r="F53" s="231" cm="1">
        <f t="array" ref="F53">MEDIAN(_xlfn._xlws.FILTER('SkYSPark Data_w Will''s Data'!$P$3:$P$782,('SkYSPark Data_w Will''s Data'!$F$3:$F$782=$B53)*('SkYSPark Data_w Will''s Data'!$B$3:$B$782=$A53)*('SkYSPark Data_w Will''s Data'!$AB$3:$AB$782=FALSE)*('SkYSPark Data_w Will''s Data'!$D$3:$D$782="Main Campus")))</f>
        <v>1.249676736839318</v>
      </c>
      <c r="H53" cm="1">
        <f t="array" ref="H53">MEDIAN(_xlfn._xlws.FILTER('SkYSPark Data_w Will''s Data'!$M$3:$M$782,('SkYSPark Data_w Will''s Data'!$F$3:$F$782=$B53)*('SkYSPark Data_w Will''s Data'!$B$3:$B$782=$A53)*('SkYSPark Data_w Will''s Data'!$Z$3:$Z$782=FALSE)*('SkYSPark Data_w Will''s Data'!$D$3:$D$782&lt;&gt;"Main Campus")))</f>
        <v>4.0870924691109849</v>
      </c>
      <c r="I53" cm="1">
        <f t="array" ref="I53">MEDIAN(_xlfn._xlws.FILTER('SkYSPark Data_w Will''s Data'!$N$3:$N$782,('SkYSPark Data_w Will''s Data'!$F$3:$F$782=$B53)*('SkYSPark Data_w Will''s Data'!$B$3:$B$782=$A53)*('SkYSPark Data_w Will''s Data'!$N$3:$N$782&gt;0)*('SkYSPark Data_w Will''s Data'!$D$3:$D$782&lt;&gt;"Main Campus")))</f>
        <v>8.0561148686007478</v>
      </c>
    </row>
    <row r="54" spans="1:9" x14ac:dyDescent="0.3">
      <c r="A54" s="3">
        <v>4</v>
      </c>
      <c r="B54" s="3" t="s">
        <v>149</v>
      </c>
      <c r="C54" s="231" cm="1">
        <f t="array" ref="C54">MEDIAN(_xlfn._xlws.FILTER('SkYSPark Data_w Will''s Data'!$M$3:$M$782,('SkYSPark Data_w Will''s Data'!$F$3:$F$782=$B54)*('SkYSPark Data_w Will''s Data'!$B$3:$B$782=$A54)*('SkYSPark Data_w Will''s Data'!$Z$3:$Z$782=FALSE)*('SkYSPark Data_w Will''s Data'!$D$3:$D$782="Main Campus")))</f>
        <v>4.0223508636250971</v>
      </c>
      <c r="D54" s="231" cm="1">
        <f t="array" ref="D54">MEDIAN(_xlfn._xlws.FILTER('SkYSPark Data_w Will''s Data'!$N$3:$N$782,('SkYSPark Data_w Will''s Data'!$F$3:$F$782=$B54)*('SkYSPark Data_w Will''s Data'!$B$3:$B$782=$A54)*('SkYSPark Data_w Will''s Data'!$N$3:$N$782&gt;0)*('SkYSPark Data_w Will''s Data'!$D$3:$D$782="Main Campus")))</f>
        <v>4.1152966363345589E-3</v>
      </c>
      <c r="E54" s="231" cm="1">
        <f t="array" ref="E54">MEDIAN(_xlfn._xlws.FILTER('SkYSPark Data_w Will''s Data'!$O$3:$O$782,('SkYSPark Data_w Will''s Data'!$F$3:$F$782=$B54)*('SkYSPark Data_w Will''s Data'!$B$3:$B$782=$A54)*('SkYSPark Data_w Will''s Data'!$AA$3:$AA$782=FALSE)*('SkYSPark Data_w Will''s Data'!$D$3:$D$782="Main Campus")))</f>
        <v>5.9415500026833934</v>
      </c>
      <c r="F54" s="231" cm="1">
        <f t="array" ref="F54">MEDIAN(_xlfn._xlws.FILTER('SkYSPark Data_w Will''s Data'!$P$3:$P$782,('SkYSPark Data_w Will''s Data'!$F$3:$F$782=$B54)*('SkYSPark Data_w Will''s Data'!$B$3:$B$782=$A54)*('SkYSPark Data_w Will''s Data'!$AB$3:$AB$782=FALSE)*('SkYSPark Data_w Will''s Data'!$D$3:$D$782="Main Campus")))</f>
        <v>1.8632217525233308</v>
      </c>
      <c r="H54" cm="1">
        <f t="array" ref="H54">MEDIAN(_xlfn._xlws.FILTER('SkYSPark Data_w Will''s Data'!$M$3:$M$782,('SkYSPark Data_w Will''s Data'!$F$3:$F$782=$B54)*('SkYSPark Data_w Will''s Data'!$B$3:$B$782=$A54)*('SkYSPark Data_w Will''s Data'!$Z$3:$Z$782=FALSE)*('SkYSPark Data_w Will''s Data'!$D$3:$D$782&lt;&gt;"Main Campus")))</f>
        <v>3.900458649424281</v>
      </c>
      <c r="I54" cm="1">
        <f t="array" ref="I54">MEDIAN(_xlfn._xlws.FILTER('SkYSPark Data_w Will''s Data'!$N$3:$N$782,('SkYSPark Data_w Will''s Data'!$F$3:$F$782=$B54)*('SkYSPark Data_w Will''s Data'!$B$3:$B$782=$A54)*('SkYSPark Data_w Will''s Data'!$N$3:$N$782&gt;0)*('SkYSPark Data_w Will''s Data'!$D$3:$D$782&lt;&gt;"Main Campus")))</f>
        <v>6.9717905117231451</v>
      </c>
    </row>
    <row r="55" spans="1:9" x14ac:dyDescent="0.3">
      <c r="A55" s="3">
        <v>5</v>
      </c>
      <c r="B55" s="3" t="s">
        <v>149</v>
      </c>
      <c r="C55" s="231" cm="1">
        <f t="array" ref="C55">MEDIAN(_xlfn._xlws.FILTER('SkYSPark Data_w Will''s Data'!$M$3:$M$782,('SkYSPark Data_w Will''s Data'!$F$3:$F$782=$B55)*('SkYSPark Data_w Will''s Data'!$B$3:$B$782=$A55)*('SkYSPark Data_w Will''s Data'!$Z$3:$Z$782=FALSE)*('SkYSPark Data_w Will''s Data'!$D$3:$D$782="Main Campus")))</f>
        <v>4.1669604195699703</v>
      </c>
      <c r="D55" s="231" cm="1">
        <f t="array" ref="D55">MEDIAN(_xlfn._xlws.FILTER('SkYSPark Data_w Will''s Data'!$N$3:$N$782,('SkYSPark Data_w Will''s Data'!$F$3:$F$782=$B55)*('SkYSPark Data_w Will''s Data'!$B$3:$B$782=$A55)*('SkYSPark Data_w Will''s Data'!$N$3:$N$782&gt;0)*('SkYSPark Data_w Will''s Data'!$D$3:$D$782="Main Campus")))</f>
        <v>0.54383549637020301</v>
      </c>
      <c r="E55" s="231" cm="1">
        <f t="array" ref="E55">MEDIAN(_xlfn._xlws.FILTER('SkYSPark Data_w Will''s Data'!$O$3:$O$782,('SkYSPark Data_w Will''s Data'!$F$3:$F$782=$B55)*('SkYSPark Data_w Will''s Data'!$B$3:$B$782=$A55)*('SkYSPark Data_w Will''s Data'!$AA$3:$AA$782=FALSE)*('SkYSPark Data_w Will''s Data'!$D$3:$D$782="Main Campus")))</f>
        <v>4.1970957134829785</v>
      </c>
      <c r="F55" s="231" cm="1">
        <f t="array" ref="F55">MEDIAN(_xlfn._xlws.FILTER('SkYSPark Data_w Will''s Data'!$P$3:$P$782,('SkYSPark Data_w Will''s Data'!$F$3:$F$782=$B55)*('SkYSPark Data_w Will''s Data'!$B$3:$B$782=$A55)*('SkYSPark Data_w Will''s Data'!$AB$3:$AB$782=FALSE)*('SkYSPark Data_w Will''s Data'!$D$3:$D$782="Main Campus")))</f>
        <v>2.2791262953609919</v>
      </c>
      <c r="H55" cm="1">
        <f t="array" ref="H55">MEDIAN(_xlfn._xlws.FILTER('SkYSPark Data_w Will''s Data'!$M$3:$M$782,('SkYSPark Data_w Will''s Data'!$F$3:$F$782=$B55)*('SkYSPark Data_w Will''s Data'!$B$3:$B$782=$A55)*('SkYSPark Data_w Will''s Data'!$Z$3:$Z$782=FALSE)*('SkYSPark Data_w Will''s Data'!$D$3:$D$782&lt;&gt;"Main Campus")))</f>
        <v>3.887662853514358</v>
      </c>
      <c r="I55" cm="1">
        <f t="array" ref="I55">MEDIAN(_xlfn._xlws.FILTER('SkYSPark Data_w Will''s Data'!$N$3:$N$782,('SkYSPark Data_w Will''s Data'!$F$3:$F$782=$B55)*('SkYSPark Data_w Will''s Data'!$B$3:$B$782=$A55)*('SkYSPark Data_w Will''s Data'!$N$3:$N$782&gt;0)*('SkYSPark Data_w Will''s Data'!$D$3:$D$782&lt;&gt;"Main Campus")))</f>
        <v>5.3081165652890183</v>
      </c>
    </row>
    <row r="56" spans="1:9" x14ac:dyDescent="0.3">
      <c r="A56" s="3">
        <v>6</v>
      </c>
      <c r="B56" s="3" t="s">
        <v>149</v>
      </c>
      <c r="C56" s="231" cm="1">
        <f t="array" ref="C56">MEDIAN(_xlfn._xlws.FILTER('SkYSPark Data_w Will''s Data'!$M$3:$M$782,('SkYSPark Data_w Will''s Data'!$F$3:$F$782=$B56)*('SkYSPark Data_w Will''s Data'!$B$3:$B$782=$A56)*('SkYSPark Data_w Will''s Data'!$Z$3:$Z$782=FALSE)*('SkYSPark Data_w Will''s Data'!$D$3:$D$782="Main Campus")))</f>
        <v>3.0710984407952537</v>
      </c>
      <c r="D56" s="231" cm="1">
        <f t="array" ref="D56">MEDIAN(_xlfn._xlws.FILTER('SkYSPark Data_w Will''s Data'!$N$3:$N$782,('SkYSPark Data_w Will''s Data'!$F$3:$F$782=$B56)*('SkYSPark Data_w Will''s Data'!$B$3:$B$782=$A56)*('SkYSPark Data_w Will''s Data'!$N$3:$N$782&gt;0)*('SkYSPark Data_w Will''s Data'!$D$3:$D$782="Main Campus")))</f>
        <v>0.10960362509534897</v>
      </c>
      <c r="E56" s="231" cm="1">
        <f t="array" ref="E56">MEDIAN(_xlfn._xlws.FILTER('SkYSPark Data_w Will''s Data'!$O$3:$O$782,('SkYSPark Data_w Will''s Data'!$F$3:$F$782=$B56)*('SkYSPark Data_w Will''s Data'!$B$3:$B$782=$A56)*('SkYSPark Data_w Will''s Data'!$AA$3:$AA$782=FALSE)*('SkYSPark Data_w Will''s Data'!$D$3:$D$782="Main Campus")))</f>
        <v>3.3248639982149082</v>
      </c>
      <c r="F56" s="231" cm="1">
        <f t="array" ref="F56">MEDIAN(_xlfn._xlws.FILTER('SkYSPark Data_w Will''s Data'!$P$3:$P$782,('SkYSPark Data_w Will''s Data'!$F$3:$F$782=$B56)*('SkYSPark Data_w Will''s Data'!$B$3:$B$782=$A56)*('SkYSPark Data_w Will''s Data'!$AB$3:$AB$782=FALSE)*('SkYSPark Data_w Will''s Data'!$D$3:$D$782="Main Campus")))</f>
        <v>2.0145136526060705</v>
      </c>
      <c r="H56" cm="1">
        <f t="array" ref="H56">MEDIAN(_xlfn._xlws.FILTER('SkYSPark Data_w Will''s Data'!$M$3:$M$782,('SkYSPark Data_w Will''s Data'!$F$3:$F$782=$B56)*('SkYSPark Data_w Will''s Data'!$B$3:$B$782=$A56)*('SkYSPark Data_w Will''s Data'!$Z$3:$Z$782=FALSE)*('SkYSPark Data_w Will''s Data'!$D$3:$D$782&lt;&gt;"Main Campus")))</f>
        <v>3.7914046188907902</v>
      </c>
      <c r="I56" cm="1">
        <f t="array" ref="I56">MEDIAN(_xlfn._xlws.FILTER('SkYSPark Data_w Will''s Data'!$N$3:$N$782,('SkYSPark Data_w Will''s Data'!$F$3:$F$782=$B56)*('SkYSPark Data_w Will''s Data'!$B$3:$B$782=$A56)*('SkYSPark Data_w Will''s Data'!$N$3:$N$782&gt;0)*('SkYSPark Data_w Will''s Data'!$D$3:$D$782&lt;&gt;"Main Campus")))</f>
        <v>3.4851620933138663</v>
      </c>
    </row>
    <row r="57" spans="1:9" x14ac:dyDescent="0.3">
      <c r="A57" s="3">
        <v>7</v>
      </c>
      <c r="B57" s="3" t="s">
        <v>149</v>
      </c>
      <c r="C57" s="231" cm="1">
        <f t="array" ref="C57">MEDIAN(_xlfn._xlws.FILTER('SkYSPark Data_w Will''s Data'!$M$3:$M$782,('SkYSPark Data_w Will''s Data'!$F$3:$F$782=$B57)*('SkYSPark Data_w Will''s Data'!$B$3:$B$782=$A57)*('SkYSPark Data_w Will''s Data'!$Z$3:$Z$782=FALSE)*('SkYSPark Data_w Will''s Data'!$D$3:$D$782="Main Campus")))</f>
        <v>2.8189245283333992</v>
      </c>
      <c r="D57" s="231" cm="1">
        <f t="array" ref="D57">MEDIAN(_xlfn._xlws.FILTER('SkYSPark Data_w Will''s Data'!$N$3:$N$782,('SkYSPark Data_w Will''s Data'!$F$3:$F$782=$B57)*('SkYSPark Data_w Will''s Data'!$B$3:$B$782=$A57)*('SkYSPark Data_w Will''s Data'!$N$3:$N$782&gt;0)*('SkYSPark Data_w Will''s Data'!$D$3:$D$782="Main Campus")))</f>
        <v>0.1022791937132107</v>
      </c>
      <c r="E57" s="231" cm="1">
        <f t="array" ref="E57">MEDIAN(_xlfn._xlws.FILTER('SkYSPark Data_w Will''s Data'!$O$3:$O$782,('SkYSPark Data_w Will''s Data'!$F$3:$F$782=$B57)*('SkYSPark Data_w Will''s Data'!$B$3:$B$782=$A57)*('SkYSPark Data_w Will''s Data'!$AA$3:$AA$782=FALSE)*('SkYSPark Data_w Will''s Data'!$D$3:$D$782="Main Campus")))</f>
        <v>2.9285709120435706</v>
      </c>
      <c r="F57" s="231" cm="1">
        <f t="array" ref="F57">MEDIAN(_xlfn._xlws.FILTER('SkYSPark Data_w Will''s Data'!$P$3:$P$782,('SkYSPark Data_w Will''s Data'!$F$3:$F$782=$B57)*('SkYSPark Data_w Will''s Data'!$B$3:$B$782=$A57)*('SkYSPark Data_w Will''s Data'!$AB$3:$AB$782=FALSE)*('SkYSPark Data_w Will''s Data'!$D$3:$D$782="Main Campus")))</f>
        <v>2.8008797196441915</v>
      </c>
      <c r="H57" cm="1">
        <f t="array" ref="H57">MEDIAN(_xlfn._xlws.FILTER('SkYSPark Data_w Will''s Data'!$M$3:$M$782,('SkYSPark Data_w Will''s Data'!$F$3:$F$782=$B57)*('SkYSPark Data_w Will''s Data'!$B$3:$B$782=$A57)*('SkYSPark Data_w Will''s Data'!$Z$3:$Z$782=FALSE)*('SkYSPark Data_w Will''s Data'!$D$3:$D$782&lt;&gt;"Main Campus")))</f>
        <v>3.8969879850778675</v>
      </c>
      <c r="I57" cm="1">
        <f t="array" ref="I57">MEDIAN(_xlfn._xlws.FILTER('SkYSPark Data_w Will''s Data'!$N$3:$N$782,('SkYSPark Data_w Will''s Data'!$F$3:$F$782=$B57)*('SkYSPark Data_w Will''s Data'!$B$3:$B$782=$A57)*('SkYSPark Data_w Will''s Data'!$N$3:$N$782&gt;0)*('SkYSPark Data_w Will''s Data'!$D$3:$D$782&lt;&gt;"Main Campus")))</f>
        <v>3.0647728020853156</v>
      </c>
    </row>
    <row r="58" spans="1:9" x14ac:dyDescent="0.3">
      <c r="A58" s="3">
        <v>8</v>
      </c>
      <c r="B58" s="3" t="s">
        <v>149</v>
      </c>
      <c r="C58" s="231" cm="1">
        <f t="array" ref="C58">MEDIAN(_xlfn._xlws.FILTER('SkYSPark Data_w Will''s Data'!$M$3:$M$782,('SkYSPark Data_w Will''s Data'!$F$3:$F$782=$B58)*('SkYSPark Data_w Will''s Data'!$B$3:$B$782=$A58)*('SkYSPark Data_w Will''s Data'!$Z$3:$Z$782=FALSE)*('SkYSPark Data_w Will''s Data'!$D$3:$D$782="Main Campus")))</f>
        <v>2.2263164046808188</v>
      </c>
      <c r="D58" s="231" cm="1">
        <f t="array" ref="D58">MEDIAN(_xlfn._xlws.FILTER('SkYSPark Data_w Will''s Data'!$N$3:$N$782,('SkYSPark Data_w Will''s Data'!$F$3:$F$782=$B58)*('SkYSPark Data_w Will''s Data'!$B$3:$B$782=$A58)*('SkYSPark Data_w Will''s Data'!$N$3:$N$782&gt;0)*('SkYSPark Data_w Will''s Data'!$D$3:$D$782="Main Campus")))</f>
        <v>7.0532977562921132E-3</v>
      </c>
      <c r="E58" s="231" cm="1">
        <f t="array" ref="E58">MEDIAN(_xlfn._xlws.FILTER('SkYSPark Data_w Will''s Data'!$O$3:$O$782,('SkYSPark Data_w Will''s Data'!$F$3:$F$782=$B58)*('SkYSPark Data_w Will''s Data'!$B$3:$B$782=$A58)*('SkYSPark Data_w Will''s Data'!$AA$3:$AA$782=FALSE)*('SkYSPark Data_w Will''s Data'!$D$3:$D$782="Main Campus")))</f>
        <v>2.5675825049948204</v>
      </c>
      <c r="F58" s="231" cm="1">
        <f t="array" ref="F58">MEDIAN(_xlfn._xlws.FILTER('SkYSPark Data_w Will''s Data'!$P$3:$P$782,('SkYSPark Data_w Will''s Data'!$F$3:$F$782=$B58)*('SkYSPark Data_w Will''s Data'!$B$3:$B$782=$A58)*('SkYSPark Data_w Will''s Data'!$AB$3:$AB$782=FALSE)*('SkYSPark Data_w Will''s Data'!$D$3:$D$782="Main Campus")))</f>
        <v>3.2943319725579414</v>
      </c>
      <c r="H58" cm="1">
        <f t="array" ref="H58">MEDIAN(_xlfn._xlws.FILTER('SkYSPark Data_w Will''s Data'!$M$3:$M$782,('SkYSPark Data_w Will''s Data'!$F$3:$F$782=$B58)*('SkYSPark Data_w Will''s Data'!$B$3:$B$782=$A58)*('SkYSPark Data_w Will''s Data'!$Z$3:$Z$782=FALSE)*('SkYSPark Data_w Will''s Data'!$D$3:$D$782&lt;&gt;"Main Campus")))</f>
        <v>3.9371287421828534</v>
      </c>
      <c r="I58" cm="1">
        <f t="array" ref="I58">MEDIAN(_xlfn._xlws.FILTER('SkYSPark Data_w Will''s Data'!$N$3:$N$782,('SkYSPark Data_w Will''s Data'!$F$3:$F$782=$B58)*('SkYSPark Data_w Will''s Data'!$B$3:$B$782=$A58)*('SkYSPark Data_w Will''s Data'!$N$3:$N$782&gt;0)*('SkYSPark Data_w Will''s Data'!$D$3:$D$782&lt;&gt;"Main Campus")))</f>
        <v>2.7738697832932924</v>
      </c>
    </row>
    <row r="59" spans="1:9" x14ac:dyDescent="0.3">
      <c r="A59" s="3">
        <v>9</v>
      </c>
      <c r="B59" s="3" t="s">
        <v>149</v>
      </c>
      <c r="C59" s="231" cm="1">
        <f t="array" ref="C59">MEDIAN(_xlfn._xlws.FILTER('SkYSPark Data_w Will''s Data'!$M$3:$M$782,('SkYSPark Data_w Will''s Data'!$F$3:$F$782=$B59)*('SkYSPark Data_w Will''s Data'!$B$3:$B$782=$A59)*('SkYSPark Data_w Will''s Data'!$Z$3:$Z$782=FALSE)*('SkYSPark Data_w Will''s Data'!$D$3:$D$782="Main Campus")))</f>
        <v>2.3473973194776625</v>
      </c>
      <c r="D59" s="231" cm="1">
        <f t="array" ref="D59">MEDIAN(_xlfn._xlws.FILTER('SkYSPark Data_w Will''s Data'!$N$3:$N$782,('SkYSPark Data_w Will''s Data'!$F$3:$F$782=$B59)*('SkYSPark Data_w Will''s Data'!$B$3:$B$782=$A59)*('SkYSPark Data_w Will''s Data'!$N$3:$N$782&gt;0)*('SkYSPark Data_w Will''s Data'!$D$3:$D$782="Main Campus")))</f>
        <v>0.53790619307929899</v>
      </c>
      <c r="E59" s="231" cm="1">
        <f t="array" ref="E59">MEDIAN(_xlfn._xlws.FILTER('SkYSPark Data_w Will''s Data'!$O$3:$O$782,('SkYSPark Data_w Will''s Data'!$F$3:$F$782=$B59)*('SkYSPark Data_w Will''s Data'!$B$3:$B$782=$A59)*('SkYSPark Data_w Will''s Data'!$AA$3:$AA$782=FALSE)*('SkYSPark Data_w Will''s Data'!$D$3:$D$782="Main Campus")))</f>
        <v>3.1366584642043214</v>
      </c>
      <c r="F59" s="231" cm="1">
        <f t="array" ref="F59">MEDIAN(_xlfn._xlws.FILTER('SkYSPark Data_w Will''s Data'!$P$3:$P$782,('SkYSPark Data_w Will''s Data'!$F$3:$F$782=$B59)*('SkYSPark Data_w Will''s Data'!$B$3:$B$782=$A59)*('SkYSPark Data_w Will''s Data'!$AB$3:$AB$782=FALSE)*('SkYSPark Data_w Will''s Data'!$D$3:$D$782="Main Campus")))</f>
        <v>2.4996109472685197</v>
      </c>
      <c r="H59" cm="1">
        <f t="array" ref="H59">MEDIAN(_xlfn._xlws.FILTER('SkYSPark Data_w Will''s Data'!$M$3:$M$782,('SkYSPark Data_w Will''s Data'!$F$3:$F$782=$B59)*('SkYSPark Data_w Will''s Data'!$B$3:$B$782=$A59)*('SkYSPark Data_w Will''s Data'!$Z$3:$Z$782=FALSE)*('SkYSPark Data_w Will''s Data'!$D$3:$D$782&lt;&gt;"Main Campus")))</f>
        <v>3.8626957133733182</v>
      </c>
      <c r="I59" cm="1">
        <f t="array" ref="I59">MEDIAN(_xlfn._xlws.FILTER('SkYSPark Data_w Will''s Data'!$N$3:$N$782,('SkYSPark Data_w Will''s Data'!$F$3:$F$782=$B59)*('SkYSPark Data_w Will''s Data'!$B$3:$B$782=$A59)*('SkYSPark Data_w Will''s Data'!$N$3:$N$782&gt;0)*('SkYSPark Data_w Will''s Data'!$D$3:$D$782&lt;&gt;"Main Campus")))</f>
        <v>1.9651086033615328</v>
      </c>
    </row>
    <row r="60" spans="1:9" x14ac:dyDescent="0.3">
      <c r="A60" s="3">
        <v>10</v>
      </c>
      <c r="B60" s="3" t="s">
        <v>149</v>
      </c>
      <c r="C60" s="231" cm="1">
        <f t="array" ref="C60">MEDIAN(_xlfn._xlws.FILTER('SkYSPark Data_w Will''s Data'!$M$3:$M$782,('SkYSPark Data_w Will''s Data'!$F$3:$F$782=$B60)*('SkYSPark Data_w Will''s Data'!$B$3:$B$782=$A60)*('SkYSPark Data_w Will''s Data'!$Z$3:$Z$782=FALSE)*('SkYSPark Data_w Will''s Data'!$D$3:$D$782="Main Campus")))</f>
        <v>2.5813175427608437</v>
      </c>
      <c r="D60" s="231" cm="1">
        <f t="array" ref="D60">MEDIAN(_xlfn._xlws.FILTER('SkYSPark Data_w Will''s Data'!$N$3:$N$782,('SkYSPark Data_w Will''s Data'!$F$3:$F$782=$B60)*('SkYSPark Data_w Will''s Data'!$B$3:$B$782=$A60)*('SkYSPark Data_w Will''s Data'!$N$3:$N$782&gt;0)*('SkYSPark Data_w Will''s Data'!$D$3:$D$782="Main Campus")))</f>
        <v>7.2726162979604644E-3</v>
      </c>
      <c r="E60" s="231" cm="1">
        <f t="array" ref="E60">MEDIAN(_xlfn._xlws.FILTER('SkYSPark Data_w Will''s Data'!$O$3:$O$782,('SkYSPark Data_w Will''s Data'!$F$3:$F$782=$B60)*('SkYSPark Data_w Will''s Data'!$B$3:$B$782=$A60)*('SkYSPark Data_w Will''s Data'!$AA$3:$AA$782=FALSE)*('SkYSPark Data_w Will''s Data'!$D$3:$D$782="Main Campus")))</f>
        <v>4.0755845461061737</v>
      </c>
      <c r="F60" s="231" cm="1">
        <f t="array" ref="F60">MEDIAN(_xlfn._xlws.FILTER('SkYSPark Data_w Will''s Data'!$P$3:$P$782,('SkYSPark Data_w Will''s Data'!$F$3:$F$782=$B60)*('SkYSPark Data_w Will''s Data'!$B$3:$B$782=$A60)*('SkYSPark Data_w Will''s Data'!$AB$3:$AB$782=FALSE)*('SkYSPark Data_w Will''s Data'!$D$3:$D$782="Main Campus")))</f>
        <v>2.9316003980077254</v>
      </c>
      <c r="H60" cm="1">
        <f t="array" ref="H60">MEDIAN(_xlfn._xlws.FILTER('SkYSPark Data_w Will''s Data'!$M$3:$M$782,('SkYSPark Data_w Will''s Data'!$F$3:$F$782=$B60)*('SkYSPark Data_w Will''s Data'!$B$3:$B$782=$A60)*('SkYSPark Data_w Will''s Data'!$Z$3:$Z$782=FALSE)*('SkYSPark Data_w Will''s Data'!$D$3:$D$782&lt;&gt;"Main Campus")))</f>
        <v>4.0146042664810855</v>
      </c>
      <c r="I60" cm="1">
        <f t="array" ref="I60">MEDIAN(_xlfn._xlws.FILTER('SkYSPark Data_w Will''s Data'!$N$3:$N$782,('SkYSPark Data_w Will''s Data'!$F$3:$F$782=$B60)*('SkYSPark Data_w Will''s Data'!$B$3:$B$782=$A60)*('SkYSPark Data_w Will''s Data'!$N$3:$N$782&gt;0)*('SkYSPark Data_w Will''s Data'!$D$3:$D$782&lt;&gt;"Main Campus")))</f>
        <v>3.2843233423511342</v>
      </c>
    </row>
    <row r="61" spans="1:9" x14ac:dyDescent="0.3">
      <c r="A61" s="3">
        <v>11</v>
      </c>
      <c r="B61" s="3" t="s">
        <v>149</v>
      </c>
      <c r="C61" s="231" cm="1">
        <f t="array" ref="C61">MEDIAN(_xlfn._xlws.FILTER('SkYSPark Data_w Will''s Data'!$M$3:$M$782,('SkYSPark Data_w Will''s Data'!$F$3:$F$782=$B61)*('SkYSPark Data_w Will''s Data'!$B$3:$B$782=$A61)*('SkYSPark Data_w Will''s Data'!$Z$3:$Z$782=FALSE)*('SkYSPark Data_w Will''s Data'!$D$3:$D$782="Main Campus")))</f>
        <v>2.6502345940370815</v>
      </c>
      <c r="D61" s="231" cm="1">
        <f t="array" ref="D61">MEDIAN(_xlfn._xlws.FILTER('SkYSPark Data_w Will''s Data'!$N$3:$N$782,('SkYSPark Data_w Will''s Data'!$F$3:$F$782=$B61)*('SkYSPark Data_w Will''s Data'!$B$3:$B$782=$A61)*('SkYSPark Data_w Will''s Data'!$N$3:$N$782&gt;0)*('SkYSPark Data_w Will''s Data'!$D$3:$D$782="Main Campus")))</f>
        <v>2.5286279405275229E-3</v>
      </c>
      <c r="E61" s="231" cm="1">
        <f t="array" ref="E61">MEDIAN(_xlfn._xlws.FILTER('SkYSPark Data_w Will''s Data'!$O$3:$O$782,('SkYSPark Data_w Will''s Data'!$F$3:$F$782=$B61)*('SkYSPark Data_w Will''s Data'!$B$3:$B$782=$A61)*('SkYSPark Data_w Will''s Data'!$AA$3:$AA$782=FALSE)*('SkYSPark Data_w Will''s Data'!$D$3:$D$782="Main Campus")))</f>
        <v>3.0798589907586909</v>
      </c>
      <c r="F61" s="231" cm="1">
        <f t="array" ref="F61">MEDIAN(_xlfn._xlws.FILTER('SkYSPark Data_w Will''s Data'!$P$3:$P$782,('SkYSPark Data_w Will''s Data'!$F$3:$F$782=$B61)*('SkYSPark Data_w Will''s Data'!$B$3:$B$782=$A61)*('SkYSPark Data_w Will''s Data'!$AB$3:$AB$782=FALSE)*('SkYSPark Data_w Will''s Data'!$D$3:$D$782="Main Campus")))</f>
        <v>1.6491313598145847</v>
      </c>
      <c r="H61" cm="1">
        <f t="array" ref="H61">MEDIAN(_xlfn._xlws.FILTER('SkYSPark Data_w Will''s Data'!$M$3:$M$782,('SkYSPark Data_w Will''s Data'!$F$3:$F$782=$B61)*('SkYSPark Data_w Will''s Data'!$B$3:$B$782=$A61)*('SkYSPark Data_w Will''s Data'!$Z$3:$Z$782=FALSE)*('SkYSPark Data_w Will''s Data'!$D$3:$D$782&lt;&gt;"Main Campus")))</f>
        <v>3.9225224483279755</v>
      </c>
      <c r="I61" cm="1">
        <f t="array" ref="I61">MEDIAN(_xlfn._xlws.FILTER('SkYSPark Data_w Will''s Data'!$N$3:$N$782,('SkYSPark Data_w Will''s Data'!$F$3:$F$782=$B61)*('SkYSPark Data_w Will''s Data'!$B$3:$B$782=$A61)*('SkYSPark Data_w Will''s Data'!$N$3:$N$782&gt;0)*('SkYSPark Data_w Will''s Data'!$D$3:$D$782&lt;&gt;"Main Campus")))</f>
        <v>6.4524791737101168</v>
      </c>
    </row>
    <row r="62" spans="1:9" x14ac:dyDescent="0.3">
      <c r="A62" s="3">
        <v>12</v>
      </c>
      <c r="B62" s="3" t="s">
        <v>149</v>
      </c>
      <c r="C62" s="231" cm="1">
        <f t="array" ref="C62">MEDIAN(_xlfn._xlws.FILTER('SkYSPark Data_w Will''s Data'!$M$3:$M$782,('SkYSPark Data_w Will''s Data'!$F$3:$F$782=$B62)*('SkYSPark Data_w Will''s Data'!$B$3:$B$782=$A62)*('SkYSPark Data_w Will''s Data'!$Z$3:$Z$782=FALSE)*('SkYSPark Data_w Will''s Data'!$D$3:$D$782="Main Campus")))</f>
        <v>2.7715653653460062</v>
      </c>
      <c r="D62" s="231" cm="1">
        <f t="array" ref="D62">MEDIAN(_xlfn._xlws.FILTER('SkYSPark Data_w Will''s Data'!$N$3:$N$782,('SkYSPark Data_w Will''s Data'!$F$3:$F$782=$B62)*('SkYSPark Data_w Will''s Data'!$B$3:$B$782=$A62)*('SkYSPark Data_w Will''s Data'!$N$3:$N$782&gt;0)*('SkYSPark Data_w Will''s Data'!$D$3:$D$782="Main Campus")))</f>
        <v>2.4959459197639654E-2</v>
      </c>
      <c r="E62" s="231" cm="1">
        <f t="array" ref="E62">MEDIAN(_xlfn._xlws.FILTER('SkYSPark Data_w Will''s Data'!$O$3:$O$782,('SkYSPark Data_w Will''s Data'!$F$3:$F$782=$B62)*('SkYSPark Data_w Will''s Data'!$B$3:$B$782=$A62)*('SkYSPark Data_w Will''s Data'!$AA$3:$AA$782=FALSE)*('SkYSPark Data_w Will''s Data'!$D$3:$D$782="Main Campus")))</f>
        <v>3.7679647468745938</v>
      </c>
      <c r="F62" s="231" cm="1">
        <f t="array" ref="F62">MEDIAN(_xlfn._xlws.FILTER('SkYSPark Data_w Will''s Data'!$P$3:$P$782,('SkYSPark Data_w Will''s Data'!$F$3:$F$782=$B62)*('SkYSPark Data_w Will''s Data'!$B$3:$B$782=$A62)*('SkYSPark Data_w Will''s Data'!$AB$3:$AB$782=FALSE)*('SkYSPark Data_w Will''s Data'!$D$3:$D$782="Main Campus")))</f>
        <v>0.66789475680191857</v>
      </c>
      <c r="H62" cm="1">
        <f t="array" ref="H62">MEDIAN(_xlfn._xlws.FILTER('SkYSPark Data_w Will''s Data'!$M$3:$M$782,('SkYSPark Data_w Will''s Data'!$F$3:$F$782=$B62)*('SkYSPark Data_w Will''s Data'!$B$3:$B$782=$A62)*('SkYSPark Data_w Will''s Data'!$Z$3:$Z$782=FALSE)*('SkYSPark Data_w Will''s Data'!$D$3:$D$782&lt;&gt;"Main Campus")))</f>
        <v>3.7581457112337553</v>
      </c>
      <c r="I62" cm="1">
        <f t="array" ref="I62">MEDIAN(_xlfn._xlws.FILTER('SkYSPark Data_w Will''s Data'!$N$3:$N$782,('SkYSPark Data_w Will''s Data'!$F$3:$F$782=$B62)*('SkYSPark Data_w Will''s Data'!$B$3:$B$782=$A62)*('SkYSPark Data_w Will''s Data'!$N$3:$N$782&gt;0)*('SkYSPark Data_w Will''s Data'!$D$3:$D$782&lt;&gt;"Main Campus")))</f>
        <v>7.1532688615802753</v>
      </c>
    </row>
    <row r="63" spans="1:9" x14ac:dyDescent="0.3">
      <c r="A63" s="3">
        <v>1</v>
      </c>
      <c r="B63" s="3" t="s">
        <v>153</v>
      </c>
      <c r="C63" s="231" cm="1">
        <f t="array" ref="C63">MEDIAN(_xlfn._xlws.FILTER('SkYSPark Data_w Will''s Data'!$M$3:$M$782,('SkYSPark Data_w Will''s Data'!$F$3:$F$782=$B63)*('SkYSPark Data_w Will''s Data'!$B$3:$B$782=$A63)*('SkYSPark Data_w Will''s Data'!$Z$3:$Z$782=FALSE)*('SkYSPark Data_w Will''s Data'!$D$3:$D$782="Main Campus")))</f>
        <v>2.5883803331425108</v>
      </c>
      <c r="D63" s="231" t="e" cm="1" vm="1">
        <f t="array" ref="D63">MEDIAN(_xlfn._xlws.FILTER('SkYSPark Data_w Will''s Data'!$N$3:$N$782,('SkYSPark Data_w Will''s Data'!$F$3:$F$782=$B63)*('SkYSPark Data_w Will''s Data'!$B$3:$B$782=$A63)*('SkYSPark Data_w Will''s Data'!$N$3:$N$782&gt;0)*('SkYSPark Data_w Will''s Data'!$D$3:$D$782="Main Campus")))</f>
        <v>#VALUE!</v>
      </c>
      <c r="E63" s="231" cm="1">
        <f t="array" ref="E63">MEDIAN(_xlfn._xlws.FILTER('SkYSPark Data_w Will''s Data'!$O$3:$O$782,('SkYSPark Data_w Will''s Data'!$F$3:$F$782=$B63)*('SkYSPark Data_w Will''s Data'!$B$3:$B$782=$A63)*('SkYSPark Data_w Will''s Data'!$AA$3:$AA$782=FALSE)*('SkYSPark Data_w Will''s Data'!$D$3:$D$782="Main Campus")))</f>
        <v>8.1678503788523411</v>
      </c>
      <c r="F63" s="231" cm="1">
        <f t="array" ref="F63">MEDIAN(_xlfn._xlws.FILTER('SkYSPark Data_w Will''s Data'!$P$3:$P$782,('SkYSPark Data_w Will''s Data'!$F$3:$F$782=$B63)*('SkYSPark Data_w Will''s Data'!$B$3:$B$782=$A63)*('SkYSPark Data_w Will''s Data'!$AB$3:$AB$782=FALSE)*('SkYSPark Data_w Will''s Data'!$D$3:$D$782="Main Campus")))</f>
        <v>0.2589960731616372</v>
      </c>
      <c r="H63" cm="1">
        <f t="array" ref="H63">MEDIAN(_xlfn._xlws.FILTER('SkYSPark Data_w Will''s Data'!$M$3:$M$782,('SkYSPark Data_w Will''s Data'!$F$3:$F$782=$B63)*('SkYSPark Data_w Will''s Data'!$B$3:$B$782=$A63)*('SkYSPark Data_w Will''s Data'!$Z$3:$Z$782=FALSE)*('SkYSPark Data_w Will''s Data'!$D$3:$D$782&lt;&gt;"Main Campus")))</f>
        <v>1.9011484001562262</v>
      </c>
      <c r="I63" cm="1">
        <f t="array" ref="I63">MEDIAN(_xlfn._xlws.FILTER('SkYSPark Data_w Will''s Data'!$N$3:$N$782,('SkYSPark Data_w Will''s Data'!$F$3:$F$782=$B63)*('SkYSPark Data_w Will''s Data'!$B$3:$B$782=$A63)*('SkYSPark Data_w Will''s Data'!$N$3:$N$782&gt;0)*('SkYSPark Data_w Will''s Data'!$D$3:$D$782&lt;&gt;"Main Campus")))</f>
        <v>3.7171824072377069</v>
      </c>
    </row>
    <row r="64" spans="1:9" x14ac:dyDescent="0.3">
      <c r="A64" s="3">
        <v>2</v>
      </c>
      <c r="B64" s="3" t="s">
        <v>153</v>
      </c>
      <c r="C64" s="231" cm="1">
        <f t="array" ref="C64">MEDIAN(_xlfn._xlws.FILTER('SkYSPark Data_w Will''s Data'!$M$3:$M$782,('SkYSPark Data_w Will''s Data'!$F$3:$F$782=$B64)*('SkYSPark Data_w Will''s Data'!$B$3:$B$782=$A64)*('SkYSPark Data_w Will''s Data'!$Z$3:$Z$782=FALSE)*('SkYSPark Data_w Will''s Data'!$D$3:$D$782="Main Campus")))</f>
        <v>2.7273314672882716</v>
      </c>
      <c r="D64" s="231" t="e" cm="1" vm="1">
        <f t="array" ref="D64">MEDIAN(_xlfn._xlws.FILTER('SkYSPark Data_w Will''s Data'!$N$3:$N$782,('SkYSPark Data_w Will''s Data'!$F$3:$F$782=$B64)*('SkYSPark Data_w Will''s Data'!$B$3:$B$782=$A64)*('SkYSPark Data_w Will''s Data'!$N$3:$N$782&gt;0)*('SkYSPark Data_w Will''s Data'!$D$3:$D$782="Main Campus")))</f>
        <v>#VALUE!</v>
      </c>
      <c r="E64" s="231" cm="1">
        <f t="array" ref="E64">MEDIAN(_xlfn._xlws.FILTER('SkYSPark Data_w Will''s Data'!$O$3:$O$782,('SkYSPark Data_w Will''s Data'!$F$3:$F$782=$B64)*('SkYSPark Data_w Will''s Data'!$B$3:$B$782=$A64)*('SkYSPark Data_w Will''s Data'!$AA$3:$AA$782=FALSE)*('SkYSPark Data_w Will''s Data'!$D$3:$D$782="Main Campus")))</f>
        <v>7.5411876555348147</v>
      </c>
      <c r="F64" s="231" cm="1">
        <f t="array" ref="F64">MEDIAN(_xlfn._xlws.FILTER('SkYSPark Data_w Will''s Data'!$P$3:$P$782,('SkYSPark Data_w Will''s Data'!$F$3:$F$782=$B64)*('SkYSPark Data_w Will''s Data'!$B$3:$B$782=$A64)*('SkYSPark Data_w Will''s Data'!$AB$3:$AB$782=FALSE)*('SkYSPark Data_w Will''s Data'!$D$3:$D$782="Main Campus")))</f>
        <v>0.27722246014183616</v>
      </c>
      <c r="H64" cm="1">
        <f t="array" ref="H64">MEDIAN(_xlfn._xlws.FILTER('SkYSPark Data_w Will''s Data'!$M$3:$M$782,('SkYSPark Data_w Will''s Data'!$F$3:$F$782=$B64)*('SkYSPark Data_w Will''s Data'!$B$3:$B$782=$A64)*('SkYSPark Data_w Will''s Data'!$Z$3:$Z$782=FALSE)*('SkYSPark Data_w Will''s Data'!$D$3:$D$782&lt;&gt;"Main Campus")))</f>
        <v>1.8367596745532542</v>
      </c>
      <c r="I64" cm="1">
        <f t="array" ref="I64">MEDIAN(_xlfn._xlws.FILTER('SkYSPark Data_w Will''s Data'!$N$3:$N$782,('SkYSPark Data_w Will''s Data'!$F$3:$F$782=$B64)*('SkYSPark Data_w Will''s Data'!$B$3:$B$782=$A64)*('SkYSPark Data_w Will''s Data'!$N$3:$N$782&gt;0)*('SkYSPark Data_w Will''s Data'!$D$3:$D$782&lt;&gt;"Main Campus")))</f>
        <v>11.217606459174489</v>
      </c>
    </row>
    <row r="65" spans="1:9" x14ac:dyDescent="0.3">
      <c r="A65" s="3">
        <v>3</v>
      </c>
      <c r="B65" s="3" t="s">
        <v>153</v>
      </c>
      <c r="C65" s="231" cm="1">
        <f t="array" ref="C65">MEDIAN(_xlfn._xlws.FILTER('SkYSPark Data_w Will''s Data'!$M$3:$M$782,('SkYSPark Data_w Will''s Data'!$F$3:$F$782=$B65)*('SkYSPark Data_w Will''s Data'!$B$3:$B$782=$A65)*('SkYSPark Data_w Will''s Data'!$Z$3:$Z$782=FALSE)*('SkYSPark Data_w Will''s Data'!$D$3:$D$782="Main Campus")))</f>
        <v>2.9084308917635591</v>
      </c>
      <c r="D65" s="231" t="e" cm="1" vm="1">
        <f t="array" ref="D65">MEDIAN(_xlfn._xlws.FILTER('SkYSPark Data_w Will''s Data'!$N$3:$N$782,('SkYSPark Data_w Will''s Data'!$F$3:$F$782=$B65)*('SkYSPark Data_w Will''s Data'!$B$3:$B$782=$A65)*('SkYSPark Data_w Will''s Data'!$N$3:$N$782&gt;0)*('SkYSPark Data_w Will''s Data'!$D$3:$D$782="Main Campus")))</f>
        <v>#VALUE!</v>
      </c>
      <c r="E65" s="231" cm="1">
        <f t="array" ref="E65">MEDIAN(_xlfn._xlws.FILTER('SkYSPark Data_w Will''s Data'!$O$3:$O$782,('SkYSPark Data_w Will''s Data'!$F$3:$F$782=$B65)*('SkYSPark Data_w Will''s Data'!$B$3:$B$782=$A65)*('SkYSPark Data_w Will''s Data'!$AA$3:$AA$782=FALSE)*('SkYSPark Data_w Will''s Data'!$D$3:$D$782="Main Campus")))</f>
        <v>7.0824596852640269</v>
      </c>
      <c r="F65" s="231" cm="1">
        <f t="array" ref="F65">MEDIAN(_xlfn._xlws.FILTER('SkYSPark Data_w Will''s Data'!$P$3:$P$782,('SkYSPark Data_w Will''s Data'!$F$3:$F$782=$B65)*('SkYSPark Data_w Will''s Data'!$B$3:$B$782=$A65)*('SkYSPark Data_w Will''s Data'!$AB$3:$AB$782=FALSE)*('SkYSPark Data_w Will''s Data'!$D$3:$D$782="Main Campus")))</f>
        <v>0.2923898914316998</v>
      </c>
      <c r="H65" cm="1">
        <f t="array" ref="H65">MEDIAN(_xlfn._xlws.FILTER('SkYSPark Data_w Will''s Data'!$M$3:$M$782,('SkYSPark Data_w Will''s Data'!$F$3:$F$782=$B65)*('SkYSPark Data_w Will''s Data'!$B$3:$B$782=$A65)*('SkYSPark Data_w Will''s Data'!$Z$3:$Z$782=FALSE)*('SkYSPark Data_w Will''s Data'!$D$3:$D$782&lt;&gt;"Main Campus")))</f>
        <v>2.052549019694204</v>
      </c>
      <c r="I65" cm="1">
        <f t="array" ref="I65">MEDIAN(_xlfn._xlws.FILTER('SkYSPark Data_w Will''s Data'!$N$3:$N$782,('SkYSPark Data_w Will''s Data'!$F$3:$F$782=$B65)*('SkYSPark Data_w Will''s Data'!$B$3:$B$782=$A65)*('SkYSPark Data_w Will''s Data'!$N$3:$N$782&gt;0)*('SkYSPark Data_w Will''s Data'!$D$3:$D$782&lt;&gt;"Main Campus")))</f>
        <v>8.7057967081367931</v>
      </c>
    </row>
    <row r="66" spans="1:9" x14ac:dyDescent="0.3">
      <c r="A66" s="3">
        <v>4</v>
      </c>
      <c r="B66" s="3" t="s">
        <v>153</v>
      </c>
      <c r="C66" s="231" cm="1">
        <f t="array" ref="C66">MEDIAN(_xlfn._xlws.FILTER('SkYSPark Data_w Will''s Data'!$M$3:$M$782,('SkYSPark Data_w Will''s Data'!$F$3:$F$782=$B66)*('SkYSPark Data_w Will''s Data'!$B$3:$B$782=$A66)*('SkYSPark Data_w Will''s Data'!$Z$3:$Z$782=FALSE)*('SkYSPark Data_w Will''s Data'!$D$3:$D$782="Main Campus")))</f>
        <v>3.1066691087985498</v>
      </c>
      <c r="D66" s="231" t="e" cm="1" vm="1">
        <f t="array" ref="D66">MEDIAN(_xlfn._xlws.FILTER('SkYSPark Data_w Will''s Data'!$N$3:$N$782,('SkYSPark Data_w Will''s Data'!$F$3:$F$782=$B66)*('SkYSPark Data_w Will''s Data'!$B$3:$B$782=$A66)*('SkYSPark Data_w Will''s Data'!$N$3:$N$782&gt;0)*('SkYSPark Data_w Will''s Data'!$D$3:$D$782="Main Campus")))</f>
        <v>#VALUE!</v>
      </c>
      <c r="E66" s="231" cm="1">
        <f t="array" ref="E66">MEDIAN(_xlfn._xlws.FILTER('SkYSPark Data_w Will''s Data'!$O$3:$O$782,('SkYSPark Data_w Will''s Data'!$F$3:$F$782=$B66)*('SkYSPark Data_w Will''s Data'!$B$3:$B$782=$A66)*('SkYSPark Data_w Will''s Data'!$AA$3:$AA$782=FALSE)*('SkYSPark Data_w Will''s Data'!$D$3:$D$782="Main Campus")))</f>
        <v>3.6695346673835969</v>
      </c>
      <c r="F66" s="231" cm="1">
        <f t="array" ref="F66">MEDIAN(_xlfn._xlws.FILTER('SkYSPark Data_w Will''s Data'!$P$3:$P$782,('SkYSPark Data_w Will''s Data'!$F$3:$F$782=$B66)*('SkYSPark Data_w Will''s Data'!$B$3:$B$782=$A66)*('SkYSPark Data_w Will''s Data'!$AB$3:$AB$782=FALSE)*('SkYSPark Data_w Will''s Data'!$D$3:$D$782="Main Campus")))</f>
        <v>0.62120911509202736</v>
      </c>
      <c r="H66" cm="1">
        <f t="array" ref="H66">MEDIAN(_xlfn._xlws.FILTER('SkYSPark Data_w Will''s Data'!$M$3:$M$782,('SkYSPark Data_w Will''s Data'!$F$3:$F$782=$B66)*('SkYSPark Data_w Will''s Data'!$B$3:$B$782=$A66)*('SkYSPark Data_w Will''s Data'!$Z$3:$Z$782=FALSE)*('SkYSPark Data_w Will''s Data'!$D$3:$D$782&lt;&gt;"Main Campus")))</f>
        <v>1.8711879846768456</v>
      </c>
      <c r="I66" cm="1">
        <f t="array" ref="I66">MEDIAN(_xlfn._xlws.FILTER('SkYSPark Data_w Will''s Data'!$N$3:$N$782,('SkYSPark Data_w Will''s Data'!$F$3:$F$782=$B66)*('SkYSPark Data_w Will''s Data'!$B$3:$B$782=$A66)*('SkYSPark Data_w Will''s Data'!$N$3:$N$782&gt;0)*('SkYSPark Data_w Will''s Data'!$D$3:$D$782&lt;&gt;"Main Campus")))</f>
        <v>2.2665363273305337</v>
      </c>
    </row>
    <row r="67" spans="1:9" x14ac:dyDescent="0.3">
      <c r="A67" s="3">
        <v>5</v>
      </c>
      <c r="B67" s="3" t="s">
        <v>153</v>
      </c>
      <c r="C67" s="231" cm="1">
        <f t="array" ref="C67">MEDIAN(_xlfn._xlws.FILTER('SkYSPark Data_w Will''s Data'!$M$3:$M$782,('SkYSPark Data_w Will''s Data'!$F$3:$F$782=$B67)*('SkYSPark Data_w Will''s Data'!$B$3:$B$782=$A67)*('SkYSPark Data_w Will''s Data'!$Z$3:$Z$782=FALSE)*('SkYSPark Data_w Will''s Data'!$D$3:$D$782="Main Campus")))</f>
        <v>3.0600347770843115</v>
      </c>
      <c r="D67" s="231" t="e" cm="1" vm="1">
        <f t="array" ref="D67">MEDIAN(_xlfn._xlws.FILTER('SkYSPark Data_w Will''s Data'!$N$3:$N$782,('SkYSPark Data_w Will''s Data'!$F$3:$F$782=$B67)*('SkYSPark Data_w Will''s Data'!$B$3:$B$782=$A67)*('SkYSPark Data_w Will''s Data'!$N$3:$N$782&gt;0)*('SkYSPark Data_w Will''s Data'!$D$3:$D$782="Main Campus")))</f>
        <v>#VALUE!</v>
      </c>
      <c r="E67" s="231" cm="1">
        <f t="array" ref="E67">MEDIAN(_xlfn._xlws.FILTER('SkYSPark Data_w Will''s Data'!$O$3:$O$782,('SkYSPark Data_w Will''s Data'!$F$3:$F$782=$B67)*('SkYSPark Data_w Will''s Data'!$B$3:$B$782=$A67)*('SkYSPark Data_w Will''s Data'!$AA$3:$AA$782=FALSE)*('SkYSPark Data_w Will''s Data'!$D$3:$D$782="Main Campus")))</f>
        <v>0.42420388516793561</v>
      </c>
      <c r="F67" s="231" cm="1">
        <f t="array" ref="F67">MEDIAN(_xlfn._xlws.FILTER('SkYSPark Data_w Will''s Data'!$P$3:$P$782,('SkYSPark Data_w Will''s Data'!$F$3:$F$782=$B67)*('SkYSPark Data_w Will''s Data'!$B$3:$B$782=$A67)*('SkYSPark Data_w Will''s Data'!$AB$3:$AB$782=FALSE)*('SkYSPark Data_w Will''s Data'!$D$3:$D$782="Main Campus")))</f>
        <v>1.0209785493021668</v>
      </c>
      <c r="H67" cm="1">
        <f t="array" ref="H67">MEDIAN(_xlfn._xlws.FILTER('SkYSPark Data_w Will''s Data'!$M$3:$M$782,('SkYSPark Data_w Will''s Data'!$F$3:$F$782=$B67)*('SkYSPark Data_w Will''s Data'!$B$3:$B$782=$A67)*('SkYSPark Data_w Will''s Data'!$Z$3:$Z$782=FALSE)*('SkYSPark Data_w Will''s Data'!$D$3:$D$782&lt;&gt;"Main Campus")))</f>
        <v>1.8943214687752736</v>
      </c>
      <c r="I67" cm="1">
        <f t="array" ref="I67">MEDIAN(_xlfn._xlws.FILTER('SkYSPark Data_w Will''s Data'!$N$3:$N$782,('SkYSPark Data_w Will''s Data'!$F$3:$F$782=$B67)*('SkYSPark Data_w Will''s Data'!$B$3:$B$782=$A67)*('SkYSPark Data_w Will''s Data'!$N$3:$N$782&gt;0)*('SkYSPark Data_w Will''s Data'!$D$3:$D$782&lt;&gt;"Main Campus")))</f>
        <v>0.99847609625326961</v>
      </c>
    </row>
    <row r="68" spans="1:9" x14ac:dyDescent="0.3">
      <c r="A68" s="3">
        <v>6</v>
      </c>
      <c r="B68" s="3" t="s">
        <v>153</v>
      </c>
      <c r="C68" s="231" cm="1">
        <f t="array" ref="C68">MEDIAN(_xlfn._xlws.FILTER('SkYSPark Data_w Will''s Data'!$M$3:$M$782,('SkYSPark Data_w Will''s Data'!$F$3:$F$782=$B68)*('SkYSPark Data_w Will''s Data'!$B$3:$B$782=$A68)*('SkYSPark Data_w Will''s Data'!$Z$3:$Z$782=FALSE)*('SkYSPark Data_w Will''s Data'!$D$3:$D$782="Main Campus")))</f>
        <v>2.9881558839270688</v>
      </c>
      <c r="D68" s="231" t="e" cm="1" vm="1">
        <f t="array" ref="D68">MEDIAN(_xlfn._xlws.FILTER('SkYSPark Data_w Will''s Data'!$N$3:$N$782,('SkYSPark Data_w Will''s Data'!$F$3:$F$782=$B68)*('SkYSPark Data_w Will''s Data'!$B$3:$B$782=$A68)*('SkYSPark Data_w Will''s Data'!$N$3:$N$782&gt;0)*('SkYSPark Data_w Will''s Data'!$D$3:$D$782="Main Campus")))</f>
        <v>#VALUE!</v>
      </c>
      <c r="E68" s="231" cm="1">
        <f t="array" ref="E68">MEDIAN(_xlfn._xlws.FILTER('SkYSPark Data_w Will''s Data'!$O$3:$O$782,('SkYSPark Data_w Will''s Data'!$F$3:$F$782=$B68)*('SkYSPark Data_w Will''s Data'!$B$3:$B$782=$A68)*('SkYSPark Data_w Will''s Data'!$AA$3:$AA$782=FALSE)*('SkYSPark Data_w Will''s Data'!$D$3:$D$782="Main Campus")))</f>
        <v>0.13463406313153253</v>
      </c>
      <c r="F68" s="231" cm="1">
        <f t="array" ref="F68">MEDIAN(_xlfn._xlws.FILTER('SkYSPark Data_w Will''s Data'!$P$3:$P$782,('SkYSPark Data_w Will''s Data'!$F$3:$F$782=$B68)*('SkYSPark Data_w Will''s Data'!$B$3:$B$782=$A68)*('SkYSPark Data_w Will''s Data'!$AB$3:$AB$782=FALSE)*('SkYSPark Data_w Will''s Data'!$D$3:$D$782="Main Campus")))</f>
        <v>1.3853136756372855</v>
      </c>
      <c r="H68" cm="1">
        <f t="array" ref="H68">MEDIAN(_xlfn._xlws.FILTER('SkYSPark Data_w Will''s Data'!$M$3:$M$782,('SkYSPark Data_w Will''s Data'!$F$3:$F$782=$B68)*('SkYSPark Data_w Will''s Data'!$B$3:$B$782=$A68)*('SkYSPark Data_w Will''s Data'!$Z$3:$Z$782=FALSE)*('SkYSPark Data_w Will''s Data'!$D$3:$D$782&lt;&gt;"Main Campus")))</f>
        <v>2.0486367590283776</v>
      </c>
      <c r="I68" cm="1">
        <f t="array" ref="I68">MEDIAN(_xlfn._xlws.FILTER('SkYSPark Data_w Will''s Data'!$N$3:$N$782,('SkYSPark Data_w Will''s Data'!$F$3:$F$782=$B68)*('SkYSPark Data_w Will''s Data'!$B$3:$B$782=$A68)*('SkYSPark Data_w Will''s Data'!$N$3:$N$782&gt;0)*('SkYSPark Data_w Will''s Data'!$D$3:$D$782&lt;&gt;"Main Campus")))</f>
        <v>0.45989412716681372</v>
      </c>
    </row>
    <row r="69" spans="1:9" x14ac:dyDescent="0.3">
      <c r="A69" s="3">
        <v>7</v>
      </c>
      <c r="B69" s="3" t="s">
        <v>153</v>
      </c>
      <c r="C69" s="231" cm="1">
        <f t="array" ref="C69">MEDIAN(_xlfn._xlws.FILTER('SkYSPark Data_w Will''s Data'!$M$3:$M$782,('SkYSPark Data_w Will''s Data'!$F$3:$F$782=$B69)*('SkYSPark Data_w Will''s Data'!$B$3:$B$782=$A69)*('SkYSPark Data_w Will''s Data'!$Z$3:$Z$782=FALSE)*('SkYSPark Data_w Will''s Data'!$D$3:$D$782="Main Campus")))</f>
        <v>3.1496464565265612</v>
      </c>
      <c r="D69" s="231" t="e" cm="1" vm="1">
        <f t="array" ref="D69">MEDIAN(_xlfn._xlws.FILTER('SkYSPark Data_w Will''s Data'!$N$3:$N$782,('SkYSPark Data_w Will''s Data'!$F$3:$F$782=$B69)*('SkYSPark Data_w Will''s Data'!$B$3:$B$782=$A69)*('SkYSPark Data_w Will''s Data'!$N$3:$N$782&gt;0)*('SkYSPark Data_w Will''s Data'!$D$3:$D$782="Main Campus")))</f>
        <v>#VALUE!</v>
      </c>
      <c r="E69" s="231" cm="1">
        <f t="array" ref="E69">MEDIAN(_xlfn._xlws.FILTER('SkYSPark Data_w Will''s Data'!$O$3:$O$782,('SkYSPark Data_w Will''s Data'!$F$3:$F$782=$B69)*('SkYSPark Data_w Will''s Data'!$B$3:$B$782=$A69)*('SkYSPark Data_w Will''s Data'!$AA$3:$AA$782=FALSE)*('SkYSPark Data_w Will''s Data'!$D$3:$D$782="Main Campus")))</f>
        <v>9.14871903811251E-2</v>
      </c>
      <c r="F69" s="231" cm="1">
        <f t="array" ref="F69">MEDIAN(_xlfn._xlws.FILTER('SkYSPark Data_w Will''s Data'!$P$3:$P$782,('SkYSPark Data_w Will''s Data'!$F$3:$F$782=$B69)*('SkYSPark Data_w Will''s Data'!$B$3:$B$782=$A69)*('SkYSPark Data_w Will''s Data'!$AB$3:$AB$782=FALSE)*('SkYSPark Data_w Will''s Data'!$D$3:$D$782="Main Campus")))</f>
        <v>2.3135018322670584</v>
      </c>
      <c r="H69" cm="1">
        <f t="array" ref="H69">MEDIAN(_xlfn._xlws.FILTER('SkYSPark Data_w Will''s Data'!$M$3:$M$782,('SkYSPark Data_w Will''s Data'!$F$3:$F$782=$B69)*('SkYSPark Data_w Will''s Data'!$B$3:$B$782=$A69)*('SkYSPark Data_w Will''s Data'!$Z$3:$Z$782=FALSE)*('SkYSPark Data_w Will''s Data'!$D$3:$D$782&lt;&gt;"Main Campus")))</f>
        <v>2.1259785512793363</v>
      </c>
      <c r="I69" cm="1">
        <f t="array" ref="I69">MEDIAN(_xlfn._xlws.FILTER('SkYSPark Data_w Will''s Data'!$N$3:$N$782,('SkYSPark Data_w Will''s Data'!$F$3:$F$782=$B69)*('SkYSPark Data_w Will''s Data'!$B$3:$B$782=$A69)*('SkYSPark Data_w Will''s Data'!$N$3:$N$782&gt;0)*('SkYSPark Data_w Will''s Data'!$D$3:$D$782&lt;&gt;"Main Campus")))</f>
        <v>0.38297057509414323</v>
      </c>
    </row>
    <row r="70" spans="1:9" x14ac:dyDescent="0.3">
      <c r="A70" s="3">
        <v>8</v>
      </c>
      <c r="B70" s="3" t="s">
        <v>153</v>
      </c>
      <c r="C70" s="231" cm="1">
        <f t="array" ref="C70">MEDIAN(_xlfn._xlws.FILTER('SkYSPark Data_w Will''s Data'!$M$3:$M$782,('SkYSPark Data_w Will''s Data'!$F$3:$F$782=$B70)*('SkYSPark Data_w Will''s Data'!$B$3:$B$782=$A70)*('SkYSPark Data_w Will''s Data'!$Z$3:$Z$782=FALSE)*('SkYSPark Data_w Will''s Data'!$D$3:$D$782="Main Campus")))</f>
        <v>3.1707213247978339</v>
      </c>
      <c r="D70" s="231" t="e" cm="1" vm="1">
        <f t="array" ref="D70">MEDIAN(_xlfn._xlws.FILTER('SkYSPark Data_w Will''s Data'!$N$3:$N$782,('SkYSPark Data_w Will''s Data'!$F$3:$F$782=$B70)*('SkYSPark Data_w Will''s Data'!$B$3:$B$782=$A70)*('SkYSPark Data_w Will''s Data'!$N$3:$N$782&gt;0)*('SkYSPark Data_w Will''s Data'!$D$3:$D$782="Main Campus")))</f>
        <v>#VALUE!</v>
      </c>
      <c r="E70" s="231" cm="1">
        <f t="array" ref="E70">MEDIAN(_xlfn._xlws.FILTER('SkYSPark Data_w Will''s Data'!$O$3:$O$782,('SkYSPark Data_w Will''s Data'!$F$3:$F$782=$B70)*('SkYSPark Data_w Will''s Data'!$B$3:$B$782=$A70)*('SkYSPark Data_w Will''s Data'!$AA$3:$AA$782=FALSE)*('SkYSPark Data_w Will''s Data'!$D$3:$D$782="Main Campus")))</f>
        <v>8.2405123500086247E-2</v>
      </c>
      <c r="F70" s="231" cm="1">
        <f t="array" ref="F70">MEDIAN(_xlfn._xlws.FILTER('SkYSPark Data_w Will''s Data'!$P$3:$P$782,('SkYSPark Data_w Will''s Data'!$F$3:$F$782=$B70)*('SkYSPark Data_w Will''s Data'!$B$3:$B$782=$A70)*('SkYSPark Data_w Will''s Data'!$AB$3:$AB$782=FALSE)*('SkYSPark Data_w Will''s Data'!$D$3:$D$782="Main Campus")))</f>
        <v>3.5201107267480323</v>
      </c>
      <c r="H70" cm="1">
        <f t="array" ref="H70">MEDIAN(_xlfn._xlws.FILTER('SkYSPark Data_w Will''s Data'!$M$3:$M$782,('SkYSPark Data_w Will''s Data'!$F$3:$F$782=$B70)*('SkYSPark Data_w Will''s Data'!$B$3:$B$782=$A70)*('SkYSPark Data_w Will''s Data'!$Z$3:$Z$782=FALSE)*('SkYSPark Data_w Will''s Data'!$D$3:$D$782&lt;&gt;"Main Campus")))</f>
        <v>2.8477815059399991</v>
      </c>
      <c r="I70" cm="1">
        <f t="array" ref="I70">MEDIAN(_xlfn._xlws.FILTER('SkYSPark Data_w Will''s Data'!$N$3:$N$782,('SkYSPark Data_w Will''s Data'!$F$3:$F$782=$B70)*('SkYSPark Data_w Will''s Data'!$B$3:$B$782=$A70)*('SkYSPark Data_w Will''s Data'!$N$3:$N$782&gt;0)*('SkYSPark Data_w Will''s Data'!$D$3:$D$782&lt;&gt;"Main Campus")))</f>
        <v>0.34190528927874964</v>
      </c>
    </row>
    <row r="71" spans="1:9" x14ac:dyDescent="0.3">
      <c r="A71" s="3">
        <v>9</v>
      </c>
      <c r="B71" s="3" t="s">
        <v>153</v>
      </c>
      <c r="C71" s="231" cm="1">
        <f t="array" ref="C71">MEDIAN(_xlfn._xlws.FILTER('SkYSPark Data_w Will''s Data'!$M$3:$M$782,('SkYSPark Data_w Will''s Data'!$F$3:$F$782=$B71)*('SkYSPark Data_w Will''s Data'!$B$3:$B$782=$A71)*('SkYSPark Data_w Will''s Data'!$Z$3:$Z$782=FALSE)*('SkYSPark Data_w Will''s Data'!$D$3:$D$782="Main Campus")))</f>
        <v>2.8179407912985912</v>
      </c>
      <c r="D71" s="231" t="e" cm="1" vm="1">
        <f t="array" ref="D71">MEDIAN(_xlfn._xlws.FILTER('SkYSPark Data_w Will''s Data'!$N$3:$N$782,('SkYSPark Data_w Will''s Data'!$F$3:$F$782=$B71)*('SkYSPark Data_w Will''s Data'!$B$3:$B$782=$A71)*('SkYSPark Data_w Will''s Data'!$N$3:$N$782&gt;0)*('SkYSPark Data_w Will''s Data'!$D$3:$D$782="Main Campus")))</f>
        <v>#VALUE!</v>
      </c>
      <c r="E71" s="231" cm="1">
        <f t="array" ref="E71">MEDIAN(_xlfn._xlws.FILTER('SkYSPark Data_w Will''s Data'!$O$3:$O$782,('SkYSPark Data_w Will''s Data'!$F$3:$F$782=$B71)*('SkYSPark Data_w Will''s Data'!$B$3:$B$782=$A71)*('SkYSPark Data_w Will''s Data'!$AA$3:$AA$782=FALSE)*('SkYSPark Data_w Will''s Data'!$D$3:$D$782="Main Campus")))</f>
        <v>0.10675423640441403</v>
      </c>
      <c r="F71" s="231" cm="1">
        <f t="array" ref="F71">MEDIAN(_xlfn._xlws.FILTER('SkYSPark Data_w Will''s Data'!$P$3:$P$782,('SkYSPark Data_w Will''s Data'!$F$3:$F$782=$B71)*('SkYSPark Data_w Will''s Data'!$B$3:$B$782=$A71)*('SkYSPark Data_w Will''s Data'!$AB$3:$AB$782=FALSE)*('SkYSPark Data_w Will''s Data'!$D$3:$D$782="Main Campus")))</f>
        <v>2.0782623002003175</v>
      </c>
      <c r="H71" cm="1">
        <f t="array" ref="H71">MEDIAN(_xlfn._xlws.FILTER('SkYSPark Data_w Will''s Data'!$M$3:$M$782,('SkYSPark Data_w Will''s Data'!$F$3:$F$782=$B71)*('SkYSPark Data_w Will''s Data'!$B$3:$B$782=$A71)*('SkYSPark Data_w Will''s Data'!$Z$3:$Z$782=FALSE)*('SkYSPark Data_w Will''s Data'!$D$3:$D$782&lt;&gt;"Main Campus")))</f>
        <v>2.8470663618823053</v>
      </c>
      <c r="I71" cm="1">
        <f t="array" ref="I71">MEDIAN(_xlfn._xlws.FILTER('SkYSPark Data_w Will''s Data'!$N$3:$N$782,('SkYSPark Data_w Will''s Data'!$F$3:$F$782=$B71)*('SkYSPark Data_w Will''s Data'!$B$3:$B$782=$A71)*('SkYSPark Data_w Will''s Data'!$N$3:$N$782&gt;0)*('SkYSPark Data_w Will''s Data'!$D$3:$D$782&lt;&gt;"Main Campus")))</f>
        <v>0.560477296903511</v>
      </c>
    </row>
    <row r="72" spans="1:9" x14ac:dyDescent="0.3">
      <c r="A72" s="3">
        <v>10</v>
      </c>
      <c r="B72" s="3" t="s">
        <v>153</v>
      </c>
      <c r="C72" s="231" cm="1">
        <f t="array" ref="C72">MEDIAN(_xlfn._xlws.FILTER('SkYSPark Data_w Will''s Data'!$M$3:$M$782,('SkYSPark Data_w Will''s Data'!$F$3:$F$782=$B72)*('SkYSPark Data_w Will''s Data'!$B$3:$B$782=$A72)*('SkYSPark Data_w Will''s Data'!$Z$3:$Z$782=FALSE)*('SkYSPark Data_w Will''s Data'!$D$3:$D$782="Main Campus")))</f>
        <v>3.0004539171163742</v>
      </c>
      <c r="D72" s="231" t="e" cm="1" vm="1">
        <f t="array" ref="D72">MEDIAN(_xlfn._xlws.FILTER('SkYSPark Data_w Will''s Data'!$N$3:$N$782,('SkYSPark Data_w Will''s Data'!$F$3:$F$782=$B72)*('SkYSPark Data_w Will''s Data'!$B$3:$B$782=$A72)*('SkYSPark Data_w Will''s Data'!$N$3:$N$782&gt;0)*('SkYSPark Data_w Will''s Data'!$D$3:$D$782="Main Campus")))</f>
        <v>#VALUE!</v>
      </c>
      <c r="E72" s="231" cm="1">
        <f t="array" ref="E72">MEDIAN(_xlfn._xlws.FILTER('SkYSPark Data_w Will''s Data'!$O$3:$O$782,('SkYSPark Data_w Will''s Data'!$F$3:$F$782=$B72)*('SkYSPark Data_w Will''s Data'!$B$3:$B$782=$A72)*('SkYSPark Data_w Will''s Data'!$AA$3:$AA$782=FALSE)*('SkYSPark Data_w Will''s Data'!$D$3:$D$782="Main Campus")))</f>
        <v>0.13928187166126382</v>
      </c>
      <c r="F72" s="231" cm="1">
        <f t="array" ref="F72">MEDIAN(_xlfn._xlws.FILTER('SkYSPark Data_w Will''s Data'!$P$3:$P$782,('SkYSPark Data_w Will''s Data'!$F$3:$F$782=$B72)*('SkYSPark Data_w Will''s Data'!$B$3:$B$782=$A72)*('SkYSPark Data_w Will''s Data'!$AB$3:$AB$782=FALSE)*('SkYSPark Data_w Will''s Data'!$D$3:$D$782="Main Campus")))</f>
        <v>1.9104978960805474</v>
      </c>
      <c r="H72" cm="1">
        <f t="array" ref="H72">MEDIAN(_xlfn._xlws.FILTER('SkYSPark Data_w Will''s Data'!$M$3:$M$782,('SkYSPark Data_w Will''s Data'!$F$3:$F$782=$B72)*('SkYSPark Data_w Will''s Data'!$B$3:$B$782=$A72)*('SkYSPark Data_w Will''s Data'!$Z$3:$Z$782=FALSE)*('SkYSPark Data_w Will''s Data'!$D$3:$D$782&lt;&gt;"Main Campus")))</f>
        <v>2.8269237915256462</v>
      </c>
      <c r="I72" cm="1">
        <f t="array" ref="I72">MEDIAN(_xlfn._xlws.FILTER('SkYSPark Data_w Will''s Data'!$N$3:$N$782,('SkYSPark Data_w Will''s Data'!$F$3:$F$782=$B72)*('SkYSPark Data_w Will''s Data'!$B$3:$B$782=$A72)*('SkYSPark Data_w Will''s Data'!$N$3:$N$782&gt;0)*('SkYSPark Data_w Will''s Data'!$D$3:$D$782&lt;&gt;"Main Campus")))</f>
        <v>0.41365962654800259</v>
      </c>
    </row>
    <row r="73" spans="1:9" x14ac:dyDescent="0.3">
      <c r="A73" s="3">
        <v>11</v>
      </c>
      <c r="B73" s="3" t="s">
        <v>153</v>
      </c>
      <c r="C73" s="231" cm="1">
        <f t="array" ref="C73">MEDIAN(_xlfn._xlws.FILTER('SkYSPark Data_w Will''s Data'!$M$3:$M$782,('SkYSPark Data_w Will''s Data'!$F$3:$F$782=$B73)*('SkYSPark Data_w Will''s Data'!$B$3:$B$782=$A73)*('SkYSPark Data_w Will''s Data'!$Z$3:$Z$782=FALSE)*('SkYSPark Data_w Will''s Data'!$D$3:$D$782="Main Campus")))</f>
        <v>2.6541911941689973</v>
      </c>
      <c r="D73" s="231" t="e" cm="1" vm="1">
        <f t="array" ref="D73">MEDIAN(_xlfn._xlws.FILTER('SkYSPark Data_w Will''s Data'!$N$3:$N$782,('SkYSPark Data_w Will''s Data'!$F$3:$F$782=$B73)*('SkYSPark Data_w Will''s Data'!$B$3:$B$782=$A73)*('SkYSPark Data_w Will''s Data'!$N$3:$N$782&gt;0)*('SkYSPark Data_w Will''s Data'!$D$3:$D$782="Main Campus")))</f>
        <v>#VALUE!</v>
      </c>
      <c r="E73" s="231" cm="1">
        <f t="array" ref="E73">MEDIAN(_xlfn._xlws.FILTER('SkYSPark Data_w Will''s Data'!$O$3:$O$782,('SkYSPark Data_w Will''s Data'!$F$3:$F$782=$B73)*('SkYSPark Data_w Will''s Data'!$B$3:$B$782=$A73)*('SkYSPark Data_w Will''s Data'!$AA$3:$AA$782=FALSE)*('SkYSPark Data_w Will''s Data'!$D$3:$D$782="Main Campus")))</f>
        <v>4.98926713082815</v>
      </c>
      <c r="F73" s="231" cm="1">
        <f t="array" ref="F73">MEDIAN(_xlfn._xlws.FILTER('SkYSPark Data_w Will''s Data'!$P$3:$P$782,('SkYSPark Data_w Will''s Data'!$F$3:$F$782=$B73)*('SkYSPark Data_w Will''s Data'!$B$3:$B$782=$A73)*('SkYSPark Data_w Will''s Data'!$AB$3:$AB$782=FALSE)*('SkYSPark Data_w Will''s Data'!$D$3:$D$782="Main Campus")))</f>
        <v>0.52567209603914655</v>
      </c>
      <c r="H73" cm="1">
        <f t="array" ref="H73">MEDIAN(_xlfn._xlws.FILTER('SkYSPark Data_w Will''s Data'!$M$3:$M$782,('SkYSPark Data_w Will''s Data'!$F$3:$F$782=$B73)*('SkYSPark Data_w Will''s Data'!$B$3:$B$782=$A73)*('SkYSPark Data_w Will''s Data'!$Z$3:$Z$782=FALSE)*('SkYSPark Data_w Will''s Data'!$D$3:$D$782&lt;&gt;"Main Campus")))</f>
        <v>2.5044020057321785</v>
      </c>
      <c r="I73" cm="1">
        <f t="array" ref="I73">MEDIAN(_xlfn._xlws.FILTER('SkYSPark Data_w Will''s Data'!$N$3:$N$782,('SkYSPark Data_w Will''s Data'!$F$3:$F$782=$B73)*('SkYSPark Data_w Will''s Data'!$B$3:$B$782=$A73)*('SkYSPark Data_w Will''s Data'!$N$3:$N$782&gt;0)*('SkYSPark Data_w Will''s Data'!$D$3:$D$782&lt;&gt;"Main Campus")))</f>
        <v>1.1586695193667078</v>
      </c>
    </row>
    <row r="74" spans="1:9" x14ac:dyDescent="0.3">
      <c r="A74" s="3">
        <v>12</v>
      </c>
      <c r="B74" s="3" t="s">
        <v>153</v>
      </c>
      <c r="C74" s="231" cm="1">
        <f t="array" ref="C74">MEDIAN(_xlfn._xlws.FILTER('SkYSPark Data_w Will''s Data'!$M$3:$M$782,('SkYSPark Data_w Will''s Data'!$F$3:$F$782=$B74)*('SkYSPark Data_w Will''s Data'!$B$3:$B$782=$A74)*('SkYSPark Data_w Will''s Data'!$Z$3:$Z$782=FALSE)*('SkYSPark Data_w Will''s Data'!$D$3:$D$782="Main Campus")))</f>
        <v>2.4033681261526407</v>
      </c>
      <c r="D74" s="231" t="e" cm="1" vm="1">
        <f t="array" ref="D74">MEDIAN(_xlfn._xlws.FILTER('SkYSPark Data_w Will''s Data'!$N$3:$N$782,('SkYSPark Data_w Will''s Data'!$F$3:$F$782=$B74)*('SkYSPark Data_w Will''s Data'!$B$3:$B$782=$A74)*('SkYSPark Data_w Will''s Data'!$N$3:$N$782&gt;0)*('SkYSPark Data_w Will''s Data'!$D$3:$D$782="Main Campus")))</f>
        <v>#VALUE!</v>
      </c>
      <c r="E74" s="231" cm="1">
        <f t="array" ref="E74">MEDIAN(_xlfn._xlws.FILTER('SkYSPark Data_w Will''s Data'!$O$3:$O$782,('SkYSPark Data_w Will''s Data'!$F$3:$F$782=$B74)*('SkYSPark Data_w Will''s Data'!$B$3:$B$782=$A74)*('SkYSPark Data_w Will''s Data'!$AA$3:$AA$782=FALSE)*('SkYSPark Data_w Will''s Data'!$D$3:$D$782="Main Campus")))</f>
        <v>7.1030967259050932</v>
      </c>
      <c r="F74" s="231" cm="1">
        <f t="array" ref="F74">MEDIAN(_xlfn._xlws.FILTER('SkYSPark Data_w Will''s Data'!$P$3:$P$782,('SkYSPark Data_w Will''s Data'!$F$3:$F$782=$B74)*('SkYSPark Data_w Will''s Data'!$B$3:$B$782=$A74)*('SkYSPark Data_w Will''s Data'!$AB$3:$AB$782=FALSE)*('SkYSPark Data_w Will''s Data'!$D$3:$D$782="Main Campus")))</f>
        <v>0.34969684003482815</v>
      </c>
      <c r="H74" cm="1">
        <f t="array" ref="H74">MEDIAN(_xlfn._xlws.FILTER('SkYSPark Data_w Will''s Data'!$M$3:$M$782,('SkYSPark Data_w Will''s Data'!$F$3:$F$782=$B74)*('SkYSPark Data_w Will''s Data'!$B$3:$B$782=$A74)*('SkYSPark Data_w Will''s Data'!$Z$3:$Z$782=FALSE)*('SkYSPark Data_w Will''s Data'!$D$3:$D$782&lt;&gt;"Main Campus")))</f>
        <v>2.1856347541243024</v>
      </c>
      <c r="I74" cm="1">
        <f t="array" ref="I74">MEDIAN(_xlfn._xlws.FILTER('SkYSPark Data_w Will''s Data'!$N$3:$N$782,('SkYSPark Data_w Will''s Data'!$F$3:$F$782=$B74)*('SkYSPark Data_w Will''s Data'!$B$3:$B$782=$A74)*('SkYSPark Data_w Will''s Data'!$N$3:$N$782&gt;0)*('SkYSPark Data_w Will''s Data'!$D$3:$D$782&lt;&gt;"Main Campus")))</f>
        <v>1.3855710688379181</v>
      </c>
    </row>
    <row r="75" spans="1:9" x14ac:dyDescent="0.3">
      <c r="A75" s="3">
        <v>1</v>
      </c>
      <c r="B75" s="3" t="s">
        <v>156</v>
      </c>
      <c r="C75" s="231" t="e" cm="1" vm="1">
        <f t="array" ref="C75">MEDIAN(_xlfn._xlws.FILTER('SkYSPark Data_w Will''s Data'!$M$3:$M$782,('SkYSPark Data_w Will''s Data'!$F$3:$F$782=$B75)*('SkYSPark Data_w Will''s Data'!$B$3:$B$782=$A75)*('SkYSPark Data_w Will''s Data'!$Z$3:$Z$782=FALSE)*('SkYSPark Data_w Will''s Data'!$D$3:$D$782="Main Campus")))</f>
        <v>#VALUE!</v>
      </c>
      <c r="D75" s="231" t="e" cm="1" vm="1">
        <f t="array" ref="D75">MEDIAN(_xlfn._xlws.FILTER('SkYSPark Data_w Will''s Data'!$N$3:$N$782,('SkYSPark Data_w Will''s Data'!$F$3:$F$782=$B75)*('SkYSPark Data_w Will''s Data'!$B$3:$B$782=$A75)*('SkYSPark Data_w Will''s Data'!$N$3:$N$782&gt;0)*('SkYSPark Data_w Will''s Data'!$D$3:$D$782="Main Campus")))</f>
        <v>#VALUE!</v>
      </c>
      <c r="E75" s="231" t="e" cm="1" vm="1">
        <f t="array" ref="E75">MEDIAN(_xlfn._xlws.FILTER('SkYSPark Data_w Will''s Data'!$O$3:$O$782,('SkYSPark Data_w Will''s Data'!$F$3:$F$782=$B75)*('SkYSPark Data_w Will''s Data'!$B$3:$B$782=$A75)*('SkYSPark Data_w Will''s Data'!$AA$3:$AA$782=FALSE)*('SkYSPark Data_w Will''s Data'!$D$3:$D$782="Main Campus")))</f>
        <v>#VALUE!</v>
      </c>
      <c r="F75" s="231" t="e" cm="1" vm="1">
        <f t="array" ref="F75">MEDIAN(_xlfn._xlws.FILTER('SkYSPark Data_w Will''s Data'!$P$3:$P$782,('SkYSPark Data_w Will''s Data'!$F$3:$F$782=$B75)*('SkYSPark Data_w Will''s Data'!$B$3:$B$782=$A75)*('SkYSPark Data_w Will''s Data'!$AB$3:$AB$782=FALSE)*('SkYSPark Data_w Will''s Data'!$D$3:$D$782="Main Campus")))</f>
        <v>#VALUE!</v>
      </c>
      <c r="H75" cm="1">
        <f t="array" ref="H75">MEDIAN(_xlfn._xlws.FILTER('SkYSPark Data_w Will''s Data'!$M$3:$M$782,('SkYSPark Data_w Will''s Data'!$F$3:$F$782=$B75)*('SkYSPark Data_w Will''s Data'!$B$3:$B$782=$A75)*('SkYSPark Data_w Will''s Data'!$Z$3:$Z$782=FALSE)*('SkYSPark Data_w Will''s Data'!$D$3:$D$782&lt;&gt;"Main Campus")))</f>
        <v>4.7033668728614062</v>
      </c>
      <c r="I75" cm="1">
        <f t="array" ref="I75">MEDIAN(_xlfn._xlws.FILTER('SkYSPark Data_w Will''s Data'!$N$3:$N$782,('SkYSPark Data_w Will''s Data'!$F$3:$F$782=$B75)*('SkYSPark Data_w Will''s Data'!$B$3:$B$782=$A75)*('SkYSPark Data_w Will''s Data'!$N$3:$N$782&gt;0)*('SkYSPark Data_w Will''s Data'!$D$3:$D$782&lt;&gt;"Main Campus")))</f>
        <v>2.9129806322290968</v>
      </c>
    </row>
    <row r="76" spans="1:9" x14ac:dyDescent="0.3">
      <c r="A76" s="3">
        <v>2</v>
      </c>
      <c r="B76" s="3" t="s">
        <v>156</v>
      </c>
      <c r="C76" s="231" t="e" cm="1" vm="1">
        <f t="array" ref="C76">MEDIAN(_xlfn._xlws.FILTER('SkYSPark Data_w Will''s Data'!$M$3:$M$782,('SkYSPark Data_w Will''s Data'!$F$3:$F$782=$B76)*('SkYSPark Data_w Will''s Data'!$B$3:$B$782=$A76)*('SkYSPark Data_w Will''s Data'!$Z$3:$Z$782=FALSE)*('SkYSPark Data_w Will''s Data'!$D$3:$D$782="Main Campus")))</f>
        <v>#VALUE!</v>
      </c>
      <c r="D76" s="231" t="e" cm="1" vm="1">
        <f t="array" ref="D76">MEDIAN(_xlfn._xlws.FILTER('SkYSPark Data_w Will''s Data'!$N$3:$N$782,('SkYSPark Data_w Will''s Data'!$F$3:$F$782=$B76)*('SkYSPark Data_w Will''s Data'!$B$3:$B$782=$A76)*('SkYSPark Data_w Will''s Data'!$N$3:$N$782&gt;0)*('SkYSPark Data_w Will''s Data'!$D$3:$D$782="Main Campus")))</f>
        <v>#VALUE!</v>
      </c>
      <c r="E76" s="231" t="e" cm="1" vm="1">
        <f t="array" ref="E76">MEDIAN(_xlfn._xlws.FILTER('SkYSPark Data_w Will''s Data'!$O$3:$O$782,('SkYSPark Data_w Will''s Data'!$F$3:$F$782=$B76)*('SkYSPark Data_w Will''s Data'!$B$3:$B$782=$A76)*('SkYSPark Data_w Will''s Data'!$AA$3:$AA$782=FALSE)*('SkYSPark Data_w Will''s Data'!$D$3:$D$782="Main Campus")))</f>
        <v>#VALUE!</v>
      </c>
      <c r="F76" s="231" t="e" cm="1" vm="1">
        <f t="array" ref="F76">MEDIAN(_xlfn._xlws.FILTER('SkYSPark Data_w Will''s Data'!$P$3:$P$782,('SkYSPark Data_w Will''s Data'!$F$3:$F$782=$B76)*('SkYSPark Data_w Will''s Data'!$B$3:$B$782=$A76)*('SkYSPark Data_w Will''s Data'!$AB$3:$AB$782=FALSE)*('SkYSPark Data_w Will''s Data'!$D$3:$D$782="Main Campus")))</f>
        <v>#VALUE!</v>
      </c>
      <c r="H76" cm="1">
        <f t="array" ref="H76">MEDIAN(_xlfn._xlws.FILTER('SkYSPark Data_w Will''s Data'!$M$3:$M$782,('SkYSPark Data_w Will''s Data'!$F$3:$F$782=$B76)*('SkYSPark Data_w Will''s Data'!$B$3:$B$782=$A76)*('SkYSPark Data_w Will''s Data'!$Z$3:$Z$782=FALSE)*('SkYSPark Data_w Will''s Data'!$D$3:$D$782&lt;&gt;"Main Campus")))</f>
        <v>4.3585940949895026</v>
      </c>
      <c r="I76" cm="1">
        <f t="array" ref="I76">MEDIAN(_xlfn._xlws.FILTER('SkYSPark Data_w Will''s Data'!$N$3:$N$782,('SkYSPark Data_w Will''s Data'!$F$3:$F$782=$B76)*('SkYSPark Data_w Will''s Data'!$B$3:$B$782=$A76)*('SkYSPark Data_w Will''s Data'!$N$3:$N$782&gt;0)*('SkYSPark Data_w Will''s Data'!$D$3:$D$782&lt;&gt;"Main Campus")))</f>
        <v>3.6870243828777851</v>
      </c>
    </row>
    <row r="77" spans="1:9" x14ac:dyDescent="0.3">
      <c r="A77" s="3">
        <v>3</v>
      </c>
      <c r="B77" s="3" t="s">
        <v>156</v>
      </c>
      <c r="C77" s="231" t="e" cm="1" vm="1">
        <f t="array" ref="C77">MEDIAN(_xlfn._xlws.FILTER('SkYSPark Data_w Will''s Data'!$M$3:$M$782,('SkYSPark Data_w Will''s Data'!$F$3:$F$782=$B77)*('SkYSPark Data_w Will''s Data'!$B$3:$B$782=$A77)*('SkYSPark Data_w Will''s Data'!$Z$3:$Z$782=FALSE)*('SkYSPark Data_w Will''s Data'!$D$3:$D$782="Main Campus")))</f>
        <v>#VALUE!</v>
      </c>
      <c r="D77" s="231" t="e" cm="1" vm="1">
        <f t="array" ref="D77">MEDIAN(_xlfn._xlws.FILTER('SkYSPark Data_w Will''s Data'!$N$3:$N$782,('SkYSPark Data_w Will''s Data'!$F$3:$F$782=$B77)*('SkYSPark Data_w Will''s Data'!$B$3:$B$782=$A77)*('SkYSPark Data_w Will''s Data'!$N$3:$N$782&gt;0)*('SkYSPark Data_w Will''s Data'!$D$3:$D$782="Main Campus")))</f>
        <v>#VALUE!</v>
      </c>
      <c r="E77" s="231" t="e" cm="1" vm="1">
        <f t="array" ref="E77">MEDIAN(_xlfn._xlws.FILTER('SkYSPark Data_w Will''s Data'!$O$3:$O$782,('SkYSPark Data_w Will''s Data'!$F$3:$F$782=$B77)*('SkYSPark Data_w Will''s Data'!$B$3:$B$782=$A77)*('SkYSPark Data_w Will''s Data'!$AA$3:$AA$782=FALSE)*('SkYSPark Data_w Will''s Data'!$D$3:$D$782="Main Campus")))</f>
        <v>#VALUE!</v>
      </c>
      <c r="F77" s="231" t="e" cm="1" vm="1">
        <f t="array" ref="F77">MEDIAN(_xlfn._xlws.FILTER('SkYSPark Data_w Will''s Data'!$P$3:$P$782,('SkYSPark Data_w Will''s Data'!$F$3:$F$782=$B77)*('SkYSPark Data_w Will''s Data'!$B$3:$B$782=$A77)*('SkYSPark Data_w Will''s Data'!$AB$3:$AB$782=FALSE)*('SkYSPark Data_w Will''s Data'!$D$3:$D$782="Main Campus")))</f>
        <v>#VALUE!</v>
      </c>
      <c r="H77" cm="1">
        <f t="array" ref="H77">MEDIAN(_xlfn._xlws.FILTER('SkYSPark Data_w Will''s Data'!$M$3:$M$782,('SkYSPark Data_w Will''s Data'!$F$3:$F$782=$B77)*('SkYSPark Data_w Will''s Data'!$B$3:$B$782=$A77)*('SkYSPark Data_w Will''s Data'!$Z$3:$Z$782=FALSE)*('SkYSPark Data_w Will''s Data'!$D$3:$D$782&lt;&gt;"Main Campus")))</f>
        <v>5.229299845931191</v>
      </c>
      <c r="I77" cm="1">
        <f t="array" ref="I77">MEDIAN(_xlfn._xlws.FILTER('SkYSPark Data_w Will''s Data'!$N$3:$N$782,('SkYSPark Data_w Will''s Data'!$F$3:$F$782=$B77)*('SkYSPark Data_w Will''s Data'!$B$3:$B$782=$A77)*('SkYSPark Data_w Will''s Data'!$N$3:$N$782&gt;0)*('SkYSPark Data_w Will''s Data'!$D$3:$D$782&lt;&gt;"Main Campus")))</f>
        <v>3.1445713611321731</v>
      </c>
    </row>
    <row r="78" spans="1:9" x14ac:dyDescent="0.3">
      <c r="A78" s="3">
        <v>4</v>
      </c>
      <c r="B78" s="3" t="s">
        <v>156</v>
      </c>
      <c r="C78" s="231" t="e" cm="1" vm="1">
        <f t="array" ref="C78">MEDIAN(_xlfn._xlws.FILTER('SkYSPark Data_w Will''s Data'!$M$3:$M$782,('SkYSPark Data_w Will''s Data'!$F$3:$F$782=$B78)*('SkYSPark Data_w Will''s Data'!$B$3:$B$782=$A78)*('SkYSPark Data_w Will''s Data'!$Z$3:$Z$782=FALSE)*('SkYSPark Data_w Will''s Data'!$D$3:$D$782="Main Campus")))</f>
        <v>#VALUE!</v>
      </c>
      <c r="D78" s="231" t="e" cm="1" vm="1">
        <f t="array" ref="D78">MEDIAN(_xlfn._xlws.FILTER('SkYSPark Data_w Will''s Data'!$N$3:$N$782,('SkYSPark Data_w Will''s Data'!$F$3:$F$782=$B78)*('SkYSPark Data_w Will''s Data'!$B$3:$B$782=$A78)*('SkYSPark Data_w Will''s Data'!$N$3:$N$782&gt;0)*('SkYSPark Data_w Will''s Data'!$D$3:$D$782="Main Campus")))</f>
        <v>#VALUE!</v>
      </c>
      <c r="E78" s="231" t="e" cm="1" vm="1">
        <f t="array" ref="E78">MEDIAN(_xlfn._xlws.FILTER('SkYSPark Data_w Will''s Data'!$O$3:$O$782,('SkYSPark Data_w Will''s Data'!$F$3:$F$782=$B78)*('SkYSPark Data_w Will''s Data'!$B$3:$B$782=$A78)*('SkYSPark Data_w Will''s Data'!$AA$3:$AA$782=FALSE)*('SkYSPark Data_w Will''s Data'!$D$3:$D$782="Main Campus")))</f>
        <v>#VALUE!</v>
      </c>
      <c r="F78" s="231" t="e" cm="1" vm="1">
        <f t="array" ref="F78">MEDIAN(_xlfn._xlws.FILTER('SkYSPark Data_w Will''s Data'!$P$3:$P$782,('SkYSPark Data_w Will''s Data'!$F$3:$F$782=$B78)*('SkYSPark Data_w Will''s Data'!$B$3:$B$782=$A78)*('SkYSPark Data_w Will''s Data'!$AB$3:$AB$782=FALSE)*('SkYSPark Data_w Will''s Data'!$D$3:$D$782="Main Campus")))</f>
        <v>#VALUE!</v>
      </c>
      <c r="H78" cm="1">
        <f t="array" ref="H78">MEDIAN(_xlfn._xlws.FILTER('SkYSPark Data_w Will''s Data'!$M$3:$M$782,('SkYSPark Data_w Will''s Data'!$F$3:$F$782=$B78)*('SkYSPark Data_w Will''s Data'!$B$3:$B$782=$A78)*('SkYSPark Data_w Will''s Data'!$Z$3:$Z$782=FALSE)*('SkYSPark Data_w Will''s Data'!$D$3:$D$782&lt;&gt;"Main Campus")))</f>
        <v>5.7359657041577119</v>
      </c>
      <c r="I78" cm="1">
        <f t="array" ref="I78">MEDIAN(_xlfn._xlws.FILTER('SkYSPark Data_w Will''s Data'!$N$3:$N$782,('SkYSPark Data_w Will''s Data'!$F$3:$F$782=$B78)*('SkYSPark Data_w Will''s Data'!$B$3:$B$782=$A78)*('SkYSPark Data_w Will''s Data'!$N$3:$N$782&gt;0)*('SkYSPark Data_w Will''s Data'!$D$3:$D$782&lt;&gt;"Main Campus")))</f>
        <v>1.6526943998058345</v>
      </c>
    </row>
    <row r="79" spans="1:9" x14ac:dyDescent="0.3">
      <c r="A79" s="3">
        <v>5</v>
      </c>
      <c r="B79" s="3" t="s">
        <v>156</v>
      </c>
      <c r="C79" s="231" t="e" cm="1" vm="1">
        <f t="array" ref="C79">MEDIAN(_xlfn._xlws.FILTER('SkYSPark Data_w Will''s Data'!$M$3:$M$782,('SkYSPark Data_w Will''s Data'!$F$3:$F$782=$B79)*('SkYSPark Data_w Will''s Data'!$B$3:$B$782=$A79)*('SkYSPark Data_w Will''s Data'!$Z$3:$Z$782=FALSE)*('SkYSPark Data_w Will''s Data'!$D$3:$D$782="Main Campus")))</f>
        <v>#VALUE!</v>
      </c>
      <c r="D79" s="231" t="e" cm="1" vm="1">
        <f t="array" ref="D79">MEDIAN(_xlfn._xlws.FILTER('SkYSPark Data_w Will''s Data'!$N$3:$N$782,('SkYSPark Data_w Will''s Data'!$F$3:$F$782=$B79)*('SkYSPark Data_w Will''s Data'!$B$3:$B$782=$A79)*('SkYSPark Data_w Will''s Data'!$N$3:$N$782&gt;0)*('SkYSPark Data_w Will''s Data'!$D$3:$D$782="Main Campus")))</f>
        <v>#VALUE!</v>
      </c>
      <c r="E79" s="231" t="e" cm="1" vm="1">
        <f t="array" ref="E79">MEDIAN(_xlfn._xlws.FILTER('SkYSPark Data_w Will''s Data'!$O$3:$O$782,('SkYSPark Data_w Will''s Data'!$F$3:$F$782=$B79)*('SkYSPark Data_w Will''s Data'!$B$3:$B$782=$A79)*('SkYSPark Data_w Will''s Data'!$AA$3:$AA$782=FALSE)*('SkYSPark Data_w Will''s Data'!$D$3:$D$782="Main Campus")))</f>
        <v>#VALUE!</v>
      </c>
      <c r="F79" s="231" t="e" cm="1" vm="1">
        <f t="array" ref="F79">MEDIAN(_xlfn._xlws.FILTER('SkYSPark Data_w Will''s Data'!$P$3:$P$782,('SkYSPark Data_w Will''s Data'!$F$3:$F$782=$B79)*('SkYSPark Data_w Will''s Data'!$B$3:$B$782=$A79)*('SkYSPark Data_w Will''s Data'!$AB$3:$AB$782=FALSE)*('SkYSPark Data_w Will''s Data'!$D$3:$D$782="Main Campus")))</f>
        <v>#VALUE!</v>
      </c>
      <c r="H79" cm="1">
        <f t="array" ref="H79">MEDIAN(_xlfn._xlws.FILTER('SkYSPark Data_w Will''s Data'!$M$3:$M$782,('SkYSPark Data_w Will''s Data'!$F$3:$F$782=$B79)*('SkYSPark Data_w Will''s Data'!$B$3:$B$782=$A79)*('SkYSPark Data_w Will''s Data'!$Z$3:$Z$782=FALSE)*('SkYSPark Data_w Will''s Data'!$D$3:$D$782&lt;&gt;"Main Campus")))</f>
        <v>6.3916163960245704</v>
      </c>
      <c r="I79" cm="1">
        <f t="array" ref="I79">MEDIAN(_xlfn._xlws.FILTER('SkYSPark Data_w Will''s Data'!$N$3:$N$782,('SkYSPark Data_w Will''s Data'!$F$3:$F$782=$B79)*('SkYSPark Data_w Will''s Data'!$B$3:$B$782=$A79)*('SkYSPark Data_w Will''s Data'!$N$3:$N$782&gt;0)*('SkYSPark Data_w Will''s Data'!$D$3:$D$782&lt;&gt;"Main Campus")))</f>
        <v>1.115190481671662</v>
      </c>
    </row>
    <row r="80" spans="1:9" x14ac:dyDescent="0.3">
      <c r="A80" s="3">
        <v>6</v>
      </c>
      <c r="B80" s="3" t="s">
        <v>156</v>
      </c>
      <c r="C80" s="231" t="e" cm="1" vm="1">
        <f t="array" ref="C80">MEDIAN(_xlfn._xlws.FILTER('SkYSPark Data_w Will''s Data'!$M$3:$M$782,('SkYSPark Data_w Will''s Data'!$F$3:$F$782=$B80)*('SkYSPark Data_w Will''s Data'!$B$3:$B$782=$A80)*('SkYSPark Data_w Will''s Data'!$Z$3:$Z$782=FALSE)*('SkYSPark Data_w Will''s Data'!$D$3:$D$782="Main Campus")))</f>
        <v>#VALUE!</v>
      </c>
      <c r="D80" s="231" t="e" cm="1" vm="1">
        <f t="array" ref="D80">MEDIAN(_xlfn._xlws.FILTER('SkYSPark Data_w Will''s Data'!$N$3:$N$782,('SkYSPark Data_w Will''s Data'!$F$3:$F$782=$B80)*('SkYSPark Data_w Will''s Data'!$B$3:$B$782=$A80)*('SkYSPark Data_w Will''s Data'!$N$3:$N$782&gt;0)*('SkYSPark Data_w Will''s Data'!$D$3:$D$782="Main Campus")))</f>
        <v>#VALUE!</v>
      </c>
      <c r="E80" s="231" t="e" cm="1" vm="1">
        <f t="array" ref="E80">MEDIAN(_xlfn._xlws.FILTER('SkYSPark Data_w Will''s Data'!$O$3:$O$782,('SkYSPark Data_w Will''s Data'!$F$3:$F$782=$B80)*('SkYSPark Data_w Will''s Data'!$B$3:$B$782=$A80)*('SkYSPark Data_w Will''s Data'!$AA$3:$AA$782=FALSE)*('SkYSPark Data_w Will''s Data'!$D$3:$D$782="Main Campus")))</f>
        <v>#VALUE!</v>
      </c>
      <c r="F80" s="231" t="e" cm="1" vm="1">
        <f t="array" ref="F80">MEDIAN(_xlfn._xlws.FILTER('SkYSPark Data_w Will''s Data'!$P$3:$P$782,('SkYSPark Data_w Will''s Data'!$F$3:$F$782=$B80)*('SkYSPark Data_w Will''s Data'!$B$3:$B$782=$A80)*('SkYSPark Data_w Will''s Data'!$AB$3:$AB$782=FALSE)*('SkYSPark Data_w Will''s Data'!$D$3:$D$782="Main Campus")))</f>
        <v>#VALUE!</v>
      </c>
      <c r="H80" cm="1">
        <f t="array" ref="H80">MEDIAN(_xlfn._xlws.FILTER('SkYSPark Data_w Will''s Data'!$M$3:$M$782,('SkYSPark Data_w Will''s Data'!$F$3:$F$782=$B80)*('SkYSPark Data_w Will''s Data'!$B$3:$B$782=$A80)*('SkYSPark Data_w Will''s Data'!$Z$3:$Z$782=FALSE)*('SkYSPark Data_w Will''s Data'!$D$3:$D$782&lt;&gt;"Main Campus")))</f>
        <v>5.6593861176830593</v>
      </c>
      <c r="I80" cm="1">
        <f t="array" ref="I80">MEDIAN(_xlfn._xlws.FILTER('SkYSPark Data_w Will''s Data'!$N$3:$N$782,('SkYSPark Data_w Will''s Data'!$F$3:$F$782=$B80)*('SkYSPark Data_w Will''s Data'!$B$3:$B$782=$A80)*('SkYSPark Data_w Will''s Data'!$N$3:$N$782&gt;0)*('SkYSPark Data_w Will''s Data'!$D$3:$D$782&lt;&gt;"Main Campus")))</f>
        <v>1.0282101660114376</v>
      </c>
    </row>
    <row r="81" spans="1:9" x14ac:dyDescent="0.3">
      <c r="A81" s="3">
        <v>7</v>
      </c>
      <c r="B81" s="3" t="s">
        <v>156</v>
      </c>
      <c r="C81" s="231" t="e" cm="1" vm="1">
        <f t="array" ref="C81">MEDIAN(_xlfn._xlws.FILTER('SkYSPark Data_w Will''s Data'!$M$3:$M$782,('SkYSPark Data_w Will''s Data'!$F$3:$F$782=$B81)*('SkYSPark Data_w Will''s Data'!$B$3:$B$782=$A81)*('SkYSPark Data_w Will''s Data'!$Z$3:$Z$782=FALSE)*('SkYSPark Data_w Will''s Data'!$D$3:$D$782="Main Campus")))</f>
        <v>#VALUE!</v>
      </c>
      <c r="D81" s="231" t="e" cm="1" vm="1">
        <f t="array" ref="D81">MEDIAN(_xlfn._xlws.FILTER('SkYSPark Data_w Will''s Data'!$N$3:$N$782,('SkYSPark Data_w Will''s Data'!$F$3:$F$782=$B81)*('SkYSPark Data_w Will''s Data'!$B$3:$B$782=$A81)*('SkYSPark Data_w Will''s Data'!$N$3:$N$782&gt;0)*('SkYSPark Data_w Will''s Data'!$D$3:$D$782="Main Campus")))</f>
        <v>#VALUE!</v>
      </c>
      <c r="E81" s="231" t="e" cm="1" vm="1">
        <f t="array" ref="E81">MEDIAN(_xlfn._xlws.FILTER('SkYSPark Data_w Will''s Data'!$O$3:$O$782,('SkYSPark Data_w Will''s Data'!$F$3:$F$782=$B81)*('SkYSPark Data_w Will''s Data'!$B$3:$B$782=$A81)*('SkYSPark Data_w Will''s Data'!$AA$3:$AA$782=FALSE)*('SkYSPark Data_w Will''s Data'!$D$3:$D$782="Main Campus")))</f>
        <v>#VALUE!</v>
      </c>
      <c r="F81" s="231" t="e" cm="1" vm="1">
        <f t="array" ref="F81">MEDIAN(_xlfn._xlws.FILTER('SkYSPark Data_w Will''s Data'!$P$3:$P$782,('SkYSPark Data_w Will''s Data'!$F$3:$F$782=$B81)*('SkYSPark Data_w Will''s Data'!$B$3:$B$782=$A81)*('SkYSPark Data_w Will''s Data'!$AB$3:$AB$782=FALSE)*('SkYSPark Data_w Will''s Data'!$D$3:$D$782="Main Campus")))</f>
        <v>#VALUE!</v>
      </c>
      <c r="H81" cm="1">
        <f t="array" ref="H81">MEDIAN(_xlfn._xlws.FILTER('SkYSPark Data_w Will''s Data'!$M$3:$M$782,('SkYSPark Data_w Will''s Data'!$F$3:$F$782=$B81)*('SkYSPark Data_w Will''s Data'!$B$3:$B$782=$A81)*('SkYSPark Data_w Will''s Data'!$Z$3:$Z$782=FALSE)*('SkYSPark Data_w Will''s Data'!$D$3:$D$782&lt;&gt;"Main Campus")))</f>
        <v>6.2320679529699126</v>
      </c>
      <c r="I81" cm="1">
        <f t="array" ref="I81">MEDIAN(_xlfn._xlws.FILTER('SkYSPark Data_w Will''s Data'!$N$3:$N$782,('SkYSPark Data_w Will''s Data'!$F$3:$F$782=$B81)*('SkYSPark Data_w Will''s Data'!$B$3:$B$782=$A81)*('SkYSPark Data_w Will''s Data'!$N$3:$N$782&gt;0)*('SkYSPark Data_w Will''s Data'!$D$3:$D$782&lt;&gt;"Main Campus")))</f>
        <v>0.19068235338885769</v>
      </c>
    </row>
    <row r="82" spans="1:9" x14ac:dyDescent="0.3">
      <c r="A82" s="3">
        <v>8</v>
      </c>
      <c r="B82" s="3" t="s">
        <v>156</v>
      </c>
      <c r="C82" s="231" t="e" cm="1" vm="1">
        <f t="array" ref="C82">MEDIAN(_xlfn._xlws.FILTER('SkYSPark Data_w Will''s Data'!$M$3:$M$782,('SkYSPark Data_w Will''s Data'!$F$3:$F$782=$B82)*('SkYSPark Data_w Will''s Data'!$B$3:$B$782=$A82)*('SkYSPark Data_w Will''s Data'!$Z$3:$Z$782=FALSE)*('SkYSPark Data_w Will''s Data'!$D$3:$D$782="Main Campus")))</f>
        <v>#VALUE!</v>
      </c>
      <c r="D82" s="231" t="e" cm="1" vm="1">
        <f t="array" ref="D82">MEDIAN(_xlfn._xlws.FILTER('SkYSPark Data_w Will''s Data'!$N$3:$N$782,('SkYSPark Data_w Will''s Data'!$F$3:$F$782=$B82)*('SkYSPark Data_w Will''s Data'!$B$3:$B$782=$A82)*('SkYSPark Data_w Will''s Data'!$N$3:$N$782&gt;0)*('SkYSPark Data_w Will''s Data'!$D$3:$D$782="Main Campus")))</f>
        <v>#VALUE!</v>
      </c>
      <c r="E82" s="231" t="e" cm="1" vm="1">
        <f t="array" ref="E82">MEDIAN(_xlfn._xlws.FILTER('SkYSPark Data_w Will''s Data'!$O$3:$O$782,('SkYSPark Data_w Will''s Data'!$F$3:$F$782=$B82)*('SkYSPark Data_w Will''s Data'!$B$3:$B$782=$A82)*('SkYSPark Data_w Will''s Data'!$AA$3:$AA$782=FALSE)*('SkYSPark Data_w Will''s Data'!$D$3:$D$782="Main Campus")))</f>
        <v>#VALUE!</v>
      </c>
      <c r="F82" s="231" t="e" cm="1" vm="1">
        <f t="array" ref="F82">MEDIAN(_xlfn._xlws.FILTER('SkYSPark Data_w Will''s Data'!$P$3:$P$782,('SkYSPark Data_w Will''s Data'!$F$3:$F$782=$B82)*('SkYSPark Data_w Will''s Data'!$B$3:$B$782=$A82)*('SkYSPark Data_w Will''s Data'!$AB$3:$AB$782=FALSE)*('SkYSPark Data_w Will''s Data'!$D$3:$D$782="Main Campus")))</f>
        <v>#VALUE!</v>
      </c>
      <c r="H82" cm="1">
        <f t="array" ref="H82">MEDIAN(_xlfn._xlws.FILTER('SkYSPark Data_w Will''s Data'!$M$3:$M$782,('SkYSPark Data_w Will''s Data'!$F$3:$F$782=$B82)*('SkYSPark Data_w Will''s Data'!$B$3:$B$782=$A82)*('SkYSPark Data_w Will''s Data'!$Z$3:$Z$782=FALSE)*('SkYSPark Data_w Will''s Data'!$D$3:$D$782&lt;&gt;"Main Campus")))</f>
        <v>6.3927215086471225</v>
      </c>
      <c r="I82" cm="1">
        <f t="array" ref="I82">MEDIAN(_xlfn._xlws.FILTER('SkYSPark Data_w Will''s Data'!$N$3:$N$782,('SkYSPark Data_w Will''s Data'!$F$3:$F$782=$B82)*('SkYSPark Data_w Will''s Data'!$B$3:$B$782=$A82)*('SkYSPark Data_w Will''s Data'!$N$3:$N$782&gt;0)*('SkYSPark Data_w Will''s Data'!$D$3:$D$782&lt;&gt;"Main Campus")))</f>
        <v>6.7621423327305405E-2</v>
      </c>
    </row>
    <row r="83" spans="1:9" x14ac:dyDescent="0.3">
      <c r="A83" s="3">
        <v>9</v>
      </c>
      <c r="B83" s="3" t="s">
        <v>156</v>
      </c>
      <c r="C83" s="231" t="e" cm="1" vm="1">
        <f t="array" ref="C83">MEDIAN(_xlfn._xlws.FILTER('SkYSPark Data_w Will''s Data'!$M$3:$M$782,('SkYSPark Data_w Will''s Data'!$F$3:$F$782=$B83)*('SkYSPark Data_w Will''s Data'!$B$3:$B$782=$A83)*('SkYSPark Data_w Will''s Data'!$Z$3:$Z$782=FALSE)*('SkYSPark Data_w Will''s Data'!$D$3:$D$782="Main Campus")))</f>
        <v>#VALUE!</v>
      </c>
      <c r="D83" s="231" t="e" cm="1" vm="1">
        <f t="array" ref="D83">MEDIAN(_xlfn._xlws.FILTER('SkYSPark Data_w Will''s Data'!$N$3:$N$782,('SkYSPark Data_w Will''s Data'!$F$3:$F$782=$B83)*('SkYSPark Data_w Will''s Data'!$B$3:$B$782=$A83)*('SkYSPark Data_w Will''s Data'!$N$3:$N$782&gt;0)*('SkYSPark Data_w Will''s Data'!$D$3:$D$782="Main Campus")))</f>
        <v>#VALUE!</v>
      </c>
      <c r="E83" s="231" t="e" cm="1" vm="1">
        <f t="array" ref="E83">MEDIAN(_xlfn._xlws.FILTER('SkYSPark Data_w Will''s Data'!$O$3:$O$782,('SkYSPark Data_w Will''s Data'!$F$3:$F$782=$B83)*('SkYSPark Data_w Will''s Data'!$B$3:$B$782=$A83)*('SkYSPark Data_w Will''s Data'!$AA$3:$AA$782=FALSE)*('SkYSPark Data_w Will''s Data'!$D$3:$D$782="Main Campus")))</f>
        <v>#VALUE!</v>
      </c>
      <c r="F83" s="231" t="e" cm="1" vm="1">
        <f t="array" ref="F83">MEDIAN(_xlfn._xlws.FILTER('SkYSPark Data_w Will''s Data'!$P$3:$P$782,('SkYSPark Data_w Will''s Data'!$F$3:$F$782=$B83)*('SkYSPark Data_w Will''s Data'!$B$3:$B$782=$A83)*('SkYSPark Data_w Will''s Data'!$AB$3:$AB$782=FALSE)*('SkYSPark Data_w Will''s Data'!$D$3:$D$782="Main Campus")))</f>
        <v>#VALUE!</v>
      </c>
      <c r="H83" cm="1">
        <f t="array" ref="H83">MEDIAN(_xlfn._xlws.FILTER('SkYSPark Data_w Will''s Data'!$M$3:$M$782,('SkYSPark Data_w Will''s Data'!$F$3:$F$782=$B83)*('SkYSPark Data_w Will''s Data'!$B$3:$B$782=$A83)*('SkYSPark Data_w Will''s Data'!$Z$3:$Z$782=FALSE)*('SkYSPark Data_w Will''s Data'!$D$3:$D$782&lt;&gt;"Main Campus")))</f>
        <v>5.9085259087865882</v>
      </c>
      <c r="I83" cm="1">
        <f t="array" ref="I83">MEDIAN(_xlfn._xlws.FILTER('SkYSPark Data_w Will''s Data'!$N$3:$N$782,('SkYSPark Data_w Will''s Data'!$F$3:$F$782=$B83)*('SkYSPark Data_w Will''s Data'!$B$3:$B$782=$A83)*('SkYSPark Data_w Will''s Data'!$N$3:$N$782&gt;0)*('SkYSPark Data_w Will''s Data'!$D$3:$D$782&lt;&gt;"Main Campus")))</f>
        <v>0.16926771001372823</v>
      </c>
    </row>
    <row r="84" spans="1:9" x14ac:dyDescent="0.3">
      <c r="A84" s="3">
        <v>10</v>
      </c>
      <c r="B84" s="3" t="s">
        <v>156</v>
      </c>
      <c r="C84" s="231" t="e" cm="1" vm="1">
        <f t="array" ref="C84">MEDIAN(_xlfn._xlws.FILTER('SkYSPark Data_w Will''s Data'!$M$3:$M$782,('SkYSPark Data_w Will''s Data'!$F$3:$F$782=$B84)*('SkYSPark Data_w Will''s Data'!$B$3:$B$782=$A84)*('SkYSPark Data_w Will''s Data'!$Z$3:$Z$782=FALSE)*('SkYSPark Data_w Will''s Data'!$D$3:$D$782="Main Campus")))</f>
        <v>#VALUE!</v>
      </c>
      <c r="D84" s="231" t="e" cm="1" vm="1">
        <f t="array" ref="D84">MEDIAN(_xlfn._xlws.FILTER('SkYSPark Data_w Will''s Data'!$N$3:$N$782,('SkYSPark Data_w Will''s Data'!$F$3:$F$782=$B84)*('SkYSPark Data_w Will''s Data'!$B$3:$B$782=$A84)*('SkYSPark Data_w Will''s Data'!$N$3:$N$782&gt;0)*('SkYSPark Data_w Will''s Data'!$D$3:$D$782="Main Campus")))</f>
        <v>#VALUE!</v>
      </c>
      <c r="E84" s="231" t="e" cm="1" vm="1">
        <f t="array" ref="E84">MEDIAN(_xlfn._xlws.FILTER('SkYSPark Data_w Will''s Data'!$O$3:$O$782,('SkYSPark Data_w Will''s Data'!$F$3:$F$782=$B84)*('SkYSPark Data_w Will''s Data'!$B$3:$B$782=$A84)*('SkYSPark Data_w Will''s Data'!$AA$3:$AA$782=FALSE)*('SkYSPark Data_w Will''s Data'!$D$3:$D$782="Main Campus")))</f>
        <v>#VALUE!</v>
      </c>
      <c r="F84" s="231" t="e" cm="1" vm="1">
        <f t="array" ref="F84">MEDIAN(_xlfn._xlws.FILTER('SkYSPark Data_w Will''s Data'!$P$3:$P$782,('SkYSPark Data_w Will''s Data'!$F$3:$F$782=$B84)*('SkYSPark Data_w Will''s Data'!$B$3:$B$782=$A84)*('SkYSPark Data_w Will''s Data'!$AB$3:$AB$782=FALSE)*('SkYSPark Data_w Will''s Data'!$D$3:$D$782="Main Campus")))</f>
        <v>#VALUE!</v>
      </c>
      <c r="H84" cm="1">
        <f t="array" ref="H84">MEDIAN(_xlfn._xlws.FILTER('SkYSPark Data_w Will''s Data'!$M$3:$M$782,('SkYSPark Data_w Will''s Data'!$F$3:$F$782=$B84)*('SkYSPark Data_w Will''s Data'!$B$3:$B$782=$A84)*('SkYSPark Data_w Will''s Data'!$Z$3:$Z$782=FALSE)*('SkYSPark Data_w Will''s Data'!$D$3:$D$782&lt;&gt;"Main Campus")))</f>
        <v>6.2773496723959603</v>
      </c>
      <c r="I84" cm="1">
        <f t="array" ref="I84">MEDIAN(_xlfn._xlws.FILTER('SkYSPark Data_w Will''s Data'!$N$3:$N$782,('SkYSPark Data_w Will''s Data'!$F$3:$F$782=$B84)*('SkYSPark Data_w Will''s Data'!$B$3:$B$782=$A84)*('SkYSPark Data_w Will''s Data'!$N$3:$N$782&gt;0)*('SkYSPark Data_w Will''s Data'!$D$3:$D$782&lt;&gt;"Main Campus")))</f>
        <v>0.48022245045198897</v>
      </c>
    </row>
    <row r="85" spans="1:9" x14ac:dyDescent="0.3">
      <c r="A85" s="3">
        <v>11</v>
      </c>
      <c r="B85" s="3" t="s">
        <v>156</v>
      </c>
      <c r="C85" s="231" t="e" cm="1" vm="1">
        <f t="array" ref="C85">MEDIAN(_xlfn._xlws.FILTER('SkYSPark Data_w Will''s Data'!$M$3:$M$782,('SkYSPark Data_w Will''s Data'!$F$3:$F$782=$B85)*('SkYSPark Data_w Will''s Data'!$B$3:$B$782=$A85)*('SkYSPark Data_w Will''s Data'!$Z$3:$Z$782=FALSE)*('SkYSPark Data_w Will''s Data'!$D$3:$D$782="Main Campus")))</f>
        <v>#VALUE!</v>
      </c>
      <c r="D85" s="231" t="e" cm="1" vm="1">
        <f t="array" ref="D85">MEDIAN(_xlfn._xlws.FILTER('SkYSPark Data_w Will''s Data'!$N$3:$N$782,('SkYSPark Data_w Will''s Data'!$F$3:$F$782=$B85)*('SkYSPark Data_w Will''s Data'!$B$3:$B$782=$A85)*('SkYSPark Data_w Will''s Data'!$N$3:$N$782&gt;0)*('SkYSPark Data_w Will''s Data'!$D$3:$D$782="Main Campus")))</f>
        <v>#VALUE!</v>
      </c>
      <c r="E85" s="231" t="e" cm="1" vm="1">
        <f t="array" ref="E85">MEDIAN(_xlfn._xlws.FILTER('SkYSPark Data_w Will''s Data'!$O$3:$O$782,('SkYSPark Data_w Will''s Data'!$F$3:$F$782=$B85)*('SkYSPark Data_w Will''s Data'!$B$3:$B$782=$A85)*('SkYSPark Data_w Will''s Data'!$AA$3:$AA$782=FALSE)*('SkYSPark Data_w Will''s Data'!$D$3:$D$782="Main Campus")))</f>
        <v>#VALUE!</v>
      </c>
      <c r="F85" s="231" t="e" cm="1" vm="1">
        <f t="array" ref="F85">MEDIAN(_xlfn._xlws.FILTER('SkYSPark Data_w Will''s Data'!$P$3:$P$782,('SkYSPark Data_w Will''s Data'!$F$3:$F$782=$B85)*('SkYSPark Data_w Will''s Data'!$B$3:$B$782=$A85)*('SkYSPark Data_w Will''s Data'!$AB$3:$AB$782=FALSE)*('SkYSPark Data_w Will''s Data'!$D$3:$D$782="Main Campus")))</f>
        <v>#VALUE!</v>
      </c>
      <c r="H85" cm="1">
        <f t="array" ref="H85">MEDIAN(_xlfn._xlws.FILTER('SkYSPark Data_w Will''s Data'!$M$3:$M$782,('SkYSPark Data_w Will''s Data'!$F$3:$F$782=$B85)*('SkYSPark Data_w Will''s Data'!$B$3:$B$782=$A85)*('SkYSPark Data_w Will''s Data'!$Z$3:$Z$782=FALSE)*('SkYSPark Data_w Will''s Data'!$D$3:$D$782&lt;&gt;"Main Campus")))</f>
        <v>5.7208363373597715</v>
      </c>
      <c r="I85" cm="1">
        <f t="array" ref="I85">MEDIAN(_xlfn._xlws.FILTER('SkYSPark Data_w Will''s Data'!$N$3:$N$782,('SkYSPark Data_w Will''s Data'!$F$3:$F$782=$B85)*('SkYSPark Data_w Will''s Data'!$B$3:$B$782=$A85)*('SkYSPark Data_w Will''s Data'!$N$3:$N$782&gt;0)*('SkYSPark Data_w Will''s Data'!$D$3:$D$782&lt;&gt;"Main Campus")))</f>
        <v>1.401514255885961</v>
      </c>
    </row>
    <row r="86" spans="1:9" x14ac:dyDescent="0.3">
      <c r="A86" s="3">
        <v>12</v>
      </c>
      <c r="B86" s="3" t="s">
        <v>156</v>
      </c>
      <c r="C86" s="231" t="e" cm="1" vm="1">
        <f t="array" ref="C86">MEDIAN(_xlfn._xlws.FILTER('SkYSPark Data_w Will''s Data'!$M$3:$M$782,('SkYSPark Data_w Will''s Data'!$F$3:$F$782=$B86)*('SkYSPark Data_w Will''s Data'!$B$3:$B$782=$A86)*('SkYSPark Data_w Will''s Data'!$Z$3:$Z$782=FALSE)*('SkYSPark Data_w Will''s Data'!$D$3:$D$782="Main Campus")))</f>
        <v>#VALUE!</v>
      </c>
      <c r="D86" s="231" t="e" cm="1" vm="1">
        <f t="array" ref="D86">MEDIAN(_xlfn._xlws.FILTER('SkYSPark Data_w Will''s Data'!$N$3:$N$782,('SkYSPark Data_w Will''s Data'!$F$3:$F$782=$B86)*('SkYSPark Data_w Will''s Data'!$B$3:$B$782=$A86)*('SkYSPark Data_w Will''s Data'!$N$3:$N$782&gt;0)*('SkYSPark Data_w Will''s Data'!$D$3:$D$782="Main Campus")))</f>
        <v>#VALUE!</v>
      </c>
      <c r="E86" s="231" t="e" cm="1" vm="1">
        <f t="array" ref="E86">MEDIAN(_xlfn._xlws.FILTER('SkYSPark Data_w Will''s Data'!$O$3:$O$782,('SkYSPark Data_w Will''s Data'!$F$3:$F$782=$B86)*('SkYSPark Data_w Will''s Data'!$B$3:$B$782=$A86)*('SkYSPark Data_w Will''s Data'!$AA$3:$AA$782=FALSE)*('SkYSPark Data_w Will''s Data'!$D$3:$D$782="Main Campus")))</f>
        <v>#VALUE!</v>
      </c>
      <c r="F86" s="231" t="e" cm="1" vm="1">
        <f t="array" ref="F86">MEDIAN(_xlfn._xlws.FILTER('SkYSPark Data_w Will''s Data'!$P$3:$P$782,('SkYSPark Data_w Will''s Data'!$F$3:$F$782=$B86)*('SkYSPark Data_w Will''s Data'!$B$3:$B$782=$A86)*('SkYSPark Data_w Will''s Data'!$AB$3:$AB$782=FALSE)*('SkYSPark Data_w Will''s Data'!$D$3:$D$782="Main Campus")))</f>
        <v>#VALUE!</v>
      </c>
      <c r="H86" cm="1">
        <f t="array" ref="H86">MEDIAN(_xlfn._xlws.FILTER('SkYSPark Data_w Will''s Data'!$M$3:$M$782,('SkYSPark Data_w Will''s Data'!$F$3:$F$782=$B86)*('SkYSPark Data_w Will''s Data'!$B$3:$B$782=$A86)*('SkYSPark Data_w Will''s Data'!$Z$3:$Z$782=FALSE)*('SkYSPark Data_w Will''s Data'!$D$3:$D$782&lt;&gt;"Main Campus")))</f>
        <v>5.5337427091637901</v>
      </c>
      <c r="I86" cm="1">
        <f t="array" ref="I86">MEDIAN(_xlfn._xlws.FILTER('SkYSPark Data_w Will''s Data'!$N$3:$N$782,('SkYSPark Data_w Will''s Data'!$F$3:$F$782=$B86)*('SkYSPark Data_w Will''s Data'!$B$3:$B$782=$A86)*('SkYSPark Data_w Will''s Data'!$N$3:$N$782&gt;0)*('SkYSPark Data_w Will''s Data'!$D$3:$D$782&lt;&gt;"Main Campus")))</f>
        <v>2.6983348842916257</v>
      </c>
    </row>
    <row r="87" spans="1:9" x14ac:dyDescent="0.3">
      <c r="A87" s="3">
        <v>1</v>
      </c>
      <c r="B87" s="3" t="s">
        <v>145</v>
      </c>
      <c r="C87" s="231" cm="1">
        <f t="array" ref="C87">MEDIAN(_xlfn._xlws.FILTER('SkYSPark Data_w Will''s Data'!$M$3:$M$782,('SkYSPark Data_w Will''s Data'!$F$3:$F$782=$B87)*('SkYSPark Data_w Will''s Data'!$B$3:$B$782=$A87)*('SkYSPark Data_w Will''s Data'!$Z$3:$Z$782=FALSE)*('SkYSPark Data_w Will''s Data'!$D$3:$D$782="Main Campus")))</f>
        <v>7.4662371168683528</v>
      </c>
      <c r="D87" s="231" cm="1">
        <f t="array" ref="D87">MEDIAN(_xlfn._xlws.FILTER('SkYSPark Data_w Will''s Data'!$N$3:$N$782,('SkYSPark Data_w Will''s Data'!$F$3:$F$782=$B87)*('SkYSPark Data_w Will''s Data'!$B$3:$B$782=$A87)*('SkYSPark Data_w Will''s Data'!$N$3:$N$782&gt;0)*('SkYSPark Data_w Will''s Data'!$D$3:$D$782="Main Campus")))</f>
        <v>15.535218705407679</v>
      </c>
      <c r="E87" s="231" t="e" cm="1" vm="1">
        <f t="array" ref="E87">MEDIAN(_xlfn._xlws.FILTER('SkYSPark Data_w Will''s Data'!$O$3:$O$782,('SkYSPark Data_w Will''s Data'!$F$3:$F$782=$B87)*('SkYSPark Data_w Will''s Data'!$B$3:$B$782=$A87)*('SkYSPark Data_w Will''s Data'!$AA$3:$AA$782=FALSE)*('SkYSPark Data_w Will''s Data'!$D$3:$D$782="Main Campus")))</f>
        <v>#VALUE!</v>
      </c>
      <c r="F87" s="231" t="e" cm="1" vm="1">
        <f t="array" ref="F87">MEDIAN(_xlfn._xlws.FILTER('SkYSPark Data_w Will''s Data'!$P$3:$P$782,('SkYSPark Data_w Will''s Data'!$F$3:$F$782=$B87)*('SkYSPark Data_w Will''s Data'!$B$3:$B$782=$A87)*('SkYSPark Data_w Will''s Data'!$AB$3:$AB$782=FALSE)*('SkYSPark Data_w Will''s Data'!$D$3:$D$782="Main Campus")))</f>
        <v>#VALUE!</v>
      </c>
      <c r="H87" t="e" cm="1" vm="1">
        <f t="array" ref="H87">MEDIAN(_xlfn._xlws.FILTER('SkYSPark Data_w Will''s Data'!$M$3:$M$782,('SkYSPark Data_w Will''s Data'!$F$3:$F$782=$B87)*('SkYSPark Data_w Will''s Data'!$B$3:$B$782=$A87)*('SkYSPark Data_w Will''s Data'!$Z$3:$Z$782=FALSE)*('SkYSPark Data_w Will''s Data'!$D$3:$D$782&lt;&gt;"Main Campus")))</f>
        <v>#VALUE!</v>
      </c>
      <c r="I87" t="e" cm="1" vm="1">
        <f t="array" ref="I87">MEDIAN(_xlfn._xlws.FILTER('SkYSPark Data_w Will''s Data'!$N$3:$N$782,('SkYSPark Data_w Will''s Data'!$F$3:$F$782=$B87)*('SkYSPark Data_w Will''s Data'!$B$3:$B$782=$A87)*('SkYSPark Data_w Will''s Data'!$N$3:$N$782&gt;0)*('SkYSPark Data_w Will''s Data'!$D$3:$D$782&lt;&gt;"Main Campus")))</f>
        <v>#VALUE!</v>
      </c>
    </row>
    <row r="88" spans="1:9" x14ac:dyDescent="0.3">
      <c r="A88" s="3">
        <v>2</v>
      </c>
      <c r="B88" s="3" t="s">
        <v>145</v>
      </c>
      <c r="C88" s="231" cm="1">
        <f t="array" ref="C88">MEDIAN(_xlfn._xlws.FILTER('SkYSPark Data_w Will''s Data'!$M$3:$M$782,('SkYSPark Data_w Will''s Data'!$F$3:$F$782=$B88)*('SkYSPark Data_w Will''s Data'!$B$3:$B$782=$A88)*('SkYSPark Data_w Will''s Data'!$Z$3:$Z$782=FALSE)*('SkYSPark Data_w Will''s Data'!$D$3:$D$782="Main Campus")))</f>
        <v>10.681686938694071</v>
      </c>
      <c r="D88" s="231" cm="1">
        <f t="array" ref="D88">MEDIAN(_xlfn._xlws.FILTER('SkYSPark Data_w Will''s Data'!$N$3:$N$782,('SkYSPark Data_w Will''s Data'!$F$3:$F$782=$B88)*('SkYSPark Data_w Will''s Data'!$B$3:$B$782=$A88)*('SkYSPark Data_w Will''s Data'!$N$3:$N$782&gt;0)*('SkYSPark Data_w Will''s Data'!$D$3:$D$782="Main Campus")))</f>
        <v>19.114450399433661</v>
      </c>
      <c r="E88" s="231" t="e" cm="1" vm="1">
        <f t="array" ref="E88">MEDIAN(_xlfn._xlws.FILTER('SkYSPark Data_w Will''s Data'!$O$3:$O$782,('SkYSPark Data_w Will''s Data'!$F$3:$F$782=$B88)*('SkYSPark Data_w Will''s Data'!$B$3:$B$782=$A88)*('SkYSPark Data_w Will''s Data'!$AA$3:$AA$782=FALSE)*('SkYSPark Data_w Will''s Data'!$D$3:$D$782="Main Campus")))</f>
        <v>#VALUE!</v>
      </c>
      <c r="F88" s="231" t="e" cm="1" vm="1">
        <f t="array" ref="F88">MEDIAN(_xlfn._xlws.FILTER('SkYSPark Data_w Will''s Data'!$P$3:$P$782,('SkYSPark Data_w Will''s Data'!$F$3:$F$782=$B88)*('SkYSPark Data_w Will''s Data'!$B$3:$B$782=$A88)*('SkYSPark Data_w Will''s Data'!$AB$3:$AB$782=FALSE)*('SkYSPark Data_w Will''s Data'!$D$3:$D$782="Main Campus")))</f>
        <v>#VALUE!</v>
      </c>
      <c r="H88" t="e" cm="1" vm="1">
        <f t="array" ref="H88">MEDIAN(_xlfn._xlws.FILTER('SkYSPark Data_w Will''s Data'!$M$3:$M$782,('SkYSPark Data_w Will''s Data'!$F$3:$F$782=$B88)*('SkYSPark Data_w Will''s Data'!$B$3:$B$782=$A88)*('SkYSPark Data_w Will''s Data'!$Z$3:$Z$782=FALSE)*('SkYSPark Data_w Will''s Data'!$D$3:$D$782&lt;&gt;"Main Campus")))</f>
        <v>#VALUE!</v>
      </c>
      <c r="I88" t="e" cm="1" vm="1">
        <f t="array" ref="I88">MEDIAN(_xlfn._xlws.FILTER('SkYSPark Data_w Will''s Data'!$N$3:$N$782,('SkYSPark Data_w Will''s Data'!$F$3:$F$782=$B88)*('SkYSPark Data_w Will''s Data'!$B$3:$B$782=$A88)*('SkYSPark Data_w Will''s Data'!$N$3:$N$782&gt;0)*('SkYSPark Data_w Will''s Data'!$D$3:$D$782&lt;&gt;"Main Campus")))</f>
        <v>#VALUE!</v>
      </c>
    </row>
    <row r="89" spans="1:9" x14ac:dyDescent="0.3">
      <c r="A89" s="3">
        <v>3</v>
      </c>
      <c r="B89" s="3" t="s">
        <v>145</v>
      </c>
      <c r="C89" s="231" cm="1">
        <f t="array" ref="C89">MEDIAN(_xlfn._xlws.FILTER('SkYSPark Data_w Will''s Data'!$M$3:$M$782,('SkYSPark Data_w Will''s Data'!$F$3:$F$782=$B89)*('SkYSPark Data_w Will''s Data'!$B$3:$B$782=$A89)*('SkYSPark Data_w Will''s Data'!$Z$3:$Z$782=FALSE)*('SkYSPark Data_w Will''s Data'!$D$3:$D$782="Main Campus")))</f>
        <v>10.581848394525517</v>
      </c>
      <c r="D89" s="231" cm="1">
        <f t="array" ref="D89">MEDIAN(_xlfn._xlws.FILTER('SkYSPark Data_w Will''s Data'!$N$3:$N$782,('SkYSPark Data_w Will''s Data'!$F$3:$F$782=$B89)*('SkYSPark Data_w Will''s Data'!$B$3:$B$782=$A89)*('SkYSPark Data_w Will''s Data'!$N$3:$N$782&gt;0)*('SkYSPark Data_w Will''s Data'!$D$3:$D$782="Main Campus")))</f>
        <v>17.44492606541737</v>
      </c>
      <c r="E89" s="231" t="e" cm="1" vm="1">
        <f t="array" ref="E89">MEDIAN(_xlfn._xlws.FILTER('SkYSPark Data_w Will''s Data'!$O$3:$O$782,('SkYSPark Data_w Will''s Data'!$F$3:$F$782=$B89)*('SkYSPark Data_w Will''s Data'!$B$3:$B$782=$A89)*('SkYSPark Data_w Will''s Data'!$AA$3:$AA$782=FALSE)*('SkYSPark Data_w Will''s Data'!$D$3:$D$782="Main Campus")))</f>
        <v>#VALUE!</v>
      </c>
      <c r="F89" s="231" t="e" cm="1" vm="1">
        <f t="array" ref="F89">MEDIAN(_xlfn._xlws.FILTER('SkYSPark Data_w Will''s Data'!$P$3:$P$782,('SkYSPark Data_w Will''s Data'!$F$3:$F$782=$B89)*('SkYSPark Data_w Will''s Data'!$B$3:$B$782=$A89)*('SkYSPark Data_w Will''s Data'!$AB$3:$AB$782=FALSE)*('SkYSPark Data_w Will''s Data'!$D$3:$D$782="Main Campus")))</f>
        <v>#VALUE!</v>
      </c>
      <c r="H89" t="e" cm="1" vm="1">
        <f t="array" ref="H89">MEDIAN(_xlfn._xlws.FILTER('SkYSPark Data_w Will''s Data'!$M$3:$M$782,('SkYSPark Data_w Will''s Data'!$F$3:$F$782=$B89)*('SkYSPark Data_w Will''s Data'!$B$3:$B$782=$A89)*('SkYSPark Data_w Will''s Data'!$Z$3:$Z$782=FALSE)*('SkYSPark Data_w Will''s Data'!$D$3:$D$782&lt;&gt;"Main Campus")))</f>
        <v>#VALUE!</v>
      </c>
      <c r="I89" t="e" cm="1" vm="1">
        <f t="array" ref="I89">MEDIAN(_xlfn._xlws.FILTER('SkYSPark Data_w Will''s Data'!$N$3:$N$782,('SkYSPark Data_w Will''s Data'!$F$3:$F$782=$B89)*('SkYSPark Data_w Will''s Data'!$B$3:$B$782=$A89)*('SkYSPark Data_w Will''s Data'!$N$3:$N$782&gt;0)*('SkYSPark Data_w Will''s Data'!$D$3:$D$782&lt;&gt;"Main Campus")))</f>
        <v>#VALUE!</v>
      </c>
    </row>
    <row r="90" spans="1:9" x14ac:dyDescent="0.3">
      <c r="A90" s="3">
        <v>4</v>
      </c>
      <c r="B90" s="3" t="s">
        <v>145</v>
      </c>
      <c r="C90" s="231" cm="1">
        <f t="array" ref="C90">MEDIAN(_xlfn._xlws.FILTER('SkYSPark Data_w Will''s Data'!$M$3:$M$782,('SkYSPark Data_w Will''s Data'!$F$3:$F$782=$B90)*('SkYSPark Data_w Will''s Data'!$B$3:$B$782=$A90)*('SkYSPark Data_w Will''s Data'!$Z$3:$Z$782=FALSE)*('SkYSPark Data_w Will''s Data'!$D$3:$D$782="Main Campus")))</f>
        <v>12.194461956320866</v>
      </c>
      <c r="D90" s="231" cm="1">
        <f t="array" ref="D90">MEDIAN(_xlfn._xlws.FILTER('SkYSPark Data_w Will''s Data'!$N$3:$N$782,('SkYSPark Data_w Will''s Data'!$F$3:$F$782=$B90)*('SkYSPark Data_w Will''s Data'!$B$3:$B$782=$A90)*('SkYSPark Data_w Will''s Data'!$N$3:$N$782&gt;0)*('SkYSPark Data_w Will''s Data'!$D$3:$D$782="Main Campus")))</f>
        <v>15.346975710967277</v>
      </c>
      <c r="E90" s="231" t="e" cm="1" vm="1">
        <f t="array" ref="E90">MEDIAN(_xlfn._xlws.FILTER('SkYSPark Data_w Will''s Data'!$O$3:$O$782,('SkYSPark Data_w Will''s Data'!$F$3:$F$782=$B90)*('SkYSPark Data_w Will''s Data'!$B$3:$B$782=$A90)*('SkYSPark Data_w Will''s Data'!$AA$3:$AA$782=FALSE)*('SkYSPark Data_w Will''s Data'!$D$3:$D$782="Main Campus")))</f>
        <v>#VALUE!</v>
      </c>
      <c r="F90" s="231" t="e" cm="1" vm="1">
        <f t="array" ref="F90">MEDIAN(_xlfn._xlws.FILTER('SkYSPark Data_w Will''s Data'!$P$3:$P$782,('SkYSPark Data_w Will''s Data'!$F$3:$F$782=$B90)*('SkYSPark Data_w Will''s Data'!$B$3:$B$782=$A90)*('SkYSPark Data_w Will''s Data'!$AB$3:$AB$782=FALSE)*('SkYSPark Data_w Will''s Data'!$D$3:$D$782="Main Campus")))</f>
        <v>#VALUE!</v>
      </c>
      <c r="H90" t="e" cm="1" vm="1">
        <f t="array" ref="H90">MEDIAN(_xlfn._xlws.FILTER('SkYSPark Data_w Will''s Data'!$M$3:$M$782,('SkYSPark Data_w Will''s Data'!$F$3:$F$782=$B90)*('SkYSPark Data_w Will''s Data'!$B$3:$B$782=$A90)*('SkYSPark Data_w Will''s Data'!$Z$3:$Z$782=FALSE)*('SkYSPark Data_w Will''s Data'!$D$3:$D$782&lt;&gt;"Main Campus")))</f>
        <v>#VALUE!</v>
      </c>
      <c r="I90" t="e" cm="1" vm="1">
        <f t="array" ref="I90">MEDIAN(_xlfn._xlws.FILTER('SkYSPark Data_w Will''s Data'!$N$3:$N$782,('SkYSPark Data_w Will''s Data'!$F$3:$F$782=$B90)*('SkYSPark Data_w Will''s Data'!$B$3:$B$782=$A90)*('SkYSPark Data_w Will''s Data'!$N$3:$N$782&gt;0)*('SkYSPark Data_w Will''s Data'!$D$3:$D$782&lt;&gt;"Main Campus")))</f>
        <v>#VALUE!</v>
      </c>
    </row>
    <row r="91" spans="1:9" x14ac:dyDescent="0.3">
      <c r="A91" s="3">
        <v>5</v>
      </c>
      <c r="B91" s="3" t="s">
        <v>145</v>
      </c>
      <c r="C91" s="231" cm="1">
        <f t="array" ref="C91">MEDIAN(_xlfn._xlws.FILTER('SkYSPark Data_w Will''s Data'!$M$3:$M$782,('SkYSPark Data_w Will''s Data'!$F$3:$F$782=$B91)*('SkYSPark Data_w Will''s Data'!$B$3:$B$782=$A91)*('SkYSPark Data_w Will''s Data'!$Z$3:$Z$782=FALSE)*('SkYSPark Data_w Will''s Data'!$D$3:$D$782="Main Campus")))</f>
        <v>10.5402562758622</v>
      </c>
      <c r="D91" s="231" cm="1">
        <f t="array" ref="D91">MEDIAN(_xlfn._xlws.FILTER('SkYSPark Data_w Will''s Data'!$N$3:$N$782,('SkYSPark Data_w Will''s Data'!$F$3:$F$782=$B91)*('SkYSPark Data_w Will''s Data'!$B$3:$B$782=$A91)*('SkYSPark Data_w Will''s Data'!$N$3:$N$782&gt;0)*('SkYSPark Data_w Will''s Data'!$D$3:$D$782="Main Campus")))</f>
        <v>11.071421107628009</v>
      </c>
      <c r="E91" s="231" t="e" cm="1" vm="1">
        <f t="array" ref="E91">MEDIAN(_xlfn._xlws.FILTER('SkYSPark Data_w Will''s Data'!$O$3:$O$782,('SkYSPark Data_w Will''s Data'!$F$3:$F$782=$B91)*('SkYSPark Data_w Will''s Data'!$B$3:$B$782=$A91)*('SkYSPark Data_w Will''s Data'!$AA$3:$AA$782=FALSE)*('SkYSPark Data_w Will''s Data'!$D$3:$D$782="Main Campus")))</f>
        <v>#VALUE!</v>
      </c>
      <c r="F91" s="231" t="e" cm="1" vm="1">
        <f t="array" ref="F91">MEDIAN(_xlfn._xlws.FILTER('SkYSPark Data_w Will''s Data'!$P$3:$P$782,('SkYSPark Data_w Will''s Data'!$F$3:$F$782=$B91)*('SkYSPark Data_w Will''s Data'!$B$3:$B$782=$A91)*('SkYSPark Data_w Will''s Data'!$AB$3:$AB$782=FALSE)*('SkYSPark Data_w Will''s Data'!$D$3:$D$782="Main Campus")))</f>
        <v>#VALUE!</v>
      </c>
      <c r="H91" t="e" cm="1" vm="1">
        <f t="array" ref="H91">MEDIAN(_xlfn._xlws.FILTER('SkYSPark Data_w Will''s Data'!$M$3:$M$782,('SkYSPark Data_w Will''s Data'!$F$3:$F$782=$B91)*('SkYSPark Data_w Will''s Data'!$B$3:$B$782=$A91)*('SkYSPark Data_w Will''s Data'!$Z$3:$Z$782=FALSE)*('SkYSPark Data_w Will''s Data'!$D$3:$D$782&lt;&gt;"Main Campus")))</f>
        <v>#VALUE!</v>
      </c>
      <c r="I91" t="e" cm="1" vm="1">
        <f t="array" ref="I91">MEDIAN(_xlfn._xlws.FILTER('SkYSPark Data_w Will''s Data'!$N$3:$N$782,('SkYSPark Data_w Will''s Data'!$F$3:$F$782=$B91)*('SkYSPark Data_w Will''s Data'!$B$3:$B$782=$A91)*('SkYSPark Data_w Will''s Data'!$N$3:$N$782&gt;0)*('SkYSPark Data_w Will''s Data'!$D$3:$D$782&lt;&gt;"Main Campus")))</f>
        <v>#VALUE!</v>
      </c>
    </row>
    <row r="92" spans="1:9" x14ac:dyDescent="0.3">
      <c r="A92" s="3">
        <v>6</v>
      </c>
      <c r="B92" s="3" t="s">
        <v>145</v>
      </c>
      <c r="C92" s="231" cm="1">
        <f t="array" ref="C92">MEDIAN(_xlfn._xlws.FILTER('SkYSPark Data_w Will''s Data'!$M$3:$M$782,('SkYSPark Data_w Will''s Data'!$F$3:$F$782=$B92)*('SkYSPark Data_w Will''s Data'!$B$3:$B$782=$A92)*('SkYSPark Data_w Will''s Data'!$Z$3:$Z$782=FALSE)*('SkYSPark Data_w Will''s Data'!$D$3:$D$782="Main Campus")))</f>
        <v>7.5761070055032347</v>
      </c>
      <c r="D92" s="231" cm="1">
        <f t="array" ref="D92">MEDIAN(_xlfn._xlws.FILTER('SkYSPark Data_w Will''s Data'!$N$3:$N$782,('SkYSPark Data_w Will''s Data'!$F$3:$F$782=$B92)*('SkYSPark Data_w Will''s Data'!$B$3:$B$782=$A92)*('SkYSPark Data_w Will''s Data'!$N$3:$N$782&gt;0)*('SkYSPark Data_w Will''s Data'!$D$3:$D$782="Main Campus")))</f>
        <v>6.5574004786462945</v>
      </c>
      <c r="E92" s="231" t="e" cm="1" vm="1">
        <f t="array" ref="E92">MEDIAN(_xlfn._xlws.FILTER('SkYSPark Data_w Will''s Data'!$O$3:$O$782,('SkYSPark Data_w Will''s Data'!$F$3:$F$782=$B92)*('SkYSPark Data_w Will''s Data'!$B$3:$B$782=$A92)*('SkYSPark Data_w Will''s Data'!$AA$3:$AA$782=FALSE)*('SkYSPark Data_w Will''s Data'!$D$3:$D$782="Main Campus")))</f>
        <v>#VALUE!</v>
      </c>
      <c r="F92" s="231" t="e" cm="1" vm="1">
        <f t="array" ref="F92">MEDIAN(_xlfn._xlws.FILTER('SkYSPark Data_w Will''s Data'!$P$3:$P$782,('SkYSPark Data_w Will''s Data'!$F$3:$F$782=$B92)*('SkYSPark Data_w Will''s Data'!$B$3:$B$782=$A92)*('SkYSPark Data_w Will''s Data'!$AB$3:$AB$782=FALSE)*('SkYSPark Data_w Will''s Data'!$D$3:$D$782="Main Campus")))</f>
        <v>#VALUE!</v>
      </c>
      <c r="H92" t="e" cm="1" vm="1">
        <f t="array" ref="H92">MEDIAN(_xlfn._xlws.FILTER('SkYSPark Data_w Will''s Data'!$M$3:$M$782,('SkYSPark Data_w Will''s Data'!$F$3:$F$782=$B92)*('SkYSPark Data_w Will''s Data'!$B$3:$B$782=$A92)*('SkYSPark Data_w Will''s Data'!$Z$3:$Z$782=FALSE)*('SkYSPark Data_w Will''s Data'!$D$3:$D$782&lt;&gt;"Main Campus")))</f>
        <v>#VALUE!</v>
      </c>
      <c r="I92" t="e" cm="1" vm="1">
        <f t="array" ref="I92">MEDIAN(_xlfn._xlws.FILTER('SkYSPark Data_w Will''s Data'!$N$3:$N$782,('SkYSPark Data_w Will''s Data'!$F$3:$F$782=$B92)*('SkYSPark Data_w Will''s Data'!$B$3:$B$782=$A92)*('SkYSPark Data_w Will''s Data'!$N$3:$N$782&gt;0)*('SkYSPark Data_w Will''s Data'!$D$3:$D$782&lt;&gt;"Main Campus")))</f>
        <v>#VALUE!</v>
      </c>
    </row>
    <row r="93" spans="1:9" x14ac:dyDescent="0.3">
      <c r="A93" s="3">
        <v>7</v>
      </c>
      <c r="B93" s="3" t="s">
        <v>145</v>
      </c>
      <c r="C93" s="231" cm="1">
        <f t="array" ref="C93">MEDIAN(_xlfn._xlws.FILTER('SkYSPark Data_w Will''s Data'!$M$3:$M$782,('SkYSPark Data_w Will''s Data'!$F$3:$F$782=$B93)*('SkYSPark Data_w Will''s Data'!$B$3:$B$782=$A93)*('SkYSPark Data_w Will''s Data'!$Z$3:$Z$782=FALSE)*('SkYSPark Data_w Will''s Data'!$D$3:$D$782="Main Campus")))</f>
        <v>8.3280656941831417</v>
      </c>
      <c r="D93" s="231" cm="1">
        <f t="array" ref="D93">MEDIAN(_xlfn._xlws.FILTER('SkYSPark Data_w Will''s Data'!$N$3:$N$782,('SkYSPark Data_w Will''s Data'!$F$3:$F$782=$B93)*('SkYSPark Data_w Will''s Data'!$B$3:$B$782=$A93)*('SkYSPark Data_w Will''s Data'!$N$3:$N$782&gt;0)*('SkYSPark Data_w Will''s Data'!$D$3:$D$782="Main Campus")))</f>
        <v>5.8247884855225882</v>
      </c>
      <c r="E93" s="231" t="e" cm="1" vm="1">
        <f t="array" ref="E93">MEDIAN(_xlfn._xlws.FILTER('SkYSPark Data_w Will''s Data'!$O$3:$O$782,('SkYSPark Data_w Will''s Data'!$F$3:$F$782=$B93)*('SkYSPark Data_w Will''s Data'!$B$3:$B$782=$A93)*('SkYSPark Data_w Will''s Data'!$AA$3:$AA$782=FALSE)*('SkYSPark Data_w Will''s Data'!$D$3:$D$782="Main Campus")))</f>
        <v>#VALUE!</v>
      </c>
      <c r="F93" s="231" t="e" cm="1" vm="1">
        <f t="array" ref="F93">MEDIAN(_xlfn._xlws.FILTER('SkYSPark Data_w Will''s Data'!$P$3:$P$782,('SkYSPark Data_w Will''s Data'!$F$3:$F$782=$B93)*('SkYSPark Data_w Will''s Data'!$B$3:$B$782=$A93)*('SkYSPark Data_w Will''s Data'!$AB$3:$AB$782=FALSE)*('SkYSPark Data_w Will''s Data'!$D$3:$D$782="Main Campus")))</f>
        <v>#VALUE!</v>
      </c>
      <c r="H93" t="e" cm="1" vm="1">
        <f t="array" ref="H93">MEDIAN(_xlfn._xlws.FILTER('SkYSPark Data_w Will''s Data'!$M$3:$M$782,('SkYSPark Data_w Will''s Data'!$F$3:$F$782=$B93)*('SkYSPark Data_w Will''s Data'!$B$3:$B$782=$A93)*('SkYSPark Data_w Will''s Data'!$Z$3:$Z$782=FALSE)*('SkYSPark Data_w Will''s Data'!$D$3:$D$782&lt;&gt;"Main Campus")))</f>
        <v>#VALUE!</v>
      </c>
      <c r="I93" t="e" cm="1" vm="1">
        <f t="array" ref="I93">MEDIAN(_xlfn._xlws.FILTER('SkYSPark Data_w Will''s Data'!$N$3:$N$782,('SkYSPark Data_w Will''s Data'!$F$3:$F$782=$B93)*('SkYSPark Data_w Will''s Data'!$B$3:$B$782=$A93)*('SkYSPark Data_w Will''s Data'!$N$3:$N$782&gt;0)*('SkYSPark Data_w Will''s Data'!$D$3:$D$782&lt;&gt;"Main Campus")))</f>
        <v>#VALUE!</v>
      </c>
    </row>
    <row r="94" spans="1:9" x14ac:dyDescent="0.3">
      <c r="A94" s="3">
        <v>8</v>
      </c>
      <c r="B94" s="3" t="s">
        <v>145</v>
      </c>
      <c r="C94" s="231" cm="1">
        <f t="array" ref="C94">MEDIAN(_xlfn._xlws.FILTER('SkYSPark Data_w Will''s Data'!$M$3:$M$782,('SkYSPark Data_w Will''s Data'!$F$3:$F$782=$B94)*('SkYSPark Data_w Will''s Data'!$B$3:$B$782=$A94)*('SkYSPark Data_w Will''s Data'!$Z$3:$Z$782=FALSE)*('SkYSPark Data_w Will''s Data'!$D$3:$D$782="Main Campus")))</f>
        <v>13.139484361964604</v>
      </c>
      <c r="D94" s="231" cm="1">
        <f t="array" ref="D94">MEDIAN(_xlfn._xlws.FILTER('SkYSPark Data_w Will''s Data'!$N$3:$N$782,('SkYSPark Data_w Will''s Data'!$F$3:$F$782=$B94)*('SkYSPark Data_w Will''s Data'!$B$3:$B$782=$A94)*('SkYSPark Data_w Will''s Data'!$N$3:$N$782&gt;0)*('SkYSPark Data_w Will''s Data'!$D$3:$D$782="Main Campus")))</f>
        <v>9.726901944921968</v>
      </c>
      <c r="E94" s="231" t="e" cm="1" vm="1">
        <f t="array" ref="E94">MEDIAN(_xlfn._xlws.FILTER('SkYSPark Data_w Will''s Data'!$O$3:$O$782,('SkYSPark Data_w Will''s Data'!$F$3:$F$782=$B94)*('SkYSPark Data_w Will''s Data'!$B$3:$B$782=$A94)*('SkYSPark Data_w Will''s Data'!$AA$3:$AA$782=FALSE)*('SkYSPark Data_w Will''s Data'!$D$3:$D$782="Main Campus")))</f>
        <v>#VALUE!</v>
      </c>
      <c r="F94" s="231" t="e" cm="1" vm="1">
        <f t="array" ref="F94">MEDIAN(_xlfn._xlws.FILTER('SkYSPark Data_w Will''s Data'!$P$3:$P$782,('SkYSPark Data_w Will''s Data'!$F$3:$F$782=$B94)*('SkYSPark Data_w Will''s Data'!$B$3:$B$782=$A94)*('SkYSPark Data_w Will''s Data'!$AB$3:$AB$782=FALSE)*('SkYSPark Data_w Will''s Data'!$D$3:$D$782="Main Campus")))</f>
        <v>#VALUE!</v>
      </c>
      <c r="H94" t="e" cm="1" vm="1">
        <f t="array" ref="H94">MEDIAN(_xlfn._xlws.FILTER('SkYSPark Data_w Will''s Data'!$M$3:$M$782,('SkYSPark Data_w Will''s Data'!$F$3:$F$782=$B94)*('SkYSPark Data_w Will''s Data'!$B$3:$B$782=$A94)*('SkYSPark Data_w Will''s Data'!$Z$3:$Z$782=FALSE)*('SkYSPark Data_w Will''s Data'!$D$3:$D$782&lt;&gt;"Main Campus")))</f>
        <v>#VALUE!</v>
      </c>
      <c r="I94" t="e" cm="1" vm="1">
        <f t="array" ref="I94">MEDIAN(_xlfn._xlws.FILTER('SkYSPark Data_w Will''s Data'!$N$3:$N$782,('SkYSPark Data_w Will''s Data'!$F$3:$F$782=$B94)*('SkYSPark Data_w Will''s Data'!$B$3:$B$782=$A94)*('SkYSPark Data_w Will''s Data'!$N$3:$N$782&gt;0)*('SkYSPark Data_w Will''s Data'!$D$3:$D$782&lt;&gt;"Main Campus")))</f>
        <v>#VALUE!</v>
      </c>
    </row>
    <row r="95" spans="1:9" x14ac:dyDescent="0.3">
      <c r="A95" s="3">
        <v>9</v>
      </c>
      <c r="B95" s="3" t="s">
        <v>145</v>
      </c>
      <c r="C95" s="231" cm="1">
        <f t="array" ref="C95">MEDIAN(_xlfn._xlws.FILTER('SkYSPark Data_w Will''s Data'!$M$3:$M$782,('SkYSPark Data_w Will''s Data'!$F$3:$F$782=$B95)*('SkYSPark Data_w Will''s Data'!$B$3:$B$782=$A95)*('SkYSPark Data_w Will''s Data'!$Z$3:$Z$782=FALSE)*('SkYSPark Data_w Will''s Data'!$D$3:$D$782="Main Campus")))</f>
        <v>15.132558228909648</v>
      </c>
      <c r="D95" s="231" cm="1">
        <f t="array" ref="D95">MEDIAN(_xlfn._xlws.FILTER('SkYSPark Data_w Will''s Data'!$N$3:$N$782,('SkYSPark Data_w Will''s Data'!$F$3:$F$782=$B95)*('SkYSPark Data_w Will''s Data'!$B$3:$B$782=$A95)*('SkYSPark Data_w Will''s Data'!$N$3:$N$782&gt;0)*('SkYSPark Data_w Will''s Data'!$D$3:$D$782="Main Campus")))</f>
        <v>13.391849529780565</v>
      </c>
      <c r="E95" s="231" t="e" cm="1" vm="1">
        <f t="array" ref="E95">MEDIAN(_xlfn._xlws.FILTER('SkYSPark Data_w Will''s Data'!$O$3:$O$782,('SkYSPark Data_w Will''s Data'!$F$3:$F$782=$B95)*('SkYSPark Data_w Will''s Data'!$B$3:$B$782=$A95)*('SkYSPark Data_w Will''s Data'!$AA$3:$AA$782=FALSE)*('SkYSPark Data_w Will''s Data'!$D$3:$D$782="Main Campus")))</f>
        <v>#VALUE!</v>
      </c>
      <c r="F95" s="231" t="e" cm="1" vm="1">
        <f t="array" ref="F95">MEDIAN(_xlfn._xlws.FILTER('SkYSPark Data_w Will''s Data'!$P$3:$P$782,('SkYSPark Data_w Will''s Data'!$F$3:$F$782=$B95)*('SkYSPark Data_w Will''s Data'!$B$3:$B$782=$A95)*('SkYSPark Data_w Will''s Data'!$AB$3:$AB$782=FALSE)*('SkYSPark Data_w Will''s Data'!$D$3:$D$782="Main Campus")))</f>
        <v>#VALUE!</v>
      </c>
      <c r="H95" t="e" cm="1" vm="1">
        <f t="array" ref="H95">MEDIAN(_xlfn._xlws.FILTER('SkYSPark Data_w Will''s Data'!$M$3:$M$782,('SkYSPark Data_w Will''s Data'!$F$3:$F$782=$B95)*('SkYSPark Data_w Will''s Data'!$B$3:$B$782=$A95)*('SkYSPark Data_w Will''s Data'!$Z$3:$Z$782=FALSE)*('SkYSPark Data_w Will''s Data'!$D$3:$D$782&lt;&gt;"Main Campus")))</f>
        <v>#VALUE!</v>
      </c>
      <c r="I95" t="e" cm="1" vm="1">
        <f t="array" ref="I95">MEDIAN(_xlfn._xlws.FILTER('SkYSPark Data_w Will''s Data'!$N$3:$N$782,('SkYSPark Data_w Will''s Data'!$F$3:$F$782=$B95)*('SkYSPark Data_w Will''s Data'!$B$3:$B$782=$A95)*('SkYSPark Data_w Will''s Data'!$N$3:$N$782&gt;0)*('SkYSPark Data_w Will''s Data'!$D$3:$D$782&lt;&gt;"Main Campus")))</f>
        <v>#VALUE!</v>
      </c>
    </row>
    <row r="96" spans="1:9" x14ac:dyDescent="0.3">
      <c r="A96" s="3">
        <v>10</v>
      </c>
      <c r="B96" s="3" t="s">
        <v>145</v>
      </c>
      <c r="C96" s="231" cm="1">
        <f t="array" ref="C96">MEDIAN(_xlfn._xlws.FILTER('SkYSPark Data_w Will''s Data'!$M$3:$M$782,('SkYSPark Data_w Will''s Data'!$F$3:$F$782=$B96)*('SkYSPark Data_w Will''s Data'!$B$3:$B$782=$A96)*('SkYSPark Data_w Will''s Data'!$Z$3:$Z$782=FALSE)*('SkYSPark Data_w Will''s Data'!$D$3:$D$782="Main Campus")))</f>
        <v>14.785236451385728</v>
      </c>
      <c r="D96" s="231" cm="1">
        <f t="array" ref="D96">MEDIAN(_xlfn._xlws.FILTER('SkYSPark Data_w Will''s Data'!$N$3:$N$782,('SkYSPark Data_w Will''s Data'!$F$3:$F$782=$B96)*('SkYSPark Data_w Will''s Data'!$B$3:$B$782=$A96)*('SkYSPark Data_w Will''s Data'!$N$3:$N$782&gt;0)*('SkYSPark Data_w Will''s Data'!$D$3:$D$782="Main Campus")))</f>
        <v>14.680524289411039</v>
      </c>
      <c r="E96" s="231" t="e" cm="1" vm="1">
        <f t="array" ref="E96">MEDIAN(_xlfn._xlws.FILTER('SkYSPark Data_w Will''s Data'!$O$3:$O$782,('SkYSPark Data_w Will''s Data'!$F$3:$F$782=$B96)*('SkYSPark Data_w Will''s Data'!$B$3:$B$782=$A96)*('SkYSPark Data_w Will''s Data'!$AA$3:$AA$782=FALSE)*('SkYSPark Data_w Will''s Data'!$D$3:$D$782="Main Campus")))</f>
        <v>#VALUE!</v>
      </c>
      <c r="F96" s="231" t="e" cm="1" vm="1">
        <f t="array" ref="F96">MEDIAN(_xlfn._xlws.FILTER('SkYSPark Data_w Will''s Data'!$P$3:$P$782,('SkYSPark Data_w Will''s Data'!$F$3:$F$782=$B96)*('SkYSPark Data_w Will''s Data'!$B$3:$B$782=$A96)*('SkYSPark Data_w Will''s Data'!$AB$3:$AB$782=FALSE)*('SkYSPark Data_w Will''s Data'!$D$3:$D$782="Main Campus")))</f>
        <v>#VALUE!</v>
      </c>
      <c r="H96" t="e" cm="1" vm="1">
        <f t="array" ref="H96">MEDIAN(_xlfn._xlws.FILTER('SkYSPark Data_w Will''s Data'!$M$3:$M$782,('SkYSPark Data_w Will''s Data'!$F$3:$F$782=$B96)*('SkYSPark Data_w Will''s Data'!$B$3:$B$782=$A96)*('SkYSPark Data_w Will''s Data'!$Z$3:$Z$782=FALSE)*('SkYSPark Data_w Will''s Data'!$D$3:$D$782&lt;&gt;"Main Campus")))</f>
        <v>#VALUE!</v>
      </c>
      <c r="I96" t="e" cm="1" vm="1">
        <f t="array" ref="I96">MEDIAN(_xlfn._xlws.FILTER('SkYSPark Data_w Will''s Data'!$N$3:$N$782,('SkYSPark Data_w Will''s Data'!$F$3:$F$782=$B96)*('SkYSPark Data_w Will''s Data'!$B$3:$B$782=$A96)*('SkYSPark Data_w Will''s Data'!$N$3:$N$782&gt;0)*('SkYSPark Data_w Will''s Data'!$D$3:$D$782&lt;&gt;"Main Campus")))</f>
        <v>#VALUE!</v>
      </c>
    </row>
    <row r="97" spans="1:9" x14ac:dyDescent="0.3">
      <c r="A97" s="3">
        <v>11</v>
      </c>
      <c r="B97" s="3" t="s">
        <v>145</v>
      </c>
      <c r="C97" s="231" cm="1">
        <f t="array" ref="C97">MEDIAN(_xlfn._xlws.FILTER('SkYSPark Data_w Will''s Data'!$M$3:$M$782,('SkYSPark Data_w Will''s Data'!$F$3:$F$782=$B97)*('SkYSPark Data_w Will''s Data'!$B$3:$B$782=$A97)*('SkYSPark Data_w Will''s Data'!$Z$3:$Z$782=FALSE)*('SkYSPark Data_w Will''s Data'!$D$3:$D$782="Main Campus")))</f>
        <v>11.930142625721363</v>
      </c>
      <c r="D97" s="231" cm="1">
        <f t="array" ref="D97">MEDIAN(_xlfn._xlws.FILTER('SkYSPark Data_w Will''s Data'!$N$3:$N$782,('SkYSPark Data_w Will''s Data'!$F$3:$F$782=$B97)*('SkYSPark Data_w Will''s Data'!$B$3:$B$782=$A97)*('SkYSPark Data_w Will''s Data'!$N$3:$N$782&gt;0)*('SkYSPark Data_w Will''s Data'!$D$3:$D$782="Main Campus")))</f>
        <v>14.780627832474973</v>
      </c>
      <c r="E97" s="231" t="e" cm="1" vm="1">
        <f t="array" ref="E97">MEDIAN(_xlfn._xlws.FILTER('SkYSPark Data_w Will''s Data'!$O$3:$O$782,('SkYSPark Data_w Will''s Data'!$F$3:$F$782=$B97)*('SkYSPark Data_w Will''s Data'!$B$3:$B$782=$A97)*('SkYSPark Data_w Will''s Data'!$AA$3:$AA$782=FALSE)*('SkYSPark Data_w Will''s Data'!$D$3:$D$782="Main Campus")))</f>
        <v>#VALUE!</v>
      </c>
      <c r="F97" s="231" t="e" cm="1" vm="1">
        <f t="array" ref="F97">MEDIAN(_xlfn._xlws.FILTER('SkYSPark Data_w Will''s Data'!$P$3:$P$782,('SkYSPark Data_w Will''s Data'!$F$3:$F$782=$B97)*('SkYSPark Data_w Will''s Data'!$B$3:$B$782=$A97)*('SkYSPark Data_w Will''s Data'!$AB$3:$AB$782=FALSE)*('SkYSPark Data_w Will''s Data'!$D$3:$D$782="Main Campus")))</f>
        <v>#VALUE!</v>
      </c>
      <c r="H97" t="e" cm="1" vm="1">
        <f t="array" ref="H97">MEDIAN(_xlfn._xlws.FILTER('SkYSPark Data_w Will''s Data'!$M$3:$M$782,('SkYSPark Data_w Will''s Data'!$F$3:$F$782=$B97)*('SkYSPark Data_w Will''s Data'!$B$3:$B$782=$A97)*('SkYSPark Data_w Will''s Data'!$Z$3:$Z$782=FALSE)*('SkYSPark Data_w Will''s Data'!$D$3:$D$782&lt;&gt;"Main Campus")))</f>
        <v>#VALUE!</v>
      </c>
      <c r="I97" t="e" cm="1" vm="1">
        <f t="array" ref="I97">MEDIAN(_xlfn._xlws.FILTER('SkYSPark Data_w Will''s Data'!$N$3:$N$782,('SkYSPark Data_w Will''s Data'!$F$3:$F$782=$B97)*('SkYSPark Data_w Will''s Data'!$B$3:$B$782=$A97)*('SkYSPark Data_w Will''s Data'!$N$3:$N$782&gt;0)*('SkYSPark Data_w Will''s Data'!$D$3:$D$782&lt;&gt;"Main Campus")))</f>
        <v>#VALUE!</v>
      </c>
    </row>
    <row r="98" spans="1:9" x14ac:dyDescent="0.3">
      <c r="A98" s="3">
        <v>12</v>
      </c>
      <c r="B98" s="3" t="s">
        <v>145</v>
      </c>
      <c r="C98" s="231" cm="1">
        <f t="array" ref="C98">MEDIAN(_xlfn._xlws.FILTER('SkYSPark Data_w Will''s Data'!$M$3:$M$782,('SkYSPark Data_w Will''s Data'!$F$3:$F$782=$B98)*('SkYSPark Data_w Will''s Data'!$B$3:$B$782=$A98)*('SkYSPark Data_w Will''s Data'!$Z$3:$Z$782=FALSE)*('SkYSPark Data_w Will''s Data'!$D$3:$D$782="Main Campus")))</f>
        <v>7.4706447272816554</v>
      </c>
      <c r="D98" s="231" cm="1">
        <f t="array" ref="D98">MEDIAN(_xlfn._xlws.FILTER('SkYSPark Data_w Will''s Data'!$N$3:$N$782,('SkYSPark Data_w Will''s Data'!$F$3:$F$782=$B98)*('SkYSPark Data_w Will''s Data'!$B$3:$B$782=$A98)*('SkYSPark Data_w Will''s Data'!$N$3:$N$782&gt;0)*('SkYSPark Data_w Will''s Data'!$D$3:$D$782="Main Campus")))</f>
        <v>11.924845788249542</v>
      </c>
      <c r="E98" s="231" t="e" cm="1" vm="1">
        <f t="array" ref="E98">MEDIAN(_xlfn._xlws.FILTER('SkYSPark Data_w Will''s Data'!$O$3:$O$782,('SkYSPark Data_w Will''s Data'!$F$3:$F$782=$B98)*('SkYSPark Data_w Will''s Data'!$B$3:$B$782=$A98)*('SkYSPark Data_w Will''s Data'!$AA$3:$AA$782=FALSE)*('SkYSPark Data_w Will''s Data'!$D$3:$D$782="Main Campus")))</f>
        <v>#VALUE!</v>
      </c>
      <c r="F98" s="231" t="e" cm="1" vm="1">
        <f t="array" ref="F98">MEDIAN(_xlfn._xlws.FILTER('SkYSPark Data_w Will''s Data'!$P$3:$P$782,('SkYSPark Data_w Will''s Data'!$F$3:$F$782=$B98)*('SkYSPark Data_w Will''s Data'!$B$3:$B$782=$A98)*('SkYSPark Data_w Will''s Data'!$AB$3:$AB$782=FALSE)*('SkYSPark Data_w Will''s Data'!$D$3:$D$782="Main Campus")))</f>
        <v>#VALUE!</v>
      </c>
      <c r="H98" t="e" cm="1" vm="1">
        <f t="array" ref="H98">MEDIAN(_xlfn._xlws.FILTER('SkYSPark Data_w Will''s Data'!$M$3:$M$782,('SkYSPark Data_w Will''s Data'!$F$3:$F$782=$B98)*('SkYSPark Data_w Will''s Data'!$B$3:$B$782=$A98)*('SkYSPark Data_w Will''s Data'!$Z$3:$Z$782=FALSE)*('SkYSPark Data_w Will''s Data'!$D$3:$D$782&lt;&gt;"Main Campus")))</f>
        <v>#VALUE!</v>
      </c>
      <c r="I98" t="e" cm="1" vm="1">
        <f t="array" ref="I98">MEDIAN(_xlfn._xlws.FILTER('SkYSPark Data_w Will''s Data'!$N$3:$N$782,('SkYSPark Data_w Will''s Data'!$F$3:$F$782=$B98)*('SkYSPark Data_w Will''s Data'!$B$3:$B$782=$A98)*('SkYSPark Data_w Will''s Data'!$N$3:$N$782&gt;0)*('SkYSPark Data_w Will''s Data'!$D$3:$D$782&lt;&gt;"Main Campus")))</f>
        <v>#VALUE!</v>
      </c>
    </row>
    <row r="99" spans="1:9" x14ac:dyDescent="0.3">
      <c r="A99" s="3">
        <v>1</v>
      </c>
      <c r="B99" s="3" t="s">
        <v>125</v>
      </c>
      <c r="C99" s="231" t="e" cm="1" vm="1">
        <f t="array" ref="C99">MEDIAN(_xlfn._xlws.FILTER('SkYSPark Data_w Will''s Data'!$M$3:$M$782,('SkYSPark Data_w Will''s Data'!$F$3:$F$782=$B99)*('SkYSPark Data_w Will''s Data'!$B$3:$B$782=$A99)*('SkYSPark Data_w Will''s Data'!$Z$3:$Z$782=FALSE)*('SkYSPark Data_w Will''s Data'!$D$3:$D$782="Main Campus")))</f>
        <v>#VALUE!</v>
      </c>
      <c r="D99" s="231" t="e" cm="1" vm="1">
        <f t="array" ref="D99">MEDIAN(_xlfn._xlws.FILTER('SkYSPark Data_w Will''s Data'!$N$3:$N$782,('SkYSPark Data_w Will''s Data'!$F$3:$F$782=$B99)*('SkYSPark Data_w Will''s Data'!$B$3:$B$782=$A99)*('SkYSPark Data_w Will''s Data'!$N$3:$N$782&gt;0)*('SkYSPark Data_w Will''s Data'!$D$3:$D$782="Main Campus")))</f>
        <v>#VALUE!</v>
      </c>
      <c r="E99" s="231" t="e" cm="1" vm="1">
        <f t="array" ref="E99">MEDIAN(_xlfn._xlws.FILTER('SkYSPark Data_w Will''s Data'!$O$3:$O$782,('SkYSPark Data_w Will''s Data'!$F$3:$F$782=$B99)*('SkYSPark Data_w Will''s Data'!$B$3:$B$782=$A99)*('SkYSPark Data_w Will''s Data'!$AA$3:$AA$782=FALSE)*('SkYSPark Data_w Will''s Data'!$D$3:$D$782="Main Campus")))</f>
        <v>#VALUE!</v>
      </c>
      <c r="F99" s="231" t="e" cm="1" vm="1">
        <f t="array" ref="F99">MEDIAN(_xlfn._xlws.FILTER('SkYSPark Data_w Will''s Data'!$P$3:$P$782,('SkYSPark Data_w Will''s Data'!$F$3:$F$782=$B99)*('SkYSPark Data_w Will''s Data'!$B$3:$B$782=$A99)*('SkYSPark Data_w Will''s Data'!$AB$3:$AB$782=FALSE)*('SkYSPark Data_w Will''s Data'!$D$3:$D$782="Main Campus")))</f>
        <v>#VALUE!</v>
      </c>
      <c r="H99" cm="1">
        <f t="array" ref="H99">MEDIAN(_xlfn._xlws.FILTER('SkYSPark Data_w Will''s Data'!$M$3:$M$782,('SkYSPark Data_w Will''s Data'!$F$3:$F$782=$B99)*('SkYSPark Data_w Will''s Data'!$B$3:$B$782=$A99)*('SkYSPark Data_w Will''s Data'!$Z$3:$Z$782=FALSE)*('SkYSPark Data_w Will''s Data'!$D$3:$D$782&lt;&gt;"Main Campus")))</f>
        <v>1.7057988670618967</v>
      </c>
      <c r="I99" cm="1">
        <f t="array" ref="I99">MEDIAN(_xlfn._xlws.FILTER('SkYSPark Data_w Will''s Data'!$N$3:$N$782,('SkYSPark Data_w Will''s Data'!$F$3:$F$782=$B99)*('SkYSPark Data_w Will''s Data'!$B$3:$B$782=$A99)*('SkYSPark Data_w Will''s Data'!$N$3:$N$782&gt;0)*('SkYSPark Data_w Will''s Data'!$D$3:$D$782&lt;&gt;"Main Campus")))</f>
        <v>6.280930580515137</v>
      </c>
    </row>
    <row r="100" spans="1:9" x14ac:dyDescent="0.3">
      <c r="A100" s="3">
        <v>2</v>
      </c>
      <c r="B100" s="3" t="s">
        <v>125</v>
      </c>
      <c r="C100" s="231" t="e" cm="1" vm="1">
        <f t="array" ref="C100">MEDIAN(_xlfn._xlws.FILTER('SkYSPark Data_w Will''s Data'!$M$3:$M$782,('SkYSPark Data_w Will''s Data'!$F$3:$F$782=$B100)*('SkYSPark Data_w Will''s Data'!$B$3:$B$782=$A100)*('SkYSPark Data_w Will''s Data'!$Z$3:$Z$782=FALSE)*('SkYSPark Data_w Will''s Data'!$D$3:$D$782="Main Campus")))</f>
        <v>#VALUE!</v>
      </c>
      <c r="D100" s="231" t="e" cm="1" vm="1">
        <f t="array" ref="D100">MEDIAN(_xlfn._xlws.FILTER('SkYSPark Data_w Will''s Data'!$N$3:$N$782,('SkYSPark Data_w Will''s Data'!$F$3:$F$782=$B100)*('SkYSPark Data_w Will''s Data'!$B$3:$B$782=$A100)*('SkYSPark Data_w Will''s Data'!$N$3:$N$782&gt;0)*('SkYSPark Data_w Will''s Data'!$D$3:$D$782="Main Campus")))</f>
        <v>#VALUE!</v>
      </c>
      <c r="E100" s="231" t="e" cm="1" vm="1">
        <f t="array" ref="E100">MEDIAN(_xlfn._xlws.FILTER('SkYSPark Data_w Will''s Data'!$O$3:$O$782,('SkYSPark Data_w Will''s Data'!$F$3:$F$782=$B100)*('SkYSPark Data_w Will''s Data'!$B$3:$B$782=$A100)*('SkYSPark Data_w Will''s Data'!$AA$3:$AA$782=FALSE)*('SkYSPark Data_w Will''s Data'!$D$3:$D$782="Main Campus")))</f>
        <v>#VALUE!</v>
      </c>
      <c r="F100" s="231" t="e" cm="1" vm="1">
        <f t="array" ref="F100">MEDIAN(_xlfn._xlws.FILTER('SkYSPark Data_w Will''s Data'!$P$3:$P$782,('SkYSPark Data_w Will''s Data'!$F$3:$F$782=$B100)*('SkYSPark Data_w Will''s Data'!$B$3:$B$782=$A100)*('SkYSPark Data_w Will''s Data'!$AB$3:$AB$782=FALSE)*('SkYSPark Data_w Will''s Data'!$D$3:$D$782="Main Campus")))</f>
        <v>#VALUE!</v>
      </c>
      <c r="H100" cm="1">
        <f t="array" ref="H100">MEDIAN(_xlfn._xlws.FILTER('SkYSPark Data_w Will''s Data'!$M$3:$M$782,('SkYSPark Data_w Will''s Data'!$F$3:$F$782=$B100)*('SkYSPark Data_w Will''s Data'!$B$3:$B$782=$A100)*('SkYSPark Data_w Will''s Data'!$Z$3:$Z$782=FALSE)*('SkYSPark Data_w Will''s Data'!$D$3:$D$782&lt;&gt;"Main Campus")))</f>
        <v>1.6863524156874976</v>
      </c>
      <c r="I100" cm="1">
        <f t="array" ref="I100">MEDIAN(_xlfn._xlws.FILTER('SkYSPark Data_w Will''s Data'!$N$3:$N$782,('SkYSPark Data_w Will''s Data'!$F$3:$F$782=$B100)*('SkYSPark Data_w Will''s Data'!$B$3:$B$782=$A100)*('SkYSPark Data_w Will''s Data'!$N$3:$N$782&gt;0)*('SkYSPark Data_w Will''s Data'!$D$3:$D$782&lt;&gt;"Main Campus")))</f>
        <v>8.649747513762712</v>
      </c>
    </row>
    <row r="101" spans="1:9" x14ac:dyDescent="0.3">
      <c r="A101" s="3">
        <v>3</v>
      </c>
      <c r="B101" s="3" t="s">
        <v>125</v>
      </c>
      <c r="C101" s="231" t="e" cm="1" vm="1">
        <f t="array" ref="C101">MEDIAN(_xlfn._xlws.FILTER('SkYSPark Data_w Will''s Data'!$M$3:$M$782,('SkYSPark Data_w Will''s Data'!$F$3:$F$782=$B101)*('SkYSPark Data_w Will''s Data'!$B$3:$B$782=$A101)*('SkYSPark Data_w Will''s Data'!$Z$3:$Z$782=FALSE)*('SkYSPark Data_w Will''s Data'!$D$3:$D$782="Main Campus")))</f>
        <v>#VALUE!</v>
      </c>
      <c r="D101" s="231" t="e" cm="1" vm="1">
        <f t="array" ref="D101">MEDIAN(_xlfn._xlws.FILTER('SkYSPark Data_w Will''s Data'!$N$3:$N$782,('SkYSPark Data_w Will''s Data'!$F$3:$F$782=$B101)*('SkYSPark Data_w Will''s Data'!$B$3:$B$782=$A101)*('SkYSPark Data_w Will''s Data'!$N$3:$N$782&gt;0)*('SkYSPark Data_w Will''s Data'!$D$3:$D$782="Main Campus")))</f>
        <v>#VALUE!</v>
      </c>
      <c r="E101" s="231" t="e" cm="1" vm="1">
        <f t="array" ref="E101">MEDIAN(_xlfn._xlws.FILTER('SkYSPark Data_w Will''s Data'!$O$3:$O$782,('SkYSPark Data_w Will''s Data'!$F$3:$F$782=$B101)*('SkYSPark Data_w Will''s Data'!$B$3:$B$782=$A101)*('SkYSPark Data_w Will''s Data'!$AA$3:$AA$782=FALSE)*('SkYSPark Data_w Will''s Data'!$D$3:$D$782="Main Campus")))</f>
        <v>#VALUE!</v>
      </c>
      <c r="F101" s="231" t="e" cm="1" vm="1">
        <f t="array" ref="F101">MEDIAN(_xlfn._xlws.FILTER('SkYSPark Data_w Will''s Data'!$P$3:$P$782,('SkYSPark Data_w Will''s Data'!$F$3:$F$782=$B101)*('SkYSPark Data_w Will''s Data'!$B$3:$B$782=$A101)*('SkYSPark Data_w Will''s Data'!$AB$3:$AB$782=FALSE)*('SkYSPark Data_w Will''s Data'!$D$3:$D$782="Main Campus")))</f>
        <v>#VALUE!</v>
      </c>
      <c r="H101" cm="1">
        <f t="array" ref="H101">MEDIAN(_xlfn._xlws.FILTER('SkYSPark Data_w Will''s Data'!$M$3:$M$782,('SkYSPark Data_w Will''s Data'!$F$3:$F$782=$B101)*('SkYSPark Data_w Will''s Data'!$B$3:$B$782=$A101)*('SkYSPark Data_w Will''s Data'!$Z$3:$Z$782=FALSE)*('SkYSPark Data_w Will''s Data'!$D$3:$D$782&lt;&gt;"Main Campus")))</f>
        <v>2.1672212564593174</v>
      </c>
      <c r="I101" cm="1">
        <f t="array" ref="I101">MEDIAN(_xlfn._xlws.FILTER('SkYSPark Data_w Will''s Data'!$N$3:$N$782,('SkYSPark Data_w Will''s Data'!$F$3:$F$782=$B101)*('SkYSPark Data_w Will''s Data'!$B$3:$B$782=$A101)*('SkYSPark Data_w Will''s Data'!$N$3:$N$782&gt;0)*('SkYSPark Data_w Will''s Data'!$D$3:$D$782&lt;&gt;"Main Campus")))</f>
        <v>15.105411007720104</v>
      </c>
    </row>
    <row r="102" spans="1:9" x14ac:dyDescent="0.3">
      <c r="A102" s="3">
        <v>4</v>
      </c>
      <c r="B102" s="3" t="s">
        <v>125</v>
      </c>
      <c r="C102" s="231" t="e" cm="1" vm="1">
        <f t="array" ref="C102">MEDIAN(_xlfn._xlws.FILTER('SkYSPark Data_w Will''s Data'!$M$3:$M$782,('SkYSPark Data_w Will''s Data'!$F$3:$F$782=$B102)*('SkYSPark Data_w Will''s Data'!$B$3:$B$782=$A102)*('SkYSPark Data_w Will''s Data'!$Z$3:$Z$782=FALSE)*('SkYSPark Data_w Will''s Data'!$D$3:$D$782="Main Campus")))</f>
        <v>#VALUE!</v>
      </c>
      <c r="D102" s="231" t="e" cm="1" vm="1">
        <f t="array" ref="D102">MEDIAN(_xlfn._xlws.FILTER('SkYSPark Data_w Will''s Data'!$N$3:$N$782,('SkYSPark Data_w Will''s Data'!$F$3:$F$782=$B102)*('SkYSPark Data_w Will''s Data'!$B$3:$B$782=$A102)*('SkYSPark Data_w Will''s Data'!$N$3:$N$782&gt;0)*('SkYSPark Data_w Will''s Data'!$D$3:$D$782="Main Campus")))</f>
        <v>#VALUE!</v>
      </c>
      <c r="E102" s="231" t="e" cm="1" vm="1">
        <f t="array" ref="E102">MEDIAN(_xlfn._xlws.FILTER('SkYSPark Data_w Will''s Data'!$O$3:$O$782,('SkYSPark Data_w Will''s Data'!$F$3:$F$782=$B102)*('SkYSPark Data_w Will''s Data'!$B$3:$B$782=$A102)*('SkYSPark Data_w Will''s Data'!$AA$3:$AA$782=FALSE)*('SkYSPark Data_w Will''s Data'!$D$3:$D$782="Main Campus")))</f>
        <v>#VALUE!</v>
      </c>
      <c r="F102" s="231" t="e" cm="1" vm="1">
        <f t="array" ref="F102">MEDIAN(_xlfn._xlws.FILTER('SkYSPark Data_w Will''s Data'!$P$3:$P$782,('SkYSPark Data_w Will''s Data'!$F$3:$F$782=$B102)*('SkYSPark Data_w Will''s Data'!$B$3:$B$782=$A102)*('SkYSPark Data_w Will''s Data'!$AB$3:$AB$782=FALSE)*('SkYSPark Data_w Will''s Data'!$D$3:$D$782="Main Campus")))</f>
        <v>#VALUE!</v>
      </c>
      <c r="H102" cm="1">
        <f t="array" ref="H102">MEDIAN(_xlfn._xlws.FILTER('SkYSPark Data_w Will''s Data'!$M$3:$M$782,('SkYSPark Data_w Will''s Data'!$F$3:$F$782=$B102)*('SkYSPark Data_w Will''s Data'!$B$3:$B$782=$A102)*('SkYSPark Data_w Will''s Data'!$Z$3:$Z$782=FALSE)*('SkYSPark Data_w Will''s Data'!$D$3:$D$782&lt;&gt;"Main Campus")))</f>
        <v>2.1933831211560189</v>
      </c>
      <c r="I102" cm="1">
        <f t="array" ref="I102">MEDIAN(_xlfn._xlws.FILTER('SkYSPark Data_w Will''s Data'!$N$3:$N$782,('SkYSPark Data_w Will''s Data'!$F$3:$F$782=$B102)*('SkYSPark Data_w Will''s Data'!$B$3:$B$782=$A102)*('SkYSPark Data_w Will''s Data'!$N$3:$N$782&gt;0)*('SkYSPark Data_w Will''s Data'!$D$3:$D$782&lt;&gt;"Main Campus")))</f>
        <v>4.4619572806590071</v>
      </c>
    </row>
    <row r="103" spans="1:9" x14ac:dyDescent="0.3">
      <c r="A103" s="3">
        <v>5</v>
      </c>
      <c r="B103" s="3" t="s">
        <v>125</v>
      </c>
      <c r="C103" s="231" t="e" cm="1" vm="1">
        <f t="array" ref="C103">MEDIAN(_xlfn._xlws.FILTER('SkYSPark Data_w Will''s Data'!$M$3:$M$782,('SkYSPark Data_w Will''s Data'!$F$3:$F$782=$B103)*('SkYSPark Data_w Will''s Data'!$B$3:$B$782=$A103)*('SkYSPark Data_w Will''s Data'!$Z$3:$Z$782=FALSE)*('SkYSPark Data_w Will''s Data'!$D$3:$D$782="Main Campus")))</f>
        <v>#VALUE!</v>
      </c>
      <c r="D103" s="231" t="e" cm="1" vm="1">
        <f t="array" ref="D103">MEDIAN(_xlfn._xlws.FILTER('SkYSPark Data_w Will''s Data'!$N$3:$N$782,('SkYSPark Data_w Will''s Data'!$F$3:$F$782=$B103)*('SkYSPark Data_w Will''s Data'!$B$3:$B$782=$A103)*('SkYSPark Data_w Will''s Data'!$N$3:$N$782&gt;0)*('SkYSPark Data_w Will''s Data'!$D$3:$D$782="Main Campus")))</f>
        <v>#VALUE!</v>
      </c>
      <c r="E103" s="231" t="e" cm="1" vm="1">
        <f t="array" ref="E103">MEDIAN(_xlfn._xlws.FILTER('SkYSPark Data_w Will''s Data'!$O$3:$O$782,('SkYSPark Data_w Will''s Data'!$F$3:$F$782=$B103)*('SkYSPark Data_w Will''s Data'!$B$3:$B$782=$A103)*('SkYSPark Data_w Will''s Data'!$AA$3:$AA$782=FALSE)*('SkYSPark Data_w Will''s Data'!$D$3:$D$782="Main Campus")))</f>
        <v>#VALUE!</v>
      </c>
      <c r="F103" s="231" t="e" cm="1" vm="1">
        <f t="array" ref="F103">MEDIAN(_xlfn._xlws.FILTER('SkYSPark Data_w Will''s Data'!$P$3:$P$782,('SkYSPark Data_w Will''s Data'!$F$3:$F$782=$B103)*('SkYSPark Data_w Will''s Data'!$B$3:$B$782=$A103)*('SkYSPark Data_w Will''s Data'!$AB$3:$AB$782=FALSE)*('SkYSPark Data_w Will''s Data'!$D$3:$D$782="Main Campus")))</f>
        <v>#VALUE!</v>
      </c>
      <c r="H103" cm="1">
        <f t="array" ref="H103">MEDIAN(_xlfn._xlws.FILTER('SkYSPark Data_w Will''s Data'!$M$3:$M$782,('SkYSPark Data_w Will''s Data'!$F$3:$F$782=$B103)*('SkYSPark Data_w Will''s Data'!$B$3:$B$782=$A103)*('SkYSPark Data_w Will''s Data'!$Z$3:$Z$782=FALSE)*('SkYSPark Data_w Will''s Data'!$D$3:$D$782&lt;&gt;"Main Campus")))</f>
        <v>2.164433206453249</v>
      </c>
      <c r="I103" cm="1">
        <f t="array" ref="I103">MEDIAN(_xlfn._xlws.FILTER('SkYSPark Data_w Will''s Data'!$N$3:$N$782,('SkYSPark Data_w Will''s Data'!$F$3:$F$782=$B103)*('SkYSPark Data_w Will''s Data'!$B$3:$B$782=$A103)*('SkYSPark Data_w Will''s Data'!$N$3:$N$782&gt;0)*('SkYSPark Data_w Will''s Data'!$D$3:$D$782&lt;&gt;"Main Campus")))</f>
        <v>1.2652264244533413</v>
      </c>
    </row>
    <row r="104" spans="1:9" x14ac:dyDescent="0.3">
      <c r="A104" s="3">
        <v>6</v>
      </c>
      <c r="B104" s="3" t="s">
        <v>125</v>
      </c>
      <c r="C104" s="231" t="e" cm="1" vm="1">
        <f t="array" ref="C104">MEDIAN(_xlfn._xlws.FILTER('SkYSPark Data_w Will''s Data'!$M$3:$M$782,('SkYSPark Data_w Will''s Data'!$F$3:$F$782=$B104)*('SkYSPark Data_w Will''s Data'!$B$3:$B$782=$A104)*('SkYSPark Data_w Will''s Data'!$Z$3:$Z$782=FALSE)*('SkYSPark Data_w Will''s Data'!$D$3:$D$782="Main Campus")))</f>
        <v>#VALUE!</v>
      </c>
      <c r="D104" s="231" t="e" cm="1" vm="1">
        <f t="array" ref="D104">MEDIAN(_xlfn._xlws.FILTER('SkYSPark Data_w Will''s Data'!$N$3:$N$782,('SkYSPark Data_w Will''s Data'!$F$3:$F$782=$B104)*('SkYSPark Data_w Will''s Data'!$B$3:$B$782=$A104)*('SkYSPark Data_w Will''s Data'!$N$3:$N$782&gt;0)*('SkYSPark Data_w Will''s Data'!$D$3:$D$782="Main Campus")))</f>
        <v>#VALUE!</v>
      </c>
      <c r="E104" s="231" t="e" cm="1" vm="1">
        <f t="array" ref="E104">MEDIAN(_xlfn._xlws.FILTER('SkYSPark Data_w Will''s Data'!$O$3:$O$782,('SkYSPark Data_w Will''s Data'!$F$3:$F$782=$B104)*('SkYSPark Data_w Will''s Data'!$B$3:$B$782=$A104)*('SkYSPark Data_w Will''s Data'!$AA$3:$AA$782=FALSE)*('SkYSPark Data_w Will''s Data'!$D$3:$D$782="Main Campus")))</f>
        <v>#VALUE!</v>
      </c>
      <c r="F104" s="231" t="e" cm="1" vm="1">
        <f t="array" ref="F104">MEDIAN(_xlfn._xlws.FILTER('SkYSPark Data_w Will''s Data'!$P$3:$P$782,('SkYSPark Data_w Will''s Data'!$F$3:$F$782=$B104)*('SkYSPark Data_w Will''s Data'!$B$3:$B$782=$A104)*('SkYSPark Data_w Will''s Data'!$AB$3:$AB$782=FALSE)*('SkYSPark Data_w Will''s Data'!$D$3:$D$782="Main Campus")))</f>
        <v>#VALUE!</v>
      </c>
      <c r="H104" cm="1">
        <f t="array" ref="H104">MEDIAN(_xlfn._xlws.FILTER('SkYSPark Data_w Will''s Data'!$M$3:$M$782,('SkYSPark Data_w Will''s Data'!$F$3:$F$782=$B104)*('SkYSPark Data_w Will''s Data'!$B$3:$B$782=$A104)*('SkYSPark Data_w Will''s Data'!$Z$3:$Z$782=FALSE)*('SkYSPark Data_w Will''s Data'!$D$3:$D$782&lt;&gt;"Main Campus")))</f>
        <v>1.9685090037974511</v>
      </c>
      <c r="I104" cm="1">
        <f t="array" ref="I104">MEDIAN(_xlfn._xlws.FILTER('SkYSPark Data_w Will''s Data'!$N$3:$N$782,('SkYSPark Data_w Will''s Data'!$F$3:$F$782=$B104)*('SkYSPark Data_w Will''s Data'!$B$3:$B$782=$A104)*('SkYSPark Data_w Will''s Data'!$N$3:$N$782&gt;0)*('SkYSPark Data_w Will''s Data'!$D$3:$D$782&lt;&gt;"Main Campus")))</f>
        <v>0.32932987469202629</v>
      </c>
    </row>
    <row r="105" spans="1:9" x14ac:dyDescent="0.3">
      <c r="A105" s="3">
        <v>7</v>
      </c>
      <c r="B105" s="3" t="s">
        <v>125</v>
      </c>
      <c r="C105" s="231" t="e" cm="1" vm="1">
        <f t="array" ref="C105">MEDIAN(_xlfn._xlws.FILTER('SkYSPark Data_w Will''s Data'!$M$3:$M$782,('SkYSPark Data_w Will''s Data'!$F$3:$F$782=$B105)*('SkYSPark Data_w Will''s Data'!$B$3:$B$782=$A105)*('SkYSPark Data_w Will''s Data'!$Z$3:$Z$782=FALSE)*('SkYSPark Data_w Will''s Data'!$D$3:$D$782="Main Campus")))</f>
        <v>#VALUE!</v>
      </c>
      <c r="D105" s="231" t="e" cm="1" vm="1">
        <f t="array" ref="D105">MEDIAN(_xlfn._xlws.FILTER('SkYSPark Data_w Will''s Data'!$N$3:$N$782,('SkYSPark Data_w Will''s Data'!$F$3:$F$782=$B105)*('SkYSPark Data_w Will''s Data'!$B$3:$B$782=$A105)*('SkYSPark Data_w Will''s Data'!$N$3:$N$782&gt;0)*('SkYSPark Data_w Will''s Data'!$D$3:$D$782="Main Campus")))</f>
        <v>#VALUE!</v>
      </c>
      <c r="E105" s="231" t="e" cm="1" vm="1">
        <f t="array" ref="E105">MEDIAN(_xlfn._xlws.FILTER('SkYSPark Data_w Will''s Data'!$O$3:$O$782,('SkYSPark Data_w Will''s Data'!$F$3:$F$782=$B105)*('SkYSPark Data_w Will''s Data'!$B$3:$B$782=$A105)*('SkYSPark Data_w Will''s Data'!$AA$3:$AA$782=FALSE)*('SkYSPark Data_w Will''s Data'!$D$3:$D$782="Main Campus")))</f>
        <v>#VALUE!</v>
      </c>
      <c r="F105" s="231" t="e" cm="1" vm="1">
        <f t="array" ref="F105">MEDIAN(_xlfn._xlws.FILTER('SkYSPark Data_w Will''s Data'!$P$3:$P$782,('SkYSPark Data_w Will''s Data'!$F$3:$F$782=$B105)*('SkYSPark Data_w Will''s Data'!$B$3:$B$782=$A105)*('SkYSPark Data_w Will''s Data'!$AB$3:$AB$782=FALSE)*('SkYSPark Data_w Will''s Data'!$D$3:$D$782="Main Campus")))</f>
        <v>#VALUE!</v>
      </c>
      <c r="H105" cm="1">
        <f t="array" ref="H105">MEDIAN(_xlfn._xlws.FILTER('SkYSPark Data_w Will''s Data'!$M$3:$M$782,('SkYSPark Data_w Will''s Data'!$F$3:$F$782=$B105)*('SkYSPark Data_w Will''s Data'!$B$3:$B$782=$A105)*('SkYSPark Data_w Will''s Data'!$Z$3:$Z$782=FALSE)*('SkYSPark Data_w Will''s Data'!$D$3:$D$782&lt;&gt;"Main Campus")))</f>
        <v>2.4091410712571997</v>
      </c>
      <c r="I105" cm="1">
        <f t="array" ref="I105">MEDIAN(_xlfn._xlws.FILTER('SkYSPark Data_w Will''s Data'!$N$3:$N$782,('SkYSPark Data_w Will''s Data'!$F$3:$F$782=$B105)*('SkYSPark Data_w Will''s Data'!$B$3:$B$782=$A105)*('SkYSPark Data_w Will''s Data'!$N$3:$N$782&gt;0)*('SkYSPark Data_w Will''s Data'!$D$3:$D$782&lt;&gt;"Main Campus")))</f>
        <v>0.16263203688494557</v>
      </c>
    </row>
    <row r="106" spans="1:9" x14ac:dyDescent="0.3">
      <c r="A106" s="3">
        <v>8</v>
      </c>
      <c r="B106" s="3" t="s">
        <v>125</v>
      </c>
      <c r="C106" s="231" t="e" cm="1" vm="1">
        <f t="array" ref="C106">MEDIAN(_xlfn._xlws.FILTER('SkYSPark Data_w Will''s Data'!$M$3:$M$782,('SkYSPark Data_w Will''s Data'!$F$3:$F$782=$B106)*('SkYSPark Data_w Will''s Data'!$B$3:$B$782=$A106)*('SkYSPark Data_w Will''s Data'!$Z$3:$Z$782=FALSE)*('SkYSPark Data_w Will''s Data'!$D$3:$D$782="Main Campus")))</f>
        <v>#VALUE!</v>
      </c>
      <c r="D106" s="231" t="e" cm="1" vm="1">
        <f t="array" ref="D106">MEDIAN(_xlfn._xlws.FILTER('SkYSPark Data_w Will''s Data'!$N$3:$N$782,('SkYSPark Data_w Will''s Data'!$F$3:$F$782=$B106)*('SkYSPark Data_w Will''s Data'!$B$3:$B$782=$A106)*('SkYSPark Data_w Will''s Data'!$N$3:$N$782&gt;0)*('SkYSPark Data_w Will''s Data'!$D$3:$D$782="Main Campus")))</f>
        <v>#VALUE!</v>
      </c>
      <c r="E106" s="231" t="e" cm="1" vm="1">
        <f t="array" ref="E106">MEDIAN(_xlfn._xlws.FILTER('SkYSPark Data_w Will''s Data'!$O$3:$O$782,('SkYSPark Data_w Will''s Data'!$F$3:$F$782=$B106)*('SkYSPark Data_w Will''s Data'!$B$3:$B$782=$A106)*('SkYSPark Data_w Will''s Data'!$AA$3:$AA$782=FALSE)*('SkYSPark Data_w Will''s Data'!$D$3:$D$782="Main Campus")))</f>
        <v>#VALUE!</v>
      </c>
      <c r="F106" s="231" t="e" cm="1" vm="1">
        <f t="array" ref="F106">MEDIAN(_xlfn._xlws.FILTER('SkYSPark Data_w Will''s Data'!$P$3:$P$782,('SkYSPark Data_w Will''s Data'!$F$3:$F$782=$B106)*('SkYSPark Data_w Will''s Data'!$B$3:$B$782=$A106)*('SkYSPark Data_w Will''s Data'!$AB$3:$AB$782=FALSE)*('SkYSPark Data_w Will''s Data'!$D$3:$D$782="Main Campus")))</f>
        <v>#VALUE!</v>
      </c>
      <c r="H106" cm="1">
        <f t="array" ref="H106">MEDIAN(_xlfn._xlws.FILTER('SkYSPark Data_w Will''s Data'!$M$3:$M$782,('SkYSPark Data_w Will''s Data'!$F$3:$F$782=$B106)*('SkYSPark Data_w Will''s Data'!$B$3:$B$782=$A106)*('SkYSPark Data_w Will''s Data'!$Z$3:$Z$782=FALSE)*('SkYSPark Data_w Will''s Data'!$D$3:$D$782&lt;&gt;"Main Campus")))</f>
        <v>2.6615946304322966</v>
      </c>
      <c r="I106" cm="1">
        <f t="array" ref="I106">MEDIAN(_xlfn._xlws.FILTER('SkYSPark Data_w Will''s Data'!$N$3:$N$782,('SkYSPark Data_w Will''s Data'!$F$3:$F$782=$B106)*('SkYSPark Data_w Will''s Data'!$B$3:$B$782=$A106)*('SkYSPark Data_w Will''s Data'!$N$3:$N$782&gt;0)*('SkYSPark Data_w Will''s Data'!$D$3:$D$782&lt;&gt;"Main Campus")))</f>
        <v>6.4402286606438597E-2</v>
      </c>
    </row>
    <row r="107" spans="1:9" x14ac:dyDescent="0.3">
      <c r="A107" s="3">
        <v>9</v>
      </c>
      <c r="B107" s="3" t="s">
        <v>125</v>
      </c>
      <c r="C107" s="231" t="e" cm="1" vm="1">
        <f t="array" ref="C107">MEDIAN(_xlfn._xlws.FILTER('SkYSPark Data_w Will''s Data'!$M$3:$M$782,('SkYSPark Data_w Will''s Data'!$F$3:$F$782=$B107)*('SkYSPark Data_w Will''s Data'!$B$3:$B$782=$A107)*('SkYSPark Data_w Will''s Data'!$Z$3:$Z$782=FALSE)*('SkYSPark Data_w Will''s Data'!$D$3:$D$782="Main Campus")))</f>
        <v>#VALUE!</v>
      </c>
      <c r="D107" s="231" t="e" cm="1" vm="1">
        <f t="array" ref="D107">MEDIAN(_xlfn._xlws.FILTER('SkYSPark Data_w Will''s Data'!$N$3:$N$782,('SkYSPark Data_w Will''s Data'!$F$3:$F$782=$B107)*('SkYSPark Data_w Will''s Data'!$B$3:$B$782=$A107)*('SkYSPark Data_w Will''s Data'!$N$3:$N$782&gt;0)*('SkYSPark Data_w Will''s Data'!$D$3:$D$782="Main Campus")))</f>
        <v>#VALUE!</v>
      </c>
      <c r="E107" s="231" t="e" cm="1" vm="1">
        <f t="array" ref="E107">MEDIAN(_xlfn._xlws.FILTER('SkYSPark Data_w Will''s Data'!$O$3:$O$782,('SkYSPark Data_w Will''s Data'!$F$3:$F$782=$B107)*('SkYSPark Data_w Will''s Data'!$B$3:$B$782=$A107)*('SkYSPark Data_w Will''s Data'!$AA$3:$AA$782=FALSE)*('SkYSPark Data_w Will''s Data'!$D$3:$D$782="Main Campus")))</f>
        <v>#VALUE!</v>
      </c>
      <c r="F107" s="231" t="e" cm="1" vm="1">
        <f t="array" ref="F107">MEDIAN(_xlfn._xlws.FILTER('SkYSPark Data_w Will''s Data'!$P$3:$P$782,('SkYSPark Data_w Will''s Data'!$F$3:$F$782=$B107)*('SkYSPark Data_w Will''s Data'!$B$3:$B$782=$A107)*('SkYSPark Data_w Will''s Data'!$AB$3:$AB$782=FALSE)*('SkYSPark Data_w Will''s Data'!$D$3:$D$782="Main Campus")))</f>
        <v>#VALUE!</v>
      </c>
      <c r="H107" cm="1">
        <f t="array" ref="H107">MEDIAN(_xlfn._xlws.FILTER('SkYSPark Data_w Will''s Data'!$M$3:$M$782,('SkYSPark Data_w Will''s Data'!$F$3:$F$782=$B107)*('SkYSPark Data_w Will''s Data'!$B$3:$B$782=$A107)*('SkYSPark Data_w Will''s Data'!$Z$3:$Z$782=FALSE)*('SkYSPark Data_w Will''s Data'!$D$3:$D$782&lt;&gt;"Main Campus")))</f>
        <v>2.164577272498081</v>
      </c>
      <c r="I107" cm="1">
        <f t="array" ref="I107">MEDIAN(_xlfn._xlws.FILTER('SkYSPark Data_w Will''s Data'!$N$3:$N$782,('SkYSPark Data_w Will''s Data'!$F$3:$F$782=$B107)*('SkYSPark Data_w Will''s Data'!$B$3:$B$782=$A107)*('SkYSPark Data_w Will''s Data'!$N$3:$N$782&gt;0)*('SkYSPark Data_w Will''s Data'!$D$3:$D$782&lt;&gt;"Main Campus")))</f>
        <v>0.80413410637762039</v>
      </c>
    </row>
    <row r="108" spans="1:9" x14ac:dyDescent="0.3">
      <c r="A108" s="3">
        <v>10</v>
      </c>
      <c r="B108" s="3" t="s">
        <v>125</v>
      </c>
      <c r="C108" s="231" t="e" cm="1" vm="1">
        <f t="array" ref="C108">MEDIAN(_xlfn._xlws.FILTER('SkYSPark Data_w Will''s Data'!$M$3:$M$782,('SkYSPark Data_w Will''s Data'!$F$3:$F$782=$B108)*('SkYSPark Data_w Will''s Data'!$B$3:$B$782=$A108)*('SkYSPark Data_w Will''s Data'!$Z$3:$Z$782=FALSE)*('SkYSPark Data_w Will''s Data'!$D$3:$D$782="Main Campus")))</f>
        <v>#VALUE!</v>
      </c>
      <c r="D108" s="231" t="e" cm="1" vm="1">
        <f t="array" ref="D108">MEDIAN(_xlfn._xlws.FILTER('SkYSPark Data_w Will''s Data'!$N$3:$N$782,('SkYSPark Data_w Will''s Data'!$F$3:$F$782=$B108)*('SkYSPark Data_w Will''s Data'!$B$3:$B$782=$A108)*('SkYSPark Data_w Will''s Data'!$N$3:$N$782&gt;0)*('SkYSPark Data_w Will''s Data'!$D$3:$D$782="Main Campus")))</f>
        <v>#VALUE!</v>
      </c>
      <c r="E108" s="231" t="e" cm="1" vm="1">
        <f t="array" ref="E108">MEDIAN(_xlfn._xlws.FILTER('SkYSPark Data_w Will''s Data'!$O$3:$O$782,('SkYSPark Data_w Will''s Data'!$F$3:$F$782=$B108)*('SkYSPark Data_w Will''s Data'!$B$3:$B$782=$A108)*('SkYSPark Data_w Will''s Data'!$AA$3:$AA$782=FALSE)*('SkYSPark Data_w Will''s Data'!$D$3:$D$782="Main Campus")))</f>
        <v>#VALUE!</v>
      </c>
      <c r="F108" s="231" t="e" cm="1" vm="1">
        <f t="array" ref="F108">MEDIAN(_xlfn._xlws.FILTER('SkYSPark Data_w Will''s Data'!$P$3:$P$782,('SkYSPark Data_w Will''s Data'!$F$3:$F$782=$B108)*('SkYSPark Data_w Will''s Data'!$B$3:$B$782=$A108)*('SkYSPark Data_w Will''s Data'!$AB$3:$AB$782=FALSE)*('SkYSPark Data_w Will''s Data'!$D$3:$D$782="Main Campus")))</f>
        <v>#VALUE!</v>
      </c>
      <c r="H108" cm="1">
        <f t="array" ref="H108">MEDIAN(_xlfn._xlws.FILTER('SkYSPark Data_w Will''s Data'!$M$3:$M$782,('SkYSPark Data_w Will''s Data'!$F$3:$F$782=$B108)*('SkYSPark Data_w Will''s Data'!$B$3:$B$782=$A108)*('SkYSPark Data_w Will''s Data'!$Z$3:$Z$782=FALSE)*('SkYSPark Data_w Will''s Data'!$D$3:$D$782&lt;&gt;"Main Campus")))</f>
        <v>1.8292481401269605</v>
      </c>
      <c r="I108" cm="1">
        <f t="array" ref="I108">MEDIAN(_xlfn._xlws.FILTER('SkYSPark Data_w Will''s Data'!$N$3:$N$782,('SkYSPark Data_w Will''s Data'!$F$3:$F$782=$B108)*('SkYSPark Data_w Will''s Data'!$B$3:$B$782=$A108)*('SkYSPark Data_w Will''s Data'!$N$3:$N$782&gt;0)*('SkYSPark Data_w Will''s Data'!$D$3:$D$782&lt;&gt;"Main Campus")))</f>
        <v>1.2899730683828348</v>
      </c>
    </row>
    <row r="109" spans="1:9" x14ac:dyDescent="0.3">
      <c r="A109" s="3">
        <v>11</v>
      </c>
      <c r="B109" s="3" t="s">
        <v>125</v>
      </c>
      <c r="C109" s="231" t="e" cm="1" vm="1">
        <f t="array" ref="C109">MEDIAN(_xlfn._xlws.FILTER('SkYSPark Data_w Will''s Data'!$M$3:$M$782,('SkYSPark Data_w Will''s Data'!$F$3:$F$782=$B109)*('SkYSPark Data_w Will''s Data'!$B$3:$B$782=$A109)*('SkYSPark Data_w Will''s Data'!$Z$3:$Z$782=FALSE)*('SkYSPark Data_w Will''s Data'!$D$3:$D$782="Main Campus")))</f>
        <v>#VALUE!</v>
      </c>
      <c r="D109" s="231" t="e" cm="1" vm="1">
        <f t="array" ref="D109">MEDIAN(_xlfn._xlws.FILTER('SkYSPark Data_w Will''s Data'!$N$3:$N$782,('SkYSPark Data_w Will''s Data'!$F$3:$F$782=$B109)*('SkYSPark Data_w Will''s Data'!$B$3:$B$782=$A109)*('SkYSPark Data_w Will''s Data'!$N$3:$N$782&gt;0)*('SkYSPark Data_w Will''s Data'!$D$3:$D$782="Main Campus")))</f>
        <v>#VALUE!</v>
      </c>
      <c r="E109" s="231" t="e" cm="1" vm="1">
        <f t="array" ref="E109">MEDIAN(_xlfn._xlws.FILTER('SkYSPark Data_w Will''s Data'!$O$3:$O$782,('SkYSPark Data_w Will''s Data'!$F$3:$F$782=$B109)*('SkYSPark Data_w Will''s Data'!$B$3:$B$782=$A109)*('SkYSPark Data_w Will''s Data'!$AA$3:$AA$782=FALSE)*('SkYSPark Data_w Will''s Data'!$D$3:$D$782="Main Campus")))</f>
        <v>#VALUE!</v>
      </c>
      <c r="F109" s="231" t="e" cm="1" vm="1">
        <f t="array" ref="F109">MEDIAN(_xlfn._xlws.FILTER('SkYSPark Data_w Will''s Data'!$P$3:$P$782,('SkYSPark Data_w Will''s Data'!$F$3:$F$782=$B109)*('SkYSPark Data_w Will''s Data'!$B$3:$B$782=$A109)*('SkYSPark Data_w Will''s Data'!$AB$3:$AB$782=FALSE)*('SkYSPark Data_w Will''s Data'!$D$3:$D$782="Main Campus")))</f>
        <v>#VALUE!</v>
      </c>
      <c r="H109" cm="1">
        <f t="array" ref="H109">MEDIAN(_xlfn._xlws.FILTER('SkYSPark Data_w Will''s Data'!$M$3:$M$782,('SkYSPark Data_w Will''s Data'!$F$3:$F$782=$B109)*('SkYSPark Data_w Will''s Data'!$B$3:$B$782=$A109)*('SkYSPark Data_w Will''s Data'!$Z$3:$Z$782=FALSE)*('SkYSPark Data_w Will''s Data'!$D$3:$D$782&lt;&gt;"Main Campus")))</f>
        <v>1.6285931158260571</v>
      </c>
      <c r="I109" cm="1">
        <f t="array" ref="I109">MEDIAN(_xlfn._xlws.FILTER('SkYSPark Data_w Will''s Data'!$N$3:$N$782,('SkYSPark Data_w Will''s Data'!$F$3:$F$782=$B109)*('SkYSPark Data_w Will''s Data'!$B$3:$B$782=$A109)*('SkYSPark Data_w Will''s Data'!$N$3:$N$782&gt;0)*('SkYSPark Data_w Will''s Data'!$D$3:$D$782&lt;&gt;"Main Campus")))</f>
        <v>5.1904257053717071</v>
      </c>
    </row>
    <row r="110" spans="1:9" x14ac:dyDescent="0.3">
      <c r="A110" s="3">
        <v>12</v>
      </c>
      <c r="B110" s="3" t="s">
        <v>125</v>
      </c>
      <c r="C110" s="231" t="e" cm="1" vm="1">
        <f t="array" ref="C110">MEDIAN(_xlfn._xlws.FILTER('SkYSPark Data_w Will''s Data'!$M$3:$M$782,('SkYSPark Data_w Will''s Data'!$F$3:$F$782=$B110)*('SkYSPark Data_w Will''s Data'!$B$3:$B$782=$A110)*('SkYSPark Data_w Will''s Data'!$Z$3:$Z$782=FALSE)*('SkYSPark Data_w Will''s Data'!$D$3:$D$782="Main Campus")))</f>
        <v>#VALUE!</v>
      </c>
      <c r="D110" s="231" t="e" cm="1" vm="1">
        <f t="array" ref="D110">MEDIAN(_xlfn._xlws.FILTER('SkYSPark Data_w Will''s Data'!$N$3:$N$782,('SkYSPark Data_w Will''s Data'!$F$3:$F$782=$B110)*('SkYSPark Data_w Will''s Data'!$B$3:$B$782=$A110)*('SkYSPark Data_w Will''s Data'!$N$3:$N$782&gt;0)*('SkYSPark Data_w Will''s Data'!$D$3:$D$782="Main Campus")))</f>
        <v>#VALUE!</v>
      </c>
      <c r="E110" s="231" t="e" cm="1" vm="1">
        <f t="array" ref="E110">MEDIAN(_xlfn._xlws.FILTER('SkYSPark Data_w Will''s Data'!$O$3:$O$782,('SkYSPark Data_w Will''s Data'!$F$3:$F$782=$B110)*('SkYSPark Data_w Will''s Data'!$B$3:$B$782=$A110)*('SkYSPark Data_w Will''s Data'!$AA$3:$AA$782=FALSE)*('SkYSPark Data_w Will''s Data'!$D$3:$D$782="Main Campus")))</f>
        <v>#VALUE!</v>
      </c>
      <c r="F110" s="231" t="e" cm="1" vm="1">
        <f t="array" ref="F110">MEDIAN(_xlfn._xlws.FILTER('SkYSPark Data_w Will''s Data'!$P$3:$P$782,('SkYSPark Data_w Will''s Data'!$F$3:$F$782=$B110)*('SkYSPark Data_w Will''s Data'!$B$3:$B$782=$A110)*('SkYSPark Data_w Will''s Data'!$AB$3:$AB$782=FALSE)*('SkYSPark Data_w Will''s Data'!$D$3:$D$782="Main Campus")))</f>
        <v>#VALUE!</v>
      </c>
      <c r="H110" cm="1">
        <f t="array" ref="H110">MEDIAN(_xlfn._xlws.FILTER('SkYSPark Data_w Will''s Data'!$M$3:$M$782,('SkYSPark Data_w Will''s Data'!$F$3:$F$782=$B110)*('SkYSPark Data_w Will''s Data'!$B$3:$B$782=$A110)*('SkYSPark Data_w Will''s Data'!$Z$3:$Z$782=FALSE)*('SkYSPark Data_w Will''s Data'!$D$3:$D$782&lt;&gt;"Main Campus")))</f>
        <v>1.1959707800103636</v>
      </c>
      <c r="I110" cm="1">
        <f t="array" ref="I110">MEDIAN(_xlfn._xlws.FILTER('SkYSPark Data_w Will''s Data'!$N$3:$N$782,('SkYSPark Data_w Will''s Data'!$F$3:$F$782=$B110)*('SkYSPark Data_w Will''s Data'!$B$3:$B$782=$A110)*('SkYSPark Data_w Will''s Data'!$N$3:$N$782&gt;0)*('SkYSPark Data_w Will''s Data'!$D$3:$D$782&lt;&gt;"Main Campus")))</f>
        <v>3.7354335671963264</v>
      </c>
    </row>
    <row r="111" spans="1:9" x14ac:dyDescent="0.3">
      <c r="A111" s="3">
        <v>1</v>
      </c>
      <c r="B111" s="3" t="s">
        <v>143</v>
      </c>
      <c r="C111" s="231" t="e" cm="1" vm="1">
        <f t="array" ref="C111">MEDIAN(_xlfn._xlws.FILTER('SkYSPark Data_w Will''s Data'!$M$3:$M$782,('SkYSPark Data_w Will''s Data'!$F$3:$F$782=$B111)*('SkYSPark Data_w Will''s Data'!$B$3:$B$782=$A111)*('SkYSPark Data_w Will''s Data'!$Z$3:$Z$782=FALSE)*('SkYSPark Data_w Will''s Data'!$D$3:$D$782="Main Campus")))</f>
        <v>#VALUE!</v>
      </c>
      <c r="D111" s="231" t="e" cm="1" vm="1">
        <f t="array" ref="D111">MEDIAN(_xlfn._xlws.FILTER('SkYSPark Data_w Will''s Data'!$N$3:$N$782,('SkYSPark Data_w Will''s Data'!$F$3:$F$782=$B111)*('SkYSPark Data_w Will''s Data'!$B$3:$B$782=$A111)*('SkYSPark Data_w Will''s Data'!$N$3:$N$782&gt;0)*('SkYSPark Data_w Will''s Data'!$D$3:$D$782="Main Campus")))</f>
        <v>#VALUE!</v>
      </c>
      <c r="E111" s="231" t="e" cm="1" vm="1">
        <f t="array" ref="E111">MEDIAN(_xlfn._xlws.FILTER('SkYSPark Data_w Will''s Data'!$O$3:$O$782,('SkYSPark Data_w Will''s Data'!$F$3:$F$782=$B111)*('SkYSPark Data_w Will''s Data'!$B$3:$B$782=$A111)*('SkYSPark Data_w Will''s Data'!$AA$3:$AA$782=FALSE)*('SkYSPark Data_w Will''s Data'!$D$3:$D$782="Main Campus")))</f>
        <v>#VALUE!</v>
      </c>
      <c r="F111" s="231" t="e" cm="1" vm="1">
        <f t="array" ref="F111">MEDIAN(_xlfn._xlws.FILTER('SkYSPark Data_w Will''s Data'!$P$3:$P$782,('SkYSPark Data_w Will''s Data'!$F$3:$F$782=$B111)*('SkYSPark Data_w Will''s Data'!$B$3:$B$782=$A111)*('SkYSPark Data_w Will''s Data'!$AB$3:$AB$782=FALSE)*('SkYSPark Data_w Will''s Data'!$D$3:$D$782="Main Campus")))</f>
        <v>#VALUE!</v>
      </c>
      <c r="H111" t="e" cm="1" vm="1">
        <f t="array" ref="H111">MEDIAN(_xlfn._xlws.FILTER('SkYSPark Data_w Will''s Data'!$M$3:$M$782,('SkYSPark Data_w Will''s Data'!$F$3:$F$782=$B111)*('SkYSPark Data_w Will''s Data'!$B$3:$B$782=$A111)*('SkYSPark Data_w Will''s Data'!$Z$3:$Z$782=FALSE)*('SkYSPark Data_w Will''s Data'!$D$3:$D$782&lt;&gt;"Main Campus")))</f>
        <v>#VALUE!</v>
      </c>
      <c r="I111" t="e" cm="1" vm="1">
        <f t="array" ref="I111">MEDIAN(_xlfn._xlws.FILTER('SkYSPark Data_w Will''s Data'!$N$3:$N$782,('SkYSPark Data_w Will''s Data'!$F$3:$F$782=$B111)*('SkYSPark Data_w Will''s Data'!$B$3:$B$782=$A111)*('SkYSPark Data_w Will''s Data'!$N$3:$N$782&gt;0)*('SkYSPark Data_w Will''s Data'!$D$3:$D$782&lt;&gt;"Main Campus")))</f>
        <v>#VALUE!</v>
      </c>
    </row>
    <row r="112" spans="1:9" x14ac:dyDescent="0.3">
      <c r="A112" s="3">
        <v>2</v>
      </c>
      <c r="B112" s="3" t="s">
        <v>143</v>
      </c>
      <c r="C112" s="231" t="e" cm="1" vm="1">
        <f t="array" ref="C112">MEDIAN(_xlfn._xlws.FILTER('SkYSPark Data_w Will''s Data'!$M$3:$M$782,('SkYSPark Data_w Will''s Data'!$F$3:$F$782=$B112)*('SkYSPark Data_w Will''s Data'!$B$3:$B$782=$A112)*('SkYSPark Data_w Will''s Data'!$Z$3:$Z$782=FALSE)*('SkYSPark Data_w Will''s Data'!$D$3:$D$782="Main Campus")))</f>
        <v>#VALUE!</v>
      </c>
      <c r="D112" s="231" t="e" cm="1" vm="1">
        <f t="array" ref="D112">MEDIAN(_xlfn._xlws.FILTER('SkYSPark Data_w Will''s Data'!$N$3:$N$782,('SkYSPark Data_w Will''s Data'!$F$3:$F$782=$B112)*('SkYSPark Data_w Will''s Data'!$B$3:$B$782=$A112)*('SkYSPark Data_w Will''s Data'!$N$3:$N$782&gt;0)*('SkYSPark Data_w Will''s Data'!$D$3:$D$782="Main Campus")))</f>
        <v>#VALUE!</v>
      </c>
      <c r="E112" s="231" t="e" cm="1" vm="1">
        <f t="array" ref="E112">MEDIAN(_xlfn._xlws.FILTER('SkYSPark Data_w Will''s Data'!$O$3:$O$782,('SkYSPark Data_w Will''s Data'!$F$3:$F$782=$B112)*('SkYSPark Data_w Will''s Data'!$B$3:$B$782=$A112)*('SkYSPark Data_w Will''s Data'!$AA$3:$AA$782=FALSE)*('SkYSPark Data_w Will''s Data'!$D$3:$D$782="Main Campus")))</f>
        <v>#VALUE!</v>
      </c>
      <c r="F112" s="231" t="e" cm="1" vm="1">
        <f t="array" ref="F112">MEDIAN(_xlfn._xlws.FILTER('SkYSPark Data_w Will''s Data'!$P$3:$P$782,('SkYSPark Data_w Will''s Data'!$F$3:$F$782=$B112)*('SkYSPark Data_w Will''s Data'!$B$3:$B$782=$A112)*('SkYSPark Data_w Will''s Data'!$AB$3:$AB$782=FALSE)*('SkYSPark Data_w Will''s Data'!$D$3:$D$782="Main Campus")))</f>
        <v>#VALUE!</v>
      </c>
      <c r="H112" t="e" cm="1" vm="1">
        <f t="array" ref="H112">MEDIAN(_xlfn._xlws.FILTER('SkYSPark Data_w Will''s Data'!$M$3:$M$782,('SkYSPark Data_w Will''s Data'!$F$3:$F$782=$B112)*('SkYSPark Data_w Will''s Data'!$B$3:$B$782=$A112)*('SkYSPark Data_w Will''s Data'!$Z$3:$Z$782=FALSE)*('SkYSPark Data_w Will''s Data'!$D$3:$D$782&lt;&gt;"Main Campus")))</f>
        <v>#VALUE!</v>
      </c>
      <c r="I112" t="e" cm="1" vm="1">
        <f t="array" ref="I112">MEDIAN(_xlfn._xlws.FILTER('SkYSPark Data_w Will''s Data'!$N$3:$N$782,('SkYSPark Data_w Will''s Data'!$F$3:$F$782=$B112)*('SkYSPark Data_w Will''s Data'!$B$3:$B$782=$A112)*('SkYSPark Data_w Will''s Data'!$N$3:$N$782&gt;0)*('SkYSPark Data_w Will''s Data'!$D$3:$D$782&lt;&gt;"Main Campus")))</f>
        <v>#VALUE!</v>
      </c>
    </row>
    <row r="113" spans="1:9" x14ac:dyDescent="0.3">
      <c r="A113" s="3">
        <v>3</v>
      </c>
      <c r="B113" s="3" t="s">
        <v>143</v>
      </c>
      <c r="C113" s="231" t="e" cm="1" vm="1">
        <f t="array" ref="C113">MEDIAN(_xlfn._xlws.FILTER('SkYSPark Data_w Will''s Data'!$M$3:$M$782,('SkYSPark Data_w Will''s Data'!$F$3:$F$782=$B113)*('SkYSPark Data_w Will''s Data'!$B$3:$B$782=$A113)*('SkYSPark Data_w Will''s Data'!$Z$3:$Z$782=FALSE)*('SkYSPark Data_w Will''s Data'!$D$3:$D$782="Main Campus")))</f>
        <v>#VALUE!</v>
      </c>
      <c r="D113" s="231" t="e" cm="1" vm="1">
        <f t="array" ref="D113">MEDIAN(_xlfn._xlws.FILTER('SkYSPark Data_w Will''s Data'!$N$3:$N$782,('SkYSPark Data_w Will''s Data'!$F$3:$F$782=$B113)*('SkYSPark Data_w Will''s Data'!$B$3:$B$782=$A113)*('SkYSPark Data_w Will''s Data'!$N$3:$N$782&gt;0)*('SkYSPark Data_w Will''s Data'!$D$3:$D$782="Main Campus")))</f>
        <v>#VALUE!</v>
      </c>
      <c r="E113" s="231" t="e" cm="1" vm="1">
        <f t="array" ref="E113">MEDIAN(_xlfn._xlws.FILTER('SkYSPark Data_w Will''s Data'!$O$3:$O$782,('SkYSPark Data_w Will''s Data'!$F$3:$F$782=$B113)*('SkYSPark Data_w Will''s Data'!$B$3:$B$782=$A113)*('SkYSPark Data_w Will''s Data'!$AA$3:$AA$782=FALSE)*('SkYSPark Data_w Will''s Data'!$D$3:$D$782="Main Campus")))</f>
        <v>#VALUE!</v>
      </c>
      <c r="F113" s="231" t="e" cm="1" vm="1">
        <f t="array" ref="F113">MEDIAN(_xlfn._xlws.FILTER('SkYSPark Data_w Will''s Data'!$P$3:$P$782,('SkYSPark Data_w Will''s Data'!$F$3:$F$782=$B113)*('SkYSPark Data_w Will''s Data'!$B$3:$B$782=$A113)*('SkYSPark Data_w Will''s Data'!$AB$3:$AB$782=FALSE)*('SkYSPark Data_w Will''s Data'!$D$3:$D$782="Main Campus")))</f>
        <v>#VALUE!</v>
      </c>
      <c r="H113" t="e" cm="1" vm="1">
        <f t="array" ref="H113">MEDIAN(_xlfn._xlws.FILTER('SkYSPark Data_w Will''s Data'!$M$3:$M$782,('SkYSPark Data_w Will''s Data'!$F$3:$F$782=$B113)*('SkYSPark Data_w Will''s Data'!$B$3:$B$782=$A113)*('SkYSPark Data_w Will''s Data'!$Z$3:$Z$782=FALSE)*('SkYSPark Data_w Will''s Data'!$D$3:$D$782&lt;&gt;"Main Campus")))</f>
        <v>#VALUE!</v>
      </c>
      <c r="I113" t="e" cm="1" vm="1">
        <f t="array" ref="I113">MEDIAN(_xlfn._xlws.FILTER('SkYSPark Data_w Will''s Data'!$N$3:$N$782,('SkYSPark Data_w Will''s Data'!$F$3:$F$782=$B113)*('SkYSPark Data_w Will''s Data'!$B$3:$B$782=$A113)*('SkYSPark Data_w Will''s Data'!$N$3:$N$782&gt;0)*('SkYSPark Data_w Will''s Data'!$D$3:$D$782&lt;&gt;"Main Campus")))</f>
        <v>#VALUE!</v>
      </c>
    </row>
    <row r="114" spans="1:9" x14ac:dyDescent="0.3">
      <c r="A114" s="3">
        <v>4</v>
      </c>
      <c r="B114" s="3" t="s">
        <v>143</v>
      </c>
      <c r="C114" s="231" t="e" cm="1" vm="1">
        <f t="array" ref="C114">MEDIAN(_xlfn._xlws.FILTER('SkYSPark Data_w Will''s Data'!$M$3:$M$782,('SkYSPark Data_w Will''s Data'!$F$3:$F$782=$B114)*('SkYSPark Data_w Will''s Data'!$B$3:$B$782=$A114)*('SkYSPark Data_w Will''s Data'!$Z$3:$Z$782=FALSE)*('SkYSPark Data_w Will''s Data'!$D$3:$D$782="Main Campus")))</f>
        <v>#VALUE!</v>
      </c>
      <c r="D114" s="231" t="e" cm="1" vm="1">
        <f t="array" ref="D114">MEDIAN(_xlfn._xlws.FILTER('SkYSPark Data_w Will''s Data'!$N$3:$N$782,('SkYSPark Data_w Will''s Data'!$F$3:$F$782=$B114)*('SkYSPark Data_w Will''s Data'!$B$3:$B$782=$A114)*('SkYSPark Data_w Will''s Data'!$N$3:$N$782&gt;0)*('SkYSPark Data_w Will''s Data'!$D$3:$D$782="Main Campus")))</f>
        <v>#VALUE!</v>
      </c>
      <c r="E114" s="231" t="e" cm="1" vm="1">
        <f t="array" ref="E114">MEDIAN(_xlfn._xlws.FILTER('SkYSPark Data_w Will''s Data'!$O$3:$O$782,('SkYSPark Data_w Will''s Data'!$F$3:$F$782=$B114)*('SkYSPark Data_w Will''s Data'!$B$3:$B$782=$A114)*('SkYSPark Data_w Will''s Data'!$AA$3:$AA$782=FALSE)*('SkYSPark Data_w Will''s Data'!$D$3:$D$782="Main Campus")))</f>
        <v>#VALUE!</v>
      </c>
      <c r="F114" s="231" t="e" cm="1" vm="1">
        <f t="array" ref="F114">MEDIAN(_xlfn._xlws.FILTER('SkYSPark Data_w Will''s Data'!$P$3:$P$782,('SkYSPark Data_w Will''s Data'!$F$3:$F$782=$B114)*('SkYSPark Data_w Will''s Data'!$B$3:$B$782=$A114)*('SkYSPark Data_w Will''s Data'!$AB$3:$AB$782=FALSE)*('SkYSPark Data_w Will''s Data'!$D$3:$D$782="Main Campus")))</f>
        <v>#VALUE!</v>
      </c>
      <c r="H114" t="e" cm="1" vm="1">
        <f t="array" ref="H114">MEDIAN(_xlfn._xlws.FILTER('SkYSPark Data_w Will''s Data'!$M$3:$M$782,('SkYSPark Data_w Will''s Data'!$F$3:$F$782=$B114)*('SkYSPark Data_w Will''s Data'!$B$3:$B$782=$A114)*('SkYSPark Data_w Will''s Data'!$Z$3:$Z$782=FALSE)*('SkYSPark Data_w Will''s Data'!$D$3:$D$782&lt;&gt;"Main Campus")))</f>
        <v>#VALUE!</v>
      </c>
      <c r="I114" t="e" cm="1" vm="1">
        <f t="array" ref="I114">MEDIAN(_xlfn._xlws.FILTER('SkYSPark Data_w Will''s Data'!$N$3:$N$782,('SkYSPark Data_w Will''s Data'!$F$3:$F$782=$B114)*('SkYSPark Data_w Will''s Data'!$B$3:$B$782=$A114)*('SkYSPark Data_w Will''s Data'!$N$3:$N$782&gt;0)*('SkYSPark Data_w Will''s Data'!$D$3:$D$782&lt;&gt;"Main Campus")))</f>
        <v>#VALUE!</v>
      </c>
    </row>
    <row r="115" spans="1:9" x14ac:dyDescent="0.3">
      <c r="A115" s="3">
        <v>5</v>
      </c>
      <c r="B115" s="3" t="s">
        <v>143</v>
      </c>
      <c r="C115" s="231" t="e" cm="1" vm="1">
        <f t="array" ref="C115">MEDIAN(_xlfn._xlws.FILTER('SkYSPark Data_w Will''s Data'!$M$3:$M$782,('SkYSPark Data_w Will''s Data'!$F$3:$F$782=$B115)*('SkYSPark Data_w Will''s Data'!$B$3:$B$782=$A115)*('SkYSPark Data_w Will''s Data'!$Z$3:$Z$782=FALSE)*('SkYSPark Data_w Will''s Data'!$D$3:$D$782="Main Campus")))</f>
        <v>#VALUE!</v>
      </c>
      <c r="D115" s="231" t="e" cm="1" vm="1">
        <f t="array" ref="D115">MEDIAN(_xlfn._xlws.FILTER('SkYSPark Data_w Will''s Data'!$N$3:$N$782,('SkYSPark Data_w Will''s Data'!$F$3:$F$782=$B115)*('SkYSPark Data_w Will''s Data'!$B$3:$B$782=$A115)*('SkYSPark Data_w Will''s Data'!$N$3:$N$782&gt;0)*('SkYSPark Data_w Will''s Data'!$D$3:$D$782="Main Campus")))</f>
        <v>#VALUE!</v>
      </c>
      <c r="E115" s="231" t="e" cm="1" vm="1">
        <f t="array" ref="E115">MEDIAN(_xlfn._xlws.FILTER('SkYSPark Data_w Will''s Data'!$O$3:$O$782,('SkYSPark Data_w Will''s Data'!$F$3:$F$782=$B115)*('SkYSPark Data_w Will''s Data'!$B$3:$B$782=$A115)*('SkYSPark Data_w Will''s Data'!$AA$3:$AA$782=FALSE)*('SkYSPark Data_w Will''s Data'!$D$3:$D$782="Main Campus")))</f>
        <v>#VALUE!</v>
      </c>
      <c r="F115" s="231" t="e" cm="1" vm="1">
        <f t="array" ref="F115">MEDIAN(_xlfn._xlws.FILTER('SkYSPark Data_w Will''s Data'!$P$3:$P$782,('SkYSPark Data_w Will''s Data'!$F$3:$F$782=$B115)*('SkYSPark Data_w Will''s Data'!$B$3:$B$782=$A115)*('SkYSPark Data_w Will''s Data'!$AB$3:$AB$782=FALSE)*('SkYSPark Data_w Will''s Data'!$D$3:$D$782="Main Campus")))</f>
        <v>#VALUE!</v>
      </c>
      <c r="H115" t="e" cm="1" vm="1">
        <f t="array" ref="H115">MEDIAN(_xlfn._xlws.FILTER('SkYSPark Data_w Will''s Data'!$M$3:$M$782,('SkYSPark Data_w Will''s Data'!$F$3:$F$782=$B115)*('SkYSPark Data_w Will''s Data'!$B$3:$B$782=$A115)*('SkYSPark Data_w Will''s Data'!$Z$3:$Z$782=FALSE)*('SkYSPark Data_w Will''s Data'!$D$3:$D$782&lt;&gt;"Main Campus")))</f>
        <v>#VALUE!</v>
      </c>
      <c r="I115" t="e" cm="1" vm="1">
        <f t="array" ref="I115">MEDIAN(_xlfn._xlws.FILTER('SkYSPark Data_w Will''s Data'!$N$3:$N$782,('SkYSPark Data_w Will''s Data'!$F$3:$F$782=$B115)*('SkYSPark Data_w Will''s Data'!$B$3:$B$782=$A115)*('SkYSPark Data_w Will''s Data'!$N$3:$N$782&gt;0)*('SkYSPark Data_w Will''s Data'!$D$3:$D$782&lt;&gt;"Main Campus")))</f>
        <v>#VALUE!</v>
      </c>
    </row>
    <row r="116" spans="1:9" x14ac:dyDescent="0.3">
      <c r="A116" s="3">
        <v>6</v>
      </c>
      <c r="B116" s="3" t="s">
        <v>143</v>
      </c>
      <c r="C116" s="231" t="e" cm="1" vm="1">
        <f t="array" ref="C116">MEDIAN(_xlfn._xlws.FILTER('SkYSPark Data_w Will''s Data'!$M$3:$M$782,('SkYSPark Data_w Will''s Data'!$F$3:$F$782=$B116)*('SkYSPark Data_w Will''s Data'!$B$3:$B$782=$A116)*('SkYSPark Data_w Will''s Data'!$Z$3:$Z$782=FALSE)*('SkYSPark Data_w Will''s Data'!$D$3:$D$782="Main Campus")))</f>
        <v>#VALUE!</v>
      </c>
      <c r="D116" s="231" t="e" cm="1" vm="1">
        <f t="array" ref="D116">MEDIAN(_xlfn._xlws.FILTER('SkYSPark Data_w Will''s Data'!$N$3:$N$782,('SkYSPark Data_w Will''s Data'!$F$3:$F$782=$B116)*('SkYSPark Data_w Will''s Data'!$B$3:$B$782=$A116)*('SkYSPark Data_w Will''s Data'!$N$3:$N$782&gt;0)*('SkYSPark Data_w Will''s Data'!$D$3:$D$782="Main Campus")))</f>
        <v>#VALUE!</v>
      </c>
      <c r="E116" s="231" t="e" cm="1" vm="1">
        <f t="array" ref="E116">MEDIAN(_xlfn._xlws.FILTER('SkYSPark Data_w Will''s Data'!$O$3:$O$782,('SkYSPark Data_w Will''s Data'!$F$3:$F$782=$B116)*('SkYSPark Data_w Will''s Data'!$B$3:$B$782=$A116)*('SkYSPark Data_w Will''s Data'!$AA$3:$AA$782=FALSE)*('SkYSPark Data_w Will''s Data'!$D$3:$D$782="Main Campus")))</f>
        <v>#VALUE!</v>
      </c>
      <c r="F116" s="231" t="e" cm="1" vm="1">
        <f t="array" ref="F116">MEDIAN(_xlfn._xlws.FILTER('SkYSPark Data_w Will''s Data'!$P$3:$P$782,('SkYSPark Data_w Will''s Data'!$F$3:$F$782=$B116)*('SkYSPark Data_w Will''s Data'!$B$3:$B$782=$A116)*('SkYSPark Data_w Will''s Data'!$AB$3:$AB$782=FALSE)*('SkYSPark Data_w Will''s Data'!$D$3:$D$782="Main Campus")))</f>
        <v>#VALUE!</v>
      </c>
      <c r="H116" t="e" cm="1" vm="1">
        <f t="array" ref="H116">MEDIAN(_xlfn._xlws.FILTER('SkYSPark Data_w Will''s Data'!$M$3:$M$782,('SkYSPark Data_w Will''s Data'!$F$3:$F$782=$B116)*('SkYSPark Data_w Will''s Data'!$B$3:$B$782=$A116)*('SkYSPark Data_w Will''s Data'!$Z$3:$Z$782=FALSE)*('SkYSPark Data_w Will''s Data'!$D$3:$D$782&lt;&gt;"Main Campus")))</f>
        <v>#VALUE!</v>
      </c>
      <c r="I116" t="e" cm="1" vm="1">
        <f t="array" ref="I116">MEDIAN(_xlfn._xlws.FILTER('SkYSPark Data_w Will''s Data'!$N$3:$N$782,('SkYSPark Data_w Will''s Data'!$F$3:$F$782=$B116)*('SkYSPark Data_w Will''s Data'!$B$3:$B$782=$A116)*('SkYSPark Data_w Will''s Data'!$N$3:$N$782&gt;0)*('SkYSPark Data_w Will''s Data'!$D$3:$D$782&lt;&gt;"Main Campus")))</f>
        <v>#VALUE!</v>
      </c>
    </row>
    <row r="117" spans="1:9" x14ac:dyDescent="0.3">
      <c r="A117" s="3">
        <v>7</v>
      </c>
      <c r="B117" s="3" t="s">
        <v>143</v>
      </c>
      <c r="C117" s="231" t="e" cm="1" vm="1">
        <f t="array" ref="C117">MEDIAN(_xlfn._xlws.FILTER('SkYSPark Data_w Will''s Data'!$M$3:$M$782,('SkYSPark Data_w Will''s Data'!$F$3:$F$782=$B117)*('SkYSPark Data_w Will''s Data'!$B$3:$B$782=$A117)*('SkYSPark Data_w Will''s Data'!$Z$3:$Z$782=FALSE)*('SkYSPark Data_w Will''s Data'!$D$3:$D$782="Main Campus")))</f>
        <v>#VALUE!</v>
      </c>
      <c r="D117" s="231" t="e" cm="1" vm="1">
        <f t="array" ref="D117">MEDIAN(_xlfn._xlws.FILTER('SkYSPark Data_w Will''s Data'!$N$3:$N$782,('SkYSPark Data_w Will''s Data'!$F$3:$F$782=$B117)*('SkYSPark Data_w Will''s Data'!$B$3:$B$782=$A117)*('SkYSPark Data_w Will''s Data'!$N$3:$N$782&gt;0)*('SkYSPark Data_w Will''s Data'!$D$3:$D$782="Main Campus")))</f>
        <v>#VALUE!</v>
      </c>
      <c r="E117" s="231" t="e" cm="1" vm="1">
        <f t="array" ref="E117">MEDIAN(_xlfn._xlws.FILTER('SkYSPark Data_w Will''s Data'!$O$3:$O$782,('SkYSPark Data_w Will''s Data'!$F$3:$F$782=$B117)*('SkYSPark Data_w Will''s Data'!$B$3:$B$782=$A117)*('SkYSPark Data_w Will''s Data'!$AA$3:$AA$782=FALSE)*('SkYSPark Data_w Will''s Data'!$D$3:$D$782="Main Campus")))</f>
        <v>#VALUE!</v>
      </c>
      <c r="F117" s="231" t="e" cm="1" vm="1">
        <f t="array" ref="F117">MEDIAN(_xlfn._xlws.FILTER('SkYSPark Data_w Will''s Data'!$P$3:$P$782,('SkYSPark Data_w Will''s Data'!$F$3:$F$782=$B117)*('SkYSPark Data_w Will''s Data'!$B$3:$B$782=$A117)*('SkYSPark Data_w Will''s Data'!$AB$3:$AB$782=FALSE)*('SkYSPark Data_w Will''s Data'!$D$3:$D$782="Main Campus")))</f>
        <v>#VALUE!</v>
      </c>
      <c r="H117" t="e" cm="1" vm="1">
        <f t="array" ref="H117">MEDIAN(_xlfn._xlws.FILTER('SkYSPark Data_w Will''s Data'!$M$3:$M$782,('SkYSPark Data_w Will''s Data'!$F$3:$F$782=$B117)*('SkYSPark Data_w Will''s Data'!$B$3:$B$782=$A117)*('SkYSPark Data_w Will''s Data'!$Z$3:$Z$782=FALSE)*('SkYSPark Data_w Will''s Data'!$D$3:$D$782&lt;&gt;"Main Campus")))</f>
        <v>#VALUE!</v>
      </c>
      <c r="I117" t="e" cm="1" vm="1">
        <f t="array" ref="I117">MEDIAN(_xlfn._xlws.FILTER('SkYSPark Data_w Will''s Data'!$N$3:$N$782,('SkYSPark Data_w Will''s Data'!$F$3:$F$782=$B117)*('SkYSPark Data_w Will''s Data'!$B$3:$B$782=$A117)*('SkYSPark Data_w Will''s Data'!$N$3:$N$782&gt;0)*('SkYSPark Data_w Will''s Data'!$D$3:$D$782&lt;&gt;"Main Campus")))</f>
        <v>#VALUE!</v>
      </c>
    </row>
    <row r="118" spans="1:9" x14ac:dyDescent="0.3">
      <c r="A118" s="3">
        <v>8</v>
      </c>
      <c r="B118" s="3" t="s">
        <v>143</v>
      </c>
      <c r="C118" s="231" t="e" cm="1" vm="1">
        <f t="array" ref="C118">MEDIAN(_xlfn._xlws.FILTER('SkYSPark Data_w Will''s Data'!$M$3:$M$782,('SkYSPark Data_w Will''s Data'!$F$3:$F$782=$B118)*('SkYSPark Data_w Will''s Data'!$B$3:$B$782=$A118)*('SkYSPark Data_w Will''s Data'!$Z$3:$Z$782=FALSE)*('SkYSPark Data_w Will''s Data'!$D$3:$D$782="Main Campus")))</f>
        <v>#VALUE!</v>
      </c>
      <c r="D118" s="231" t="e" cm="1" vm="1">
        <f t="array" ref="D118">MEDIAN(_xlfn._xlws.FILTER('SkYSPark Data_w Will''s Data'!$N$3:$N$782,('SkYSPark Data_w Will''s Data'!$F$3:$F$782=$B118)*('SkYSPark Data_w Will''s Data'!$B$3:$B$782=$A118)*('SkYSPark Data_w Will''s Data'!$N$3:$N$782&gt;0)*('SkYSPark Data_w Will''s Data'!$D$3:$D$782="Main Campus")))</f>
        <v>#VALUE!</v>
      </c>
      <c r="E118" s="231" t="e" cm="1" vm="1">
        <f t="array" ref="E118">MEDIAN(_xlfn._xlws.FILTER('SkYSPark Data_w Will''s Data'!$O$3:$O$782,('SkYSPark Data_w Will''s Data'!$F$3:$F$782=$B118)*('SkYSPark Data_w Will''s Data'!$B$3:$B$782=$A118)*('SkYSPark Data_w Will''s Data'!$AA$3:$AA$782=FALSE)*('SkYSPark Data_w Will''s Data'!$D$3:$D$782="Main Campus")))</f>
        <v>#VALUE!</v>
      </c>
      <c r="F118" s="231" t="e" cm="1" vm="1">
        <f t="array" ref="F118">MEDIAN(_xlfn._xlws.FILTER('SkYSPark Data_w Will''s Data'!$P$3:$P$782,('SkYSPark Data_w Will''s Data'!$F$3:$F$782=$B118)*('SkYSPark Data_w Will''s Data'!$B$3:$B$782=$A118)*('SkYSPark Data_w Will''s Data'!$AB$3:$AB$782=FALSE)*('SkYSPark Data_w Will''s Data'!$D$3:$D$782="Main Campus")))</f>
        <v>#VALUE!</v>
      </c>
      <c r="H118" t="e" cm="1" vm="1">
        <f t="array" ref="H118">MEDIAN(_xlfn._xlws.FILTER('SkYSPark Data_w Will''s Data'!$M$3:$M$782,('SkYSPark Data_w Will''s Data'!$F$3:$F$782=$B118)*('SkYSPark Data_w Will''s Data'!$B$3:$B$782=$A118)*('SkYSPark Data_w Will''s Data'!$Z$3:$Z$782=FALSE)*('SkYSPark Data_w Will''s Data'!$D$3:$D$782&lt;&gt;"Main Campus")))</f>
        <v>#VALUE!</v>
      </c>
      <c r="I118" t="e" cm="1" vm="1">
        <f t="array" ref="I118">MEDIAN(_xlfn._xlws.FILTER('SkYSPark Data_w Will''s Data'!$N$3:$N$782,('SkYSPark Data_w Will''s Data'!$F$3:$F$782=$B118)*('SkYSPark Data_w Will''s Data'!$B$3:$B$782=$A118)*('SkYSPark Data_w Will''s Data'!$N$3:$N$782&gt;0)*('SkYSPark Data_w Will''s Data'!$D$3:$D$782&lt;&gt;"Main Campus")))</f>
        <v>#VALUE!</v>
      </c>
    </row>
    <row r="119" spans="1:9" x14ac:dyDescent="0.3">
      <c r="A119" s="3">
        <v>9</v>
      </c>
      <c r="B119" s="3" t="s">
        <v>143</v>
      </c>
      <c r="C119" s="231" t="e" cm="1" vm="1">
        <f t="array" ref="C119">MEDIAN(_xlfn._xlws.FILTER('SkYSPark Data_w Will''s Data'!$M$3:$M$782,('SkYSPark Data_w Will''s Data'!$F$3:$F$782=$B119)*('SkYSPark Data_w Will''s Data'!$B$3:$B$782=$A119)*('SkYSPark Data_w Will''s Data'!$Z$3:$Z$782=FALSE)*('SkYSPark Data_w Will''s Data'!$D$3:$D$782="Main Campus")))</f>
        <v>#VALUE!</v>
      </c>
      <c r="D119" s="231" t="e" cm="1" vm="1">
        <f t="array" ref="D119">MEDIAN(_xlfn._xlws.FILTER('SkYSPark Data_w Will''s Data'!$N$3:$N$782,('SkYSPark Data_w Will''s Data'!$F$3:$F$782=$B119)*('SkYSPark Data_w Will''s Data'!$B$3:$B$782=$A119)*('SkYSPark Data_w Will''s Data'!$N$3:$N$782&gt;0)*('SkYSPark Data_w Will''s Data'!$D$3:$D$782="Main Campus")))</f>
        <v>#VALUE!</v>
      </c>
      <c r="E119" s="231" t="e" cm="1" vm="1">
        <f t="array" ref="E119">MEDIAN(_xlfn._xlws.FILTER('SkYSPark Data_w Will''s Data'!$O$3:$O$782,('SkYSPark Data_w Will''s Data'!$F$3:$F$782=$B119)*('SkYSPark Data_w Will''s Data'!$B$3:$B$782=$A119)*('SkYSPark Data_w Will''s Data'!$AA$3:$AA$782=FALSE)*('SkYSPark Data_w Will''s Data'!$D$3:$D$782="Main Campus")))</f>
        <v>#VALUE!</v>
      </c>
      <c r="F119" s="231" t="e" cm="1" vm="1">
        <f t="array" ref="F119">MEDIAN(_xlfn._xlws.FILTER('SkYSPark Data_w Will''s Data'!$P$3:$P$782,('SkYSPark Data_w Will''s Data'!$F$3:$F$782=$B119)*('SkYSPark Data_w Will''s Data'!$B$3:$B$782=$A119)*('SkYSPark Data_w Will''s Data'!$AB$3:$AB$782=FALSE)*('SkYSPark Data_w Will''s Data'!$D$3:$D$782="Main Campus")))</f>
        <v>#VALUE!</v>
      </c>
      <c r="H119" t="e" cm="1" vm="1">
        <f t="array" ref="H119">MEDIAN(_xlfn._xlws.FILTER('SkYSPark Data_w Will''s Data'!$M$3:$M$782,('SkYSPark Data_w Will''s Data'!$F$3:$F$782=$B119)*('SkYSPark Data_w Will''s Data'!$B$3:$B$782=$A119)*('SkYSPark Data_w Will''s Data'!$Z$3:$Z$782=FALSE)*('SkYSPark Data_w Will''s Data'!$D$3:$D$782&lt;&gt;"Main Campus")))</f>
        <v>#VALUE!</v>
      </c>
      <c r="I119" t="e" cm="1" vm="1">
        <f t="array" ref="I119">MEDIAN(_xlfn._xlws.FILTER('SkYSPark Data_w Will''s Data'!$N$3:$N$782,('SkYSPark Data_w Will''s Data'!$F$3:$F$782=$B119)*('SkYSPark Data_w Will''s Data'!$B$3:$B$782=$A119)*('SkYSPark Data_w Will''s Data'!$N$3:$N$782&gt;0)*('SkYSPark Data_w Will''s Data'!$D$3:$D$782&lt;&gt;"Main Campus")))</f>
        <v>#VALUE!</v>
      </c>
    </row>
    <row r="120" spans="1:9" x14ac:dyDescent="0.3">
      <c r="A120" s="3">
        <v>10</v>
      </c>
      <c r="B120" s="3" t="s">
        <v>143</v>
      </c>
      <c r="C120" s="231" t="e" cm="1" vm="1">
        <f t="array" ref="C120">MEDIAN(_xlfn._xlws.FILTER('SkYSPark Data_w Will''s Data'!$M$3:$M$782,('SkYSPark Data_w Will''s Data'!$F$3:$F$782=$B120)*('SkYSPark Data_w Will''s Data'!$B$3:$B$782=$A120)*('SkYSPark Data_w Will''s Data'!$Z$3:$Z$782=FALSE)*('SkYSPark Data_w Will''s Data'!$D$3:$D$782="Main Campus")))</f>
        <v>#VALUE!</v>
      </c>
      <c r="D120" s="231" t="e" cm="1" vm="1">
        <f t="array" ref="D120">MEDIAN(_xlfn._xlws.FILTER('SkYSPark Data_w Will''s Data'!$N$3:$N$782,('SkYSPark Data_w Will''s Data'!$F$3:$F$782=$B120)*('SkYSPark Data_w Will''s Data'!$B$3:$B$782=$A120)*('SkYSPark Data_w Will''s Data'!$N$3:$N$782&gt;0)*('SkYSPark Data_w Will''s Data'!$D$3:$D$782="Main Campus")))</f>
        <v>#VALUE!</v>
      </c>
      <c r="E120" s="231" t="e" cm="1" vm="1">
        <f t="array" ref="E120">MEDIAN(_xlfn._xlws.FILTER('SkYSPark Data_w Will''s Data'!$O$3:$O$782,('SkYSPark Data_w Will''s Data'!$F$3:$F$782=$B120)*('SkYSPark Data_w Will''s Data'!$B$3:$B$782=$A120)*('SkYSPark Data_w Will''s Data'!$AA$3:$AA$782=FALSE)*('SkYSPark Data_w Will''s Data'!$D$3:$D$782="Main Campus")))</f>
        <v>#VALUE!</v>
      </c>
      <c r="F120" s="231" t="e" cm="1" vm="1">
        <f t="array" ref="F120">MEDIAN(_xlfn._xlws.FILTER('SkYSPark Data_w Will''s Data'!$P$3:$P$782,('SkYSPark Data_w Will''s Data'!$F$3:$F$782=$B120)*('SkYSPark Data_w Will''s Data'!$B$3:$B$782=$A120)*('SkYSPark Data_w Will''s Data'!$AB$3:$AB$782=FALSE)*('SkYSPark Data_w Will''s Data'!$D$3:$D$782="Main Campus")))</f>
        <v>#VALUE!</v>
      </c>
      <c r="H120" t="e" cm="1" vm="1">
        <f t="array" ref="H120">MEDIAN(_xlfn._xlws.FILTER('SkYSPark Data_w Will''s Data'!$M$3:$M$782,('SkYSPark Data_w Will''s Data'!$F$3:$F$782=$B120)*('SkYSPark Data_w Will''s Data'!$B$3:$B$782=$A120)*('SkYSPark Data_w Will''s Data'!$Z$3:$Z$782=FALSE)*('SkYSPark Data_w Will''s Data'!$D$3:$D$782&lt;&gt;"Main Campus")))</f>
        <v>#VALUE!</v>
      </c>
      <c r="I120" t="e" cm="1" vm="1">
        <f t="array" ref="I120">MEDIAN(_xlfn._xlws.FILTER('SkYSPark Data_w Will''s Data'!$N$3:$N$782,('SkYSPark Data_w Will''s Data'!$F$3:$F$782=$B120)*('SkYSPark Data_w Will''s Data'!$B$3:$B$782=$A120)*('SkYSPark Data_w Will''s Data'!$N$3:$N$782&gt;0)*('SkYSPark Data_w Will''s Data'!$D$3:$D$782&lt;&gt;"Main Campus")))</f>
        <v>#VALUE!</v>
      </c>
    </row>
    <row r="121" spans="1:9" x14ac:dyDescent="0.3">
      <c r="A121" s="3">
        <v>11</v>
      </c>
      <c r="B121" s="3" t="s">
        <v>143</v>
      </c>
      <c r="C121" s="231" t="e" cm="1" vm="1">
        <f t="array" ref="C121">MEDIAN(_xlfn._xlws.FILTER('SkYSPark Data_w Will''s Data'!$M$3:$M$782,('SkYSPark Data_w Will''s Data'!$F$3:$F$782=$B121)*('SkYSPark Data_w Will''s Data'!$B$3:$B$782=$A121)*('SkYSPark Data_w Will''s Data'!$Z$3:$Z$782=FALSE)*('SkYSPark Data_w Will''s Data'!$D$3:$D$782="Main Campus")))</f>
        <v>#VALUE!</v>
      </c>
      <c r="D121" s="231" t="e" cm="1" vm="1">
        <f t="array" ref="D121">MEDIAN(_xlfn._xlws.FILTER('SkYSPark Data_w Will''s Data'!$N$3:$N$782,('SkYSPark Data_w Will''s Data'!$F$3:$F$782=$B121)*('SkYSPark Data_w Will''s Data'!$B$3:$B$782=$A121)*('SkYSPark Data_w Will''s Data'!$N$3:$N$782&gt;0)*('SkYSPark Data_w Will''s Data'!$D$3:$D$782="Main Campus")))</f>
        <v>#VALUE!</v>
      </c>
      <c r="E121" s="231" t="e" cm="1" vm="1">
        <f t="array" ref="E121">MEDIAN(_xlfn._xlws.FILTER('SkYSPark Data_w Will''s Data'!$O$3:$O$782,('SkYSPark Data_w Will''s Data'!$F$3:$F$782=$B121)*('SkYSPark Data_w Will''s Data'!$B$3:$B$782=$A121)*('SkYSPark Data_w Will''s Data'!$AA$3:$AA$782=FALSE)*('SkYSPark Data_w Will''s Data'!$D$3:$D$782="Main Campus")))</f>
        <v>#VALUE!</v>
      </c>
      <c r="F121" s="231" t="e" cm="1" vm="1">
        <f t="array" ref="F121">MEDIAN(_xlfn._xlws.FILTER('SkYSPark Data_w Will''s Data'!$P$3:$P$782,('SkYSPark Data_w Will''s Data'!$F$3:$F$782=$B121)*('SkYSPark Data_w Will''s Data'!$B$3:$B$782=$A121)*('SkYSPark Data_w Will''s Data'!$AB$3:$AB$782=FALSE)*('SkYSPark Data_w Will''s Data'!$D$3:$D$782="Main Campus")))</f>
        <v>#VALUE!</v>
      </c>
      <c r="H121" t="e" cm="1" vm="1">
        <f t="array" ref="H121">MEDIAN(_xlfn._xlws.FILTER('SkYSPark Data_w Will''s Data'!$M$3:$M$782,('SkYSPark Data_w Will''s Data'!$F$3:$F$782=$B121)*('SkYSPark Data_w Will''s Data'!$B$3:$B$782=$A121)*('SkYSPark Data_w Will''s Data'!$Z$3:$Z$782=FALSE)*('SkYSPark Data_w Will''s Data'!$D$3:$D$782&lt;&gt;"Main Campus")))</f>
        <v>#VALUE!</v>
      </c>
      <c r="I121" t="e" cm="1" vm="1">
        <f t="array" ref="I121">MEDIAN(_xlfn._xlws.FILTER('SkYSPark Data_w Will''s Data'!$N$3:$N$782,('SkYSPark Data_w Will''s Data'!$F$3:$F$782=$B121)*('SkYSPark Data_w Will''s Data'!$B$3:$B$782=$A121)*('SkYSPark Data_w Will''s Data'!$N$3:$N$782&gt;0)*('SkYSPark Data_w Will''s Data'!$D$3:$D$782&lt;&gt;"Main Campus")))</f>
        <v>#VALUE!</v>
      </c>
    </row>
    <row r="122" spans="1:9" x14ac:dyDescent="0.3">
      <c r="A122" s="3">
        <v>12</v>
      </c>
      <c r="B122" s="3" t="s">
        <v>143</v>
      </c>
      <c r="C122" s="231" t="e" cm="1" vm="1">
        <f t="array" ref="C122">MEDIAN(_xlfn._xlws.FILTER('SkYSPark Data_w Will''s Data'!$M$3:$M$782,('SkYSPark Data_w Will''s Data'!$F$3:$F$782=$B122)*('SkYSPark Data_w Will''s Data'!$B$3:$B$782=$A122)*('SkYSPark Data_w Will''s Data'!$Z$3:$Z$782=FALSE)*('SkYSPark Data_w Will''s Data'!$D$3:$D$782="Main Campus")))</f>
        <v>#VALUE!</v>
      </c>
      <c r="D122" s="231" t="e" cm="1" vm="1">
        <f t="array" ref="D122">MEDIAN(_xlfn._xlws.FILTER('SkYSPark Data_w Will''s Data'!$N$3:$N$782,('SkYSPark Data_w Will''s Data'!$F$3:$F$782=$B122)*('SkYSPark Data_w Will''s Data'!$B$3:$B$782=$A122)*('SkYSPark Data_w Will''s Data'!$N$3:$N$782&gt;0)*('SkYSPark Data_w Will''s Data'!$D$3:$D$782="Main Campus")))</f>
        <v>#VALUE!</v>
      </c>
      <c r="E122" s="231" t="e" cm="1" vm="1">
        <f t="array" ref="E122">MEDIAN(_xlfn._xlws.FILTER('SkYSPark Data_w Will''s Data'!$O$3:$O$782,('SkYSPark Data_w Will''s Data'!$F$3:$F$782=$B122)*('SkYSPark Data_w Will''s Data'!$B$3:$B$782=$A122)*('SkYSPark Data_w Will''s Data'!$AA$3:$AA$782=FALSE)*('SkYSPark Data_w Will''s Data'!$D$3:$D$782="Main Campus")))</f>
        <v>#VALUE!</v>
      </c>
      <c r="F122" s="231" t="e" cm="1" vm="1">
        <f t="array" ref="F122">MEDIAN(_xlfn._xlws.FILTER('SkYSPark Data_w Will''s Data'!$P$3:$P$782,('SkYSPark Data_w Will''s Data'!$F$3:$F$782=$B122)*('SkYSPark Data_w Will''s Data'!$B$3:$B$782=$A122)*('SkYSPark Data_w Will''s Data'!$AB$3:$AB$782=FALSE)*('SkYSPark Data_w Will''s Data'!$D$3:$D$782="Main Campus")))</f>
        <v>#VALUE!</v>
      </c>
      <c r="H122" t="e" cm="1" vm="1">
        <f t="array" ref="H122">MEDIAN(_xlfn._xlws.FILTER('SkYSPark Data_w Will''s Data'!$M$3:$M$782,('SkYSPark Data_w Will''s Data'!$F$3:$F$782=$B122)*('SkYSPark Data_w Will''s Data'!$B$3:$B$782=$A122)*('SkYSPark Data_w Will''s Data'!$Z$3:$Z$782=FALSE)*('SkYSPark Data_w Will''s Data'!$D$3:$D$782&lt;&gt;"Main Campus")))</f>
        <v>#VALUE!</v>
      </c>
      <c r="I122" t="e" cm="1" vm="1">
        <f t="array" ref="I122">MEDIAN(_xlfn._xlws.FILTER('SkYSPark Data_w Will''s Data'!$N$3:$N$782,('SkYSPark Data_w Will''s Data'!$F$3:$F$782=$B122)*('SkYSPark Data_w Will''s Data'!$B$3:$B$782=$A122)*('SkYSPark Data_w Will''s Data'!$N$3:$N$782&gt;0)*('SkYSPark Data_w Will''s Data'!$D$3:$D$782&lt;&gt;"Main Campus")))</f>
        <v>#VALUE!</v>
      </c>
    </row>
    <row r="123" spans="1:9" x14ac:dyDescent="0.3">
      <c r="A123" s="3">
        <v>1</v>
      </c>
      <c r="B123" s="3" t="s">
        <v>136</v>
      </c>
      <c r="C123" s="231" t="e" cm="1" vm="1">
        <f t="array" ref="C123">MEDIAN(_xlfn._xlws.FILTER('SkYSPark Data_w Will''s Data'!$M$3:$M$782,('SkYSPark Data_w Will''s Data'!$F$3:$F$782=$B123)*('SkYSPark Data_w Will''s Data'!$B$3:$B$782=$A123)*('SkYSPark Data_w Will''s Data'!$Z$3:$Z$782=FALSE)*('SkYSPark Data_w Will''s Data'!$D$3:$D$782="Main Campus")))</f>
        <v>#VALUE!</v>
      </c>
      <c r="D123" s="231" t="e" cm="1" vm="1">
        <f t="array" ref="D123">MEDIAN(_xlfn._xlws.FILTER('SkYSPark Data_w Will''s Data'!$N$3:$N$782,('SkYSPark Data_w Will''s Data'!$F$3:$F$782=$B123)*('SkYSPark Data_w Will''s Data'!$B$3:$B$782=$A123)*('SkYSPark Data_w Will''s Data'!$N$3:$N$782&gt;0)*('SkYSPark Data_w Will''s Data'!$D$3:$D$782="Main Campus")))</f>
        <v>#VALUE!</v>
      </c>
      <c r="E123" s="231" t="e" cm="1" vm="1">
        <f t="array" ref="E123">MEDIAN(_xlfn._xlws.FILTER('SkYSPark Data_w Will''s Data'!$O$3:$O$782,('SkYSPark Data_w Will''s Data'!$F$3:$F$782=$B123)*('SkYSPark Data_w Will''s Data'!$B$3:$B$782=$A123)*('SkYSPark Data_w Will''s Data'!$AA$3:$AA$782=FALSE)*('SkYSPark Data_w Will''s Data'!$D$3:$D$782="Main Campus")))</f>
        <v>#VALUE!</v>
      </c>
      <c r="F123" s="231" t="e" cm="1" vm="1">
        <f t="array" ref="F123">MEDIAN(_xlfn._xlws.FILTER('SkYSPark Data_w Will''s Data'!$P$3:$P$782,('SkYSPark Data_w Will''s Data'!$F$3:$F$782=$B123)*('SkYSPark Data_w Will''s Data'!$B$3:$B$782=$A123)*('SkYSPark Data_w Will''s Data'!$AB$3:$AB$782=FALSE)*('SkYSPark Data_w Will''s Data'!$D$3:$D$782="Main Campus")))</f>
        <v>#VALUE!</v>
      </c>
      <c r="H123" cm="1">
        <f t="array" ref="H123">MEDIAN(_xlfn._xlws.FILTER('SkYSPark Data_w Will''s Data'!$M$3:$M$782,('SkYSPark Data_w Will''s Data'!$F$3:$F$782=$B123)*('SkYSPark Data_w Will''s Data'!$B$3:$B$782=$A123)*('SkYSPark Data_w Will''s Data'!$Z$3:$Z$782=FALSE)*('SkYSPark Data_w Will''s Data'!$D$3:$D$782&lt;&gt;"Main Campus")))</f>
        <v>5.1059821536106762</v>
      </c>
      <c r="I123" t="e" cm="1" vm="1">
        <f t="array" ref="I123">MEDIAN(_xlfn._xlws.FILTER('SkYSPark Data_w Will''s Data'!$N$3:$N$782,('SkYSPark Data_w Will''s Data'!$F$3:$F$782=$B123)*('SkYSPark Data_w Will''s Data'!$B$3:$B$782=$A123)*('SkYSPark Data_w Will''s Data'!$N$3:$N$782&gt;0)*('SkYSPark Data_w Will''s Data'!$D$3:$D$782&lt;&gt;"Main Campus")))</f>
        <v>#VALUE!</v>
      </c>
    </row>
    <row r="124" spans="1:9" x14ac:dyDescent="0.3">
      <c r="A124" s="3">
        <v>2</v>
      </c>
      <c r="B124" s="3" t="s">
        <v>136</v>
      </c>
      <c r="C124" s="231" t="e" cm="1" vm="1">
        <f t="array" ref="C124">MEDIAN(_xlfn._xlws.FILTER('SkYSPark Data_w Will''s Data'!$M$3:$M$782,('SkYSPark Data_w Will''s Data'!$F$3:$F$782=$B124)*('SkYSPark Data_w Will''s Data'!$B$3:$B$782=$A124)*('SkYSPark Data_w Will''s Data'!$Z$3:$Z$782=FALSE)*('SkYSPark Data_w Will''s Data'!$D$3:$D$782="Main Campus")))</f>
        <v>#VALUE!</v>
      </c>
      <c r="D124" s="231" t="e" cm="1" vm="1">
        <f t="array" ref="D124">MEDIAN(_xlfn._xlws.FILTER('SkYSPark Data_w Will''s Data'!$N$3:$N$782,('SkYSPark Data_w Will''s Data'!$F$3:$F$782=$B124)*('SkYSPark Data_w Will''s Data'!$B$3:$B$782=$A124)*('SkYSPark Data_w Will''s Data'!$N$3:$N$782&gt;0)*('SkYSPark Data_w Will''s Data'!$D$3:$D$782="Main Campus")))</f>
        <v>#VALUE!</v>
      </c>
      <c r="E124" s="231" t="e" cm="1" vm="1">
        <f t="array" ref="E124">MEDIAN(_xlfn._xlws.FILTER('SkYSPark Data_w Will''s Data'!$O$3:$O$782,('SkYSPark Data_w Will''s Data'!$F$3:$F$782=$B124)*('SkYSPark Data_w Will''s Data'!$B$3:$B$782=$A124)*('SkYSPark Data_w Will''s Data'!$AA$3:$AA$782=FALSE)*('SkYSPark Data_w Will''s Data'!$D$3:$D$782="Main Campus")))</f>
        <v>#VALUE!</v>
      </c>
      <c r="F124" s="231" t="e" cm="1" vm="1">
        <f t="array" ref="F124">MEDIAN(_xlfn._xlws.FILTER('SkYSPark Data_w Will''s Data'!$P$3:$P$782,('SkYSPark Data_w Will''s Data'!$F$3:$F$782=$B124)*('SkYSPark Data_w Will''s Data'!$B$3:$B$782=$A124)*('SkYSPark Data_w Will''s Data'!$AB$3:$AB$782=FALSE)*('SkYSPark Data_w Will''s Data'!$D$3:$D$782="Main Campus")))</f>
        <v>#VALUE!</v>
      </c>
      <c r="H124" cm="1">
        <f t="array" ref="H124">MEDIAN(_xlfn._xlws.FILTER('SkYSPark Data_w Will''s Data'!$M$3:$M$782,('SkYSPark Data_w Will''s Data'!$F$3:$F$782=$B124)*('SkYSPark Data_w Will''s Data'!$B$3:$B$782=$A124)*('SkYSPark Data_w Will''s Data'!$Z$3:$Z$782=FALSE)*('SkYSPark Data_w Will''s Data'!$D$3:$D$782&lt;&gt;"Main Campus")))</f>
        <v>8.8686360692285735</v>
      </c>
      <c r="I124" t="e" cm="1" vm="1">
        <f t="array" ref="I124">MEDIAN(_xlfn._xlws.FILTER('SkYSPark Data_w Will''s Data'!$N$3:$N$782,('SkYSPark Data_w Will''s Data'!$F$3:$F$782=$B124)*('SkYSPark Data_w Will''s Data'!$B$3:$B$782=$A124)*('SkYSPark Data_w Will''s Data'!$N$3:$N$782&gt;0)*('SkYSPark Data_w Will''s Data'!$D$3:$D$782&lt;&gt;"Main Campus")))</f>
        <v>#VALUE!</v>
      </c>
    </row>
    <row r="125" spans="1:9" x14ac:dyDescent="0.3">
      <c r="A125" s="3">
        <v>3</v>
      </c>
      <c r="B125" s="3" t="s">
        <v>136</v>
      </c>
      <c r="C125" s="231" t="e" cm="1" vm="1">
        <f t="array" ref="C125">MEDIAN(_xlfn._xlws.FILTER('SkYSPark Data_w Will''s Data'!$M$3:$M$782,('SkYSPark Data_w Will''s Data'!$F$3:$F$782=$B125)*('SkYSPark Data_w Will''s Data'!$B$3:$B$782=$A125)*('SkYSPark Data_w Will''s Data'!$Z$3:$Z$782=FALSE)*('SkYSPark Data_w Will''s Data'!$D$3:$D$782="Main Campus")))</f>
        <v>#VALUE!</v>
      </c>
      <c r="D125" s="231" t="e" cm="1" vm="1">
        <f t="array" ref="D125">MEDIAN(_xlfn._xlws.FILTER('SkYSPark Data_w Will''s Data'!$N$3:$N$782,('SkYSPark Data_w Will''s Data'!$F$3:$F$782=$B125)*('SkYSPark Data_w Will''s Data'!$B$3:$B$782=$A125)*('SkYSPark Data_w Will''s Data'!$N$3:$N$782&gt;0)*('SkYSPark Data_w Will''s Data'!$D$3:$D$782="Main Campus")))</f>
        <v>#VALUE!</v>
      </c>
      <c r="E125" s="231" t="e" cm="1" vm="1">
        <f t="array" ref="E125">MEDIAN(_xlfn._xlws.FILTER('SkYSPark Data_w Will''s Data'!$O$3:$O$782,('SkYSPark Data_w Will''s Data'!$F$3:$F$782=$B125)*('SkYSPark Data_w Will''s Data'!$B$3:$B$782=$A125)*('SkYSPark Data_w Will''s Data'!$AA$3:$AA$782=FALSE)*('SkYSPark Data_w Will''s Data'!$D$3:$D$782="Main Campus")))</f>
        <v>#VALUE!</v>
      </c>
      <c r="F125" s="231" t="e" cm="1" vm="1">
        <f t="array" ref="F125">MEDIAN(_xlfn._xlws.FILTER('SkYSPark Data_w Will''s Data'!$P$3:$P$782,('SkYSPark Data_w Will''s Data'!$F$3:$F$782=$B125)*('SkYSPark Data_w Will''s Data'!$B$3:$B$782=$A125)*('SkYSPark Data_w Will''s Data'!$AB$3:$AB$782=FALSE)*('SkYSPark Data_w Will''s Data'!$D$3:$D$782="Main Campus")))</f>
        <v>#VALUE!</v>
      </c>
      <c r="H125" cm="1">
        <f t="array" ref="H125">MEDIAN(_xlfn._xlws.FILTER('SkYSPark Data_w Will''s Data'!$M$3:$M$782,('SkYSPark Data_w Will''s Data'!$F$3:$F$782=$B125)*('SkYSPark Data_w Will''s Data'!$B$3:$B$782=$A125)*('SkYSPark Data_w Will''s Data'!$Z$3:$Z$782=FALSE)*('SkYSPark Data_w Will''s Data'!$D$3:$D$782&lt;&gt;"Main Campus")))</f>
        <v>7.936194149235023</v>
      </c>
      <c r="I125" t="e" cm="1" vm="1">
        <f t="array" ref="I125">MEDIAN(_xlfn._xlws.FILTER('SkYSPark Data_w Will''s Data'!$N$3:$N$782,('SkYSPark Data_w Will''s Data'!$F$3:$F$782=$B125)*('SkYSPark Data_w Will''s Data'!$B$3:$B$782=$A125)*('SkYSPark Data_w Will''s Data'!$N$3:$N$782&gt;0)*('SkYSPark Data_w Will''s Data'!$D$3:$D$782&lt;&gt;"Main Campus")))</f>
        <v>#VALUE!</v>
      </c>
    </row>
    <row r="126" spans="1:9" x14ac:dyDescent="0.3">
      <c r="A126" s="3">
        <v>4</v>
      </c>
      <c r="B126" s="3" t="s">
        <v>136</v>
      </c>
      <c r="C126" s="231" t="e" cm="1" vm="1">
        <f t="array" ref="C126">MEDIAN(_xlfn._xlws.FILTER('SkYSPark Data_w Will''s Data'!$M$3:$M$782,('SkYSPark Data_w Will''s Data'!$F$3:$F$782=$B126)*('SkYSPark Data_w Will''s Data'!$B$3:$B$782=$A126)*('SkYSPark Data_w Will''s Data'!$Z$3:$Z$782=FALSE)*('SkYSPark Data_w Will''s Data'!$D$3:$D$782="Main Campus")))</f>
        <v>#VALUE!</v>
      </c>
      <c r="D126" s="231" t="e" cm="1" vm="1">
        <f t="array" ref="D126">MEDIAN(_xlfn._xlws.FILTER('SkYSPark Data_w Will''s Data'!$N$3:$N$782,('SkYSPark Data_w Will''s Data'!$F$3:$F$782=$B126)*('SkYSPark Data_w Will''s Data'!$B$3:$B$782=$A126)*('SkYSPark Data_w Will''s Data'!$N$3:$N$782&gt;0)*('SkYSPark Data_w Will''s Data'!$D$3:$D$782="Main Campus")))</f>
        <v>#VALUE!</v>
      </c>
      <c r="E126" s="231" t="e" cm="1" vm="1">
        <f t="array" ref="E126">MEDIAN(_xlfn._xlws.FILTER('SkYSPark Data_w Will''s Data'!$O$3:$O$782,('SkYSPark Data_w Will''s Data'!$F$3:$F$782=$B126)*('SkYSPark Data_w Will''s Data'!$B$3:$B$782=$A126)*('SkYSPark Data_w Will''s Data'!$AA$3:$AA$782=FALSE)*('SkYSPark Data_w Will''s Data'!$D$3:$D$782="Main Campus")))</f>
        <v>#VALUE!</v>
      </c>
      <c r="F126" s="231" t="e" cm="1" vm="1">
        <f t="array" ref="F126">MEDIAN(_xlfn._xlws.FILTER('SkYSPark Data_w Will''s Data'!$P$3:$P$782,('SkYSPark Data_w Will''s Data'!$F$3:$F$782=$B126)*('SkYSPark Data_w Will''s Data'!$B$3:$B$782=$A126)*('SkYSPark Data_w Will''s Data'!$AB$3:$AB$782=FALSE)*('SkYSPark Data_w Will''s Data'!$D$3:$D$782="Main Campus")))</f>
        <v>#VALUE!</v>
      </c>
      <c r="H126" cm="1">
        <f t="array" ref="H126">MEDIAN(_xlfn._xlws.FILTER('SkYSPark Data_w Will''s Data'!$M$3:$M$782,('SkYSPark Data_w Will''s Data'!$F$3:$F$782=$B126)*('SkYSPark Data_w Will''s Data'!$B$3:$B$782=$A126)*('SkYSPark Data_w Will''s Data'!$Z$3:$Z$782=FALSE)*('SkYSPark Data_w Will''s Data'!$D$3:$D$782&lt;&gt;"Main Campus")))</f>
        <v>7.4899938857841217</v>
      </c>
      <c r="I126" t="e" cm="1" vm="1">
        <f t="array" ref="I126">MEDIAN(_xlfn._xlws.FILTER('SkYSPark Data_w Will''s Data'!$N$3:$N$782,('SkYSPark Data_w Will''s Data'!$F$3:$F$782=$B126)*('SkYSPark Data_w Will''s Data'!$B$3:$B$782=$A126)*('SkYSPark Data_w Will''s Data'!$N$3:$N$782&gt;0)*('SkYSPark Data_w Will''s Data'!$D$3:$D$782&lt;&gt;"Main Campus")))</f>
        <v>#VALUE!</v>
      </c>
    </row>
    <row r="127" spans="1:9" x14ac:dyDescent="0.3">
      <c r="A127" s="3">
        <v>5</v>
      </c>
      <c r="B127" s="3" t="s">
        <v>136</v>
      </c>
      <c r="C127" s="231" t="e" cm="1" vm="1">
        <f t="array" ref="C127">MEDIAN(_xlfn._xlws.FILTER('SkYSPark Data_w Will''s Data'!$M$3:$M$782,('SkYSPark Data_w Will''s Data'!$F$3:$F$782=$B127)*('SkYSPark Data_w Will''s Data'!$B$3:$B$782=$A127)*('SkYSPark Data_w Will''s Data'!$Z$3:$Z$782=FALSE)*('SkYSPark Data_w Will''s Data'!$D$3:$D$782="Main Campus")))</f>
        <v>#VALUE!</v>
      </c>
      <c r="D127" s="231" t="e" cm="1" vm="1">
        <f t="array" ref="D127">MEDIAN(_xlfn._xlws.FILTER('SkYSPark Data_w Will''s Data'!$N$3:$N$782,('SkYSPark Data_w Will''s Data'!$F$3:$F$782=$B127)*('SkYSPark Data_w Will''s Data'!$B$3:$B$782=$A127)*('SkYSPark Data_w Will''s Data'!$N$3:$N$782&gt;0)*('SkYSPark Data_w Will''s Data'!$D$3:$D$782="Main Campus")))</f>
        <v>#VALUE!</v>
      </c>
      <c r="E127" s="231" t="e" cm="1" vm="1">
        <f t="array" ref="E127">MEDIAN(_xlfn._xlws.FILTER('SkYSPark Data_w Will''s Data'!$O$3:$O$782,('SkYSPark Data_w Will''s Data'!$F$3:$F$782=$B127)*('SkYSPark Data_w Will''s Data'!$B$3:$B$782=$A127)*('SkYSPark Data_w Will''s Data'!$AA$3:$AA$782=FALSE)*('SkYSPark Data_w Will''s Data'!$D$3:$D$782="Main Campus")))</f>
        <v>#VALUE!</v>
      </c>
      <c r="F127" s="231" t="e" cm="1" vm="1">
        <f t="array" ref="F127">MEDIAN(_xlfn._xlws.FILTER('SkYSPark Data_w Will''s Data'!$P$3:$P$782,('SkYSPark Data_w Will''s Data'!$F$3:$F$782=$B127)*('SkYSPark Data_w Will''s Data'!$B$3:$B$782=$A127)*('SkYSPark Data_w Will''s Data'!$AB$3:$AB$782=FALSE)*('SkYSPark Data_w Will''s Data'!$D$3:$D$782="Main Campus")))</f>
        <v>#VALUE!</v>
      </c>
      <c r="H127" cm="1">
        <f t="array" ref="H127">MEDIAN(_xlfn._xlws.FILTER('SkYSPark Data_w Will''s Data'!$M$3:$M$782,('SkYSPark Data_w Will''s Data'!$F$3:$F$782=$B127)*('SkYSPark Data_w Will''s Data'!$B$3:$B$782=$A127)*('SkYSPark Data_w Will''s Data'!$Z$3:$Z$782=FALSE)*('SkYSPark Data_w Will''s Data'!$D$3:$D$782&lt;&gt;"Main Campus")))</f>
        <v>6.9036799280415586</v>
      </c>
      <c r="I127" t="e" cm="1" vm="1">
        <f t="array" ref="I127">MEDIAN(_xlfn._xlws.FILTER('SkYSPark Data_w Will''s Data'!$N$3:$N$782,('SkYSPark Data_w Will''s Data'!$F$3:$F$782=$B127)*('SkYSPark Data_w Will''s Data'!$B$3:$B$782=$A127)*('SkYSPark Data_w Will''s Data'!$N$3:$N$782&gt;0)*('SkYSPark Data_w Will''s Data'!$D$3:$D$782&lt;&gt;"Main Campus")))</f>
        <v>#VALUE!</v>
      </c>
    </row>
    <row r="128" spans="1:9" x14ac:dyDescent="0.3">
      <c r="A128" s="3">
        <v>6</v>
      </c>
      <c r="B128" s="3" t="s">
        <v>136</v>
      </c>
      <c r="C128" s="231" t="e" cm="1" vm="1">
        <f t="array" ref="C128">MEDIAN(_xlfn._xlws.FILTER('SkYSPark Data_w Will''s Data'!$M$3:$M$782,('SkYSPark Data_w Will''s Data'!$F$3:$F$782=$B128)*('SkYSPark Data_w Will''s Data'!$B$3:$B$782=$A128)*('SkYSPark Data_w Will''s Data'!$Z$3:$Z$782=FALSE)*('SkYSPark Data_w Will''s Data'!$D$3:$D$782="Main Campus")))</f>
        <v>#VALUE!</v>
      </c>
      <c r="D128" s="231" t="e" cm="1" vm="1">
        <f t="array" ref="D128">MEDIAN(_xlfn._xlws.FILTER('SkYSPark Data_w Will''s Data'!$N$3:$N$782,('SkYSPark Data_w Will''s Data'!$F$3:$F$782=$B128)*('SkYSPark Data_w Will''s Data'!$B$3:$B$782=$A128)*('SkYSPark Data_w Will''s Data'!$N$3:$N$782&gt;0)*('SkYSPark Data_w Will''s Data'!$D$3:$D$782="Main Campus")))</f>
        <v>#VALUE!</v>
      </c>
      <c r="E128" s="231" t="e" cm="1" vm="1">
        <f t="array" ref="E128">MEDIAN(_xlfn._xlws.FILTER('SkYSPark Data_w Will''s Data'!$O$3:$O$782,('SkYSPark Data_w Will''s Data'!$F$3:$F$782=$B128)*('SkYSPark Data_w Will''s Data'!$B$3:$B$782=$A128)*('SkYSPark Data_w Will''s Data'!$AA$3:$AA$782=FALSE)*('SkYSPark Data_w Will''s Data'!$D$3:$D$782="Main Campus")))</f>
        <v>#VALUE!</v>
      </c>
      <c r="F128" s="231" t="e" cm="1" vm="1">
        <f t="array" ref="F128">MEDIAN(_xlfn._xlws.FILTER('SkYSPark Data_w Will''s Data'!$P$3:$P$782,('SkYSPark Data_w Will''s Data'!$F$3:$F$782=$B128)*('SkYSPark Data_w Will''s Data'!$B$3:$B$782=$A128)*('SkYSPark Data_w Will''s Data'!$AB$3:$AB$782=FALSE)*('SkYSPark Data_w Will''s Data'!$D$3:$D$782="Main Campus")))</f>
        <v>#VALUE!</v>
      </c>
      <c r="H128" cm="1">
        <f t="array" ref="H128">MEDIAN(_xlfn._xlws.FILTER('SkYSPark Data_w Will''s Data'!$M$3:$M$782,('SkYSPark Data_w Will''s Data'!$F$3:$F$782=$B128)*('SkYSPark Data_w Will''s Data'!$B$3:$B$782=$A128)*('SkYSPark Data_w Will''s Data'!$Z$3:$Z$782=FALSE)*('SkYSPark Data_w Will''s Data'!$D$3:$D$782&lt;&gt;"Main Campus")))</f>
        <v>7.1907040173662642</v>
      </c>
      <c r="I128" t="e" cm="1" vm="1">
        <f t="array" ref="I128">MEDIAN(_xlfn._xlws.FILTER('SkYSPark Data_w Will''s Data'!$N$3:$N$782,('SkYSPark Data_w Will''s Data'!$F$3:$F$782=$B128)*('SkYSPark Data_w Will''s Data'!$B$3:$B$782=$A128)*('SkYSPark Data_w Will''s Data'!$N$3:$N$782&gt;0)*('SkYSPark Data_w Will''s Data'!$D$3:$D$782&lt;&gt;"Main Campus")))</f>
        <v>#VALUE!</v>
      </c>
    </row>
    <row r="129" spans="1:9" x14ac:dyDescent="0.3">
      <c r="A129" s="3">
        <v>7</v>
      </c>
      <c r="B129" s="3" t="s">
        <v>136</v>
      </c>
      <c r="C129" s="231" t="e" cm="1" vm="1">
        <f t="array" ref="C129">MEDIAN(_xlfn._xlws.FILTER('SkYSPark Data_w Will''s Data'!$M$3:$M$782,('SkYSPark Data_w Will''s Data'!$F$3:$F$782=$B129)*('SkYSPark Data_w Will''s Data'!$B$3:$B$782=$A129)*('SkYSPark Data_w Will''s Data'!$Z$3:$Z$782=FALSE)*('SkYSPark Data_w Will''s Data'!$D$3:$D$782="Main Campus")))</f>
        <v>#VALUE!</v>
      </c>
      <c r="D129" s="231" t="e" cm="1" vm="1">
        <f t="array" ref="D129">MEDIAN(_xlfn._xlws.FILTER('SkYSPark Data_w Will''s Data'!$N$3:$N$782,('SkYSPark Data_w Will''s Data'!$F$3:$F$782=$B129)*('SkYSPark Data_w Will''s Data'!$B$3:$B$782=$A129)*('SkYSPark Data_w Will''s Data'!$N$3:$N$782&gt;0)*('SkYSPark Data_w Will''s Data'!$D$3:$D$782="Main Campus")))</f>
        <v>#VALUE!</v>
      </c>
      <c r="E129" s="231" t="e" cm="1" vm="1">
        <f t="array" ref="E129">MEDIAN(_xlfn._xlws.FILTER('SkYSPark Data_w Will''s Data'!$O$3:$O$782,('SkYSPark Data_w Will''s Data'!$F$3:$F$782=$B129)*('SkYSPark Data_w Will''s Data'!$B$3:$B$782=$A129)*('SkYSPark Data_w Will''s Data'!$AA$3:$AA$782=FALSE)*('SkYSPark Data_w Will''s Data'!$D$3:$D$782="Main Campus")))</f>
        <v>#VALUE!</v>
      </c>
      <c r="F129" s="231" t="e" cm="1" vm="1">
        <f t="array" ref="F129">MEDIAN(_xlfn._xlws.FILTER('SkYSPark Data_w Will''s Data'!$P$3:$P$782,('SkYSPark Data_w Will''s Data'!$F$3:$F$782=$B129)*('SkYSPark Data_w Will''s Data'!$B$3:$B$782=$A129)*('SkYSPark Data_w Will''s Data'!$AB$3:$AB$782=FALSE)*('SkYSPark Data_w Will''s Data'!$D$3:$D$782="Main Campus")))</f>
        <v>#VALUE!</v>
      </c>
      <c r="H129" cm="1">
        <f t="array" ref="H129">MEDIAN(_xlfn._xlws.FILTER('SkYSPark Data_w Will''s Data'!$M$3:$M$782,('SkYSPark Data_w Will''s Data'!$F$3:$F$782=$B129)*('SkYSPark Data_w Will''s Data'!$B$3:$B$782=$A129)*('SkYSPark Data_w Will''s Data'!$Z$3:$Z$782=FALSE)*('SkYSPark Data_w Will''s Data'!$D$3:$D$782&lt;&gt;"Main Campus")))</f>
        <v>7.4421525961604367</v>
      </c>
      <c r="I129" t="e" cm="1" vm="1">
        <f t="array" ref="I129">MEDIAN(_xlfn._xlws.FILTER('SkYSPark Data_w Will''s Data'!$N$3:$N$782,('SkYSPark Data_w Will''s Data'!$F$3:$F$782=$B129)*('SkYSPark Data_w Will''s Data'!$B$3:$B$782=$A129)*('SkYSPark Data_w Will''s Data'!$N$3:$N$782&gt;0)*('SkYSPark Data_w Will''s Data'!$D$3:$D$782&lt;&gt;"Main Campus")))</f>
        <v>#VALUE!</v>
      </c>
    </row>
    <row r="130" spans="1:9" x14ac:dyDescent="0.3">
      <c r="A130" s="3">
        <v>8</v>
      </c>
      <c r="B130" s="3" t="s">
        <v>136</v>
      </c>
      <c r="C130" s="231" t="e" cm="1" vm="1">
        <f t="array" ref="C130">MEDIAN(_xlfn._xlws.FILTER('SkYSPark Data_w Will''s Data'!$M$3:$M$782,('SkYSPark Data_w Will''s Data'!$F$3:$F$782=$B130)*('SkYSPark Data_w Will''s Data'!$B$3:$B$782=$A130)*('SkYSPark Data_w Will''s Data'!$Z$3:$Z$782=FALSE)*('SkYSPark Data_w Will''s Data'!$D$3:$D$782="Main Campus")))</f>
        <v>#VALUE!</v>
      </c>
      <c r="D130" s="231" t="e" cm="1" vm="1">
        <f t="array" ref="D130">MEDIAN(_xlfn._xlws.FILTER('SkYSPark Data_w Will''s Data'!$N$3:$N$782,('SkYSPark Data_w Will''s Data'!$F$3:$F$782=$B130)*('SkYSPark Data_w Will''s Data'!$B$3:$B$782=$A130)*('SkYSPark Data_w Will''s Data'!$N$3:$N$782&gt;0)*('SkYSPark Data_w Will''s Data'!$D$3:$D$782="Main Campus")))</f>
        <v>#VALUE!</v>
      </c>
      <c r="E130" s="231" t="e" cm="1" vm="1">
        <f t="array" ref="E130">MEDIAN(_xlfn._xlws.FILTER('SkYSPark Data_w Will''s Data'!$O$3:$O$782,('SkYSPark Data_w Will''s Data'!$F$3:$F$782=$B130)*('SkYSPark Data_w Will''s Data'!$B$3:$B$782=$A130)*('SkYSPark Data_w Will''s Data'!$AA$3:$AA$782=FALSE)*('SkYSPark Data_w Will''s Data'!$D$3:$D$782="Main Campus")))</f>
        <v>#VALUE!</v>
      </c>
      <c r="F130" s="231" t="e" cm="1" vm="1">
        <f t="array" ref="F130">MEDIAN(_xlfn._xlws.FILTER('SkYSPark Data_w Will''s Data'!$P$3:$P$782,('SkYSPark Data_w Will''s Data'!$F$3:$F$782=$B130)*('SkYSPark Data_w Will''s Data'!$B$3:$B$782=$A130)*('SkYSPark Data_w Will''s Data'!$AB$3:$AB$782=FALSE)*('SkYSPark Data_w Will''s Data'!$D$3:$D$782="Main Campus")))</f>
        <v>#VALUE!</v>
      </c>
      <c r="H130" cm="1">
        <f t="array" ref="H130">MEDIAN(_xlfn._xlws.FILTER('SkYSPark Data_w Will''s Data'!$M$3:$M$782,('SkYSPark Data_w Will''s Data'!$F$3:$F$782=$B130)*('SkYSPark Data_w Will''s Data'!$B$3:$B$782=$A130)*('SkYSPark Data_w Will''s Data'!$Z$3:$Z$782=FALSE)*('SkYSPark Data_w Will''s Data'!$D$3:$D$782&lt;&gt;"Main Campus")))</f>
        <v>8.6618301186370541</v>
      </c>
      <c r="I130" t="e" cm="1" vm="1">
        <f t="array" ref="I130">MEDIAN(_xlfn._xlws.FILTER('SkYSPark Data_w Will''s Data'!$N$3:$N$782,('SkYSPark Data_w Will''s Data'!$F$3:$F$782=$B130)*('SkYSPark Data_w Will''s Data'!$B$3:$B$782=$A130)*('SkYSPark Data_w Will''s Data'!$N$3:$N$782&gt;0)*('SkYSPark Data_w Will''s Data'!$D$3:$D$782&lt;&gt;"Main Campus")))</f>
        <v>#VALUE!</v>
      </c>
    </row>
    <row r="131" spans="1:9" x14ac:dyDescent="0.3">
      <c r="A131" s="3">
        <v>9</v>
      </c>
      <c r="B131" s="3" t="s">
        <v>136</v>
      </c>
      <c r="C131" s="231" t="e" cm="1" vm="1">
        <f t="array" ref="C131">MEDIAN(_xlfn._xlws.FILTER('SkYSPark Data_w Will''s Data'!$M$3:$M$782,('SkYSPark Data_w Will''s Data'!$F$3:$F$782=$B131)*('SkYSPark Data_w Will''s Data'!$B$3:$B$782=$A131)*('SkYSPark Data_w Will''s Data'!$Z$3:$Z$782=FALSE)*('SkYSPark Data_w Will''s Data'!$D$3:$D$782="Main Campus")))</f>
        <v>#VALUE!</v>
      </c>
      <c r="D131" s="231" t="e" cm="1" vm="1">
        <f t="array" ref="D131">MEDIAN(_xlfn._xlws.FILTER('SkYSPark Data_w Will''s Data'!$N$3:$N$782,('SkYSPark Data_w Will''s Data'!$F$3:$F$782=$B131)*('SkYSPark Data_w Will''s Data'!$B$3:$B$782=$A131)*('SkYSPark Data_w Will''s Data'!$N$3:$N$782&gt;0)*('SkYSPark Data_w Will''s Data'!$D$3:$D$782="Main Campus")))</f>
        <v>#VALUE!</v>
      </c>
      <c r="E131" s="231" t="e" cm="1" vm="1">
        <f t="array" ref="E131">MEDIAN(_xlfn._xlws.FILTER('SkYSPark Data_w Will''s Data'!$O$3:$O$782,('SkYSPark Data_w Will''s Data'!$F$3:$F$782=$B131)*('SkYSPark Data_w Will''s Data'!$B$3:$B$782=$A131)*('SkYSPark Data_w Will''s Data'!$AA$3:$AA$782=FALSE)*('SkYSPark Data_w Will''s Data'!$D$3:$D$782="Main Campus")))</f>
        <v>#VALUE!</v>
      </c>
      <c r="F131" s="231" t="e" cm="1" vm="1">
        <f t="array" ref="F131">MEDIAN(_xlfn._xlws.FILTER('SkYSPark Data_w Will''s Data'!$P$3:$P$782,('SkYSPark Data_w Will''s Data'!$F$3:$F$782=$B131)*('SkYSPark Data_w Will''s Data'!$B$3:$B$782=$A131)*('SkYSPark Data_w Will''s Data'!$AB$3:$AB$782=FALSE)*('SkYSPark Data_w Will''s Data'!$D$3:$D$782="Main Campus")))</f>
        <v>#VALUE!</v>
      </c>
      <c r="H131" cm="1">
        <f t="array" ref="H131">MEDIAN(_xlfn._xlws.FILTER('SkYSPark Data_w Will''s Data'!$M$3:$M$782,('SkYSPark Data_w Will''s Data'!$F$3:$F$782=$B131)*('SkYSPark Data_w Will''s Data'!$B$3:$B$782=$A131)*('SkYSPark Data_w Will''s Data'!$Z$3:$Z$782=FALSE)*('SkYSPark Data_w Will''s Data'!$D$3:$D$782&lt;&gt;"Main Campus")))</f>
        <v>7.4363941830225988</v>
      </c>
      <c r="I131" t="e" cm="1" vm="1">
        <f t="array" ref="I131">MEDIAN(_xlfn._xlws.FILTER('SkYSPark Data_w Will''s Data'!$N$3:$N$782,('SkYSPark Data_w Will''s Data'!$F$3:$F$782=$B131)*('SkYSPark Data_w Will''s Data'!$B$3:$B$782=$A131)*('SkYSPark Data_w Will''s Data'!$N$3:$N$782&gt;0)*('SkYSPark Data_w Will''s Data'!$D$3:$D$782&lt;&gt;"Main Campus")))</f>
        <v>#VALUE!</v>
      </c>
    </row>
    <row r="132" spans="1:9" x14ac:dyDescent="0.3">
      <c r="A132" s="3">
        <v>10</v>
      </c>
      <c r="B132" s="3" t="s">
        <v>136</v>
      </c>
      <c r="C132" s="231" t="e" cm="1" vm="1">
        <f t="array" ref="C132">MEDIAN(_xlfn._xlws.FILTER('SkYSPark Data_w Will''s Data'!$M$3:$M$782,('SkYSPark Data_w Will''s Data'!$F$3:$F$782=$B132)*('SkYSPark Data_w Will''s Data'!$B$3:$B$782=$A132)*('SkYSPark Data_w Will''s Data'!$Z$3:$Z$782=FALSE)*('SkYSPark Data_w Will''s Data'!$D$3:$D$782="Main Campus")))</f>
        <v>#VALUE!</v>
      </c>
      <c r="D132" s="231" t="e" cm="1" vm="1">
        <f t="array" ref="D132">MEDIAN(_xlfn._xlws.FILTER('SkYSPark Data_w Will''s Data'!$N$3:$N$782,('SkYSPark Data_w Will''s Data'!$F$3:$F$782=$B132)*('SkYSPark Data_w Will''s Data'!$B$3:$B$782=$A132)*('SkYSPark Data_w Will''s Data'!$N$3:$N$782&gt;0)*('SkYSPark Data_w Will''s Data'!$D$3:$D$782="Main Campus")))</f>
        <v>#VALUE!</v>
      </c>
      <c r="E132" s="231" t="e" cm="1" vm="1">
        <f t="array" ref="E132">MEDIAN(_xlfn._xlws.FILTER('SkYSPark Data_w Will''s Data'!$O$3:$O$782,('SkYSPark Data_w Will''s Data'!$F$3:$F$782=$B132)*('SkYSPark Data_w Will''s Data'!$B$3:$B$782=$A132)*('SkYSPark Data_w Will''s Data'!$AA$3:$AA$782=FALSE)*('SkYSPark Data_w Will''s Data'!$D$3:$D$782="Main Campus")))</f>
        <v>#VALUE!</v>
      </c>
      <c r="F132" s="231" t="e" cm="1" vm="1">
        <f t="array" ref="F132">MEDIAN(_xlfn._xlws.FILTER('SkYSPark Data_w Will''s Data'!$P$3:$P$782,('SkYSPark Data_w Will''s Data'!$F$3:$F$782=$B132)*('SkYSPark Data_w Will''s Data'!$B$3:$B$782=$A132)*('SkYSPark Data_w Will''s Data'!$AB$3:$AB$782=FALSE)*('SkYSPark Data_w Will''s Data'!$D$3:$D$782="Main Campus")))</f>
        <v>#VALUE!</v>
      </c>
      <c r="H132" cm="1">
        <f t="array" ref="H132">MEDIAN(_xlfn._xlws.FILTER('SkYSPark Data_w Will''s Data'!$M$3:$M$782,('SkYSPark Data_w Will''s Data'!$F$3:$F$782=$B132)*('SkYSPark Data_w Will''s Data'!$B$3:$B$782=$A132)*('SkYSPark Data_w Will''s Data'!$Z$3:$Z$782=FALSE)*('SkYSPark Data_w Will''s Data'!$D$3:$D$782&lt;&gt;"Main Campus")))</f>
        <v>7.3780262321606651</v>
      </c>
      <c r="I132" t="e" cm="1" vm="1">
        <f t="array" ref="I132">MEDIAN(_xlfn._xlws.FILTER('SkYSPark Data_w Will''s Data'!$N$3:$N$782,('SkYSPark Data_w Will''s Data'!$F$3:$F$782=$B132)*('SkYSPark Data_w Will''s Data'!$B$3:$B$782=$A132)*('SkYSPark Data_w Will''s Data'!$N$3:$N$782&gt;0)*('SkYSPark Data_w Will''s Data'!$D$3:$D$782&lt;&gt;"Main Campus")))</f>
        <v>#VALUE!</v>
      </c>
    </row>
    <row r="133" spans="1:9" x14ac:dyDescent="0.3">
      <c r="A133" s="3">
        <v>11</v>
      </c>
      <c r="B133" s="3" t="s">
        <v>136</v>
      </c>
      <c r="C133" s="231" t="e" cm="1" vm="1">
        <f t="array" ref="C133">MEDIAN(_xlfn._xlws.FILTER('SkYSPark Data_w Will''s Data'!$M$3:$M$782,('SkYSPark Data_w Will''s Data'!$F$3:$F$782=$B133)*('SkYSPark Data_w Will''s Data'!$B$3:$B$782=$A133)*('SkYSPark Data_w Will''s Data'!$Z$3:$Z$782=FALSE)*('SkYSPark Data_w Will''s Data'!$D$3:$D$782="Main Campus")))</f>
        <v>#VALUE!</v>
      </c>
      <c r="D133" s="231" t="e" cm="1" vm="1">
        <f t="array" ref="D133">MEDIAN(_xlfn._xlws.FILTER('SkYSPark Data_w Will''s Data'!$N$3:$N$782,('SkYSPark Data_w Will''s Data'!$F$3:$F$782=$B133)*('SkYSPark Data_w Will''s Data'!$B$3:$B$782=$A133)*('SkYSPark Data_w Will''s Data'!$N$3:$N$782&gt;0)*('SkYSPark Data_w Will''s Data'!$D$3:$D$782="Main Campus")))</f>
        <v>#VALUE!</v>
      </c>
      <c r="E133" s="231" t="e" cm="1" vm="1">
        <f t="array" ref="E133">MEDIAN(_xlfn._xlws.FILTER('SkYSPark Data_w Will''s Data'!$O$3:$O$782,('SkYSPark Data_w Will''s Data'!$F$3:$F$782=$B133)*('SkYSPark Data_w Will''s Data'!$B$3:$B$782=$A133)*('SkYSPark Data_w Will''s Data'!$AA$3:$AA$782=FALSE)*('SkYSPark Data_w Will''s Data'!$D$3:$D$782="Main Campus")))</f>
        <v>#VALUE!</v>
      </c>
      <c r="F133" s="231" t="e" cm="1" vm="1">
        <f t="array" ref="F133">MEDIAN(_xlfn._xlws.FILTER('SkYSPark Data_w Will''s Data'!$P$3:$P$782,('SkYSPark Data_w Will''s Data'!$F$3:$F$782=$B133)*('SkYSPark Data_w Will''s Data'!$B$3:$B$782=$A133)*('SkYSPark Data_w Will''s Data'!$AB$3:$AB$782=FALSE)*('SkYSPark Data_w Will''s Data'!$D$3:$D$782="Main Campus")))</f>
        <v>#VALUE!</v>
      </c>
      <c r="H133" cm="1">
        <f t="array" ref="H133">MEDIAN(_xlfn._xlws.FILTER('SkYSPark Data_w Will''s Data'!$M$3:$M$782,('SkYSPark Data_w Will''s Data'!$F$3:$F$782=$B133)*('SkYSPark Data_w Will''s Data'!$B$3:$B$782=$A133)*('SkYSPark Data_w Will''s Data'!$Z$3:$Z$782=FALSE)*('SkYSPark Data_w Will''s Data'!$D$3:$D$782&lt;&gt;"Main Campus")))</f>
        <v>6.3273195689134001</v>
      </c>
      <c r="I133" t="e" cm="1" vm="1">
        <f t="array" ref="I133">MEDIAN(_xlfn._xlws.FILTER('SkYSPark Data_w Will''s Data'!$N$3:$N$782,('SkYSPark Data_w Will''s Data'!$F$3:$F$782=$B133)*('SkYSPark Data_w Will''s Data'!$B$3:$B$782=$A133)*('SkYSPark Data_w Will''s Data'!$N$3:$N$782&gt;0)*('SkYSPark Data_w Will''s Data'!$D$3:$D$782&lt;&gt;"Main Campus")))</f>
        <v>#VALUE!</v>
      </c>
    </row>
    <row r="134" spans="1:9" x14ac:dyDescent="0.3">
      <c r="A134" s="3">
        <v>12</v>
      </c>
      <c r="B134" s="3" t="s">
        <v>136</v>
      </c>
      <c r="C134" s="231" t="e" cm="1" vm="1">
        <f t="array" ref="C134">MEDIAN(_xlfn._xlws.FILTER('SkYSPark Data_w Will''s Data'!$M$3:$M$782,('SkYSPark Data_w Will''s Data'!$F$3:$F$782=$B134)*('SkYSPark Data_w Will''s Data'!$B$3:$B$782=$A134)*('SkYSPark Data_w Will''s Data'!$Z$3:$Z$782=FALSE)*('SkYSPark Data_w Will''s Data'!$D$3:$D$782="Main Campus")))</f>
        <v>#VALUE!</v>
      </c>
      <c r="D134" s="231" t="e" cm="1" vm="1">
        <f t="array" ref="D134">MEDIAN(_xlfn._xlws.FILTER('SkYSPark Data_w Will''s Data'!$N$3:$N$782,('SkYSPark Data_w Will''s Data'!$F$3:$F$782=$B134)*('SkYSPark Data_w Will''s Data'!$B$3:$B$782=$A134)*('SkYSPark Data_w Will''s Data'!$N$3:$N$782&gt;0)*('SkYSPark Data_w Will''s Data'!$D$3:$D$782="Main Campus")))</f>
        <v>#VALUE!</v>
      </c>
      <c r="E134" s="231" t="e" cm="1" vm="1">
        <f t="array" ref="E134">MEDIAN(_xlfn._xlws.FILTER('SkYSPark Data_w Will''s Data'!$O$3:$O$782,('SkYSPark Data_w Will''s Data'!$F$3:$F$782=$B134)*('SkYSPark Data_w Will''s Data'!$B$3:$B$782=$A134)*('SkYSPark Data_w Will''s Data'!$AA$3:$AA$782=FALSE)*('SkYSPark Data_w Will''s Data'!$D$3:$D$782="Main Campus")))</f>
        <v>#VALUE!</v>
      </c>
      <c r="F134" s="231" t="e" cm="1" vm="1">
        <f t="array" ref="F134">MEDIAN(_xlfn._xlws.FILTER('SkYSPark Data_w Will''s Data'!$P$3:$P$782,('SkYSPark Data_w Will''s Data'!$F$3:$F$782=$B134)*('SkYSPark Data_w Will''s Data'!$B$3:$B$782=$A134)*('SkYSPark Data_w Will''s Data'!$AB$3:$AB$782=FALSE)*('SkYSPark Data_w Will''s Data'!$D$3:$D$782="Main Campus")))</f>
        <v>#VALUE!</v>
      </c>
      <c r="H134" cm="1">
        <f t="array" ref="H134">MEDIAN(_xlfn._xlws.FILTER('SkYSPark Data_w Will''s Data'!$M$3:$M$782,('SkYSPark Data_w Will''s Data'!$F$3:$F$782=$B134)*('SkYSPark Data_w Will''s Data'!$B$3:$B$782=$A134)*('SkYSPark Data_w Will''s Data'!$Z$3:$Z$782=FALSE)*('SkYSPark Data_w Will''s Data'!$D$3:$D$782&lt;&gt;"Main Campus")))</f>
        <v>4.9291932988112617</v>
      </c>
      <c r="I134" t="e" cm="1" vm="1">
        <f t="array" ref="I134">MEDIAN(_xlfn._xlws.FILTER('SkYSPark Data_w Will''s Data'!$N$3:$N$782,('SkYSPark Data_w Will''s Data'!$F$3:$F$782=$B134)*('SkYSPark Data_w Will''s Data'!$B$3:$B$782=$A134)*('SkYSPark Data_w Will''s Data'!$N$3:$N$782&gt;0)*('SkYSPark Data_w Will''s Data'!$D$3:$D$782&lt;&gt;"Main Campus")))</f>
        <v>#VALUE!</v>
      </c>
    </row>
    <row r="135" spans="1:9" x14ac:dyDescent="0.3">
      <c r="A135" s="3">
        <v>1</v>
      </c>
      <c r="B135" s="3" t="s">
        <v>352</v>
      </c>
      <c r="C135" s="231" cm="1">
        <f t="array" ref="C135">MEDIAN(_xlfn._xlws.FILTER('SkYSPark Data_w Will''s Data'!$M$3:$M$782,('SkYSPark Data_w Will''s Data'!$F$3:$F$782=$B135)*('SkYSPark Data_w Will''s Data'!$B$3:$B$782=$A135)*('SkYSPark Data_w Will''s Data'!$Z$3:$Z$782=FALSE)*('SkYSPark Data_w Will''s Data'!$D$3:$D$782="Main Campus")))</f>
        <v>0.17606235595738867</v>
      </c>
      <c r="H135" s="204">
        <f>C135</f>
        <v>0.17606235595738867</v>
      </c>
    </row>
    <row r="136" spans="1:9" x14ac:dyDescent="0.3">
      <c r="A136" s="3">
        <v>2</v>
      </c>
      <c r="B136" s="3" t="s">
        <v>352</v>
      </c>
      <c r="C136" s="231" cm="1">
        <f t="array" ref="C136">MEDIAN(_xlfn._xlws.FILTER('SkYSPark Data_w Will''s Data'!$M$3:$M$782,('SkYSPark Data_w Will''s Data'!$F$3:$F$782=$B136)*('SkYSPark Data_w Will''s Data'!$B$3:$B$782=$A136)*('SkYSPark Data_w Will''s Data'!$Z$3:$Z$782=FALSE)*('SkYSPark Data_w Will''s Data'!$D$3:$D$782="Main Campus")))</f>
        <v>0.17274733879696913</v>
      </c>
      <c r="H136" s="204">
        <f t="shared" ref="H136:H146" si="1">C136</f>
        <v>0.17274733879696913</v>
      </c>
    </row>
    <row r="137" spans="1:9" x14ac:dyDescent="0.3">
      <c r="A137" s="3">
        <v>3</v>
      </c>
      <c r="B137" s="3" t="s">
        <v>352</v>
      </c>
      <c r="C137" s="231" cm="1">
        <f t="array" ref="C137">MEDIAN(_xlfn._xlws.FILTER('SkYSPark Data_w Will''s Data'!$M$3:$M$782,('SkYSPark Data_w Will''s Data'!$F$3:$F$782=$B137)*('SkYSPark Data_w Will''s Data'!$B$3:$B$782=$A137)*('SkYSPark Data_w Will''s Data'!$Z$3:$Z$782=FALSE)*('SkYSPark Data_w Will''s Data'!$D$3:$D$782="Main Campus")))</f>
        <v>0.18452383015308491</v>
      </c>
      <c r="H137" s="204">
        <f t="shared" si="1"/>
        <v>0.18452383015308491</v>
      </c>
    </row>
    <row r="138" spans="1:9" x14ac:dyDescent="0.3">
      <c r="A138" s="3">
        <v>4</v>
      </c>
      <c r="B138" s="3" t="s">
        <v>352</v>
      </c>
      <c r="C138" s="231" cm="1">
        <f t="array" ref="C138">MEDIAN(_xlfn._xlws.FILTER('SkYSPark Data_w Will''s Data'!$M$3:$M$782,('SkYSPark Data_w Will''s Data'!$F$3:$F$782=$B138)*('SkYSPark Data_w Will''s Data'!$B$3:$B$782=$A138)*('SkYSPark Data_w Will''s Data'!$Z$3:$Z$782=FALSE)*('SkYSPark Data_w Will''s Data'!$D$3:$D$782="Main Campus")))</f>
        <v>0.18124657961960736</v>
      </c>
      <c r="H138" s="204">
        <f t="shared" si="1"/>
        <v>0.18124657961960736</v>
      </c>
    </row>
    <row r="139" spans="1:9" x14ac:dyDescent="0.3">
      <c r="A139" s="3">
        <v>5</v>
      </c>
      <c r="B139" s="3" t="s">
        <v>352</v>
      </c>
      <c r="C139" s="231" cm="1">
        <f t="array" ref="C139">MEDIAN(_xlfn._xlws.FILTER('SkYSPark Data_w Will''s Data'!$M$3:$M$782,('SkYSPark Data_w Will''s Data'!$F$3:$F$782=$B139)*('SkYSPark Data_w Will''s Data'!$B$3:$B$782=$A139)*('SkYSPark Data_w Will''s Data'!$Z$3:$Z$782=FALSE)*('SkYSPark Data_w Will''s Data'!$D$3:$D$782="Main Campus")))</f>
        <v>0.18739092314829139</v>
      </c>
      <c r="H139" s="204">
        <f t="shared" si="1"/>
        <v>0.18739092314829139</v>
      </c>
    </row>
    <row r="140" spans="1:9" x14ac:dyDescent="0.3">
      <c r="A140" s="3">
        <v>6</v>
      </c>
      <c r="B140" s="3" t="s">
        <v>352</v>
      </c>
      <c r="C140" s="231" cm="1">
        <f t="array" ref="C140">MEDIAN(_xlfn._xlws.FILTER('SkYSPark Data_w Will''s Data'!$M$3:$M$782,('SkYSPark Data_w Will''s Data'!$F$3:$F$782=$B140)*('SkYSPark Data_w Will''s Data'!$B$3:$B$782=$A140)*('SkYSPark Data_w Will''s Data'!$Z$3:$Z$782=FALSE)*('SkYSPark Data_w Will''s Data'!$D$3:$D$782="Main Campus")))</f>
        <v>0.18056639554662127</v>
      </c>
      <c r="H140" s="204">
        <f t="shared" si="1"/>
        <v>0.18056639554662127</v>
      </c>
    </row>
    <row r="141" spans="1:9" x14ac:dyDescent="0.3">
      <c r="A141" s="3">
        <v>7</v>
      </c>
      <c r="B141" s="3" t="s">
        <v>352</v>
      </c>
      <c r="C141" s="231" cm="1">
        <f t="array" ref="C141">MEDIAN(_xlfn._xlws.FILTER('SkYSPark Data_w Will''s Data'!$M$3:$M$782,('SkYSPark Data_w Will''s Data'!$F$3:$F$782=$B141)*('SkYSPark Data_w Will''s Data'!$B$3:$B$782=$A141)*('SkYSPark Data_w Will''s Data'!$Z$3:$Z$782=FALSE)*('SkYSPark Data_w Will''s Data'!$D$3:$D$782="Main Campus")))</f>
        <v>0.20328492345755372</v>
      </c>
      <c r="H141" s="204">
        <f t="shared" si="1"/>
        <v>0.20328492345755372</v>
      </c>
    </row>
    <row r="142" spans="1:9" x14ac:dyDescent="0.3">
      <c r="A142" s="3">
        <v>8</v>
      </c>
      <c r="B142" s="3" t="s">
        <v>352</v>
      </c>
      <c r="C142" s="231" cm="1">
        <f t="array" ref="C142">MEDIAN(_xlfn._xlws.FILTER('SkYSPark Data_w Will''s Data'!$M$3:$M$782,('SkYSPark Data_w Will''s Data'!$F$3:$F$782=$B142)*('SkYSPark Data_w Will''s Data'!$B$3:$B$782=$A142)*('SkYSPark Data_w Will''s Data'!$Z$3:$Z$782=FALSE)*('SkYSPark Data_w Will''s Data'!$D$3:$D$782="Main Campus")))</f>
        <v>0.20399940163909083</v>
      </c>
      <c r="H142" s="204">
        <f t="shared" si="1"/>
        <v>0.20399940163909083</v>
      </c>
    </row>
    <row r="143" spans="1:9" x14ac:dyDescent="0.3">
      <c r="A143" s="3">
        <v>9</v>
      </c>
      <c r="B143" s="3" t="s">
        <v>352</v>
      </c>
      <c r="C143" s="231" cm="1">
        <f t="array" ref="C143">MEDIAN(_xlfn._xlws.FILTER('SkYSPark Data_w Will''s Data'!$M$3:$M$782,('SkYSPark Data_w Will''s Data'!$F$3:$F$782=$B143)*('SkYSPark Data_w Will''s Data'!$B$3:$B$782=$A143)*('SkYSPark Data_w Will''s Data'!$Z$3:$Z$782=FALSE)*('SkYSPark Data_w Will''s Data'!$D$3:$D$782="Main Campus")))</f>
        <v>0.20222592138549558</v>
      </c>
      <c r="H143" s="204">
        <f t="shared" si="1"/>
        <v>0.20222592138549558</v>
      </c>
    </row>
    <row r="144" spans="1:9" x14ac:dyDescent="0.3">
      <c r="A144" s="3">
        <v>10</v>
      </c>
      <c r="B144" s="3" t="s">
        <v>352</v>
      </c>
      <c r="C144" s="231" cm="1">
        <f t="array" ref="C144">MEDIAN(_xlfn._xlws.FILTER('SkYSPark Data_w Will''s Data'!$M$3:$M$782,('SkYSPark Data_w Will''s Data'!$F$3:$F$782=$B144)*('SkYSPark Data_w Will''s Data'!$B$3:$B$782=$A144)*('SkYSPark Data_w Will''s Data'!$Z$3:$Z$782=FALSE)*('SkYSPark Data_w Will''s Data'!$D$3:$D$782="Main Campus")))</f>
        <v>0.2045238376990878</v>
      </c>
      <c r="H144" s="204">
        <f t="shared" si="1"/>
        <v>0.2045238376990878</v>
      </c>
    </row>
    <row r="145" spans="1:8" x14ac:dyDescent="0.3">
      <c r="A145" s="3">
        <v>11</v>
      </c>
      <c r="B145" s="3" t="s">
        <v>352</v>
      </c>
      <c r="C145" s="231" cm="1">
        <f t="array" ref="C145">MEDIAN(_xlfn._xlws.FILTER('SkYSPark Data_w Will''s Data'!$M$3:$M$782,('SkYSPark Data_w Will''s Data'!$F$3:$F$782=$B145)*('SkYSPark Data_w Will''s Data'!$B$3:$B$782=$A145)*('SkYSPark Data_w Will''s Data'!$Z$3:$Z$782=FALSE)*('SkYSPark Data_w Will''s Data'!$D$3:$D$782="Main Campus")))</f>
        <v>0.19904606612030296</v>
      </c>
      <c r="H145" s="204">
        <f t="shared" si="1"/>
        <v>0.19904606612030296</v>
      </c>
    </row>
    <row r="146" spans="1:8" x14ac:dyDescent="0.3">
      <c r="A146" s="3">
        <v>12</v>
      </c>
      <c r="B146" s="3" t="s">
        <v>352</v>
      </c>
      <c r="C146" s="231" cm="1">
        <f t="array" ref="C146">MEDIAN(_xlfn._xlws.FILTER('SkYSPark Data_w Will''s Data'!$M$3:$M$782,('SkYSPark Data_w Will''s Data'!$F$3:$F$782=$B146)*('SkYSPark Data_w Will''s Data'!$B$3:$B$782=$A146)*('SkYSPark Data_w Will''s Data'!$Z$3:$Z$782=FALSE)*('SkYSPark Data_w Will''s Data'!$D$3:$D$782="Main Campus")))</f>
        <v>0.21117520643265814</v>
      </c>
      <c r="H146" s="204">
        <f t="shared" si="1"/>
        <v>0.21117520643265814</v>
      </c>
    </row>
  </sheetData>
  <mergeCells count="4">
    <mergeCell ref="H1:M1"/>
    <mergeCell ref="O1:R1"/>
    <mergeCell ref="T1:V1"/>
    <mergeCell ref="A1:F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585C1-CA49-4A04-BF14-A6D28B26FCE0}">
  <dimension ref="A1:S134"/>
  <sheetViews>
    <sheetView zoomScale="78" zoomScaleNormal="78" workbookViewId="0">
      <selection activeCell="H23" sqref="H23"/>
    </sheetView>
  </sheetViews>
  <sheetFormatPr defaultRowHeight="14.4" x14ac:dyDescent="0.3"/>
  <cols>
    <col min="1" max="1" width="42.6640625" bestFit="1" customWidth="1"/>
    <col min="2" max="2" width="21" customWidth="1"/>
    <col min="3" max="3" width="29.109375" customWidth="1"/>
    <col min="4" max="4" width="27" customWidth="1"/>
    <col min="5" max="5" width="29.21875" customWidth="1"/>
    <col min="6" max="6" width="30.109375" customWidth="1"/>
    <col min="7" max="7" width="23.77734375" customWidth="1"/>
    <col min="11" max="11" width="14.77734375" customWidth="1"/>
  </cols>
  <sheetData>
    <row r="1" spans="1:19" ht="17.399999999999999" thickBot="1" x14ac:dyDescent="0.45">
      <c r="A1" s="73" t="s">
        <v>373</v>
      </c>
      <c r="B1" s="73" t="s">
        <v>520</v>
      </c>
      <c r="C1" s="75" t="s">
        <v>387</v>
      </c>
      <c r="D1" s="75" t="s">
        <v>388</v>
      </c>
      <c r="E1" s="75" t="s">
        <v>389</v>
      </c>
      <c r="F1" s="75" t="s">
        <v>390</v>
      </c>
      <c r="G1" s="73" t="s">
        <v>581</v>
      </c>
      <c r="H1" t="s">
        <v>3</v>
      </c>
    </row>
    <row r="2" spans="1:19" ht="15" thickBot="1" x14ac:dyDescent="0.35">
      <c r="A2" t="s">
        <v>374</v>
      </c>
      <c r="B2" t="s">
        <v>521</v>
      </c>
      <c r="C2" s="147" t="s">
        <v>391</v>
      </c>
      <c r="D2" s="147" t="s">
        <v>391</v>
      </c>
      <c r="E2" s="147" t="s">
        <v>393</v>
      </c>
      <c r="F2" s="147" t="s">
        <v>393</v>
      </c>
      <c r="G2">
        <v>19857</v>
      </c>
      <c r="H2" t="s">
        <v>123</v>
      </c>
      <c r="K2" t="s">
        <v>362</v>
      </c>
      <c r="L2" t="s">
        <v>433</v>
      </c>
      <c r="M2" t="s">
        <v>388</v>
      </c>
      <c r="N2" t="s">
        <v>363</v>
      </c>
      <c r="O2" t="s">
        <v>364</v>
      </c>
      <c r="P2" t="s">
        <v>365</v>
      </c>
      <c r="Q2" t="s">
        <v>369</v>
      </c>
      <c r="R2" t="s">
        <v>370</v>
      </c>
      <c r="S2" t="s">
        <v>371</v>
      </c>
    </row>
    <row r="3" spans="1:19" ht="15" thickBot="1" x14ac:dyDescent="0.35">
      <c r="A3" t="s">
        <v>122</v>
      </c>
      <c r="B3" t="s">
        <v>522</v>
      </c>
      <c r="C3" s="148" t="s">
        <v>392</v>
      </c>
      <c r="D3" s="148" t="s">
        <v>393</v>
      </c>
      <c r="E3" s="148" t="s">
        <v>391</v>
      </c>
      <c r="F3" s="148" t="s">
        <v>391</v>
      </c>
      <c r="G3">
        <v>39323</v>
      </c>
      <c r="H3" t="s">
        <v>123</v>
      </c>
      <c r="K3" t="s">
        <v>125</v>
      </c>
      <c r="L3">
        <v>47.339603452622192</v>
      </c>
      <c r="M3" t="s">
        <v>392</v>
      </c>
      <c r="N3" cm="1">
        <f t="array" ref="N3">QUARTILE(_xlfn._xlws.FILTER($L$3:$L$22,$K$3:$K$22=$K3),1)</f>
        <v>47.339603452622192</v>
      </c>
      <c r="O3" cm="1">
        <f t="array" ref="O3">QUARTILE(_xlfn._xlws.FILTER($L$3:$L$22,$K$3:$K$22=$K3),3)</f>
        <v>47.339603452622192</v>
      </c>
      <c r="P3">
        <f t="shared" ref="P3:P22" si="0">O3-N3</f>
        <v>0</v>
      </c>
      <c r="Q3">
        <f t="shared" ref="Q3:Q22" si="1">N3-P3</f>
        <v>47.339603452622192</v>
      </c>
      <c r="R3">
        <f t="shared" ref="R3:R22" si="2">O3+P3</f>
        <v>47.339603452622192</v>
      </c>
      <c r="S3" t="b">
        <f t="shared" ref="S3:S22" si="3">IF(OR(L3&gt;R3,L3&lt;Q3),TRUE,FALSE)</f>
        <v>0</v>
      </c>
    </row>
    <row r="4" spans="1:19" ht="15" thickBot="1" x14ac:dyDescent="0.35">
      <c r="A4" t="s">
        <v>126</v>
      </c>
      <c r="B4" t="s">
        <v>522</v>
      </c>
      <c r="C4" s="148" t="s">
        <v>392</v>
      </c>
      <c r="D4" s="148" t="s">
        <v>392</v>
      </c>
      <c r="E4" s="148" t="s">
        <v>392</v>
      </c>
      <c r="F4" s="148" t="s">
        <v>392</v>
      </c>
      <c r="G4">
        <v>85419</v>
      </c>
      <c r="H4" t="s">
        <v>149</v>
      </c>
      <c r="K4" t="s">
        <v>127</v>
      </c>
      <c r="L4">
        <v>6.1174343307727882E-3</v>
      </c>
      <c r="M4" t="s">
        <v>392</v>
      </c>
      <c r="N4" cm="1">
        <f t="array" ref="N4">QUARTILE(_xlfn._xlws.FILTER($L$3:$L$22,$K$3:$K$22=$K4),1)</f>
        <v>0.60794897060879505</v>
      </c>
      <c r="O4" cm="1">
        <f t="array" ref="O4">QUARTILE(_xlfn._xlws.FILTER($L$3:$L$22,$K$3:$K$22=$K4),3)</f>
        <v>4.6723958762904232</v>
      </c>
      <c r="P4">
        <f t="shared" si="0"/>
        <v>4.0644469056816277</v>
      </c>
      <c r="Q4">
        <f t="shared" si="1"/>
        <v>-3.4564979350728327</v>
      </c>
      <c r="R4">
        <f t="shared" si="2"/>
        <v>8.7368427819720509</v>
      </c>
      <c r="S4" t="b">
        <f t="shared" si="3"/>
        <v>0</v>
      </c>
    </row>
    <row r="5" spans="1:19" ht="15" thickBot="1" x14ac:dyDescent="0.35">
      <c r="A5" t="s">
        <v>124</v>
      </c>
      <c r="B5" t="s">
        <v>124</v>
      </c>
      <c r="C5" s="148" t="s">
        <v>392</v>
      </c>
      <c r="D5" s="148" t="s">
        <v>392</v>
      </c>
      <c r="E5" s="148" t="s">
        <v>393</v>
      </c>
      <c r="F5" s="148" t="s">
        <v>393</v>
      </c>
      <c r="G5">
        <v>7934</v>
      </c>
      <c r="H5" t="s">
        <v>125</v>
      </c>
      <c r="K5" t="s">
        <v>136</v>
      </c>
      <c r="L5">
        <v>0</v>
      </c>
      <c r="M5" t="s">
        <v>392</v>
      </c>
      <c r="N5" cm="1">
        <f t="array" ref="N5">QUARTILE(_xlfn._xlws.FILTER($L$3:$L$22,$K$3:$K$22=$K5),1)</f>
        <v>0</v>
      </c>
      <c r="O5" cm="1">
        <f t="array" ref="O5">QUARTILE(_xlfn._xlws.FILTER($L$3:$L$22,$K$3:$K$22=$K5),3)</f>
        <v>0</v>
      </c>
      <c r="P5">
        <f t="shared" si="0"/>
        <v>0</v>
      </c>
      <c r="Q5">
        <f t="shared" si="1"/>
        <v>0</v>
      </c>
      <c r="R5">
        <f t="shared" si="2"/>
        <v>0</v>
      </c>
      <c r="S5" t="b">
        <f t="shared" si="3"/>
        <v>0</v>
      </c>
    </row>
    <row r="6" spans="1:19" ht="15" thickBot="1" x14ac:dyDescent="0.35">
      <c r="A6" t="s">
        <v>128</v>
      </c>
      <c r="B6" t="s">
        <v>522</v>
      </c>
      <c r="C6" s="148" t="s">
        <v>392</v>
      </c>
      <c r="D6" s="148" t="s">
        <v>393</v>
      </c>
      <c r="E6" s="148" t="s">
        <v>393</v>
      </c>
      <c r="F6" s="148" t="s">
        <v>393</v>
      </c>
      <c r="G6">
        <v>8591</v>
      </c>
      <c r="H6" t="s">
        <v>123</v>
      </c>
      <c r="K6" t="s">
        <v>127</v>
      </c>
      <c r="L6">
        <v>0.80855948270146916</v>
      </c>
      <c r="M6" t="s">
        <v>392</v>
      </c>
      <c r="N6" cm="1">
        <f t="array" ref="N6">QUARTILE(_xlfn._xlws.FILTER($L$3:$L$22,$K$3:$K$22=$K6),1)</f>
        <v>0.60794897060879505</v>
      </c>
      <c r="O6" cm="1">
        <f t="array" ref="O6">QUARTILE(_xlfn._xlws.FILTER($L$3:$L$22,$K$3:$K$22=$K6),3)</f>
        <v>4.6723958762904232</v>
      </c>
      <c r="P6">
        <f t="shared" si="0"/>
        <v>4.0644469056816277</v>
      </c>
      <c r="Q6">
        <f t="shared" si="1"/>
        <v>-3.4564979350728327</v>
      </c>
      <c r="R6">
        <f t="shared" si="2"/>
        <v>8.7368427819720509</v>
      </c>
      <c r="S6" t="b">
        <f t="shared" si="3"/>
        <v>0</v>
      </c>
    </row>
    <row r="7" spans="1:19" ht="15" thickBot="1" x14ac:dyDescent="0.35">
      <c r="A7" t="s">
        <v>129</v>
      </c>
      <c r="B7" t="s">
        <v>522</v>
      </c>
      <c r="C7" s="148" t="s">
        <v>392</v>
      </c>
      <c r="D7" s="148" t="s">
        <v>393</v>
      </c>
      <c r="E7" s="148" t="s">
        <v>393</v>
      </c>
      <c r="F7" s="148" t="s">
        <v>393</v>
      </c>
      <c r="G7">
        <v>1396</v>
      </c>
      <c r="H7" t="s">
        <v>123</v>
      </c>
      <c r="K7" t="s">
        <v>127</v>
      </c>
      <c r="L7">
        <v>7.1905336239264388</v>
      </c>
      <c r="M7" t="s">
        <v>392</v>
      </c>
      <c r="N7" cm="1">
        <f t="array" ref="N7">QUARTILE(_xlfn._xlws.FILTER($L$3:$L$22,$K$3:$K$22=$K7),1)</f>
        <v>0.60794897060879505</v>
      </c>
      <c r="O7" cm="1">
        <f t="array" ref="O7">QUARTILE(_xlfn._xlws.FILTER($L$3:$L$22,$K$3:$K$22=$K7),3)</f>
        <v>4.6723958762904232</v>
      </c>
      <c r="P7">
        <f t="shared" si="0"/>
        <v>4.0644469056816277</v>
      </c>
      <c r="Q7">
        <f t="shared" si="1"/>
        <v>-3.4564979350728327</v>
      </c>
      <c r="R7">
        <f t="shared" si="2"/>
        <v>8.7368427819720509</v>
      </c>
      <c r="S7" t="b">
        <f t="shared" si="3"/>
        <v>0</v>
      </c>
    </row>
    <row r="8" spans="1:19" ht="15" thickBot="1" x14ac:dyDescent="0.35">
      <c r="A8" t="s">
        <v>399</v>
      </c>
      <c r="B8" t="s">
        <v>523</v>
      </c>
      <c r="C8" s="148" t="s">
        <v>391</v>
      </c>
      <c r="D8" s="148" t="s">
        <v>393</v>
      </c>
      <c r="E8" s="148" t="s">
        <v>393</v>
      </c>
      <c r="F8" s="148" t="s">
        <v>393</v>
      </c>
      <c r="G8">
        <v>342</v>
      </c>
      <c r="H8" t="s">
        <v>351</v>
      </c>
      <c r="K8" t="s">
        <v>123</v>
      </c>
      <c r="L8">
        <v>21.716652385032795</v>
      </c>
      <c r="M8" t="s">
        <v>392</v>
      </c>
      <c r="N8" cm="1">
        <f t="array" ref="N8">QUARTILE(_xlfn._xlws.FILTER($L$3:$L$22,$K$3:$K$22=$K8),1)</f>
        <v>20.613616437618884</v>
      </c>
      <c r="O8" cm="1">
        <f t="array" ref="O8">QUARTILE(_xlfn._xlws.FILTER($L$3:$L$22,$K$3:$K$22=$K8),3)</f>
        <v>38.045681702576601</v>
      </c>
      <c r="P8">
        <f t="shared" si="0"/>
        <v>17.432065264957718</v>
      </c>
      <c r="Q8">
        <f t="shared" si="1"/>
        <v>3.181551172661166</v>
      </c>
      <c r="R8">
        <f t="shared" si="2"/>
        <v>55.477746967534316</v>
      </c>
      <c r="S8" t="b">
        <f t="shared" si="3"/>
        <v>0</v>
      </c>
    </row>
    <row r="9" spans="1:19" ht="15" thickBot="1" x14ac:dyDescent="0.35">
      <c r="A9" t="s">
        <v>395</v>
      </c>
      <c r="B9" t="s">
        <v>523</v>
      </c>
      <c r="C9" s="148" t="s">
        <v>391</v>
      </c>
      <c r="D9" s="148" t="s">
        <v>393</v>
      </c>
      <c r="E9" s="148" t="s">
        <v>393</v>
      </c>
      <c r="F9" s="148" t="s">
        <v>393</v>
      </c>
      <c r="G9">
        <v>9030</v>
      </c>
      <c r="H9" t="s">
        <v>153</v>
      </c>
      <c r="K9" t="s">
        <v>145</v>
      </c>
      <c r="L9">
        <v>155.39993033786095</v>
      </c>
      <c r="M9" t="s">
        <v>392</v>
      </c>
      <c r="N9" cm="1">
        <f t="array" ref="N9">QUARTILE(_xlfn._xlws.FILTER($L$3:$L$22,$K$3:$K$22=$K9),1)</f>
        <v>155.39993033786095</v>
      </c>
      <c r="O9" cm="1">
        <f t="array" ref="O9">QUARTILE(_xlfn._xlws.FILTER($L$3:$L$22,$K$3:$K$22=$K9),3)</f>
        <v>155.39993033786095</v>
      </c>
      <c r="P9">
        <f t="shared" si="0"/>
        <v>0</v>
      </c>
      <c r="Q9">
        <f t="shared" si="1"/>
        <v>155.39993033786095</v>
      </c>
      <c r="R9">
        <f t="shared" si="2"/>
        <v>155.39993033786095</v>
      </c>
      <c r="S9" t="b">
        <f t="shared" si="3"/>
        <v>0</v>
      </c>
    </row>
    <row r="10" spans="1:19" ht="15" thickBot="1" x14ac:dyDescent="0.35">
      <c r="A10" t="s">
        <v>130</v>
      </c>
      <c r="B10" t="s">
        <v>522</v>
      </c>
      <c r="C10" s="148" t="s">
        <v>392</v>
      </c>
      <c r="D10" s="148" t="s">
        <v>393</v>
      </c>
      <c r="E10" s="148" t="s">
        <v>392</v>
      </c>
      <c r="F10" s="148" t="s">
        <v>392</v>
      </c>
      <c r="G10">
        <v>83173</v>
      </c>
      <c r="H10" t="s">
        <v>127</v>
      </c>
      <c r="K10" t="s">
        <v>149</v>
      </c>
      <c r="L10">
        <v>7.5595472770094957E-2</v>
      </c>
      <c r="M10" t="s">
        <v>392</v>
      </c>
      <c r="N10" cm="1">
        <f t="array" ref="N10">QUARTILE(_xlfn._xlws.FILTER($L$3:$L$22,$K$3:$K$22=$K10),1)</f>
        <v>3.1771806545786094</v>
      </c>
      <c r="O10" cm="1">
        <f t="array" ref="O10">QUARTILE(_xlfn._xlws.FILTER($L$3:$L$22,$K$3:$K$22=$K10),3)</f>
        <v>9.380351018195638</v>
      </c>
      <c r="P10">
        <f t="shared" si="0"/>
        <v>6.2031703636170281</v>
      </c>
      <c r="Q10">
        <f t="shared" si="1"/>
        <v>-3.0259897090384187</v>
      </c>
      <c r="R10">
        <f t="shared" si="2"/>
        <v>15.583521381812666</v>
      </c>
      <c r="S10" t="b">
        <f t="shared" si="3"/>
        <v>0</v>
      </c>
    </row>
    <row r="11" spans="1:19" ht="15" thickBot="1" x14ac:dyDescent="0.35">
      <c r="A11" t="s">
        <v>131</v>
      </c>
      <c r="B11" t="s">
        <v>522</v>
      </c>
      <c r="C11" s="148" t="s">
        <v>393</v>
      </c>
      <c r="D11" s="148" t="s">
        <v>393</v>
      </c>
      <c r="E11" s="148" t="s">
        <v>393</v>
      </c>
      <c r="F11" s="148" t="s">
        <v>393</v>
      </c>
      <c r="G11">
        <v>54428</v>
      </c>
      <c r="H11" t="s">
        <v>123</v>
      </c>
      <c r="K11" t="s">
        <v>153</v>
      </c>
      <c r="L11">
        <v>32.927271310581716</v>
      </c>
      <c r="M11" t="s">
        <v>392</v>
      </c>
      <c r="N11" cm="1">
        <f t="array" ref="N11">QUARTILE(_xlfn._xlws.FILTER($L$3:$L$22,$K$3:$K$22=$K11),1)</f>
        <v>13.067663866177391</v>
      </c>
      <c r="O11" cm="1">
        <f t="array" ref="O11">QUARTILE(_xlfn._xlws.FILTER($L$3:$L$22,$K$3:$K$22=$K11),3)</f>
        <v>35.52940993727978</v>
      </c>
      <c r="P11">
        <f t="shared" si="0"/>
        <v>22.46174607110239</v>
      </c>
      <c r="Q11">
        <f t="shared" si="1"/>
        <v>-9.3940822049249988</v>
      </c>
      <c r="R11">
        <f t="shared" si="2"/>
        <v>57.99115600838217</v>
      </c>
      <c r="S11" t="b">
        <f t="shared" si="3"/>
        <v>0</v>
      </c>
    </row>
    <row r="12" spans="1:19" ht="15" thickBot="1" x14ac:dyDescent="0.35">
      <c r="A12" t="s">
        <v>133</v>
      </c>
      <c r="B12" t="s">
        <v>522</v>
      </c>
      <c r="C12" s="148" t="s">
        <v>392</v>
      </c>
      <c r="D12" s="148" t="s">
        <v>393</v>
      </c>
      <c r="E12" s="148" t="s">
        <v>392</v>
      </c>
      <c r="F12" s="148" t="s">
        <v>392</v>
      </c>
      <c r="G12">
        <v>186318</v>
      </c>
      <c r="H12" t="s">
        <v>134</v>
      </c>
      <c r="K12" t="s">
        <v>156</v>
      </c>
      <c r="L12">
        <v>18.548314501087454</v>
      </c>
      <c r="M12" t="s">
        <v>392</v>
      </c>
      <c r="N12" cm="1">
        <f t="array" ref="N12">QUARTILE(_xlfn._xlws.FILTER($L$3:$L$22,$K$3:$K$22=$K12),1)</f>
        <v>18.548314501087454</v>
      </c>
      <c r="O12" cm="1">
        <f t="array" ref="O12">QUARTILE(_xlfn._xlws.FILTER($L$3:$L$22,$K$3:$K$22=$K12),3)</f>
        <v>18.548314501087454</v>
      </c>
      <c r="P12">
        <f t="shared" si="0"/>
        <v>0</v>
      </c>
      <c r="Q12">
        <f t="shared" si="1"/>
        <v>18.548314501087454</v>
      </c>
      <c r="R12">
        <f t="shared" si="2"/>
        <v>18.548314501087454</v>
      </c>
      <c r="S12" t="b">
        <f t="shared" si="3"/>
        <v>0</v>
      </c>
    </row>
    <row r="13" spans="1:19" ht="15" thickBot="1" x14ac:dyDescent="0.35">
      <c r="A13" t="s">
        <v>400</v>
      </c>
      <c r="B13" t="s">
        <v>522</v>
      </c>
      <c r="C13" s="148" t="s">
        <v>392</v>
      </c>
      <c r="D13" s="148" t="s">
        <v>393</v>
      </c>
      <c r="E13" s="148" t="s">
        <v>392</v>
      </c>
      <c r="F13" s="148" t="s">
        <v>392</v>
      </c>
      <c r="G13">
        <v>108150</v>
      </c>
      <c r="H13" t="s">
        <v>134</v>
      </c>
      <c r="K13" t="s">
        <v>149</v>
      </c>
      <c r="L13">
        <v>12.481936200004153</v>
      </c>
      <c r="M13" t="s">
        <v>392</v>
      </c>
      <c r="N13" cm="1">
        <f t="array" ref="N13">QUARTILE(_xlfn._xlws.FILTER($L$3:$L$22,$K$3:$K$22=$K13),1)</f>
        <v>3.1771806545786094</v>
      </c>
      <c r="O13" cm="1">
        <f t="array" ref="O13">QUARTILE(_xlfn._xlws.FILTER($L$3:$L$22,$K$3:$K$22=$K13),3)</f>
        <v>9.380351018195638</v>
      </c>
      <c r="P13">
        <f t="shared" si="0"/>
        <v>6.2031703636170281</v>
      </c>
      <c r="Q13">
        <f t="shared" si="1"/>
        <v>-3.0259897090384187</v>
      </c>
      <c r="R13">
        <f t="shared" si="2"/>
        <v>15.583521381812666</v>
      </c>
      <c r="S13" t="b">
        <f t="shared" si="3"/>
        <v>0</v>
      </c>
    </row>
    <row r="14" spans="1:19" ht="15" thickBot="1" x14ac:dyDescent="0.35">
      <c r="A14" t="s">
        <v>401</v>
      </c>
      <c r="B14" t="s">
        <v>522</v>
      </c>
      <c r="C14" s="148" t="s">
        <v>392</v>
      </c>
      <c r="D14" s="148" t="s">
        <v>393</v>
      </c>
      <c r="E14" s="148" t="s">
        <v>392</v>
      </c>
      <c r="F14" s="148" t="s">
        <v>392</v>
      </c>
      <c r="G14">
        <v>716675</v>
      </c>
      <c r="H14" t="s">
        <v>134</v>
      </c>
      <c r="K14" t="s">
        <v>123</v>
      </c>
      <c r="L14">
        <v>33.444707740916165</v>
      </c>
      <c r="M14" t="s">
        <v>392</v>
      </c>
      <c r="N14" cm="1">
        <f t="array" ref="N14">QUARTILE(_xlfn._xlws.FILTER($L$3:$L$22,$K$3:$K$22=$K14),1)</f>
        <v>20.613616437618884</v>
      </c>
      <c r="O14" cm="1">
        <f t="array" ref="O14">QUARTILE(_xlfn._xlws.FILTER($L$3:$L$22,$K$3:$K$22=$K14),3)</f>
        <v>38.045681702576601</v>
      </c>
      <c r="P14">
        <f t="shared" si="0"/>
        <v>17.432065264957718</v>
      </c>
      <c r="Q14">
        <f t="shared" si="1"/>
        <v>3.181551172661166</v>
      </c>
      <c r="R14">
        <f t="shared" si="2"/>
        <v>55.477746967534316</v>
      </c>
      <c r="S14" t="b">
        <f t="shared" si="3"/>
        <v>0</v>
      </c>
    </row>
    <row r="15" spans="1:19" ht="15" thickBot="1" x14ac:dyDescent="0.35">
      <c r="A15" t="s">
        <v>402</v>
      </c>
      <c r="B15" t="s">
        <v>522</v>
      </c>
      <c r="C15" s="148" t="s">
        <v>392</v>
      </c>
      <c r="D15" s="148" t="s">
        <v>393</v>
      </c>
      <c r="E15" s="148" t="s">
        <v>392</v>
      </c>
      <c r="F15" s="148" t="s">
        <v>392</v>
      </c>
      <c r="G15">
        <v>135837</v>
      </c>
      <c r="H15" t="s">
        <v>134</v>
      </c>
      <c r="K15" t="s">
        <v>134</v>
      </c>
      <c r="L15">
        <v>31.646396158291743</v>
      </c>
      <c r="M15" t="s">
        <v>392</v>
      </c>
      <c r="N15" cm="1">
        <f t="array" ref="N15">QUARTILE(_xlfn._xlws.FILTER($L$3:$L$22,$K$3:$K$22=$K15),1)</f>
        <v>7.9115990395729359</v>
      </c>
      <c r="O15" cm="1">
        <f t="array" ref="O15">QUARTILE(_xlfn._xlws.FILTER($L$3:$L$22,$K$3:$K$22=$K15),3)</f>
        <v>23.734797118718809</v>
      </c>
      <c r="P15">
        <f t="shared" si="0"/>
        <v>15.823198079145874</v>
      </c>
      <c r="Q15">
        <f t="shared" si="1"/>
        <v>-7.9115990395729376</v>
      </c>
      <c r="R15">
        <f t="shared" si="2"/>
        <v>39.557995197864685</v>
      </c>
      <c r="S15" t="b">
        <f t="shared" si="3"/>
        <v>0</v>
      </c>
    </row>
    <row r="16" spans="1:19" ht="15" thickBot="1" x14ac:dyDescent="0.35">
      <c r="A16" t="s">
        <v>403</v>
      </c>
      <c r="B16" t="s">
        <v>522</v>
      </c>
      <c r="C16" s="148" t="s">
        <v>392</v>
      </c>
      <c r="D16" s="148" t="s">
        <v>393</v>
      </c>
      <c r="E16" s="148" t="s">
        <v>393</v>
      </c>
      <c r="F16" s="148" t="s">
        <v>393</v>
      </c>
      <c r="G16">
        <v>290760</v>
      </c>
      <c r="H16" t="s">
        <v>352</v>
      </c>
      <c r="K16" t="s">
        <v>153</v>
      </c>
      <c r="L16">
        <v>43.335825817373973</v>
      </c>
      <c r="M16" t="s">
        <v>392</v>
      </c>
      <c r="N16" cm="1">
        <f t="array" ref="N16">QUARTILE(_xlfn._xlws.FILTER($L$3:$L$22,$K$3:$K$22=$K16),1)</f>
        <v>13.067663866177391</v>
      </c>
      <c r="O16" cm="1">
        <f t="array" ref="O16">QUARTILE(_xlfn._xlws.FILTER($L$3:$L$22,$K$3:$K$22=$K16),3)</f>
        <v>35.52940993727978</v>
      </c>
      <c r="P16">
        <f t="shared" si="0"/>
        <v>22.46174607110239</v>
      </c>
      <c r="Q16">
        <f t="shared" si="1"/>
        <v>-9.3940822049249988</v>
      </c>
      <c r="R16">
        <f t="shared" si="2"/>
        <v>57.99115600838217</v>
      </c>
      <c r="S16" t="b">
        <f t="shared" si="3"/>
        <v>0</v>
      </c>
    </row>
    <row r="17" spans="1:19" ht="15" thickBot="1" x14ac:dyDescent="0.35">
      <c r="A17" t="s">
        <v>135</v>
      </c>
      <c r="B17" t="s">
        <v>523</v>
      </c>
      <c r="C17" s="148" t="s">
        <v>392</v>
      </c>
      <c r="D17" s="148" t="s">
        <v>393</v>
      </c>
      <c r="E17" s="148" t="s">
        <v>393</v>
      </c>
      <c r="F17" s="148" t="s">
        <v>393</v>
      </c>
      <c r="G17">
        <v>11541</v>
      </c>
      <c r="H17" t="s">
        <v>136</v>
      </c>
      <c r="K17" t="s">
        <v>127</v>
      </c>
      <c r="L17">
        <v>3.8330166270784183</v>
      </c>
      <c r="M17" t="s">
        <v>392</v>
      </c>
      <c r="N17" cm="1">
        <f t="array" ref="N17">QUARTILE(_xlfn._xlws.FILTER($L$3:$L$22,$K$3:$K$22=$K17),1)</f>
        <v>0.60794897060879505</v>
      </c>
      <c r="O17" cm="1">
        <f t="array" ref="O17">QUARTILE(_xlfn._xlws.FILTER($L$3:$L$22,$K$3:$K$22=$K17),3)</f>
        <v>4.6723958762904232</v>
      </c>
      <c r="P17">
        <f t="shared" si="0"/>
        <v>4.0644469056816277</v>
      </c>
      <c r="Q17">
        <f t="shared" si="1"/>
        <v>-3.4564979350728327</v>
      </c>
      <c r="R17">
        <f t="shared" si="2"/>
        <v>8.7368427819720509</v>
      </c>
      <c r="S17" t="b">
        <f t="shared" si="3"/>
        <v>0</v>
      </c>
    </row>
    <row r="18" spans="1:19" ht="15" thickBot="1" x14ac:dyDescent="0.35">
      <c r="A18" t="s">
        <v>137</v>
      </c>
      <c r="B18" t="s">
        <v>522</v>
      </c>
      <c r="C18" s="148" t="s">
        <v>392</v>
      </c>
      <c r="D18" s="148" t="s">
        <v>392</v>
      </c>
      <c r="E18" s="148" t="s">
        <v>392</v>
      </c>
      <c r="F18" s="148" t="s">
        <v>392</v>
      </c>
      <c r="G18">
        <v>33407</v>
      </c>
      <c r="H18" t="s">
        <v>127</v>
      </c>
      <c r="K18" t="s">
        <v>153</v>
      </c>
      <c r="L18">
        <v>17.240705819931247</v>
      </c>
      <c r="M18" t="s">
        <v>392</v>
      </c>
      <c r="N18" cm="1">
        <f t="array" ref="N18">QUARTILE(_xlfn._xlws.FILTER($L$3:$L$22,$K$3:$K$22=$K18),1)</f>
        <v>13.067663866177391</v>
      </c>
      <c r="O18" cm="1">
        <f t="array" ref="O18">QUARTILE(_xlfn._xlws.FILTER($L$3:$L$22,$K$3:$K$22=$K18),3)</f>
        <v>35.52940993727978</v>
      </c>
      <c r="P18">
        <f t="shared" si="0"/>
        <v>22.46174607110239</v>
      </c>
      <c r="Q18">
        <f t="shared" si="1"/>
        <v>-9.3940822049249988</v>
      </c>
      <c r="R18">
        <f t="shared" si="2"/>
        <v>57.99115600838217</v>
      </c>
      <c r="S18" t="b">
        <f t="shared" si="3"/>
        <v>0</v>
      </c>
    </row>
    <row r="19" spans="1:19" ht="15" thickBot="1" x14ac:dyDescent="0.35">
      <c r="A19" t="s">
        <v>404</v>
      </c>
      <c r="B19" t="s">
        <v>522</v>
      </c>
      <c r="C19" s="148" t="s">
        <v>393</v>
      </c>
      <c r="D19" s="148" t="s">
        <v>393</v>
      </c>
      <c r="E19" s="148" t="s">
        <v>393</v>
      </c>
      <c r="F19" s="148" t="s">
        <v>393</v>
      </c>
      <c r="G19">
        <v>36755</v>
      </c>
      <c r="H19" t="s">
        <v>351</v>
      </c>
      <c r="K19" t="s">
        <v>123</v>
      </c>
      <c r="L19">
        <v>51.848603587557918</v>
      </c>
      <c r="M19" t="s">
        <v>392</v>
      </c>
      <c r="N19" cm="1">
        <f t="array" ref="N19">QUARTILE(_xlfn._xlws.FILTER($L$3:$L$22,$K$3:$K$22=$K19),1)</f>
        <v>20.613616437618884</v>
      </c>
      <c r="O19" cm="1">
        <f t="array" ref="O19">QUARTILE(_xlfn._xlws.FILTER($L$3:$L$22,$K$3:$K$22=$K19),3)</f>
        <v>38.045681702576601</v>
      </c>
      <c r="P19">
        <f t="shared" si="0"/>
        <v>17.432065264957718</v>
      </c>
      <c r="Q19">
        <f t="shared" si="1"/>
        <v>3.181551172661166</v>
      </c>
      <c r="R19">
        <f t="shared" si="2"/>
        <v>55.477746967534316</v>
      </c>
      <c r="S19" t="b">
        <f t="shared" si="3"/>
        <v>0</v>
      </c>
    </row>
    <row r="20" spans="1:19" ht="15" thickBot="1" x14ac:dyDescent="0.35">
      <c r="A20" t="s">
        <v>138</v>
      </c>
      <c r="B20" t="s">
        <v>524</v>
      </c>
      <c r="C20" s="148" t="s">
        <v>392</v>
      </c>
      <c r="D20" s="148" t="s">
        <v>392</v>
      </c>
      <c r="E20" s="148" t="s">
        <v>393</v>
      </c>
      <c r="F20" s="148" t="s">
        <v>393</v>
      </c>
      <c r="G20">
        <v>12889</v>
      </c>
      <c r="H20" t="s">
        <v>127</v>
      </c>
      <c r="K20" t="s">
        <v>153</v>
      </c>
      <c r="L20">
        <v>0.54853800491582705</v>
      </c>
      <c r="M20" t="s">
        <v>392</v>
      </c>
      <c r="N20" cm="1">
        <f t="array" ref="N20">QUARTILE(_xlfn._xlws.FILTER($L$3:$L$22,$K$3:$K$22=$K20),1)</f>
        <v>13.067663866177391</v>
      </c>
      <c r="O20" cm="1">
        <f t="array" ref="O20">QUARTILE(_xlfn._xlws.FILTER($L$3:$L$22,$K$3:$K$22=$K20),3)</f>
        <v>35.52940993727978</v>
      </c>
      <c r="P20">
        <f t="shared" si="0"/>
        <v>22.46174607110239</v>
      </c>
      <c r="Q20">
        <f t="shared" si="1"/>
        <v>-9.3940822049249988</v>
      </c>
      <c r="R20">
        <f t="shared" si="2"/>
        <v>57.99115600838217</v>
      </c>
      <c r="S20" t="b">
        <f t="shared" si="3"/>
        <v>0</v>
      </c>
    </row>
    <row r="21" spans="1:19" ht="15" thickBot="1" x14ac:dyDescent="0.35">
      <c r="A21" t="s">
        <v>405</v>
      </c>
      <c r="B21" t="s">
        <v>522</v>
      </c>
      <c r="C21" s="148" t="s">
        <v>391</v>
      </c>
      <c r="D21" s="148" t="s">
        <v>393</v>
      </c>
      <c r="E21" s="148" t="s">
        <v>391</v>
      </c>
      <c r="F21" s="148" t="s">
        <v>393</v>
      </c>
      <c r="G21">
        <v>12900</v>
      </c>
      <c r="H21" t="s">
        <v>599</v>
      </c>
      <c r="K21" t="s">
        <v>123</v>
      </c>
      <c r="L21">
        <v>17.304508595377154</v>
      </c>
      <c r="M21" t="s">
        <v>392</v>
      </c>
      <c r="N21" cm="1">
        <f t="array" ref="N21">QUARTILE(_xlfn._xlws.FILTER($L$3:$L$22,$K$3:$K$22=$K21),1)</f>
        <v>20.613616437618884</v>
      </c>
      <c r="O21" cm="1">
        <f t="array" ref="O21">QUARTILE(_xlfn._xlws.FILTER($L$3:$L$22,$K$3:$K$22=$K21),3)</f>
        <v>38.045681702576601</v>
      </c>
      <c r="P21">
        <f t="shared" si="0"/>
        <v>17.432065264957718</v>
      </c>
      <c r="Q21">
        <f t="shared" si="1"/>
        <v>3.181551172661166</v>
      </c>
      <c r="R21">
        <f t="shared" si="2"/>
        <v>55.477746967534316</v>
      </c>
      <c r="S21" t="b">
        <f t="shared" si="3"/>
        <v>0</v>
      </c>
    </row>
    <row r="22" spans="1:19" ht="15" thickBot="1" x14ac:dyDescent="0.35">
      <c r="A22" t="s">
        <v>140</v>
      </c>
      <c r="B22" t="s">
        <v>523</v>
      </c>
      <c r="C22" s="148" t="s">
        <v>391</v>
      </c>
      <c r="D22" s="148" t="s">
        <v>393</v>
      </c>
      <c r="E22" s="148" t="s">
        <v>393</v>
      </c>
      <c r="F22" s="148" t="s">
        <v>393</v>
      </c>
      <c r="G22">
        <v>4320</v>
      </c>
      <c r="H22" t="s">
        <v>125</v>
      </c>
      <c r="K22" t="s">
        <v>134</v>
      </c>
      <c r="L22">
        <v>0</v>
      </c>
      <c r="M22" t="s">
        <v>392</v>
      </c>
      <c r="N22" cm="1">
        <f t="array" ref="N22">QUARTILE(_xlfn._xlws.FILTER($L$3:$L$22,$K$3:$K$22=$K22),1)</f>
        <v>7.9115990395729359</v>
      </c>
      <c r="O22" cm="1">
        <f t="array" ref="O22">QUARTILE(_xlfn._xlws.FILTER($L$3:$L$22,$K$3:$K$22=$K22),3)</f>
        <v>23.734797118718809</v>
      </c>
      <c r="P22">
        <f t="shared" si="0"/>
        <v>15.823198079145874</v>
      </c>
      <c r="Q22">
        <f t="shared" si="1"/>
        <v>-7.9115990395729376</v>
      </c>
      <c r="R22">
        <f t="shared" si="2"/>
        <v>39.557995197864685</v>
      </c>
      <c r="S22" t="b">
        <f t="shared" si="3"/>
        <v>0</v>
      </c>
    </row>
    <row r="23" spans="1:19" ht="15" thickBot="1" x14ac:dyDescent="0.35">
      <c r="A23" t="s">
        <v>141</v>
      </c>
      <c r="B23" t="s">
        <v>522</v>
      </c>
      <c r="C23" s="148" t="s">
        <v>391</v>
      </c>
      <c r="D23" s="148" t="s">
        <v>392</v>
      </c>
      <c r="E23" s="148" t="s">
        <v>393</v>
      </c>
      <c r="F23" s="148" t="s">
        <v>393</v>
      </c>
      <c r="G23">
        <v>12837</v>
      </c>
      <c r="H23" t="s">
        <v>123</v>
      </c>
    </row>
    <row r="24" spans="1:19" ht="15" thickBot="1" x14ac:dyDescent="0.35">
      <c r="A24" t="s">
        <v>142</v>
      </c>
      <c r="B24" t="s">
        <v>522</v>
      </c>
      <c r="C24" s="148" t="s">
        <v>393</v>
      </c>
      <c r="D24" s="148" t="s">
        <v>393</v>
      </c>
      <c r="E24" s="148" t="s">
        <v>393</v>
      </c>
      <c r="F24" s="148" t="s">
        <v>393</v>
      </c>
      <c r="G24">
        <v>29182</v>
      </c>
      <c r="H24" t="s">
        <v>143</v>
      </c>
    </row>
    <row r="25" spans="1:19" ht="15" thickBot="1" x14ac:dyDescent="0.35">
      <c r="A25" t="s">
        <v>144</v>
      </c>
      <c r="B25" t="s">
        <v>522</v>
      </c>
      <c r="C25" s="148" t="s">
        <v>392</v>
      </c>
      <c r="D25" s="148" t="s">
        <v>392</v>
      </c>
      <c r="E25" s="148" t="s">
        <v>393</v>
      </c>
      <c r="F25" s="148" t="s">
        <v>393</v>
      </c>
      <c r="G25">
        <v>23925</v>
      </c>
      <c r="H25" t="s">
        <v>145</v>
      </c>
    </row>
    <row r="26" spans="1:19" ht="15" thickBot="1" x14ac:dyDescent="0.35">
      <c r="A26" t="s">
        <v>406</v>
      </c>
      <c r="B26" t="s">
        <v>522</v>
      </c>
      <c r="C26" s="148" t="s">
        <v>392</v>
      </c>
      <c r="D26" s="148" t="s">
        <v>393</v>
      </c>
      <c r="E26" s="148" t="s">
        <v>392</v>
      </c>
      <c r="F26" s="148" t="s">
        <v>392</v>
      </c>
      <c r="G26">
        <v>58733</v>
      </c>
      <c r="H26" t="s">
        <v>127</v>
      </c>
    </row>
    <row r="27" spans="1:19" ht="15" thickBot="1" x14ac:dyDescent="0.35">
      <c r="A27" t="s">
        <v>148</v>
      </c>
      <c r="B27" t="s">
        <v>522</v>
      </c>
      <c r="C27" s="148" t="s">
        <v>392</v>
      </c>
      <c r="D27" s="148" t="s">
        <v>392</v>
      </c>
      <c r="E27" s="148" t="s">
        <v>392</v>
      </c>
      <c r="F27" s="148" t="s">
        <v>392</v>
      </c>
      <c r="G27">
        <v>345715</v>
      </c>
      <c r="H27" t="s">
        <v>149</v>
      </c>
    </row>
    <row r="28" spans="1:19" ht="15" thickBot="1" x14ac:dyDescent="0.35">
      <c r="A28" t="s">
        <v>150</v>
      </c>
      <c r="B28" t="s">
        <v>522</v>
      </c>
      <c r="C28" s="148" t="s">
        <v>392</v>
      </c>
      <c r="D28" s="148" t="s">
        <v>393</v>
      </c>
      <c r="E28" s="148" t="s">
        <v>392</v>
      </c>
      <c r="F28" s="148" t="s">
        <v>392</v>
      </c>
      <c r="G28">
        <v>36691</v>
      </c>
      <c r="H28" t="s">
        <v>127</v>
      </c>
    </row>
    <row r="29" spans="1:19" ht="15" thickBot="1" x14ac:dyDescent="0.35">
      <c r="A29" t="s">
        <v>151</v>
      </c>
      <c r="B29" t="s">
        <v>522</v>
      </c>
      <c r="C29" s="148" t="s">
        <v>392</v>
      </c>
      <c r="D29" s="148" t="s">
        <v>393</v>
      </c>
      <c r="E29" s="148" t="s">
        <v>392</v>
      </c>
      <c r="F29" s="148" t="s">
        <v>392</v>
      </c>
      <c r="G29">
        <v>341415</v>
      </c>
      <c r="H29" t="s">
        <v>127</v>
      </c>
    </row>
    <row r="30" spans="1:19" ht="15" thickBot="1" x14ac:dyDescent="0.35">
      <c r="A30" t="s">
        <v>407</v>
      </c>
      <c r="B30" t="s">
        <v>522</v>
      </c>
      <c r="C30" s="148" t="s">
        <v>391</v>
      </c>
      <c r="D30" s="148" t="s">
        <v>393</v>
      </c>
      <c r="E30" s="148" t="s">
        <v>391</v>
      </c>
      <c r="F30" s="148" t="s">
        <v>391</v>
      </c>
      <c r="G30">
        <v>16496</v>
      </c>
      <c r="H30" t="s">
        <v>123</v>
      </c>
    </row>
    <row r="31" spans="1:19" ht="15" thickBot="1" x14ac:dyDescent="0.35">
      <c r="A31" t="s">
        <v>152</v>
      </c>
      <c r="B31" t="s">
        <v>523</v>
      </c>
      <c r="C31" s="148" t="s">
        <v>392</v>
      </c>
      <c r="D31" s="148" t="s">
        <v>392</v>
      </c>
      <c r="E31" s="148" t="s">
        <v>393</v>
      </c>
      <c r="F31" s="148" t="s">
        <v>393</v>
      </c>
      <c r="G31">
        <v>15667</v>
      </c>
      <c r="H31" t="s">
        <v>153</v>
      </c>
    </row>
    <row r="32" spans="1:19" ht="15" thickBot="1" x14ac:dyDescent="0.35">
      <c r="A32" t="s">
        <v>375</v>
      </c>
      <c r="C32" s="148" t="s">
        <v>393</v>
      </c>
      <c r="D32" s="148" t="s">
        <v>393</v>
      </c>
      <c r="E32" s="148" t="s">
        <v>393</v>
      </c>
      <c r="F32" s="148" t="s">
        <v>393</v>
      </c>
      <c r="G32">
        <v>0</v>
      </c>
    </row>
    <row r="33" spans="1:8" ht="15" thickBot="1" x14ac:dyDescent="0.35">
      <c r="A33" t="s">
        <v>155</v>
      </c>
      <c r="B33" t="s">
        <v>525</v>
      </c>
      <c r="C33" s="148" t="s">
        <v>392</v>
      </c>
      <c r="D33" s="148" t="s">
        <v>392</v>
      </c>
      <c r="E33" s="148" t="s">
        <v>393</v>
      </c>
      <c r="F33" s="148" t="s">
        <v>393</v>
      </c>
      <c r="G33">
        <v>52851</v>
      </c>
      <c r="H33" t="s">
        <v>156</v>
      </c>
    </row>
    <row r="34" spans="1:8" ht="15" thickBot="1" x14ac:dyDescent="0.35">
      <c r="A34" t="s">
        <v>157</v>
      </c>
      <c r="B34" t="s">
        <v>522</v>
      </c>
      <c r="C34" s="148" t="s">
        <v>392</v>
      </c>
      <c r="D34" s="148" t="s">
        <v>393</v>
      </c>
      <c r="E34" s="148" t="s">
        <v>392</v>
      </c>
      <c r="F34" s="148" t="s">
        <v>392</v>
      </c>
      <c r="G34">
        <v>42445</v>
      </c>
      <c r="H34" t="s">
        <v>127</v>
      </c>
    </row>
    <row r="35" spans="1:8" ht="15" thickBot="1" x14ac:dyDescent="0.35">
      <c r="A35" t="s">
        <v>158</v>
      </c>
      <c r="B35" t="s">
        <v>522</v>
      </c>
      <c r="C35" s="148" t="s">
        <v>392</v>
      </c>
      <c r="D35" s="148" t="s">
        <v>393</v>
      </c>
      <c r="E35" s="148" t="s">
        <v>392</v>
      </c>
      <c r="F35" t="s">
        <v>681</v>
      </c>
      <c r="G35">
        <v>73315</v>
      </c>
      <c r="H35" t="s">
        <v>127</v>
      </c>
    </row>
    <row r="36" spans="1:8" ht="15" thickBot="1" x14ac:dyDescent="0.35">
      <c r="A36" t="s">
        <v>159</v>
      </c>
      <c r="B36" t="s">
        <v>522</v>
      </c>
      <c r="C36" s="148" t="s">
        <v>392</v>
      </c>
      <c r="D36" s="148" t="s">
        <v>392</v>
      </c>
      <c r="E36" s="148" t="s">
        <v>393</v>
      </c>
      <c r="F36" s="148" t="s">
        <v>392</v>
      </c>
      <c r="G36">
        <v>113302</v>
      </c>
      <c r="H36" t="s">
        <v>149</v>
      </c>
    </row>
    <row r="37" spans="1:8" ht="15" thickBot="1" x14ac:dyDescent="0.35">
      <c r="A37" t="s">
        <v>408</v>
      </c>
      <c r="B37" t="s">
        <v>522</v>
      </c>
      <c r="C37" s="148" t="s">
        <v>393</v>
      </c>
      <c r="D37" s="148" t="s">
        <v>393</v>
      </c>
      <c r="E37" s="148" t="s">
        <v>393</v>
      </c>
      <c r="F37" s="148" t="s">
        <v>393</v>
      </c>
      <c r="G37">
        <v>18803</v>
      </c>
      <c r="H37" t="s">
        <v>127</v>
      </c>
    </row>
    <row r="38" spans="1:8" ht="15" thickBot="1" x14ac:dyDescent="0.35">
      <c r="A38" t="s">
        <v>160</v>
      </c>
      <c r="B38" t="s">
        <v>522</v>
      </c>
      <c r="C38" s="148" t="s">
        <v>392</v>
      </c>
      <c r="D38" s="148" t="s">
        <v>393</v>
      </c>
      <c r="E38" s="148" t="s">
        <v>392</v>
      </c>
      <c r="F38" s="148" t="s">
        <v>392</v>
      </c>
      <c r="G38">
        <v>163476</v>
      </c>
      <c r="H38" t="s">
        <v>149</v>
      </c>
    </row>
    <row r="39" spans="1:8" ht="15" thickBot="1" x14ac:dyDescent="0.35">
      <c r="A39" t="s">
        <v>161</v>
      </c>
      <c r="B39" t="s">
        <v>526</v>
      </c>
      <c r="C39" s="148" t="s">
        <v>392</v>
      </c>
      <c r="D39" s="148" t="s">
        <v>392</v>
      </c>
      <c r="E39" s="148" t="s">
        <v>393</v>
      </c>
      <c r="F39" s="148" t="s">
        <v>393</v>
      </c>
      <c r="G39">
        <v>25320</v>
      </c>
      <c r="H39" t="s">
        <v>134</v>
      </c>
    </row>
    <row r="40" spans="1:8" ht="15" thickBot="1" x14ac:dyDescent="0.35">
      <c r="A40" t="s">
        <v>162</v>
      </c>
      <c r="B40" t="s">
        <v>522</v>
      </c>
      <c r="C40" s="148" t="s">
        <v>392</v>
      </c>
      <c r="D40" s="148" t="s">
        <v>392</v>
      </c>
      <c r="E40" s="148" t="s">
        <v>393</v>
      </c>
      <c r="F40" s="148" t="s">
        <v>393</v>
      </c>
      <c r="G40">
        <v>130000</v>
      </c>
      <c r="H40" t="s">
        <v>134</v>
      </c>
    </row>
    <row r="41" spans="1:8" ht="15" thickBot="1" x14ac:dyDescent="0.35">
      <c r="A41" t="s">
        <v>163</v>
      </c>
      <c r="B41" t="s">
        <v>523</v>
      </c>
      <c r="C41" s="148" t="s">
        <v>392</v>
      </c>
      <c r="D41" s="148" t="s">
        <v>392</v>
      </c>
      <c r="E41" s="148" t="s">
        <v>393</v>
      </c>
      <c r="F41" s="148" t="s">
        <v>393</v>
      </c>
      <c r="G41">
        <v>15358</v>
      </c>
      <c r="H41" t="s">
        <v>153</v>
      </c>
    </row>
    <row r="42" spans="1:8" ht="15" thickBot="1" x14ac:dyDescent="0.35">
      <c r="A42" t="s">
        <v>164</v>
      </c>
      <c r="B42" t="s">
        <v>522</v>
      </c>
      <c r="C42" s="148" t="s">
        <v>392</v>
      </c>
      <c r="D42" s="148" t="s">
        <v>393</v>
      </c>
      <c r="E42" s="148" t="s">
        <v>392</v>
      </c>
      <c r="F42" s="148" t="s">
        <v>392</v>
      </c>
      <c r="G42">
        <v>107302</v>
      </c>
      <c r="H42" t="s">
        <v>127</v>
      </c>
    </row>
    <row r="43" spans="1:8" ht="15" thickBot="1" x14ac:dyDescent="0.35">
      <c r="A43" t="s">
        <v>146</v>
      </c>
      <c r="B43" t="s">
        <v>522</v>
      </c>
      <c r="C43" s="148" t="s">
        <v>392</v>
      </c>
      <c r="D43" s="148" t="s">
        <v>393</v>
      </c>
      <c r="E43" s="148" t="s">
        <v>392</v>
      </c>
      <c r="F43" s="148" t="s">
        <v>392</v>
      </c>
      <c r="G43">
        <v>499221</v>
      </c>
      <c r="H43" t="s">
        <v>147</v>
      </c>
    </row>
    <row r="44" spans="1:8" ht="15" thickBot="1" x14ac:dyDescent="0.35">
      <c r="A44" t="s">
        <v>396</v>
      </c>
      <c r="B44" t="s">
        <v>523</v>
      </c>
      <c r="C44" s="148" t="s">
        <v>391</v>
      </c>
      <c r="D44" s="148" t="s">
        <v>393</v>
      </c>
      <c r="E44" s="148" t="s">
        <v>393</v>
      </c>
      <c r="F44" s="148" t="s">
        <v>393</v>
      </c>
      <c r="G44">
        <v>1440</v>
      </c>
      <c r="H44" t="s">
        <v>123</v>
      </c>
    </row>
    <row r="45" spans="1:8" ht="15" thickBot="1" x14ac:dyDescent="0.35">
      <c r="A45" t="s">
        <v>409</v>
      </c>
      <c r="B45" t="s">
        <v>522</v>
      </c>
      <c r="C45" s="148" t="s">
        <v>392</v>
      </c>
      <c r="D45" s="148" t="s">
        <v>393</v>
      </c>
      <c r="E45" s="148" t="s">
        <v>393</v>
      </c>
      <c r="F45" s="148" t="s">
        <v>393</v>
      </c>
      <c r="G45">
        <v>1518</v>
      </c>
      <c r="H45" t="s">
        <v>123</v>
      </c>
    </row>
    <row r="46" spans="1:8" ht="15" thickBot="1" x14ac:dyDescent="0.35">
      <c r="A46" t="s">
        <v>397</v>
      </c>
      <c r="B46" t="s">
        <v>523</v>
      </c>
      <c r="C46" s="148" t="s">
        <v>391</v>
      </c>
      <c r="D46" s="148" t="s">
        <v>393</v>
      </c>
      <c r="E46" s="148" t="s">
        <v>393</v>
      </c>
      <c r="F46" s="148" t="s">
        <v>393</v>
      </c>
      <c r="G46">
        <v>1440</v>
      </c>
      <c r="H46" t="s">
        <v>123</v>
      </c>
    </row>
    <row r="47" spans="1:8" ht="15" thickBot="1" x14ac:dyDescent="0.35">
      <c r="A47" t="s">
        <v>410</v>
      </c>
      <c r="B47" t="s">
        <v>522</v>
      </c>
      <c r="C47" s="148" t="s">
        <v>392</v>
      </c>
      <c r="D47" s="148" t="s">
        <v>393</v>
      </c>
      <c r="E47" s="148" t="s">
        <v>393</v>
      </c>
      <c r="F47" s="148" t="s">
        <v>393</v>
      </c>
      <c r="G47">
        <v>1525</v>
      </c>
      <c r="H47" t="s">
        <v>123</v>
      </c>
    </row>
    <row r="48" spans="1:8" ht="15" thickBot="1" x14ac:dyDescent="0.35">
      <c r="A48" t="s">
        <v>398</v>
      </c>
      <c r="B48" t="s">
        <v>523</v>
      </c>
      <c r="C48" s="148" t="s">
        <v>391</v>
      </c>
      <c r="D48" s="148" t="s">
        <v>393</v>
      </c>
      <c r="E48" s="148" t="s">
        <v>393</v>
      </c>
      <c r="F48" s="148" t="s">
        <v>393</v>
      </c>
      <c r="G48">
        <v>1440</v>
      </c>
      <c r="H48" t="s">
        <v>123</v>
      </c>
    </row>
    <row r="49" spans="1:8" ht="15" thickBot="1" x14ac:dyDescent="0.35">
      <c r="A49" t="s">
        <v>411</v>
      </c>
      <c r="B49" t="s">
        <v>522</v>
      </c>
      <c r="C49" s="148" t="s">
        <v>392</v>
      </c>
      <c r="D49" s="148" t="s">
        <v>393</v>
      </c>
      <c r="E49" s="148" t="s">
        <v>393</v>
      </c>
      <c r="F49" s="148" t="s">
        <v>393</v>
      </c>
      <c r="G49">
        <v>3408</v>
      </c>
      <c r="H49" t="s">
        <v>123</v>
      </c>
    </row>
    <row r="50" spans="1:8" ht="15" thickBot="1" x14ac:dyDescent="0.35">
      <c r="A50" t="s">
        <v>412</v>
      </c>
      <c r="B50" t="s">
        <v>522</v>
      </c>
      <c r="C50" s="148" t="s">
        <v>391</v>
      </c>
      <c r="D50" s="148" t="s">
        <v>393</v>
      </c>
      <c r="E50" s="148" t="s">
        <v>393</v>
      </c>
      <c r="F50" s="148" t="s">
        <v>391</v>
      </c>
      <c r="G50">
        <v>8545</v>
      </c>
      <c r="H50" t="s">
        <v>350</v>
      </c>
    </row>
    <row r="51" spans="1:8" ht="15" thickBot="1" x14ac:dyDescent="0.35">
      <c r="A51" t="s">
        <v>376</v>
      </c>
      <c r="B51" t="s">
        <v>527</v>
      </c>
      <c r="C51" s="148" t="s">
        <v>392</v>
      </c>
      <c r="D51" s="148" t="s">
        <v>392</v>
      </c>
      <c r="E51" s="148" t="s">
        <v>393</v>
      </c>
      <c r="F51" s="148" t="s">
        <v>393</v>
      </c>
      <c r="G51">
        <v>1561</v>
      </c>
      <c r="H51" t="s">
        <v>149</v>
      </c>
    </row>
    <row r="52" spans="1:8" ht="15" thickBot="1" x14ac:dyDescent="0.35">
      <c r="A52" t="s">
        <v>166</v>
      </c>
      <c r="B52" t="s">
        <v>527</v>
      </c>
      <c r="C52" s="148" t="s">
        <v>393</v>
      </c>
      <c r="D52" s="148" t="s">
        <v>393</v>
      </c>
      <c r="E52" s="148" t="s">
        <v>393</v>
      </c>
      <c r="F52" s="148" t="s">
        <v>393</v>
      </c>
      <c r="G52">
        <v>56704</v>
      </c>
      <c r="H52" t="s">
        <v>149</v>
      </c>
    </row>
    <row r="53" spans="1:8" ht="15" thickBot="1" x14ac:dyDescent="0.35">
      <c r="A53" t="s">
        <v>377</v>
      </c>
      <c r="B53" t="s">
        <v>527</v>
      </c>
      <c r="C53" s="148" t="s">
        <v>393</v>
      </c>
      <c r="D53" s="148" t="s">
        <v>393</v>
      </c>
      <c r="E53" s="148" t="s">
        <v>393</v>
      </c>
      <c r="F53" s="148" t="s">
        <v>393</v>
      </c>
      <c r="G53">
        <v>2797</v>
      </c>
      <c r="H53" t="s">
        <v>123</v>
      </c>
    </row>
    <row r="54" spans="1:8" ht="15" thickBot="1" x14ac:dyDescent="0.35">
      <c r="A54" t="s">
        <v>378</v>
      </c>
      <c r="B54" t="s">
        <v>527</v>
      </c>
      <c r="C54" s="148" t="s">
        <v>393</v>
      </c>
      <c r="D54" s="148" t="s">
        <v>393</v>
      </c>
      <c r="E54" s="148" t="s">
        <v>393</v>
      </c>
      <c r="F54" s="148" t="s">
        <v>393</v>
      </c>
      <c r="G54">
        <v>1376</v>
      </c>
      <c r="H54" t="s">
        <v>351</v>
      </c>
    </row>
    <row r="55" spans="1:8" ht="15" thickBot="1" x14ac:dyDescent="0.35">
      <c r="A55" t="s">
        <v>379</v>
      </c>
      <c r="B55" t="s">
        <v>527</v>
      </c>
      <c r="C55" s="148" t="s">
        <v>393</v>
      </c>
      <c r="D55" s="148" t="s">
        <v>393</v>
      </c>
      <c r="E55" s="148" t="s">
        <v>393</v>
      </c>
      <c r="F55" s="148" t="s">
        <v>393</v>
      </c>
      <c r="G55">
        <v>3960</v>
      </c>
      <c r="H55" t="s">
        <v>351</v>
      </c>
    </row>
    <row r="56" spans="1:8" ht="15" thickBot="1" x14ac:dyDescent="0.35">
      <c r="A56" t="s">
        <v>167</v>
      </c>
      <c r="B56" t="s">
        <v>522</v>
      </c>
      <c r="C56" s="148" t="s">
        <v>392</v>
      </c>
      <c r="D56" s="148" t="s">
        <v>393</v>
      </c>
      <c r="E56" s="148" t="s">
        <v>392</v>
      </c>
      <c r="F56" s="148" t="s">
        <v>392</v>
      </c>
      <c r="G56">
        <v>64072</v>
      </c>
      <c r="H56" t="s">
        <v>127</v>
      </c>
    </row>
    <row r="57" spans="1:8" ht="15" thickBot="1" x14ac:dyDescent="0.35">
      <c r="A57" t="s">
        <v>413</v>
      </c>
      <c r="B57" t="s">
        <v>522</v>
      </c>
      <c r="C57" s="148" t="s">
        <v>392</v>
      </c>
      <c r="D57" s="148" t="s">
        <v>393</v>
      </c>
      <c r="E57" s="148" t="s">
        <v>393</v>
      </c>
      <c r="F57" s="148" t="s">
        <v>393</v>
      </c>
      <c r="G57">
        <v>580783</v>
      </c>
      <c r="H57" t="s">
        <v>352</v>
      </c>
    </row>
    <row r="58" spans="1:8" ht="15" thickBot="1" x14ac:dyDescent="0.35">
      <c r="A58" t="s">
        <v>169</v>
      </c>
      <c r="B58" t="s">
        <v>528</v>
      </c>
      <c r="C58" s="148" t="s">
        <v>392</v>
      </c>
      <c r="D58" s="148" t="s">
        <v>393</v>
      </c>
      <c r="E58" s="148" t="s">
        <v>393</v>
      </c>
      <c r="F58" s="148" t="s">
        <v>393</v>
      </c>
      <c r="G58">
        <v>123650</v>
      </c>
      <c r="H58" t="s">
        <v>136</v>
      </c>
    </row>
    <row r="59" spans="1:8" ht="15" thickBot="1" x14ac:dyDescent="0.35">
      <c r="A59" t="s">
        <v>414</v>
      </c>
      <c r="B59" t="s">
        <v>414</v>
      </c>
      <c r="C59" s="148" t="s">
        <v>391</v>
      </c>
      <c r="D59" s="148" t="s">
        <v>391</v>
      </c>
      <c r="E59" s="148" t="s">
        <v>393</v>
      </c>
      <c r="F59" s="148" t="s">
        <v>393</v>
      </c>
      <c r="G59">
        <v>4350</v>
      </c>
      <c r="H59" t="s">
        <v>134</v>
      </c>
    </row>
    <row r="60" spans="1:8" ht="15" thickBot="1" x14ac:dyDescent="0.35">
      <c r="A60" t="s">
        <v>170</v>
      </c>
      <c r="B60" t="s">
        <v>522</v>
      </c>
      <c r="C60" s="148" t="s">
        <v>392</v>
      </c>
      <c r="D60" s="148" t="s">
        <v>393</v>
      </c>
      <c r="E60" s="148" t="s">
        <v>392</v>
      </c>
      <c r="F60" s="148" t="s">
        <v>392</v>
      </c>
      <c r="G60">
        <v>110140</v>
      </c>
      <c r="H60" t="s">
        <v>153</v>
      </c>
    </row>
    <row r="61" spans="1:8" ht="15" thickBot="1" x14ac:dyDescent="0.35">
      <c r="A61" t="s">
        <v>171</v>
      </c>
      <c r="B61" t="s">
        <v>171</v>
      </c>
      <c r="C61" s="148" t="s">
        <v>392</v>
      </c>
      <c r="D61" s="148" t="s">
        <v>392</v>
      </c>
      <c r="E61" s="148" t="s">
        <v>393</v>
      </c>
      <c r="F61" s="148" t="s">
        <v>393</v>
      </c>
      <c r="G61">
        <v>8420</v>
      </c>
      <c r="H61" t="s">
        <v>127</v>
      </c>
    </row>
    <row r="62" spans="1:8" ht="15" thickBot="1" x14ac:dyDescent="0.35">
      <c r="A62" t="s">
        <v>139</v>
      </c>
      <c r="B62" t="s">
        <v>522</v>
      </c>
      <c r="C62" s="148" t="s">
        <v>392</v>
      </c>
      <c r="D62" s="148" t="s">
        <v>393</v>
      </c>
      <c r="E62" s="148" t="s">
        <v>392</v>
      </c>
      <c r="F62" s="148" t="s">
        <v>392</v>
      </c>
      <c r="G62">
        <v>192428</v>
      </c>
      <c r="H62" t="s">
        <v>127</v>
      </c>
    </row>
    <row r="63" spans="1:8" ht="15" thickBot="1" x14ac:dyDescent="0.35">
      <c r="A63" s="74" t="s">
        <v>380</v>
      </c>
      <c r="B63" s="74"/>
      <c r="C63" s="148" t="s">
        <v>392</v>
      </c>
      <c r="D63" s="148" t="s">
        <v>393</v>
      </c>
      <c r="E63" s="148" t="s">
        <v>393</v>
      </c>
      <c r="F63" s="148" t="s">
        <v>393</v>
      </c>
      <c r="G63">
        <v>0</v>
      </c>
      <c r="H63" t="s">
        <v>352</v>
      </c>
    </row>
    <row r="64" spans="1:8" ht="15" thickBot="1" x14ac:dyDescent="0.35">
      <c r="A64" t="s">
        <v>172</v>
      </c>
      <c r="B64" t="s">
        <v>522</v>
      </c>
      <c r="C64" s="148" t="s">
        <v>392</v>
      </c>
      <c r="D64" s="148" t="s">
        <v>393</v>
      </c>
      <c r="E64" s="148" t="s">
        <v>393</v>
      </c>
      <c r="F64" s="148" t="s">
        <v>435</v>
      </c>
      <c r="G64">
        <v>89180</v>
      </c>
      <c r="H64" t="s">
        <v>127</v>
      </c>
    </row>
    <row r="65" spans="1:8" ht="15" thickBot="1" x14ac:dyDescent="0.35">
      <c r="A65" t="s">
        <v>339</v>
      </c>
      <c r="B65" t="s">
        <v>523</v>
      </c>
      <c r="C65" s="148" t="s">
        <v>392</v>
      </c>
      <c r="D65" s="148" t="s">
        <v>392</v>
      </c>
      <c r="E65" s="148" t="s">
        <v>393</v>
      </c>
      <c r="F65" s="148" t="s">
        <v>393</v>
      </c>
      <c r="G65">
        <v>22495</v>
      </c>
      <c r="H65" t="s">
        <v>153</v>
      </c>
    </row>
    <row r="66" spans="1:8" ht="15" thickBot="1" x14ac:dyDescent="0.35">
      <c r="A66" t="s">
        <v>174</v>
      </c>
      <c r="B66" t="s">
        <v>523</v>
      </c>
      <c r="C66" s="148" t="s">
        <v>392</v>
      </c>
      <c r="D66" s="148" t="s">
        <v>393</v>
      </c>
      <c r="E66" s="148" t="s">
        <v>393</v>
      </c>
      <c r="F66" s="148" t="s">
        <v>393</v>
      </c>
      <c r="G66">
        <v>768</v>
      </c>
      <c r="H66" t="s">
        <v>125</v>
      </c>
    </row>
    <row r="67" spans="1:8" ht="15" thickBot="1" x14ac:dyDescent="0.35">
      <c r="A67" t="s">
        <v>175</v>
      </c>
      <c r="B67" t="s">
        <v>523</v>
      </c>
      <c r="C67" s="148" t="s">
        <v>392</v>
      </c>
      <c r="D67" s="148" t="s">
        <v>392</v>
      </c>
      <c r="E67" s="148" t="s">
        <v>393</v>
      </c>
      <c r="F67" s="148" t="s">
        <v>393</v>
      </c>
      <c r="G67">
        <v>22203</v>
      </c>
      <c r="H67" t="s">
        <v>123</v>
      </c>
    </row>
    <row r="68" spans="1:8" ht="15" thickBot="1" x14ac:dyDescent="0.35">
      <c r="A68" t="s">
        <v>381</v>
      </c>
      <c r="C68" s="148" t="s">
        <v>393</v>
      </c>
      <c r="D68" s="148" t="s">
        <v>393</v>
      </c>
      <c r="E68" s="148" t="s">
        <v>393</v>
      </c>
      <c r="F68" s="148" t="s">
        <v>393</v>
      </c>
      <c r="G68">
        <v>0</v>
      </c>
    </row>
    <row r="69" spans="1:8" ht="15" thickBot="1" x14ac:dyDescent="0.35">
      <c r="A69" t="s">
        <v>382</v>
      </c>
      <c r="C69" s="148" t="s">
        <v>393</v>
      </c>
      <c r="D69" s="148" t="s">
        <v>393</v>
      </c>
      <c r="E69" s="148" t="s">
        <v>393</v>
      </c>
      <c r="F69" s="148" t="s">
        <v>393</v>
      </c>
      <c r="G69">
        <v>0</v>
      </c>
      <c r="H69" t="s">
        <v>136</v>
      </c>
    </row>
    <row r="70" spans="1:8" ht="15" thickBot="1" x14ac:dyDescent="0.35">
      <c r="A70" t="s">
        <v>415</v>
      </c>
      <c r="B70" t="s">
        <v>523</v>
      </c>
      <c r="C70" s="148" t="s">
        <v>391</v>
      </c>
      <c r="D70" s="148" t="s">
        <v>393</v>
      </c>
      <c r="E70" s="148" t="s">
        <v>393</v>
      </c>
      <c r="F70" s="148" t="s">
        <v>393</v>
      </c>
      <c r="G70">
        <v>6540</v>
      </c>
      <c r="H70" t="s">
        <v>123</v>
      </c>
    </row>
    <row r="71" spans="1:8" ht="15" thickBot="1" x14ac:dyDescent="0.35">
      <c r="A71" t="s">
        <v>383</v>
      </c>
      <c r="B71" t="s">
        <v>523</v>
      </c>
      <c r="C71" s="148" t="s">
        <v>391</v>
      </c>
      <c r="D71" s="148" t="s">
        <v>393</v>
      </c>
      <c r="E71" s="148" t="s">
        <v>393</v>
      </c>
      <c r="F71" s="148" t="s">
        <v>393</v>
      </c>
      <c r="G71">
        <v>639282</v>
      </c>
      <c r="H71" t="s">
        <v>352</v>
      </c>
    </row>
    <row r="72" spans="1:8" ht="15" thickBot="1" x14ac:dyDescent="0.35">
      <c r="A72" t="s">
        <v>416</v>
      </c>
      <c r="B72" t="s">
        <v>522</v>
      </c>
      <c r="C72" s="148" t="s">
        <v>392</v>
      </c>
      <c r="D72" s="148" t="s">
        <v>393</v>
      </c>
      <c r="E72" s="148" t="s">
        <v>393</v>
      </c>
      <c r="F72" s="148" t="s">
        <v>393</v>
      </c>
      <c r="G72">
        <v>624735</v>
      </c>
      <c r="H72" t="s">
        <v>352</v>
      </c>
    </row>
    <row r="73" spans="1:8" ht="15" thickBot="1" x14ac:dyDescent="0.35">
      <c r="A73" t="s">
        <v>384</v>
      </c>
      <c r="B73" t="s">
        <v>523</v>
      </c>
      <c r="C73" s="148" t="s">
        <v>391</v>
      </c>
      <c r="D73" s="148" t="s">
        <v>393</v>
      </c>
      <c r="E73" s="148" t="s">
        <v>393</v>
      </c>
      <c r="F73" s="148" t="s">
        <v>393</v>
      </c>
      <c r="G73">
        <v>55234</v>
      </c>
      <c r="H73" t="s">
        <v>123</v>
      </c>
    </row>
    <row r="74" spans="1:8" ht="15" thickBot="1" x14ac:dyDescent="0.35">
      <c r="A74" t="s">
        <v>417</v>
      </c>
      <c r="B74" t="s">
        <v>522</v>
      </c>
      <c r="C74" s="148" t="s">
        <v>391</v>
      </c>
      <c r="D74" s="148" t="s">
        <v>393</v>
      </c>
      <c r="E74" s="148" t="s">
        <v>393</v>
      </c>
      <c r="F74" s="148" t="s">
        <v>393</v>
      </c>
      <c r="G74">
        <v>2300</v>
      </c>
      <c r="H74" t="s">
        <v>350</v>
      </c>
    </row>
    <row r="75" spans="1:8" ht="15" thickBot="1" x14ac:dyDescent="0.35">
      <c r="A75" t="s">
        <v>177</v>
      </c>
      <c r="B75" t="s">
        <v>522</v>
      </c>
      <c r="C75" s="148" t="s">
        <v>392</v>
      </c>
      <c r="D75" s="148" t="s">
        <v>393</v>
      </c>
      <c r="E75" s="148" t="s">
        <v>392</v>
      </c>
      <c r="F75" s="148" t="s">
        <v>392</v>
      </c>
      <c r="G75">
        <v>86252</v>
      </c>
      <c r="H75" t="s">
        <v>153</v>
      </c>
    </row>
    <row r="76" spans="1:8" ht="15" thickBot="1" x14ac:dyDescent="0.35">
      <c r="A76" t="s">
        <v>178</v>
      </c>
      <c r="B76" t="s">
        <v>522</v>
      </c>
      <c r="C76" s="148" t="s">
        <v>393</v>
      </c>
      <c r="D76" s="148" t="s">
        <v>393</v>
      </c>
      <c r="E76" s="148" t="s">
        <v>393</v>
      </c>
      <c r="F76" s="148" t="s">
        <v>393</v>
      </c>
      <c r="G76">
        <v>29240</v>
      </c>
      <c r="H76" t="s">
        <v>153</v>
      </c>
    </row>
    <row r="77" spans="1:8" ht="15" thickBot="1" x14ac:dyDescent="0.35">
      <c r="A77" t="s">
        <v>179</v>
      </c>
      <c r="B77" t="s">
        <v>523</v>
      </c>
      <c r="C77" s="148" t="s">
        <v>392</v>
      </c>
      <c r="D77" s="148" t="s">
        <v>393</v>
      </c>
      <c r="E77" s="148" t="s">
        <v>393</v>
      </c>
      <c r="F77" s="148" t="s">
        <v>393</v>
      </c>
      <c r="G77">
        <v>3135</v>
      </c>
      <c r="H77" t="s">
        <v>125</v>
      </c>
    </row>
    <row r="78" spans="1:8" ht="15" thickBot="1" x14ac:dyDescent="0.35">
      <c r="A78" t="s">
        <v>176</v>
      </c>
      <c r="B78" t="s">
        <v>522</v>
      </c>
      <c r="C78" s="148" t="s">
        <v>392</v>
      </c>
      <c r="D78" s="148" t="s">
        <v>393</v>
      </c>
      <c r="E78" s="148" t="s">
        <v>392</v>
      </c>
      <c r="F78" s="148" t="s">
        <v>392</v>
      </c>
      <c r="G78">
        <v>121426</v>
      </c>
      <c r="H78" t="s">
        <v>153</v>
      </c>
    </row>
    <row r="79" spans="1:8" ht="15" thickBot="1" x14ac:dyDescent="0.35">
      <c r="A79" t="s">
        <v>180</v>
      </c>
      <c r="B79" t="s">
        <v>522</v>
      </c>
      <c r="C79" s="148" t="s">
        <v>392</v>
      </c>
      <c r="D79" s="148" t="s">
        <v>392</v>
      </c>
      <c r="E79" s="148" t="s">
        <v>393</v>
      </c>
      <c r="F79" s="148" t="s">
        <v>393</v>
      </c>
      <c r="G79">
        <v>99853</v>
      </c>
      <c r="H79" t="s">
        <v>123</v>
      </c>
    </row>
    <row r="80" spans="1:8" ht="15" thickBot="1" x14ac:dyDescent="0.35">
      <c r="A80" t="s">
        <v>418</v>
      </c>
      <c r="B80" t="s">
        <v>522</v>
      </c>
      <c r="C80" s="148" t="s">
        <v>392</v>
      </c>
      <c r="D80" s="148" t="s">
        <v>392</v>
      </c>
      <c r="E80" s="148" t="s">
        <v>392</v>
      </c>
      <c r="F80" s="148" t="s">
        <v>392</v>
      </c>
      <c r="G80">
        <v>226256</v>
      </c>
      <c r="H80" t="s">
        <v>123</v>
      </c>
    </row>
    <row r="81" spans="1:8" ht="15" thickBot="1" x14ac:dyDescent="0.35">
      <c r="A81" t="s">
        <v>181</v>
      </c>
      <c r="B81" t="s">
        <v>522</v>
      </c>
      <c r="C81" s="148" t="s">
        <v>392</v>
      </c>
      <c r="D81" s="148" t="s">
        <v>393</v>
      </c>
      <c r="E81" s="148" t="s">
        <v>392</v>
      </c>
      <c r="F81" s="148" t="s">
        <v>392</v>
      </c>
      <c r="G81">
        <v>52700</v>
      </c>
      <c r="H81" t="s">
        <v>123</v>
      </c>
    </row>
    <row r="82" spans="1:8" ht="15" thickBot="1" x14ac:dyDescent="0.35">
      <c r="A82" t="s">
        <v>182</v>
      </c>
      <c r="B82" t="s">
        <v>522</v>
      </c>
      <c r="C82" s="148" t="s">
        <v>392</v>
      </c>
      <c r="D82" s="148" t="s">
        <v>393</v>
      </c>
      <c r="E82" s="148" t="s">
        <v>392</v>
      </c>
      <c r="F82" s="148" t="s">
        <v>392</v>
      </c>
      <c r="G82">
        <v>101932</v>
      </c>
      <c r="H82" t="s">
        <v>127</v>
      </c>
    </row>
    <row r="83" spans="1:8" ht="15" thickBot="1" x14ac:dyDescent="0.35">
      <c r="A83" t="s">
        <v>385</v>
      </c>
      <c r="B83" t="s">
        <v>523</v>
      </c>
      <c r="C83" s="236" t="s">
        <v>393</v>
      </c>
      <c r="D83" s="236" t="s">
        <v>393</v>
      </c>
      <c r="E83" s="148" t="s">
        <v>393</v>
      </c>
      <c r="F83" s="148" t="s">
        <v>393</v>
      </c>
      <c r="G83">
        <v>0</v>
      </c>
      <c r="H83" t="s">
        <v>136</v>
      </c>
    </row>
    <row r="84" spans="1:8" ht="15" thickBot="1" x14ac:dyDescent="0.35">
      <c r="A84" t="s">
        <v>419</v>
      </c>
      <c r="B84" t="s">
        <v>522</v>
      </c>
      <c r="C84" s="148" t="s">
        <v>391</v>
      </c>
      <c r="D84" s="148" t="s">
        <v>393</v>
      </c>
      <c r="E84" s="148" t="s">
        <v>393</v>
      </c>
      <c r="F84" s="148" t="s">
        <v>391</v>
      </c>
      <c r="G84">
        <v>13096</v>
      </c>
      <c r="H84" t="s">
        <v>350</v>
      </c>
    </row>
    <row r="85" spans="1:8" ht="15" thickBot="1" x14ac:dyDescent="0.35">
      <c r="A85" t="s">
        <v>420</v>
      </c>
      <c r="B85" t="s">
        <v>523</v>
      </c>
      <c r="C85" s="148" t="s">
        <v>391</v>
      </c>
      <c r="D85" s="148" t="s">
        <v>393</v>
      </c>
      <c r="E85" s="148" t="s">
        <v>393</v>
      </c>
      <c r="F85" s="148" t="s">
        <v>393</v>
      </c>
      <c r="G85">
        <v>2684</v>
      </c>
      <c r="H85" t="s">
        <v>153</v>
      </c>
    </row>
    <row r="86" spans="1:8" ht="15" thickBot="1" x14ac:dyDescent="0.35">
      <c r="A86" t="s">
        <v>421</v>
      </c>
      <c r="B86" t="s">
        <v>522</v>
      </c>
      <c r="C86" s="148" t="s">
        <v>391</v>
      </c>
      <c r="D86" s="148" t="s">
        <v>393</v>
      </c>
      <c r="E86" s="148" t="s">
        <v>391</v>
      </c>
      <c r="F86" s="148" t="s">
        <v>391</v>
      </c>
      <c r="G86">
        <v>25391</v>
      </c>
      <c r="H86" t="s">
        <v>123</v>
      </c>
    </row>
    <row r="87" spans="1:8" ht="15" thickBot="1" x14ac:dyDescent="0.35">
      <c r="A87" t="s">
        <v>386</v>
      </c>
      <c r="C87" s="148" t="s">
        <v>393</v>
      </c>
      <c r="D87" s="148" t="s">
        <v>393</v>
      </c>
      <c r="E87" s="148" t="s">
        <v>393</v>
      </c>
      <c r="F87" s="148" t="s">
        <v>393</v>
      </c>
      <c r="G87">
        <v>0</v>
      </c>
    </row>
    <row r="88" spans="1:8" ht="15" thickBot="1" x14ac:dyDescent="0.35">
      <c r="A88" t="s">
        <v>340</v>
      </c>
      <c r="B88" t="s">
        <v>522</v>
      </c>
      <c r="C88" s="148" t="s">
        <v>392</v>
      </c>
      <c r="D88" s="148" t="s">
        <v>392</v>
      </c>
      <c r="E88" s="148" t="s">
        <v>393</v>
      </c>
      <c r="F88" s="148" t="s">
        <v>393</v>
      </c>
      <c r="G88">
        <v>39332</v>
      </c>
      <c r="H88" t="s">
        <v>134</v>
      </c>
    </row>
    <row r="89" spans="1:8" ht="15" thickBot="1" x14ac:dyDescent="0.35">
      <c r="A89" t="s">
        <v>183</v>
      </c>
      <c r="B89" t="s">
        <v>522</v>
      </c>
      <c r="C89" s="148" t="s">
        <v>392</v>
      </c>
      <c r="D89" s="148" t="s">
        <v>393</v>
      </c>
      <c r="E89" s="148" t="s">
        <v>392</v>
      </c>
      <c r="F89" s="148" t="s">
        <v>392</v>
      </c>
      <c r="G89">
        <v>71857</v>
      </c>
      <c r="H89" t="s">
        <v>127</v>
      </c>
    </row>
    <row r="90" spans="1:8" ht="15" thickBot="1" x14ac:dyDescent="0.35">
      <c r="A90" t="s">
        <v>422</v>
      </c>
      <c r="B90" t="s">
        <v>522</v>
      </c>
      <c r="C90" s="148" t="s">
        <v>392</v>
      </c>
      <c r="D90" s="148" t="s">
        <v>393</v>
      </c>
      <c r="E90" s="148" t="s">
        <v>393</v>
      </c>
      <c r="F90" s="148" t="s">
        <v>393</v>
      </c>
      <c r="G90">
        <v>323350</v>
      </c>
      <c r="H90" t="s">
        <v>352</v>
      </c>
    </row>
    <row r="91" spans="1:8" ht="15" thickBot="1" x14ac:dyDescent="0.35">
      <c r="A91" t="s">
        <v>184</v>
      </c>
      <c r="B91" t="s">
        <v>522</v>
      </c>
      <c r="C91" s="148" t="s">
        <v>392</v>
      </c>
      <c r="D91" s="148" t="s">
        <v>393</v>
      </c>
      <c r="E91" s="148" t="s">
        <v>392</v>
      </c>
      <c r="F91" s="148" t="s">
        <v>392</v>
      </c>
      <c r="G91">
        <v>76871</v>
      </c>
      <c r="H91" t="s">
        <v>153</v>
      </c>
    </row>
    <row r="95" spans="1:8" x14ac:dyDescent="0.3">
      <c r="C95" t="s">
        <v>392</v>
      </c>
      <c r="D95" s="9" t="s">
        <v>394</v>
      </c>
      <c r="E95" t="s">
        <v>391</v>
      </c>
      <c r="F95" t="s">
        <v>391</v>
      </c>
    </row>
    <row r="97" spans="2:6" x14ac:dyDescent="0.3">
      <c r="C97" t="s">
        <v>392</v>
      </c>
      <c r="D97" s="76" t="s">
        <v>392</v>
      </c>
      <c r="E97" t="s">
        <v>391</v>
      </c>
      <c r="F97" t="s">
        <v>391</v>
      </c>
    </row>
    <row r="99" spans="2:6" x14ac:dyDescent="0.3">
      <c r="C99" t="s">
        <v>392</v>
      </c>
      <c r="D99" t="s">
        <v>391</v>
      </c>
      <c r="E99" t="s">
        <v>391</v>
      </c>
      <c r="F99" t="s">
        <v>391</v>
      </c>
    </row>
    <row r="109" spans="2:6" ht="21" x14ac:dyDescent="0.4">
      <c r="B109" s="287" t="s">
        <v>546</v>
      </c>
      <c r="C109" s="287"/>
      <c r="D109" s="287"/>
      <c r="E109" s="287"/>
      <c r="F109" s="287"/>
    </row>
    <row r="110" spans="2:6" ht="16.8" x14ac:dyDescent="0.4">
      <c r="B110" s="238" t="s">
        <v>682</v>
      </c>
      <c r="C110" s="285" t="s">
        <v>522</v>
      </c>
      <c r="D110" s="285"/>
      <c r="E110" s="285"/>
      <c r="F110" s="286"/>
    </row>
    <row r="111" spans="2:6" ht="16.8" x14ac:dyDescent="0.4">
      <c r="B111" s="129"/>
      <c r="C111" s="234" t="s">
        <v>345</v>
      </c>
      <c r="D111" s="130" t="s">
        <v>186</v>
      </c>
      <c r="E111" s="130" t="s">
        <v>445</v>
      </c>
      <c r="F111" s="130" t="s">
        <v>185</v>
      </c>
    </row>
    <row r="112" spans="2:6" x14ac:dyDescent="0.3">
      <c r="B112" s="129">
        <v>1</v>
      </c>
      <c r="C112" s="237"/>
      <c r="D112" s="129"/>
      <c r="E112" s="129" t="s">
        <v>122</v>
      </c>
      <c r="F112" s="129" t="s">
        <v>122</v>
      </c>
    </row>
    <row r="113" spans="2:6" x14ac:dyDescent="0.3">
      <c r="B113" s="129">
        <v>2</v>
      </c>
      <c r="C113" s="237" t="s">
        <v>405</v>
      </c>
      <c r="D113" s="129"/>
      <c r="E113" s="129" t="s">
        <v>405</v>
      </c>
      <c r="F113" s="129"/>
    </row>
    <row r="114" spans="2:6" x14ac:dyDescent="0.3">
      <c r="B114" s="129">
        <v>3</v>
      </c>
      <c r="C114" s="237" t="s">
        <v>141</v>
      </c>
      <c r="D114" s="129"/>
      <c r="E114" s="129"/>
      <c r="F114" s="129"/>
    </row>
    <row r="115" spans="2:6" x14ac:dyDescent="0.3">
      <c r="B115" s="129">
        <v>4</v>
      </c>
      <c r="C115" s="237" t="s">
        <v>142</v>
      </c>
      <c r="D115" s="129"/>
      <c r="E115" s="129"/>
    </row>
    <row r="116" spans="2:6" x14ac:dyDescent="0.3">
      <c r="B116" s="129">
        <v>5</v>
      </c>
      <c r="F116" s="129" t="s">
        <v>158</v>
      </c>
    </row>
    <row r="117" spans="2:6" x14ac:dyDescent="0.3">
      <c r="B117" s="129">
        <v>6</v>
      </c>
      <c r="C117" s="237" t="s">
        <v>407</v>
      </c>
      <c r="D117" s="129"/>
      <c r="E117" s="129" t="s">
        <v>407</v>
      </c>
      <c r="F117" s="129" t="s">
        <v>407</v>
      </c>
    </row>
    <row r="118" spans="2:6" x14ac:dyDescent="0.3">
      <c r="B118" s="129">
        <v>7</v>
      </c>
      <c r="C118" s="237" t="s">
        <v>412</v>
      </c>
      <c r="D118" s="129"/>
      <c r="E118" s="129"/>
      <c r="F118" s="129" t="s">
        <v>412</v>
      </c>
    </row>
    <row r="119" spans="2:6" x14ac:dyDescent="0.3">
      <c r="B119" s="129">
        <v>8</v>
      </c>
      <c r="C119" s="237" t="s">
        <v>417</v>
      </c>
      <c r="D119" s="129"/>
      <c r="E119" s="129"/>
      <c r="F119" s="129"/>
    </row>
    <row r="120" spans="2:6" x14ac:dyDescent="0.3">
      <c r="B120" s="129">
        <v>9</v>
      </c>
      <c r="C120" s="237" t="s">
        <v>419</v>
      </c>
      <c r="D120" s="129"/>
      <c r="E120" s="129"/>
      <c r="F120" s="129" t="s">
        <v>419</v>
      </c>
    </row>
    <row r="121" spans="2:6" x14ac:dyDescent="0.3">
      <c r="B121" s="129">
        <v>10</v>
      </c>
      <c r="C121" s="237" t="s">
        <v>421</v>
      </c>
      <c r="D121" s="129"/>
      <c r="E121" s="129" t="s">
        <v>421</v>
      </c>
      <c r="F121" s="129" t="s">
        <v>421</v>
      </c>
    </row>
    <row r="122" spans="2:6" ht="16.8" x14ac:dyDescent="0.4">
      <c r="B122" s="238" t="s">
        <v>682</v>
      </c>
      <c r="C122" s="284" t="s">
        <v>596</v>
      </c>
      <c r="D122" s="285"/>
      <c r="E122" s="285"/>
      <c r="F122" s="286"/>
    </row>
    <row r="123" spans="2:6" x14ac:dyDescent="0.3">
      <c r="B123" s="129">
        <v>1</v>
      </c>
      <c r="C123" s="237" t="s">
        <v>374</v>
      </c>
      <c r="D123" s="129" t="s">
        <v>374</v>
      </c>
      <c r="E123" s="129"/>
      <c r="F123" s="129"/>
    </row>
    <row r="124" spans="2:6" x14ac:dyDescent="0.3">
      <c r="B124" s="129">
        <v>2</v>
      </c>
      <c r="C124" s="237" t="s">
        <v>399</v>
      </c>
      <c r="D124" s="129"/>
      <c r="E124" s="129"/>
      <c r="F124" s="129"/>
    </row>
    <row r="125" spans="2:6" x14ac:dyDescent="0.3">
      <c r="B125" s="129">
        <v>3</v>
      </c>
      <c r="C125" s="237" t="s">
        <v>395</v>
      </c>
      <c r="D125" s="129"/>
      <c r="E125" s="129"/>
      <c r="F125" s="129"/>
    </row>
    <row r="126" spans="2:6" x14ac:dyDescent="0.3">
      <c r="B126" s="129">
        <v>4</v>
      </c>
      <c r="C126" s="237" t="s">
        <v>140</v>
      </c>
      <c r="D126" s="129"/>
      <c r="E126" s="129"/>
      <c r="F126" s="129"/>
    </row>
    <row r="127" spans="2:6" x14ac:dyDescent="0.3">
      <c r="B127" s="129">
        <v>5</v>
      </c>
      <c r="C127" s="237" t="s">
        <v>409</v>
      </c>
      <c r="D127" s="129"/>
      <c r="E127" s="129"/>
      <c r="F127" s="129"/>
    </row>
    <row r="128" spans="2:6" x14ac:dyDescent="0.3">
      <c r="B128" s="129">
        <v>6</v>
      </c>
      <c r="C128" s="237" t="s">
        <v>410</v>
      </c>
      <c r="D128" s="129"/>
      <c r="E128" s="129"/>
      <c r="F128" s="129"/>
    </row>
    <row r="129" spans="2:6" x14ac:dyDescent="0.3">
      <c r="B129" s="129">
        <v>7</v>
      </c>
      <c r="C129" s="237" t="s">
        <v>398</v>
      </c>
      <c r="D129" s="129"/>
      <c r="E129" s="129"/>
      <c r="F129" s="129"/>
    </row>
    <row r="130" spans="2:6" x14ac:dyDescent="0.3">
      <c r="B130" s="129">
        <v>8</v>
      </c>
      <c r="C130" s="237" t="s">
        <v>414</v>
      </c>
      <c r="D130" s="129" t="s">
        <v>414</v>
      </c>
      <c r="E130" s="129"/>
      <c r="F130" s="129"/>
    </row>
    <row r="131" spans="2:6" x14ac:dyDescent="0.3">
      <c r="B131" s="129">
        <v>9</v>
      </c>
      <c r="C131" s="237" t="s">
        <v>415</v>
      </c>
      <c r="D131" s="129"/>
      <c r="E131" s="129"/>
      <c r="F131" s="129"/>
    </row>
    <row r="132" spans="2:6" x14ac:dyDescent="0.3">
      <c r="B132" s="129">
        <v>10</v>
      </c>
      <c r="C132" s="237" t="s">
        <v>383</v>
      </c>
      <c r="D132" s="129"/>
      <c r="E132" s="129"/>
      <c r="F132" s="129"/>
    </row>
    <row r="133" spans="2:6" x14ac:dyDescent="0.3">
      <c r="B133" s="129">
        <v>11</v>
      </c>
      <c r="C133" s="237" t="s">
        <v>384</v>
      </c>
      <c r="D133" s="129"/>
      <c r="E133" s="129"/>
      <c r="F133" s="129"/>
    </row>
    <row r="134" spans="2:6" x14ac:dyDescent="0.3">
      <c r="B134" s="129">
        <v>12</v>
      </c>
      <c r="C134" s="237" t="s">
        <v>420</v>
      </c>
      <c r="D134" s="129"/>
      <c r="E134" s="129"/>
      <c r="F134" s="129"/>
    </row>
  </sheetData>
  <autoFilter ref="A1:S91" xr:uid="{236585C1-CA49-4A04-BF14-A6D28B26FCE0}"/>
  <mergeCells count="3">
    <mergeCell ref="C122:F122"/>
    <mergeCell ref="C110:F110"/>
    <mergeCell ref="B109:F109"/>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DA387-A77B-4206-8F44-2D7DE61F7249}">
  <dimension ref="A1:K108"/>
  <sheetViews>
    <sheetView topLeftCell="A27" zoomScale="73" zoomScaleNormal="73" workbookViewId="0">
      <selection activeCell="D60" sqref="D60"/>
    </sheetView>
  </sheetViews>
  <sheetFormatPr defaultRowHeight="14.4" x14ac:dyDescent="0.3"/>
  <cols>
    <col min="1" max="1" width="37.6640625" style="103" customWidth="1"/>
    <col min="2" max="2" width="46.77734375" style="103" customWidth="1"/>
    <col min="3" max="3" width="45.44140625" style="104" customWidth="1"/>
    <col min="4" max="4" width="43.5546875" style="103" customWidth="1"/>
    <col min="5" max="5" width="50.21875" style="103" customWidth="1"/>
    <col min="7" max="7" width="22.109375" customWidth="1"/>
    <col min="8" max="8" width="14.88671875" customWidth="1"/>
  </cols>
  <sheetData>
    <row r="1" spans="1:11" s="101" customFormat="1" ht="24" thickBot="1" x14ac:dyDescent="0.5">
      <c r="A1" s="114"/>
      <c r="B1" s="115" t="s">
        <v>649</v>
      </c>
      <c r="C1" s="115" t="s">
        <v>648</v>
      </c>
      <c r="D1" s="115" t="s">
        <v>647</v>
      </c>
      <c r="E1" s="115" t="s">
        <v>650</v>
      </c>
    </row>
    <row r="2" spans="1:11" s="101" customFormat="1" ht="14.4" customHeight="1" x14ac:dyDescent="0.45">
      <c r="A2" s="288" t="s">
        <v>532</v>
      </c>
      <c r="B2" s="289"/>
      <c r="C2" s="289"/>
      <c r="D2" s="289"/>
      <c r="E2" s="290"/>
    </row>
    <row r="3" spans="1:11" s="107" customFormat="1" x14ac:dyDescent="0.3">
      <c r="A3" s="109" t="s">
        <v>0</v>
      </c>
      <c r="B3" s="105" t="s">
        <v>456</v>
      </c>
      <c r="C3" s="106"/>
      <c r="D3" s="105" t="s">
        <v>543</v>
      </c>
      <c r="E3" s="110" t="s">
        <v>544</v>
      </c>
      <c r="G3" s="105" t="s">
        <v>542</v>
      </c>
      <c r="H3" s="110" t="s">
        <v>541</v>
      </c>
      <c r="K3" s="107" t="s">
        <v>456</v>
      </c>
    </row>
    <row r="4" spans="1:11" x14ac:dyDescent="0.3">
      <c r="A4" s="111" t="s">
        <v>493</v>
      </c>
      <c r="B4" s="189">
        <f>K4+('Solar Data-Main Campus'!R2*2)</f>
        <v>3051240.54999999</v>
      </c>
      <c r="C4" s="190"/>
      <c r="D4" s="189">
        <f>G4*10</f>
        <v>219467.526966437</v>
      </c>
      <c r="E4" s="191">
        <f>H4*83.3333</f>
        <v>329955.49520997494</v>
      </c>
      <c r="G4" s="23">
        <v>21946.7526966437</v>
      </c>
      <c r="H4" s="112">
        <v>3959.4675263067102</v>
      </c>
      <c r="K4">
        <v>3045210.54999999</v>
      </c>
    </row>
    <row r="5" spans="1:11" x14ac:dyDescent="0.3">
      <c r="A5" s="111" t="s">
        <v>494</v>
      </c>
      <c r="B5" s="189">
        <f>K5+('Solar Data-Main Campus'!R3*2)</f>
        <v>3121439.93</v>
      </c>
      <c r="C5" s="190"/>
      <c r="D5" s="189">
        <f t="shared" ref="D5:D15" si="0">G5*10</f>
        <v>220628.95593656698</v>
      </c>
      <c r="E5" s="191">
        <f t="shared" ref="E5:E15" si="1">H5*83.3333</f>
        <v>318945.96191161085</v>
      </c>
      <c r="G5" s="23">
        <v>22062.8955936567</v>
      </c>
      <c r="H5" s="112">
        <v>3827.3530738805598</v>
      </c>
      <c r="K5">
        <v>3113053.93</v>
      </c>
    </row>
    <row r="6" spans="1:11" x14ac:dyDescent="0.3">
      <c r="A6" s="111" t="s">
        <v>495</v>
      </c>
      <c r="B6" s="189">
        <f>K6+('Solar Data-Main Campus'!R4*2)</f>
        <v>3348314.27</v>
      </c>
      <c r="C6" s="190"/>
      <c r="D6" s="189">
        <f t="shared" si="0"/>
        <v>238528.94483320799</v>
      </c>
      <c r="E6" s="191">
        <f t="shared" si="1"/>
        <v>364757.74717156775</v>
      </c>
      <c r="G6" s="23">
        <v>23852.894483320801</v>
      </c>
      <c r="H6" s="112">
        <v>4377.0947168967004</v>
      </c>
      <c r="K6">
        <v>3329322.27</v>
      </c>
    </row>
    <row r="7" spans="1:11" x14ac:dyDescent="0.3">
      <c r="A7" s="111" t="s">
        <v>496</v>
      </c>
      <c r="B7" s="189">
        <f>K7+('Solar Data-Main Campus'!R5*2)</f>
        <v>3157831.4599999902</v>
      </c>
      <c r="C7" s="190"/>
      <c r="D7" s="189">
        <f t="shared" si="0"/>
        <v>177533.04978613101</v>
      </c>
      <c r="E7" s="191">
        <f t="shared" si="1"/>
        <v>612730.91127086163</v>
      </c>
      <c r="G7" s="23">
        <v>17753.304978613101</v>
      </c>
      <c r="H7" s="112">
        <v>7352.77387635989</v>
      </c>
      <c r="K7">
        <v>3111763.4599999902</v>
      </c>
    </row>
    <row r="8" spans="1:11" x14ac:dyDescent="0.3">
      <c r="A8" s="111" t="s">
        <v>497</v>
      </c>
      <c r="B8" s="189">
        <f>K8+('Solar Data-Main Campus'!R6*2)</f>
        <v>3172535.03</v>
      </c>
      <c r="C8" s="190"/>
      <c r="D8" s="189">
        <f t="shared" si="0"/>
        <v>140818.87176267302</v>
      </c>
      <c r="E8" s="191">
        <f t="shared" si="1"/>
        <v>723291.25393626024</v>
      </c>
      <c r="G8" s="23">
        <v>14081.887176267301</v>
      </c>
      <c r="H8" s="112">
        <v>8679.4985190345305</v>
      </c>
      <c r="K8">
        <v>3133229.03</v>
      </c>
    </row>
    <row r="9" spans="1:11" x14ac:dyDescent="0.3">
      <c r="A9" s="111" t="s">
        <v>498</v>
      </c>
      <c r="B9" s="189">
        <f>K9+('Solar Data-Main Campus'!R7*2)</f>
        <v>2768614.17</v>
      </c>
      <c r="C9" s="190"/>
      <c r="D9" s="189">
        <f t="shared" si="0"/>
        <v>103744.20267013701</v>
      </c>
      <c r="E9" s="191">
        <f t="shared" si="1"/>
        <v>788639.91707808024</v>
      </c>
      <c r="G9" s="23">
        <v>10374.4202670137</v>
      </c>
      <c r="H9" s="112">
        <v>9463.6827904100792</v>
      </c>
      <c r="K9">
        <v>2717950.17</v>
      </c>
    </row>
    <row r="10" spans="1:11" x14ac:dyDescent="0.3">
      <c r="A10" s="111" t="s">
        <v>499</v>
      </c>
      <c r="B10" s="189">
        <f>K10+('Solar Data-Main Campus'!R8*2)</f>
        <v>2939915.6599999899</v>
      </c>
      <c r="C10" s="190"/>
      <c r="D10" s="189">
        <f t="shared" si="0"/>
        <v>86764.325169028394</v>
      </c>
      <c r="E10" s="191">
        <f t="shared" si="1"/>
        <v>1234690.712425234</v>
      </c>
      <c r="G10" s="23">
        <v>8676.4325169028398</v>
      </c>
      <c r="H10" s="112">
        <v>14816.2944756206</v>
      </c>
      <c r="K10">
        <v>2881773.6599999899</v>
      </c>
    </row>
    <row r="11" spans="1:11" x14ac:dyDescent="0.3">
      <c r="A11" s="111" t="s">
        <v>500</v>
      </c>
      <c r="B11" s="189">
        <f>K11+('Solar Data-Main Campus'!R9*2)</f>
        <v>3107715.3199999901</v>
      </c>
      <c r="C11" s="190"/>
      <c r="D11" s="189">
        <f t="shared" si="0"/>
        <v>83472.206143610601</v>
      </c>
      <c r="E11" s="191">
        <f t="shared" si="1"/>
        <v>1273257.660446032</v>
      </c>
      <c r="G11" s="23">
        <v>8347.2206143610601</v>
      </c>
      <c r="H11" s="112">
        <v>15279.0980369916</v>
      </c>
      <c r="K11">
        <v>3068199.3199999901</v>
      </c>
    </row>
    <row r="12" spans="1:11" x14ac:dyDescent="0.3">
      <c r="A12" s="111" t="s">
        <v>501</v>
      </c>
      <c r="B12" s="189">
        <f>K12+('Solar Data-Main Campus'!R10*2)</f>
        <v>3200532.9999999902</v>
      </c>
      <c r="C12" s="190"/>
      <c r="D12" s="189">
        <f t="shared" si="0"/>
        <v>92512.50839568011</v>
      </c>
      <c r="E12" s="191">
        <f t="shared" si="1"/>
        <v>1107860.6619843328</v>
      </c>
      <c r="G12" s="23">
        <v>9251.2508395680106</v>
      </c>
      <c r="H12" s="112">
        <v>13294.3332615453</v>
      </c>
      <c r="K12">
        <v>3181188.9999999902</v>
      </c>
    </row>
    <row r="13" spans="1:11" x14ac:dyDescent="0.3">
      <c r="A13" s="111" t="s">
        <v>502</v>
      </c>
      <c r="B13" s="189">
        <f>K13+('Solar Data-Main Campus'!R11*2)</f>
        <v>3387652.84</v>
      </c>
      <c r="C13" s="190"/>
      <c r="D13" s="189">
        <f t="shared" si="0"/>
        <v>108982.43536249601</v>
      </c>
      <c r="E13" s="191">
        <f t="shared" si="1"/>
        <v>1004117.854148556</v>
      </c>
      <c r="G13" s="23">
        <v>10898.2435362496</v>
      </c>
      <c r="H13" s="112">
        <v>12049.4190695503</v>
      </c>
      <c r="K13">
        <v>3374002.84</v>
      </c>
    </row>
    <row r="14" spans="1:11" x14ac:dyDescent="0.3">
      <c r="A14" s="111" t="s">
        <v>503</v>
      </c>
      <c r="B14" s="189">
        <f>K14+('Solar Data-Main Campus'!R12*2)</f>
        <v>3208631.04</v>
      </c>
      <c r="C14" s="190"/>
      <c r="D14" s="189">
        <f t="shared" si="0"/>
        <v>166307.676757876</v>
      </c>
      <c r="E14" s="191">
        <f t="shared" si="1"/>
        <v>566473.9801600856</v>
      </c>
      <c r="G14" s="23">
        <v>16630.7676757876</v>
      </c>
      <c r="H14" s="112">
        <v>6797.6904809972202</v>
      </c>
      <c r="K14">
        <v>3201169.04</v>
      </c>
    </row>
    <row r="15" spans="1:11" x14ac:dyDescent="0.3">
      <c r="A15" s="111" t="s">
        <v>504</v>
      </c>
      <c r="B15" s="189">
        <f>K15+('Solar Data-Main Campus'!R13*2)</f>
        <v>3119410.62</v>
      </c>
      <c r="C15" s="190"/>
      <c r="D15" s="189">
        <f t="shared" si="0"/>
        <v>202234.609579732</v>
      </c>
      <c r="E15" s="191">
        <f t="shared" si="1"/>
        <v>443989.71784779179</v>
      </c>
      <c r="G15" s="23">
        <v>20223.460957973199</v>
      </c>
      <c r="H15" s="112">
        <v>5327.8787453249997</v>
      </c>
      <c r="K15">
        <v>3117636.62</v>
      </c>
    </row>
    <row r="16" spans="1:11" s="108" customFormat="1" ht="15" thickBot="1" x14ac:dyDescent="0.35">
      <c r="A16" s="116" t="s">
        <v>531</v>
      </c>
      <c r="B16" s="117">
        <f>SUM(B4:B15)</f>
        <v>37583833.889999948</v>
      </c>
      <c r="C16" s="117"/>
      <c r="D16" s="117">
        <f>SUM(D4:D15)</f>
        <v>1840995.3133635763</v>
      </c>
      <c r="E16" s="117">
        <f>SUM(E4:E15)</f>
        <v>8768711.8735903893</v>
      </c>
    </row>
    <row r="17" spans="1:9" ht="15" thickBot="1" x14ac:dyDescent="0.35">
      <c r="A17" s="1"/>
      <c r="B17" s="1"/>
      <c r="C17" s="1"/>
      <c r="D17" s="1"/>
      <c r="E17" s="1"/>
    </row>
    <row r="18" spans="1:9" ht="15.6" x14ac:dyDescent="0.3">
      <c r="A18" s="288" t="s">
        <v>533</v>
      </c>
      <c r="B18" s="289"/>
      <c r="C18" s="289"/>
      <c r="D18" s="289"/>
      <c r="E18" s="290"/>
    </row>
    <row r="19" spans="1:9" s="102" customFormat="1" x14ac:dyDescent="0.3">
      <c r="A19" s="109" t="s">
        <v>530</v>
      </c>
      <c r="B19" s="105" t="s">
        <v>534</v>
      </c>
      <c r="C19" s="105" t="s">
        <v>545</v>
      </c>
      <c r="D19" s="105" t="s">
        <v>536</v>
      </c>
      <c r="E19" s="110" t="s">
        <v>540</v>
      </c>
    </row>
    <row r="20" spans="1:9" x14ac:dyDescent="0.3">
      <c r="A20" s="111">
        <v>1</v>
      </c>
      <c r="B20" s="189">
        <f>SUMIFS('SkYSPark Data_w Will''s Data'!$G$3:$G$782,'SkYSPark Data_w Will''s Data'!$D$3:$D$782,"Main Campus",'SkYSPark Data_w Will''s Data'!$B$3:$B$782,'Campus Totals'!A20,'SkYSPark Data_w Will''s Data'!$AC$3:$AC$782,"Y")-'Solar Data-Main Campus'!M2</f>
        <v>2832058.9190686159</v>
      </c>
      <c r="C20" s="190">
        <f>SUMIFS('SkYSPark Data_w Will''s Data'!$I$3:$I$734,'SkYSPark Data_w Will''s Data'!$D$3:$D$734,"Main Campus",'SkYSPark Data_w Will''s Data'!$B$3:$B$734,'Campus Totals'!A20)</f>
        <v>14752.849337221385</v>
      </c>
      <c r="D20" s="189">
        <f>SUMIFS('SkYSPark Data_w Will''s Data'!$J$3:$J$734,'SkYSPark Data_w Will''s Data'!$D$3:$D$734,"Main Campus",'SkYSPark Data_w Will''s Data'!$B$3:$B$734,'Campus Totals'!A20)</f>
        <v>219170.73088874941</v>
      </c>
      <c r="E20" s="191">
        <f>SUMIFS('SkYSPark Data_w Will''s Data'!$K$3:$K$734,'SkYSPark Data_w Will''s Data'!$D$3:$D$734,"Main Campus",'SkYSPark Data_w Will''s Data'!$B$3:$B$734,'Campus Totals'!A20)</f>
        <v>246425.43717442441</v>
      </c>
    </row>
    <row r="21" spans="1:9" x14ac:dyDescent="0.3">
      <c r="A21" s="111">
        <v>2</v>
      </c>
      <c r="B21" s="189">
        <f>SUMIFS('SkYSPark Data_w Will''s Data'!$G$3:$G$782,'SkYSPark Data_w Will''s Data'!$D$3:$D$782,"Main Campus",'SkYSPark Data_w Will''s Data'!$B$3:$B$782,'Campus Totals'!A21,'SkYSPark Data_w Will''s Data'!$AC$3:$AC$782,"Y")-'Solar Data-Main Campus'!M3</f>
        <v>2781546.8935654359</v>
      </c>
      <c r="C21" s="190">
        <f>SUMIFS('SkYSPark Data_w Will''s Data'!$I$3:$I$734,'SkYSPark Data_w Will''s Data'!$D$3:$D$734,"Main Campus",'SkYSPark Data_w Will''s Data'!$B$3:$B$734,'Campus Totals'!A21)</f>
        <v>19388.61194574937</v>
      </c>
      <c r="D21" s="189">
        <f>SUMIFS('SkYSPark Data_w Will''s Data'!$J$3:$J$734,'SkYSPark Data_w Will''s Data'!$D$3:$D$734,"Main Campus",'SkYSPark Data_w Will''s Data'!$B$3:$B$734,'Campus Totals'!A21)</f>
        <v>200999.62480519511</v>
      </c>
      <c r="E21" s="191">
        <f>SUMIFS('SkYSPark Data_w Will''s Data'!$K$3:$K$734,'SkYSPark Data_w Will''s Data'!$D$3:$D$734,"Main Campus",'SkYSPark Data_w Will''s Data'!$B$3:$B$734,'Campus Totals'!A21)</f>
        <v>265880.49308184069</v>
      </c>
      <c r="G21" t="s">
        <v>547</v>
      </c>
      <c r="H21">
        <v>12000</v>
      </c>
    </row>
    <row r="22" spans="1:9" x14ac:dyDescent="0.3">
      <c r="A22" s="111">
        <v>3</v>
      </c>
      <c r="B22" s="189">
        <f>SUMIFS('SkYSPark Data_w Will''s Data'!$G$3:$G$782,'SkYSPark Data_w Will''s Data'!$D$3:$D$782,"Main Campus",'SkYSPark Data_w Will''s Data'!$B$3:$B$782,'Campus Totals'!A22,'SkYSPark Data_w Will''s Data'!$AC$3:$AC$782,"Y")-'Solar Data-Main Campus'!M4</f>
        <v>3081556.7721174783</v>
      </c>
      <c r="C22" s="190">
        <f>SUMIFS('SkYSPark Data_w Will''s Data'!$I$3:$I$734,'SkYSPark Data_w Will''s Data'!$D$3:$D$734,"Main Campus",'SkYSPark Data_w Will''s Data'!$B$3:$B$734,'Campus Totals'!A22)</f>
        <v>18898.290400542741</v>
      </c>
      <c r="D22" s="189">
        <f>SUMIFS('SkYSPark Data_w Will''s Data'!$J$3:$J$734,'SkYSPark Data_w Will''s Data'!$D$3:$D$734,"Main Campus",'SkYSPark Data_w Will''s Data'!$B$3:$B$734,'Campus Totals'!A22)</f>
        <v>202198.28136879639</v>
      </c>
      <c r="E22" s="191">
        <f>SUMIFS('SkYSPark Data_w Will''s Data'!$K$3:$K$734,'SkYSPark Data_w Will''s Data'!$D$3:$D$734,"Main Campus",'SkYSPark Data_w Will''s Data'!$B$3:$B$734,'Campus Totals'!A22)</f>
        <v>301360.63638900308</v>
      </c>
      <c r="G22" t="s">
        <v>548</v>
      </c>
      <c r="H22" s="112">
        <f>3959.46752630671*1000000</f>
        <v>3959467526.3067102</v>
      </c>
    </row>
    <row r="23" spans="1:9" x14ac:dyDescent="0.3">
      <c r="A23" s="111">
        <v>4</v>
      </c>
      <c r="B23" s="189">
        <f>SUMIFS('SkYSPark Data_w Will''s Data'!$G$3:$G$782,'SkYSPark Data_w Will''s Data'!$D$3:$D$782,"Main Campus",'SkYSPark Data_w Will''s Data'!$B$3:$B$782,'Campus Totals'!A23,'SkYSPark Data_w Will''s Data'!$AC$3:$AC$782,"Y")-'Solar Data-Main Campus'!M5</f>
        <v>3055096.3128258702</v>
      </c>
      <c r="C23" s="190">
        <f>SUMIFS('SkYSPark Data_w Will''s Data'!$I$3:$I$734,'SkYSPark Data_w Will''s Data'!$D$3:$D$734,"Main Campus",'SkYSPark Data_w Will''s Data'!$B$3:$B$734,'Campus Totals'!A23)</f>
        <v>14751.381159847644</v>
      </c>
      <c r="D23" s="189">
        <f>SUMIFS('SkYSPark Data_w Will''s Data'!$J$3:$J$734,'SkYSPark Data_w Will''s Data'!$D$3:$D$734,"Main Campus",'SkYSPark Data_w Will''s Data'!$B$3:$B$734,'Campus Totals'!A23)</f>
        <v>150458.9816121211</v>
      </c>
      <c r="E23" s="191">
        <f>SUMIFS('SkYSPark Data_w Will''s Data'!$K$3:$K$734,'SkYSPark Data_w Will''s Data'!$D$3:$D$734,"Main Campus",'SkYSPark Data_w Will''s Data'!$B$3:$B$734,'Campus Totals'!A23)</f>
        <v>454644.72360878409</v>
      </c>
    </row>
    <row r="24" spans="1:9" x14ac:dyDescent="0.3">
      <c r="A24" s="111">
        <v>5</v>
      </c>
      <c r="B24" s="189">
        <f>SUMIFS('SkYSPark Data_w Will''s Data'!$G$3:$G$782,'SkYSPark Data_w Will''s Data'!$D$3:$D$782,"Main Campus",'SkYSPark Data_w Will''s Data'!$B$3:$B$782,'Campus Totals'!A24,'SkYSPark Data_w Will''s Data'!$AC$3:$AC$782,"Y")-'Solar Data-Main Campus'!M6</f>
        <v>2987257.6812136453</v>
      </c>
      <c r="C24" s="190">
        <f>SUMIFS('SkYSPark Data_w Will''s Data'!$I$3:$I$734,'SkYSPark Data_w Will''s Data'!$D$3:$D$734,"Main Campus",'SkYSPark Data_w Will''s Data'!$B$3:$B$734,'Campus Totals'!A24)</f>
        <v>10632.120945587863</v>
      </c>
      <c r="D24" s="189">
        <f>SUMIFS('SkYSPark Data_w Will''s Data'!$J$3:$J$734,'SkYSPark Data_w Will''s Data'!$D$3:$D$734,"Main Campus",'SkYSPark Data_w Will''s Data'!$B$3:$B$734,'Campus Totals'!A24)</f>
        <v>85592.10951601126</v>
      </c>
      <c r="E24" s="191">
        <f>SUMIFS('SkYSPark Data_w Will''s Data'!$K$3:$K$734,'SkYSPark Data_w Will''s Data'!$D$3:$D$734,"Main Campus",'SkYSPark Data_w Will''s Data'!$B$3:$B$734,'Campus Totals'!A24)</f>
        <v>600797.70556384686</v>
      </c>
      <c r="G24">
        <f>H22/H21</f>
        <v>329955.62719222583</v>
      </c>
    </row>
    <row r="25" spans="1:9" x14ac:dyDescent="0.3">
      <c r="A25" s="111">
        <v>6</v>
      </c>
      <c r="B25" s="189">
        <f>SUMIFS('SkYSPark Data_w Will''s Data'!$G$3:$G$782,'SkYSPark Data_w Will''s Data'!$D$3:$D$782,"Main Campus",'SkYSPark Data_w Will''s Data'!$B$3:$B$782,'Campus Totals'!A25,'SkYSPark Data_w Will''s Data'!$AC$3:$AC$782,"Y")-'Solar Data-Main Campus'!M7</f>
        <v>2621909.7706574961</v>
      </c>
      <c r="C25" s="190">
        <f>SUMIFS('SkYSPark Data_w Will''s Data'!$I$3:$I$734,'SkYSPark Data_w Will''s Data'!$D$3:$D$734,"Main Campus",'SkYSPark Data_w Will''s Data'!$B$3:$B$734,'Campus Totals'!A25)</f>
        <v>5373.7231458686929</v>
      </c>
      <c r="D25" s="189">
        <f>SUMIFS('SkYSPark Data_w Will''s Data'!$J$3:$J$734,'SkYSPark Data_w Will''s Data'!$D$3:$D$734,"Main Campus",'SkYSPark Data_w Will''s Data'!$B$3:$B$734,'Campus Totals'!A25)</f>
        <v>59608.479398455813</v>
      </c>
      <c r="E25" s="191">
        <f>SUMIFS('SkYSPark Data_w Will''s Data'!$K$3:$K$734,'SkYSPark Data_w Will''s Data'!$D$3:$D$734,"Main Campus",'SkYSPark Data_w Will''s Data'!$B$3:$B$734,'Campus Totals'!A25)</f>
        <v>719549.9586171835</v>
      </c>
    </row>
    <row r="26" spans="1:9" x14ac:dyDescent="0.3">
      <c r="A26" s="111">
        <v>7</v>
      </c>
      <c r="B26" s="189">
        <f>SUMIFS('SkYSPark Data_w Will''s Data'!$G$3:$G$782,'SkYSPark Data_w Will''s Data'!$D$3:$D$782,"Main Campus",'SkYSPark Data_w Will''s Data'!$B$3:$B$782,'Campus Totals'!A26,'SkYSPark Data_w Will''s Data'!$AC$3:$AC$782,"Y")-'Solar Data-Main Campus'!M8</f>
        <v>2890385.5251397956</v>
      </c>
      <c r="C26" s="190">
        <f>SUMIFS('SkYSPark Data_w Will''s Data'!$I$3:$I$734,'SkYSPark Data_w Will''s Data'!$D$3:$D$734,"Main Campus",'SkYSPark Data_w Will''s Data'!$B$3:$B$734,'Campus Totals'!A26)</f>
        <v>4780.8850676846077</v>
      </c>
      <c r="D26" s="189">
        <f>SUMIFS('SkYSPark Data_w Will''s Data'!$J$3:$J$734,'SkYSPark Data_w Will''s Data'!$D$3:$D$734,"Main Campus",'SkYSPark Data_w Will''s Data'!$B$3:$B$734,'Campus Totals'!A26)</f>
        <v>52625.661355192693</v>
      </c>
      <c r="E26" s="191">
        <f>SUMIFS('SkYSPark Data_w Will''s Data'!$K$3:$K$734,'SkYSPark Data_w Will''s Data'!$D$3:$D$734,"Main Campus",'SkYSPark Data_w Will''s Data'!$B$3:$B$734,'Campus Totals'!A26)</f>
        <v>1033376.9025302997</v>
      </c>
    </row>
    <row r="27" spans="1:9" x14ac:dyDescent="0.3">
      <c r="A27" s="111">
        <v>8</v>
      </c>
      <c r="B27" s="189">
        <f>SUMIFS('SkYSPark Data_w Will''s Data'!$G$3:$G$782,'SkYSPark Data_w Will''s Data'!$D$3:$D$782,"Main Campus",'SkYSPark Data_w Will''s Data'!$B$3:$B$782,'Campus Totals'!A27,'SkYSPark Data_w Will''s Data'!$AC$3:$AC$782,"Y")-'Solar Data-Main Campus'!M9</f>
        <v>2971828.0598379425</v>
      </c>
      <c r="C27" s="190">
        <f>SUMIFS('SkYSPark Data_w Will''s Data'!$I$3:$I$734,'SkYSPark Data_w Will''s Data'!$D$3:$D$734,"Main Campus",'SkYSPark Data_w Will''s Data'!$B$3:$B$734,'Campus Totals'!A27)</f>
        <v>7160.2317142716038</v>
      </c>
      <c r="D27" s="189">
        <f>SUMIFS('SkYSPark Data_w Will''s Data'!$J$3:$J$734,'SkYSPark Data_w Will''s Data'!$D$3:$D$734,"Main Campus",'SkYSPark Data_w Will''s Data'!$B$3:$B$734,'Campus Totals'!A27)</f>
        <v>41327.189990550978</v>
      </c>
      <c r="E27" s="191">
        <f>SUMIFS('SkYSPark Data_w Will''s Data'!$K$3:$K$734,'SkYSPark Data_w Will''s Data'!$D$3:$D$734,"Main Campus",'SkYSPark Data_w Will''s Data'!$B$3:$B$734,'Campus Totals'!A27)</f>
        <v>1293379.7550560248</v>
      </c>
    </row>
    <row r="28" spans="1:9" x14ac:dyDescent="0.3">
      <c r="A28" s="111">
        <v>9</v>
      </c>
      <c r="B28" s="189">
        <f>SUMIFS('SkYSPark Data_w Will''s Data'!$G$3:$G$782,'SkYSPark Data_w Will''s Data'!$D$3:$D$782,"Main Campus",'SkYSPark Data_w Will''s Data'!$B$3:$B$782,'Campus Totals'!A28,'SkYSPark Data_w Will''s Data'!$AC$3:$AC$782,"Y")-'Solar Data-Main Campus'!M10</f>
        <v>3160729.6006553276</v>
      </c>
      <c r="C28" s="190">
        <f>SUMIFS('SkYSPark Data_w Will''s Data'!$I$3:$I$734,'SkYSPark Data_w Will''s Data'!$D$3:$D$734,"Main Campus",'SkYSPark Data_w Will''s Data'!$B$3:$B$734,'Campus Totals'!A28)</f>
        <v>9257.2237343270499</v>
      </c>
      <c r="D28" s="189">
        <f>SUMIFS('SkYSPark Data_w Will''s Data'!$J$3:$J$734,'SkYSPark Data_w Will''s Data'!$D$3:$D$734,"Main Campus",'SkYSPark Data_w Will''s Data'!$B$3:$B$734,'Campus Totals'!A28)</f>
        <v>63610.080341248198</v>
      </c>
      <c r="E28" s="191">
        <f>SUMIFS('SkYSPark Data_w Will''s Data'!$K$3:$K$734,'SkYSPark Data_w Will''s Data'!$D$3:$D$734,"Main Campus",'SkYSPark Data_w Will''s Data'!$B$3:$B$734,'Campus Totals'!A28)</f>
        <v>959473.97451047413</v>
      </c>
    </row>
    <row r="29" spans="1:9" x14ac:dyDescent="0.3">
      <c r="A29" s="111">
        <v>10</v>
      </c>
      <c r="B29" s="189">
        <f>SUMIFS('SkYSPark Data_w Will''s Data'!$G$3:$G$782,'SkYSPark Data_w Will''s Data'!$D$3:$D$782,"Main Campus",'SkYSPark Data_w Will''s Data'!$B$3:$B$782,'Campus Totals'!A29,'SkYSPark Data_w Will''s Data'!$AC$3:$AC$782,"Y")-'Solar Data-Main Campus'!M11</f>
        <v>3327935.3188481759</v>
      </c>
      <c r="C29" s="190">
        <f>SUMIFS('SkYSPark Data_w Will''s Data'!$I$3:$I$734,'SkYSPark Data_w Will''s Data'!$D$3:$D$734,"Main Campus",'SkYSPark Data_w Will''s Data'!$B$3:$B$734,'Campus Totals'!A29)</f>
        <v>11398.308269539211</v>
      </c>
      <c r="D29" s="189">
        <f>SUMIFS('SkYSPark Data_w Will''s Data'!$J$3:$J$734,'SkYSPark Data_w Will''s Data'!$D$3:$D$734,"Main Campus",'SkYSPark Data_w Will''s Data'!$B$3:$B$734,'Campus Totals'!A29)</f>
        <v>93623.813699506994</v>
      </c>
      <c r="E29" s="191">
        <f>SUMIFS('SkYSPark Data_w Will''s Data'!$K$3:$K$734,'SkYSPark Data_w Will''s Data'!$D$3:$D$734,"Main Campus",'SkYSPark Data_w Will''s Data'!$B$3:$B$734,'Campus Totals'!A29)</f>
        <v>851229.70071939391</v>
      </c>
      <c r="G29" t="s">
        <v>598</v>
      </c>
      <c r="H29">
        <v>100</v>
      </c>
      <c r="I29" t="s">
        <v>597</v>
      </c>
    </row>
    <row r="30" spans="1:9" x14ac:dyDescent="0.3">
      <c r="A30" s="111">
        <v>11</v>
      </c>
      <c r="B30" s="189">
        <f>SUMIFS('SkYSPark Data_w Will''s Data'!$G$3:$G$782,'SkYSPark Data_w Will''s Data'!$D$3:$D$782,"Main Campus",'SkYSPark Data_w Will''s Data'!$B$3:$B$782,'Campus Totals'!A30,'SkYSPark Data_w Will''s Data'!$AC$3:$AC$782,"Y")-'Solar Data-Main Campus'!M12</f>
        <v>3111008.9860508842</v>
      </c>
      <c r="C30" s="190">
        <f>SUMIFS('SkYSPark Data_w Will''s Data'!$I$3:$I$734,'SkYSPark Data_w Will''s Data'!$D$3:$D$734,"Main Campus",'SkYSPark Data_w Will''s Data'!$B$3:$B$734,'Campus Totals'!A30)</f>
        <v>13456.036876711254</v>
      </c>
      <c r="D30" s="189">
        <f>SUMIFS('SkYSPark Data_w Will''s Data'!$J$3:$J$734,'SkYSPark Data_w Will''s Data'!$D$3:$D$734,"Main Campus",'SkYSPark Data_w Will''s Data'!$B$3:$B$734,'Campus Totals'!A30)</f>
        <v>154023.67041343192</v>
      </c>
      <c r="E30" s="191">
        <f>SUMIFS('SkYSPark Data_w Will''s Data'!$K$3:$K$734,'SkYSPark Data_w Will''s Data'!$D$3:$D$734,"Main Campus",'SkYSPark Data_w Will''s Data'!$B$3:$B$734,'Campus Totals'!A30)</f>
        <v>420950.52977593092</v>
      </c>
      <c r="H30">
        <v>1000000</v>
      </c>
    </row>
    <row r="31" spans="1:9" x14ac:dyDescent="0.3">
      <c r="A31" s="111">
        <v>12</v>
      </c>
      <c r="B31" s="189">
        <f>SUMIFS('SkYSPark Data_w Will''s Data'!$G$3:$G$782,'SkYSPark Data_w Will''s Data'!$D$3:$D$782,"Main Campus",'SkYSPark Data_w Will''s Data'!$B$3:$B$782,'Campus Totals'!A31,'SkYSPark Data_w Will''s Data'!$AC$3:$AC$782,"Y")-'Solar Data-Main Campus'!M13</f>
        <v>3049196.153597788</v>
      </c>
      <c r="C31" s="190">
        <f>SUMIFS('SkYSPark Data_w Will''s Data'!$I$3:$I$734,'SkYSPark Data_w Will''s Data'!$D$3:$D$734,"Main Campus",'SkYSPark Data_w Will''s Data'!$B$3:$B$734,'Campus Totals'!A31)</f>
        <v>13145.05920246926</v>
      </c>
      <c r="D31" s="189">
        <f>SUMIFS('SkYSPark Data_w Will''s Data'!$J$3:$J$734,'SkYSPark Data_w Will''s Data'!$D$3:$D$734,"Main Campus",'SkYSPark Data_w Will''s Data'!$B$3:$B$734,'Campus Totals'!A31)</f>
        <v>189454.4524911686</v>
      </c>
      <c r="E31" s="191">
        <f>SUMIFS('SkYSPark Data_w Will''s Data'!$K$3:$K$734,'SkYSPark Data_w Will''s Data'!$D$3:$D$734,"Main Campus",'SkYSPark Data_w Will''s Data'!$B$3:$B$734,'Campus Totals'!A31)</f>
        <v>328510.96137139271</v>
      </c>
    </row>
    <row r="32" spans="1:9" s="108" customFormat="1" ht="15" thickBot="1" x14ac:dyDescent="0.35">
      <c r="A32" s="116" t="s">
        <v>531</v>
      </c>
      <c r="B32" s="117">
        <f>SUM(B20:B31)</f>
        <v>35870509.993578456</v>
      </c>
      <c r="C32" s="117">
        <f>SUM(C20:C31)</f>
        <v>142994.72179982066</v>
      </c>
      <c r="D32" s="117">
        <f>SUM(D20:D31)</f>
        <v>1512693.0758804285</v>
      </c>
      <c r="E32" s="117">
        <f>SUM(E20:E31)</f>
        <v>7475580.7783985985</v>
      </c>
    </row>
    <row r="33" spans="1:5" ht="15" thickBot="1" x14ac:dyDescent="0.35">
      <c r="A33"/>
      <c r="B33"/>
      <c r="C33"/>
      <c r="D33"/>
      <c r="E33"/>
    </row>
    <row r="34" spans="1:5" ht="15.6" x14ac:dyDescent="0.3">
      <c r="A34" s="288" t="s">
        <v>535</v>
      </c>
      <c r="B34" s="289"/>
      <c r="C34" s="289"/>
      <c r="D34" s="289"/>
      <c r="E34" s="290"/>
    </row>
    <row r="35" spans="1:5" s="107" customFormat="1" x14ac:dyDescent="0.3">
      <c r="A35" s="109" t="s">
        <v>530</v>
      </c>
      <c r="B35" s="105" t="s">
        <v>537</v>
      </c>
      <c r="C35" s="106"/>
      <c r="D35" s="105" t="s">
        <v>538</v>
      </c>
      <c r="E35" s="110" t="s">
        <v>539</v>
      </c>
    </row>
    <row r="36" spans="1:5" x14ac:dyDescent="0.3">
      <c r="A36" s="111">
        <v>1</v>
      </c>
      <c r="B36" s="189">
        <f t="shared" ref="B36:B48" si="2">B4-B20</f>
        <v>219181.63093137415</v>
      </c>
      <c r="C36" s="190"/>
      <c r="D36" s="189">
        <f>D4-D20</f>
        <v>296.79607768758433</v>
      </c>
      <c r="E36" s="191">
        <f>E4-E20</f>
        <v>83530.058035550523</v>
      </c>
    </row>
    <row r="37" spans="1:5" x14ac:dyDescent="0.3">
      <c r="A37" s="111">
        <v>2</v>
      </c>
      <c r="B37" s="189">
        <f t="shared" si="2"/>
        <v>339893.03643456427</v>
      </c>
      <c r="C37" s="190"/>
      <c r="D37" s="189">
        <f t="shared" ref="D37:D47" si="3">D5-D21</f>
        <v>19629.331131371873</v>
      </c>
      <c r="E37" s="191">
        <f t="shared" ref="E37:E47" si="4">E5-E21</f>
        <v>53065.468829770165</v>
      </c>
    </row>
    <row r="38" spans="1:5" x14ac:dyDescent="0.3">
      <c r="A38" s="111">
        <v>3</v>
      </c>
      <c r="B38" s="189">
        <f t="shared" si="2"/>
        <v>266757.49788252171</v>
      </c>
      <c r="C38" s="190"/>
      <c r="D38" s="189">
        <f t="shared" si="3"/>
        <v>36330.663464411598</v>
      </c>
      <c r="E38" s="191">
        <f t="shared" si="4"/>
        <v>63397.110782564676</v>
      </c>
    </row>
    <row r="39" spans="1:5" x14ac:dyDescent="0.3">
      <c r="A39" s="111">
        <v>4</v>
      </c>
      <c r="B39" s="189">
        <f t="shared" si="2"/>
        <v>102735.14717411995</v>
      </c>
      <c r="C39" s="190"/>
      <c r="D39" s="189">
        <f t="shared" si="3"/>
        <v>27074.06817400991</v>
      </c>
      <c r="E39" s="191">
        <f t="shared" si="4"/>
        <v>158086.18766207754</v>
      </c>
    </row>
    <row r="40" spans="1:5" x14ac:dyDescent="0.3">
      <c r="A40" s="111">
        <v>5</v>
      </c>
      <c r="B40" s="189">
        <f t="shared" si="2"/>
        <v>185277.34878635453</v>
      </c>
      <c r="C40" s="190"/>
      <c r="D40" s="189">
        <f t="shared" si="3"/>
        <v>55226.762246661761</v>
      </c>
      <c r="E40" s="191">
        <f t="shared" si="4"/>
        <v>122493.54837241338</v>
      </c>
    </row>
    <row r="41" spans="1:5" x14ac:dyDescent="0.3">
      <c r="A41" s="111">
        <v>6</v>
      </c>
      <c r="B41" s="189">
        <f t="shared" si="2"/>
        <v>146704.39934250386</v>
      </c>
      <c r="C41" s="190"/>
      <c r="D41" s="189">
        <f t="shared" si="3"/>
        <v>44135.723271681192</v>
      </c>
      <c r="E41" s="191">
        <f t="shared" si="4"/>
        <v>69089.958460896742</v>
      </c>
    </row>
    <row r="42" spans="1:5" x14ac:dyDescent="0.3">
      <c r="A42" s="111">
        <v>7</v>
      </c>
      <c r="B42" s="189">
        <f t="shared" si="2"/>
        <v>49530.134860194288</v>
      </c>
      <c r="C42" s="190"/>
      <c r="D42" s="189">
        <f t="shared" si="3"/>
        <v>34138.663813835701</v>
      </c>
      <c r="E42" s="191">
        <f t="shared" si="4"/>
        <v>201313.8098949343</v>
      </c>
    </row>
    <row r="43" spans="1:5" x14ac:dyDescent="0.3">
      <c r="A43" s="111">
        <v>8</v>
      </c>
      <c r="B43" s="189">
        <f t="shared" si="2"/>
        <v>135887.26016204758</v>
      </c>
      <c r="C43" s="190"/>
      <c r="D43" s="189">
        <f t="shared" si="3"/>
        <v>42145.016153059623</v>
      </c>
      <c r="E43" s="191">
        <f t="shared" si="4"/>
        <v>-20122.094609992811</v>
      </c>
    </row>
    <row r="44" spans="1:5" x14ac:dyDescent="0.3">
      <c r="A44" s="111">
        <v>9</v>
      </c>
      <c r="B44" s="189">
        <f t="shared" si="2"/>
        <v>39803.39934466267</v>
      </c>
      <c r="C44" s="190"/>
      <c r="D44" s="189">
        <f t="shared" si="3"/>
        <v>28902.428054431912</v>
      </c>
      <c r="E44" s="191">
        <f t="shared" si="4"/>
        <v>148386.68747385871</v>
      </c>
    </row>
    <row r="45" spans="1:5" x14ac:dyDescent="0.3">
      <c r="A45" s="111">
        <v>10</v>
      </c>
      <c r="B45" s="189">
        <f t="shared" si="2"/>
        <v>59717.521151823923</v>
      </c>
      <c r="C45" s="190"/>
      <c r="D45" s="189">
        <f t="shared" si="3"/>
        <v>15358.621662989011</v>
      </c>
      <c r="E45" s="191">
        <f t="shared" si="4"/>
        <v>152888.15342916211</v>
      </c>
    </row>
    <row r="46" spans="1:5" x14ac:dyDescent="0.3">
      <c r="A46" s="111">
        <v>11</v>
      </c>
      <c r="B46" s="189">
        <f t="shared" si="2"/>
        <v>97622.053949115798</v>
      </c>
      <c r="C46" s="190"/>
      <c r="D46" s="189">
        <f t="shared" si="3"/>
        <v>12284.006344444089</v>
      </c>
      <c r="E46" s="191">
        <f t="shared" si="4"/>
        <v>145523.45038415468</v>
      </c>
    </row>
    <row r="47" spans="1:5" x14ac:dyDescent="0.3">
      <c r="A47" s="111">
        <v>12</v>
      </c>
      <c r="B47" s="189">
        <f t="shared" si="2"/>
        <v>70214.466402212158</v>
      </c>
      <c r="C47" s="190"/>
      <c r="D47" s="189">
        <f t="shared" si="3"/>
        <v>12780.157088563399</v>
      </c>
      <c r="E47" s="191">
        <f t="shared" si="4"/>
        <v>115478.75647639908</v>
      </c>
    </row>
    <row r="48" spans="1:5" s="107" customFormat="1" ht="15" thickBot="1" x14ac:dyDescent="0.35">
      <c r="A48" s="113" t="s">
        <v>531</v>
      </c>
      <c r="B48" s="117">
        <f t="shared" si="2"/>
        <v>1713323.8964214921</v>
      </c>
      <c r="C48" s="117">
        <f>C16-C32</f>
        <v>-142994.72179982066</v>
      </c>
      <c r="D48" s="117">
        <f>D16-D32</f>
        <v>328302.23748314776</v>
      </c>
      <c r="E48" s="118">
        <f>E16-E32</f>
        <v>1293131.0951917907</v>
      </c>
    </row>
    <row r="49" spans="1:6" x14ac:dyDescent="0.3">
      <c r="D49" s="103" t="s">
        <v>668</v>
      </c>
    </row>
    <row r="50" spans="1:6" x14ac:dyDescent="0.3">
      <c r="D50" s="208">
        <f>'Archive_Missing Bldgs-MAINcmps'!W1</f>
        <v>-278050.72925913282</v>
      </c>
      <c r="E50" s="208">
        <v>602995.11</v>
      </c>
      <c r="F50" t="s">
        <v>710</v>
      </c>
    </row>
    <row r="51" spans="1:6" x14ac:dyDescent="0.3">
      <c r="D51" s="209">
        <f>D50/D16</f>
        <v>-0.15103282840580531</v>
      </c>
      <c r="E51" s="209">
        <f>E48-E50</f>
        <v>690135.98519179074</v>
      </c>
      <c r="F51" t="s">
        <v>711</v>
      </c>
    </row>
    <row r="52" spans="1:6" x14ac:dyDescent="0.3">
      <c r="E52" s="103">
        <f>E51/E16*100</f>
        <v>7.8704374729239603</v>
      </c>
      <c r="F52" t="s">
        <v>712</v>
      </c>
    </row>
    <row r="53" spans="1:6" x14ac:dyDescent="0.3">
      <c r="B53" s="208"/>
      <c r="C53" s="104" t="s">
        <v>695</v>
      </c>
      <c r="D53" s="247">
        <v>44737.82</v>
      </c>
      <c r="E53" s="247"/>
    </row>
    <row r="54" spans="1:6" x14ac:dyDescent="0.3">
      <c r="B54" s="208"/>
      <c r="C54" s="104" t="s">
        <v>694</v>
      </c>
      <c r="D54" s="209">
        <f>0.15*D16</f>
        <v>276149.29700453643</v>
      </c>
    </row>
    <row r="55" spans="1:6" ht="18" x14ac:dyDescent="0.35">
      <c r="B55" s="208"/>
      <c r="C55" s="104" t="s">
        <v>696</v>
      </c>
      <c r="D55" s="248">
        <f>SUM(D53:D54)</f>
        <v>320887.11700453644</v>
      </c>
    </row>
    <row r="56" spans="1:6" x14ac:dyDescent="0.3">
      <c r="B56" s="208"/>
      <c r="D56" s="212"/>
    </row>
    <row r="57" spans="1:6" x14ac:dyDescent="0.3">
      <c r="D57" s="212"/>
    </row>
    <row r="58" spans="1:6" x14ac:dyDescent="0.3">
      <c r="D58" s="212"/>
      <c r="E58" s="208"/>
    </row>
    <row r="59" spans="1:6" x14ac:dyDescent="0.3">
      <c r="A59" s="111"/>
      <c r="B59" s="189"/>
      <c r="D59" s="212"/>
      <c r="E59" s="247"/>
    </row>
    <row r="60" spans="1:6" x14ac:dyDescent="0.3">
      <c r="A60" s="111"/>
      <c r="B60" s="189"/>
      <c r="D60" s="212">
        <v>1527896</v>
      </c>
    </row>
    <row r="61" spans="1:6" x14ac:dyDescent="0.3">
      <c r="A61" s="111"/>
      <c r="B61" s="189"/>
      <c r="D61" s="212">
        <f>13865.37076+15678.48028</f>
        <v>29543.851040000001</v>
      </c>
      <c r="E61" s="208"/>
    </row>
    <row r="62" spans="1:6" x14ac:dyDescent="0.3">
      <c r="A62" s="111"/>
      <c r="B62" s="189"/>
      <c r="D62" s="212">
        <f>SUM(D60:D61)</f>
        <v>1557439.8510400001</v>
      </c>
      <c r="E62" s="209"/>
    </row>
    <row r="63" spans="1:6" x14ac:dyDescent="0.3">
      <c r="A63" s="111"/>
      <c r="B63" s="189"/>
      <c r="D63" s="212"/>
    </row>
    <row r="64" spans="1:6" x14ac:dyDescent="0.3">
      <c r="A64" s="111"/>
      <c r="B64" s="189"/>
      <c r="D64" s="212"/>
    </row>
    <row r="65" spans="1:4" x14ac:dyDescent="0.3">
      <c r="A65" s="111"/>
      <c r="B65" s="189"/>
      <c r="D65" s="212"/>
    </row>
    <row r="66" spans="1:4" x14ac:dyDescent="0.3">
      <c r="A66" s="111"/>
      <c r="B66" s="189"/>
      <c r="D66" s="212"/>
    </row>
    <row r="67" spans="1:4" x14ac:dyDescent="0.3">
      <c r="A67" s="111"/>
      <c r="B67" s="189"/>
      <c r="D67" s="212"/>
    </row>
    <row r="68" spans="1:4" x14ac:dyDescent="0.3">
      <c r="A68" s="111"/>
      <c r="B68" s="189"/>
    </row>
    <row r="69" spans="1:4" x14ac:dyDescent="0.3">
      <c r="A69" s="111"/>
      <c r="B69" s="189"/>
    </row>
    <row r="70" spans="1:4" x14ac:dyDescent="0.3">
      <c r="A70" s="111"/>
      <c r="B70" s="189"/>
    </row>
    <row r="79" spans="1:4" x14ac:dyDescent="0.3">
      <c r="A79" s="103" t="s">
        <v>0</v>
      </c>
      <c r="B79" s="103" t="s">
        <v>457</v>
      </c>
      <c r="C79" s="104" t="s">
        <v>456</v>
      </c>
    </row>
    <row r="80" spans="1:4" x14ac:dyDescent="0.3">
      <c r="A80" s="103" t="s">
        <v>458</v>
      </c>
      <c r="B80" s="103" t="s">
        <v>459</v>
      </c>
      <c r="C80" s="104" t="s">
        <v>460</v>
      </c>
    </row>
    <row r="81" spans="1:3" x14ac:dyDescent="0.3">
      <c r="A81" s="103" t="s">
        <v>461</v>
      </c>
      <c r="B81" s="103" t="s">
        <v>462</v>
      </c>
      <c r="C81" s="104" t="s">
        <v>463</v>
      </c>
    </row>
    <row r="82" spans="1:3" x14ac:dyDescent="0.3">
      <c r="A82" s="103" t="s">
        <v>464</v>
      </c>
      <c r="B82" s="103" t="s">
        <v>465</v>
      </c>
      <c r="C82" s="104" t="s">
        <v>466</v>
      </c>
    </row>
    <row r="83" spans="1:3" x14ac:dyDescent="0.3">
      <c r="A83" s="103" t="s">
        <v>467</v>
      </c>
      <c r="B83" s="103" t="s">
        <v>468</v>
      </c>
      <c r="C83" s="104" t="s">
        <v>469</v>
      </c>
    </row>
    <row r="84" spans="1:3" x14ac:dyDescent="0.3">
      <c r="A84" s="103" t="s">
        <v>470</v>
      </c>
      <c r="B84" s="103" t="s">
        <v>471</v>
      </c>
      <c r="C84" s="104" t="s">
        <v>472</v>
      </c>
    </row>
    <row r="85" spans="1:3" x14ac:dyDescent="0.3">
      <c r="A85" s="103" t="s">
        <v>473</v>
      </c>
      <c r="B85" s="103" t="s">
        <v>474</v>
      </c>
      <c r="C85" s="104" t="s">
        <v>475</v>
      </c>
    </row>
    <row r="86" spans="1:3" x14ac:dyDescent="0.3">
      <c r="A86" s="103" t="s">
        <v>476</v>
      </c>
      <c r="B86" s="103" t="s">
        <v>477</v>
      </c>
      <c r="C86" s="104" t="s">
        <v>478</v>
      </c>
    </row>
    <row r="87" spans="1:3" x14ac:dyDescent="0.3">
      <c r="A87" s="103" t="s">
        <v>479</v>
      </c>
      <c r="B87" s="103" t="s">
        <v>480</v>
      </c>
      <c r="C87" s="104" t="s">
        <v>481</v>
      </c>
    </row>
    <row r="88" spans="1:3" x14ac:dyDescent="0.3">
      <c r="A88" s="103" t="s">
        <v>482</v>
      </c>
      <c r="B88" s="103" t="s">
        <v>483</v>
      </c>
      <c r="C88" s="104" t="s">
        <v>484</v>
      </c>
    </row>
    <row r="89" spans="1:3" x14ac:dyDescent="0.3">
      <c r="A89" s="103" t="s">
        <v>485</v>
      </c>
      <c r="B89" s="103" t="s">
        <v>486</v>
      </c>
      <c r="C89" s="104" t="s">
        <v>487</v>
      </c>
    </row>
    <row r="90" spans="1:3" x14ac:dyDescent="0.3">
      <c r="A90" s="103" t="s">
        <v>488</v>
      </c>
      <c r="B90" s="103" t="s">
        <v>489</v>
      </c>
      <c r="C90" s="104" t="s">
        <v>490</v>
      </c>
    </row>
    <row r="91" spans="1:3" x14ac:dyDescent="0.3">
      <c r="A91" s="103" t="s">
        <v>491</v>
      </c>
      <c r="C91" s="104" t="s">
        <v>492</v>
      </c>
    </row>
    <row r="94" spans="1:3" x14ac:dyDescent="0.3">
      <c r="A94" s="103" t="s">
        <v>0</v>
      </c>
      <c r="B94" s="103" t="s">
        <v>505</v>
      </c>
    </row>
    <row r="95" spans="1:3" x14ac:dyDescent="0.3">
      <c r="A95" s="103" t="s">
        <v>506</v>
      </c>
      <c r="B95" s="103" t="s">
        <v>507</v>
      </c>
    </row>
    <row r="96" spans="1:3" x14ac:dyDescent="0.3">
      <c r="A96" s="103" t="s">
        <v>508</v>
      </c>
      <c r="B96" s="103" t="s">
        <v>509</v>
      </c>
    </row>
    <row r="97" spans="1:2" x14ac:dyDescent="0.3">
      <c r="A97" s="103" t="s">
        <v>458</v>
      </c>
      <c r="B97" s="103" t="s">
        <v>510</v>
      </c>
    </row>
    <row r="98" spans="1:2" x14ac:dyDescent="0.3">
      <c r="A98" s="103" t="s">
        <v>461</v>
      </c>
      <c r="B98" s="103" t="s">
        <v>511</v>
      </c>
    </row>
    <row r="99" spans="1:2" x14ac:dyDescent="0.3">
      <c r="A99" s="103" t="s">
        <v>464</v>
      </c>
      <c r="B99" s="103" t="s">
        <v>512</v>
      </c>
    </row>
    <row r="100" spans="1:2" x14ac:dyDescent="0.3">
      <c r="A100" s="103" t="s">
        <v>467</v>
      </c>
      <c r="B100" s="103" t="s">
        <v>513</v>
      </c>
    </row>
    <row r="101" spans="1:2" x14ac:dyDescent="0.3">
      <c r="A101" s="103" t="s">
        <v>470</v>
      </c>
      <c r="B101" s="103" t="s">
        <v>514</v>
      </c>
    </row>
    <row r="102" spans="1:2" x14ac:dyDescent="0.3">
      <c r="A102" s="103" t="s">
        <v>473</v>
      </c>
      <c r="B102" s="103" t="s">
        <v>515</v>
      </c>
    </row>
    <row r="103" spans="1:2" x14ac:dyDescent="0.3">
      <c r="A103" s="103" t="s">
        <v>476</v>
      </c>
      <c r="B103" s="103" t="s">
        <v>516</v>
      </c>
    </row>
    <row r="104" spans="1:2" x14ac:dyDescent="0.3">
      <c r="A104" s="103" t="s">
        <v>479</v>
      </c>
      <c r="B104" s="103" t="s">
        <v>517</v>
      </c>
    </row>
    <row r="105" spans="1:2" x14ac:dyDescent="0.3">
      <c r="A105" s="103" t="s">
        <v>482</v>
      </c>
      <c r="B105" s="103" t="s">
        <v>518</v>
      </c>
    </row>
    <row r="106" spans="1:2" x14ac:dyDescent="0.3">
      <c r="A106" s="103" t="s">
        <v>485</v>
      </c>
      <c r="B106" s="103" t="s">
        <v>519</v>
      </c>
    </row>
    <row r="107" spans="1:2" x14ac:dyDescent="0.3">
      <c r="A107" s="103" t="s">
        <v>488</v>
      </c>
      <c r="B107" s="103" t="s">
        <v>519</v>
      </c>
    </row>
    <row r="108" spans="1:2" x14ac:dyDescent="0.3">
      <c r="A108" s="103" t="s">
        <v>491</v>
      </c>
    </row>
  </sheetData>
  <autoFilter ref="A35:I35" xr:uid="{5BDDA387-A77B-4206-8F44-2D7DE61F7249}"/>
  <mergeCells count="3">
    <mergeCell ref="A2:E2"/>
    <mergeCell ref="A18:E18"/>
    <mergeCell ref="A34:E34"/>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56389-59CB-4CED-87B5-CEDCE021CF64}">
  <dimension ref="B1:BB77"/>
  <sheetViews>
    <sheetView zoomScale="112" zoomScaleNormal="112" workbookViewId="0">
      <pane xSplit="2" ySplit="2" topLeftCell="C3" activePane="bottomRight" state="frozen"/>
      <selection pane="topRight" activeCell="C1" sqref="C1"/>
      <selection pane="bottomLeft" activeCell="A3" sqref="A3"/>
      <selection pane="bottomRight" activeCell="B13" sqref="B13"/>
    </sheetView>
  </sheetViews>
  <sheetFormatPr defaultRowHeight="14.4" x14ac:dyDescent="0.3"/>
  <cols>
    <col min="1" max="1" width="6" customWidth="1"/>
    <col min="2" max="2" width="37.6640625" bestFit="1" customWidth="1"/>
    <col min="3" max="3" width="13.109375" customWidth="1"/>
    <col min="4" max="4" width="11.77734375" customWidth="1"/>
    <col min="6" max="6" width="13.88671875" customWidth="1"/>
    <col min="7" max="7" width="14.6640625" customWidth="1"/>
    <col min="8" max="8" width="16.5546875" customWidth="1"/>
    <col min="9" max="9" width="9.77734375" customWidth="1"/>
    <col min="10" max="10" width="10.6640625" customWidth="1"/>
    <col min="11" max="11" width="10.44140625" customWidth="1"/>
    <col min="12" max="12" width="10.6640625" customWidth="1"/>
    <col min="13" max="13" width="10.109375" customWidth="1"/>
    <col min="14" max="14" width="10.44140625" customWidth="1"/>
    <col min="15" max="15" width="14.33203125" customWidth="1"/>
    <col min="16" max="16" width="11.5546875" customWidth="1"/>
    <col min="17" max="17" width="12.88671875" customWidth="1"/>
    <col min="18" max="18" width="10.6640625" customWidth="1"/>
    <col min="19" max="19" width="10.44140625" customWidth="1"/>
    <col min="20" max="20" width="10.6640625" customWidth="1"/>
    <col min="21" max="21" width="10.109375" customWidth="1"/>
    <col min="22" max="22" width="10.44140625" customWidth="1"/>
    <col min="23" max="24" width="14.33203125" customWidth="1"/>
    <col min="25" max="25" width="13.33203125" customWidth="1"/>
    <col min="26" max="26" width="13.21875" customWidth="1"/>
    <col min="27" max="27" width="10.6640625" customWidth="1"/>
    <col min="28" max="28" width="10.44140625" customWidth="1"/>
    <col min="29" max="29" width="10.6640625" customWidth="1"/>
    <col min="30" max="30" width="10.109375" customWidth="1"/>
    <col min="31" max="31" width="10.44140625" customWidth="1"/>
    <col min="32" max="33" width="14.33203125" customWidth="1"/>
    <col min="34" max="34" width="13.33203125" customWidth="1"/>
    <col min="35" max="35" width="16.33203125" bestFit="1" customWidth="1"/>
    <col min="36" max="36" width="10.6640625" customWidth="1"/>
    <col min="37" max="37" width="10.44140625" customWidth="1"/>
    <col min="38" max="38" width="10.6640625" customWidth="1"/>
    <col min="39" max="39" width="10.109375" customWidth="1"/>
    <col min="40" max="40" width="10.44140625" customWidth="1"/>
    <col min="41" max="42" width="14.33203125" customWidth="1"/>
    <col min="43" max="43" width="13.33203125" customWidth="1"/>
    <col min="45" max="45" width="10.6640625" customWidth="1"/>
    <col min="46" max="46" width="10.44140625" customWidth="1"/>
    <col min="47" max="47" width="10.6640625" customWidth="1"/>
    <col min="48" max="48" width="10.109375" customWidth="1"/>
    <col min="49" max="49" width="10.44140625" customWidth="1"/>
    <col min="50" max="51" width="14.33203125" customWidth="1"/>
  </cols>
  <sheetData>
    <row r="1" spans="2:54" ht="23.4" x14ac:dyDescent="0.45">
      <c r="I1" s="291" t="s">
        <v>442</v>
      </c>
      <c r="J1" s="291"/>
      <c r="K1" s="291"/>
      <c r="L1" s="291"/>
      <c r="M1" s="291"/>
      <c r="N1" s="291"/>
      <c r="O1" s="291"/>
      <c r="P1" s="292" t="s">
        <v>437</v>
      </c>
      <c r="Q1" s="293"/>
      <c r="R1" s="293"/>
      <c r="S1" s="293"/>
      <c r="T1" s="293"/>
      <c r="U1" s="293"/>
      <c r="V1" s="293"/>
      <c r="W1" s="293"/>
      <c r="X1" s="294"/>
      <c r="Y1" s="291" t="s">
        <v>438</v>
      </c>
      <c r="Z1" s="291"/>
      <c r="AA1" s="291"/>
      <c r="AB1" s="291"/>
      <c r="AC1" s="291"/>
      <c r="AD1" s="291"/>
      <c r="AE1" s="291"/>
      <c r="AF1" s="291"/>
      <c r="AG1" s="80"/>
      <c r="AH1" s="291" t="s">
        <v>439</v>
      </c>
      <c r="AI1" s="291"/>
      <c r="AJ1" s="291"/>
      <c r="AK1" s="291"/>
      <c r="AL1" s="291"/>
      <c r="AM1" s="291"/>
      <c r="AN1" s="291"/>
      <c r="AO1" s="291"/>
      <c r="AP1" s="80"/>
      <c r="AQ1" s="291" t="s">
        <v>441</v>
      </c>
      <c r="AR1" s="291"/>
      <c r="AS1" s="291"/>
      <c r="AT1" s="291"/>
      <c r="AU1" s="291"/>
      <c r="AV1" s="291"/>
      <c r="AW1" s="291"/>
      <c r="AX1" s="291"/>
      <c r="AY1" s="84"/>
    </row>
    <row r="2" spans="2:54" s="70" customFormat="1" ht="67.8" thickBot="1" x14ac:dyDescent="0.45">
      <c r="C2" s="70" t="s">
        <v>188</v>
      </c>
      <c r="D2" s="70" t="s">
        <v>186</v>
      </c>
      <c r="E2" s="70" t="s">
        <v>185</v>
      </c>
      <c r="F2" s="70" t="s">
        <v>187</v>
      </c>
      <c r="G2" s="71" t="s">
        <v>361</v>
      </c>
      <c r="H2" s="71" t="s">
        <v>362</v>
      </c>
      <c r="I2" s="79" t="s">
        <v>366</v>
      </c>
      <c r="J2" s="79" t="s">
        <v>363</v>
      </c>
      <c r="K2" s="79" t="s">
        <v>364</v>
      </c>
      <c r="L2" s="79" t="s">
        <v>365</v>
      </c>
      <c r="M2" s="79" t="s">
        <v>369</v>
      </c>
      <c r="N2" s="79" t="s">
        <v>370</v>
      </c>
      <c r="O2" s="79" t="s">
        <v>371</v>
      </c>
      <c r="P2" s="79" t="s">
        <v>434</v>
      </c>
      <c r="Q2" s="75" t="s">
        <v>387</v>
      </c>
      <c r="R2" s="79" t="s">
        <v>363</v>
      </c>
      <c r="S2" s="79" t="s">
        <v>364</v>
      </c>
      <c r="T2" s="79" t="s">
        <v>365</v>
      </c>
      <c r="U2" s="79" t="s">
        <v>369</v>
      </c>
      <c r="V2" s="79" t="s">
        <v>370</v>
      </c>
      <c r="W2" s="79" t="s">
        <v>371</v>
      </c>
      <c r="X2" s="81" t="s">
        <v>443</v>
      </c>
      <c r="Y2" s="79" t="s">
        <v>433</v>
      </c>
      <c r="Z2" s="75" t="s">
        <v>388</v>
      </c>
      <c r="AA2" s="79" t="s">
        <v>363</v>
      </c>
      <c r="AB2" s="79" t="s">
        <v>364</v>
      </c>
      <c r="AC2" s="79" t="s">
        <v>365</v>
      </c>
      <c r="AD2" s="79" t="s">
        <v>369</v>
      </c>
      <c r="AE2" s="79" t="s">
        <v>370</v>
      </c>
      <c r="AF2" s="79" t="s">
        <v>371</v>
      </c>
      <c r="AG2" s="81" t="s">
        <v>443</v>
      </c>
      <c r="AH2" s="79" t="s">
        <v>436</v>
      </c>
      <c r="AI2" s="75" t="s">
        <v>390</v>
      </c>
      <c r="AJ2" s="79" t="s">
        <v>363</v>
      </c>
      <c r="AK2" s="79" t="s">
        <v>364</v>
      </c>
      <c r="AL2" s="79" t="s">
        <v>365</v>
      </c>
      <c r="AM2" s="79" t="s">
        <v>369</v>
      </c>
      <c r="AN2" s="79" t="s">
        <v>370</v>
      </c>
      <c r="AO2" s="79" t="s">
        <v>371</v>
      </c>
      <c r="AP2" s="79" t="s">
        <v>443</v>
      </c>
      <c r="AQ2" s="79" t="s">
        <v>440</v>
      </c>
      <c r="AR2" s="75" t="s">
        <v>389</v>
      </c>
      <c r="AS2" s="79" t="s">
        <v>363</v>
      </c>
      <c r="AT2" s="79" t="s">
        <v>364</v>
      </c>
      <c r="AU2" s="79" t="s">
        <v>365</v>
      </c>
      <c r="AV2" s="79" t="s">
        <v>369</v>
      </c>
      <c r="AW2" s="79" t="s">
        <v>370</v>
      </c>
      <c r="AX2" s="79" t="s">
        <v>371</v>
      </c>
      <c r="AY2" s="79" t="s">
        <v>443</v>
      </c>
      <c r="BB2" s="70" t="s">
        <v>372</v>
      </c>
    </row>
    <row r="3" spans="2:54" x14ac:dyDescent="0.3">
      <c r="B3" s="72" t="s">
        <v>122</v>
      </c>
      <c r="C3">
        <f>SUMIF('SkYSPark Data_w Will''s Data'!$C$3:$C$734,Outliers!$B3,'SkYSPark Data_w Will''s Data'!$G$3:$G$734)</f>
        <v>613.48013545882645</v>
      </c>
      <c r="D3">
        <f>SUMIF('SkYSPark Data_w Will''s Data'!$C$3:$C$734,Outliers!$B3,'SkYSPark Data_w Will''s Data'!$I$3:$I$734)</f>
        <v>0</v>
      </c>
      <c r="E3">
        <f>SUMIF('SkYSPark Data_w Will''s Data'!$C$3:$C$734,Outliers!$B3,'SkYSPark Data_w Will''s Data'!$J$3:$J$734)</f>
        <v>0</v>
      </c>
      <c r="F3">
        <f>SUMIF('SkYSPark Data_w Will''s Data'!$C$3:$C$734,Outliers!$B3,'SkYSPark Data_w Will''s Data'!$K$3:$K$734)</f>
        <v>0</v>
      </c>
      <c r="G3">
        <f>INDEX('SkYSPark Data_w Will''s Data'!$E$3:$E$734,MATCH(Outliers!B3,'SkYSPark Data_w Will''s Data'!$C$3:$C$734,0))</f>
        <v>39323</v>
      </c>
      <c r="H3" t="str">
        <f>INDEX('SkYSPark Data_w Will''s Data'!$F$3:$F$734,MATCH(Outliers!B3,'SkYSPark Data_w Will''s Data'!$C$3:$C$734,0))</f>
        <v>Office</v>
      </c>
      <c r="I3">
        <f t="shared" ref="I3:I34" si="0">IFERROR((C3*3.412+D3*100+E3*100+F3*12)/G3,0)</f>
        <v>5.3230786618150082E-2</v>
      </c>
      <c r="J3" cm="1">
        <f t="array" ref="J3">QUARTILE(_xlfn._xlws.FILTER($I$3:$I$61,$H$3:$H$61=H3),1)</f>
        <v>8.8203385892012705</v>
      </c>
      <c r="K3" cm="1">
        <f t="array" ref="K3">QUARTILE(_xlfn._xlws.FILTER($I$3:$I$61,$H$3:$H$61=H3),3)</f>
        <v>69.275490194408547</v>
      </c>
      <c r="L3">
        <f t="shared" ref="L3:L34" si="1">K3-J3</f>
        <v>60.455151605207277</v>
      </c>
      <c r="M3">
        <f t="shared" ref="M3:M34" si="2">J3-L3</f>
        <v>-51.634813016006007</v>
      </c>
      <c r="N3">
        <f t="shared" ref="N3:N34" si="3">K3+L3</f>
        <v>129.73064179961582</v>
      </c>
      <c r="O3" t="b">
        <f t="shared" ref="O3:O34" si="4">IF(OR(I3&gt;N3,I3&lt;M3),TRUE,FALSE)</f>
        <v>0</v>
      </c>
      <c r="P3">
        <f t="shared" ref="P3:P9" si="5">IFERROR((C3*3.412)/$G3,0)</f>
        <v>5.3230786618150082E-2</v>
      </c>
      <c r="Q3" t="str">
        <f>VLOOKUP($B3,'Data availability'!$A$2:$F$91,3,FALSE)</f>
        <v>Y</v>
      </c>
      <c r="R3" cm="1">
        <f t="array" ref="R3">IFERROR(QUARTILE(_xlfn._xlws.FILTER($P$3:$P$61, ($H$3:$H$61=$H3) * ($P$3:$P$61&gt;0)), 1), 0)</f>
        <v>15.284554956771059</v>
      </c>
      <c r="S3" cm="1">
        <f t="array" ref="S3">IFERROR(QUARTILE(_xlfn._xlws.FILTER($P$3:$P$61, ($H$3:$H$61=$H3) * ($P$3:$P$61&gt;0)), 3), 0)</f>
        <v>46.24076613564857</v>
      </c>
      <c r="T3">
        <f t="shared" ref="T3:T58" si="6">S3-R3</f>
        <v>30.95621117887751</v>
      </c>
      <c r="U3">
        <f t="shared" ref="U3:U58" si="7">R3-T3</f>
        <v>-15.671656222106451</v>
      </c>
      <c r="V3">
        <f t="shared" ref="V3:V58" si="8">S3+T3</f>
        <v>77.19697731452608</v>
      </c>
      <c r="W3" t="b">
        <f>IF(OR(P3&gt;V3,P3&lt;U3,P3=0),TRUE,FALSE)</f>
        <v>0</v>
      </c>
      <c r="X3" t="b">
        <f>W3</f>
        <v>0</v>
      </c>
      <c r="Y3">
        <f t="shared" ref="Y3:Y34" si="9">IFERROR((D3*100)/$G3,0)</f>
        <v>0</v>
      </c>
      <c r="Z3" t="str">
        <f>VLOOKUP($B3,'Data availability'!$A$2:$F$91,4,FALSE)</f>
        <v>-</v>
      </c>
      <c r="AA3" cm="1">
        <f t="array" ref="AA3">IFERROR(QUARTILE(_xlfn._xlws.FILTER($Y$3:$Y$61, ($H$3:$H$61=$H3) * ($Y$3:$Y$61&gt;0)), 1), 0)</f>
        <v>6.5665650736195023</v>
      </c>
      <c r="AB3" cm="1">
        <f t="array" ref="AB3">IFERROR(QUARTILE(_xlfn._xlws.FILTER($Y$3:$Y$61, ($H$3:$H$61=$H3) * ($Y$3:$Y$61&gt;0)), 3), 0)</f>
        <v>25.940532343422344</v>
      </c>
      <c r="AC3">
        <f t="shared" ref="AC3:AC58" si="10">AB3-AA3</f>
        <v>19.37396726980284</v>
      </c>
      <c r="AD3">
        <f t="shared" ref="AD3:AD58" si="11">AA3-AC3</f>
        <v>-12.807402196183338</v>
      </c>
      <c r="AE3">
        <f t="shared" ref="AE3:AE58" si="12">AB3+AC3</f>
        <v>45.31449961322518</v>
      </c>
      <c r="AF3" t="b">
        <f>IF(OR(Y3&gt;AE3, Y3&lt;AD3, Y3=0), TRUE, FALSE)</f>
        <v>1</v>
      </c>
      <c r="AG3" t="b">
        <f>AF3</f>
        <v>1</v>
      </c>
      <c r="AH3">
        <f t="shared" ref="AH3:AH34" si="13">IFERROR((E3*100)/$G3,0)</f>
        <v>0</v>
      </c>
      <c r="AI3" t="str">
        <f>VLOOKUP($B3,'Data availability'!$A$2:$F$91,5,FALSE)</f>
        <v>N</v>
      </c>
      <c r="AJ3" cm="1">
        <f t="array" ref="AJ3">IFERROR(QUARTILE(_xlfn._xlws.FILTER($AH$3:$AH$61, ($H$3:$H$61=$H3) * ($AH$3:$AH$61&gt;0)), 1), 0)</f>
        <v>16.477362470385007</v>
      </c>
      <c r="AK3" cm="1">
        <f t="array" ref="AK3">IFERROR(QUARTILE(_xlfn._xlws.FILTER($AH$3:$AH$61, ($H$3:$H$61=$H3) * ($AH$3:$AH$61&gt;0)), 3), 0)</f>
        <v>23.950261445766277</v>
      </c>
      <c r="AL3">
        <f t="shared" ref="AL3:AL58" si="14">AK3-AJ3</f>
        <v>7.4728989753812698</v>
      </c>
      <c r="AM3">
        <f t="shared" ref="AM3:AM58" si="15">AJ3-AL3</f>
        <v>9.004463495003737</v>
      </c>
      <c r="AN3">
        <f t="shared" ref="AN3:AN58" si="16">AK3+AL3</f>
        <v>31.423160421147546</v>
      </c>
      <c r="AO3" t="b">
        <f>IF(OR(AH3&gt;AN3,AH3&lt;AM3,AH3=0),TRUE,FALSE)</f>
        <v>1</v>
      </c>
      <c r="AP3" t="b">
        <f>AO3</f>
        <v>1</v>
      </c>
      <c r="AQ3">
        <f>IFERROR((F3*12)/$G3,0)</f>
        <v>0</v>
      </c>
      <c r="AR3" t="str">
        <f>VLOOKUP($B3,'Data availability'!$A$2:$F$91,6,FALSE)</f>
        <v>N</v>
      </c>
      <c r="AS3" cm="1">
        <f t="array" ref="AS3">IFERROR(QUARTILE(_xlfn._xlws.FILTER($AQ$3:$AQ$61, ($H$3:$H$61=$H3) * ($AQ$3:$AQ$61&gt;0)), 1), 0)</f>
        <v>11.329125107085785</v>
      </c>
      <c r="AT3" cm="1">
        <f t="array" ref="AT3">IFERROR(QUARTILE(_xlfn._xlws.FILTER($AQ$3:$AQ$61, ($H$3:$H$61=$H3) * ($AQ$3:$AQ$61&gt;0)), 3), 0)</f>
        <v>16.085135960920159</v>
      </c>
      <c r="AU3">
        <f t="shared" ref="AU3:AU58" si="17">AT3-AS3</f>
        <v>4.7560108538343737</v>
      </c>
      <c r="AV3">
        <f t="shared" ref="AV3:AV58" si="18">AS3-AU3</f>
        <v>6.5731142532514113</v>
      </c>
      <c r="AW3">
        <f t="shared" ref="AW3:AW58" si="19">AT3+AU3</f>
        <v>20.841146814754531</v>
      </c>
      <c r="AX3" t="b">
        <f>IF(OR(AQ3&gt;AW3,AQ3&lt;AV3,AQ3=0),TRUE,FALSE)</f>
        <v>1</v>
      </c>
      <c r="AY3" t="b">
        <f>AX3</f>
        <v>1</v>
      </c>
      <c r="BA3" t="str" cm="1">
        <f t="array" ref="BA3:BA15">_xlfn.UNIQUE(H3:H58)</f>
        <v>Office</v>
      </c>
      <c r="BB3">
        <f t="shared" ref="BB3:BB14" si="20">COUNTIFS($H$3:$H$58,BA3,$O$3:$O$58,FALSE)</f>
        <v>8</v>
      </c>
    </row>
    <row r="4" spans="2:54" x14ac:dyDescent="0.3">
      <c r="B4" t="s">
        <v>124</v>
      </c>
      <c r="C4">
        <f>SUMIF('SkYSPark Data_w Will''s Data'!$C$3:$C$734,Outliers!$B4,'SkYSPark Data_w Will''s Data'!$G$3:$G$734)</f>
        <v>55284.12800000015</v>
      </c>
      <c r="D4">
        <f>SUMIF('SkYSPark Data_w Will''s Data'!$C$3:$C$734,Outliers!$B4,'SkYSPark Data_w Will''s Data'!$I$3:$I$734)</f>
        <v>3755.9241379310447</v>
      </c>
      <c r="E4">
        <f>SUMIF('SkYSPark Data_w Will''s Data'!$C$3:$C$734,Outliers!$B4,'SkYSPark Data_w Will''s Data'!$J$3:$J$734)</f>
        <v>0</v>
      </c>
      <c r="F4">
        <f>SUMIF('SkYSPark Data_w Will''s Data'!$C$3:$C$734,Outliers!$B4,'SkYSPark Data_w Will''s Data'!$K$3:$K$734)</f>
        <v>0</v>
      </c>
      <c r="G4">
        <f>INDEX('SkYSPark Data_w Will''s Data'!$E$3:$E$734,MATCH(Outliers!B4,'SkYSPark Data_w Will''s Data'!$C$3:$C$734,0))</f>
        <v>7934</v>
      </c>
      <c r="H4" t="str">
        <f>INDEX('SkYSPark Data_w Will''s Data'!$F$3:$F$734,MATCH(Outliers!B4,'SkYSPark Data_w Will''s Data'!$C$3:$C$734,0))</f>
        <v>Storage</v>
      </c>
      <c r="I4">
        <f t="shared" si="0"/>
        <v>71.114426333388579</v>
      </c>
      <c r="J4" cm="1">
        <f t="array" ref="J4">QUARTILE(_xlfn._xlws.FILTER($I$3:$I$61,$H$3:$H$61=H4),1)</f>
        <v>3.4305431551831256</v>
      </c>
      <c r="K4" cm="1">
        <f t="array" ref="K4">QUARTILE(_xlfn._xlws.FILTER($I$3:$I$61,$H$3:$H$61=H4),3)</f>
        <v>58.84076585750978</v>
      </c>
      <c r="L4">
        <f t="shared" si="1"/>
        <v>55.410222702326656</v>
      </c>
      <c r="M4">
        <f t="shared" si="2"/>
        <v>-51.979679547143533</v>
      </c>
      <c r="N4">
        <f t="shared" si="3"/>
        <v>114.25098855983643</v>
      </c>
      <c r="O4" t="b">
        <f t="shared" si="4"/>
        <v>0</v>
      </c>
      <c r="P4">
        <f t="shared" si="5"/>
        <v>23.774822880766386</v>
      </c>
      <c r="Q4" t="str">
        <f>VLOOKUP($B4,'Data availability'!$A$2:$F$91,3,FALSE)</f>
        <v>Y</v>
      </c>
      <c r="R4" cm="1">
        <f t="array" ref="R4">IFERROR(QUARTILE(_xlfn._xlws.FILTER($P$3:$P$61, ($H$3:$H$61=$H4) * ($P$3:$P$61&gt;0)), 1), 0)</f>
        <v>14.174440210505276</v>
      </c>
      <c r="S4" cm="1">
        <f t="array" ref="S4">IFERROR(QUARTILE(_xlfn._xlws.FILTER($P$3:$P$61, ($H$3:$H$61=$H4) * ($P$3:$P$61&gt;0)), 3), 0)</f>
        <v>39.262184289824951</v>
      </c>
      <c r="T4">
        <f t="shared" si="6"/>
        <v>25.087744079319677</v>
      </c>
      <c r="U4">
        <f t="shared" si="7"/>
        <v>-10.913303868814401</v>
      </c>
      <c r="V4">
        <f t="shared" si="8"/>
        <v>64.349928369144635</v>
      </c>
      <c r="W4" t="b">
        <f t="shared" ref="W4:W58" si="21">IF(OR(P4&gt;V4,P4&lt;U4,P4=0),TRUE,FALSE)</f>
        <v>0</v>
      </c>
      <c r="X4" t="b">
        <f t="shared" ref="X4:X50" si="22">W4</f>
        <v>0</v>
      </c>
      <c r="Y4">
        <f t="shared" si="9"/>
        <v>47.339603452622192</v>
      </c>
      <c r="Z4" t="str">
        <f>VLOOKUP($B4,'Data availability'!$A$2:$F$91,4,FALSE)</f>
        <v>Y</v>
      </c>
      <c r="AA4" cm="1">
        <f t="array" ref="AA4">IFERROR(QUARTILE(_xlfn._xlws.FILTER($Y$3:$Y$61, ($H$3:$H$61=$H4) * ($Y$3:$Y$61&gt;0)), 1), 0)</f>
        <v>47.339603452622192</v>
      </c>
      <c r="AB4" cm="1">
        <f t="array" ref="AB4">IFERROR(QUARTILE(_xlfn._xlws.FILTER($Y$3:$Y$61, ($H$3:$H$61=$H4) * ($Y$3:$Y$61&gt;0)), 3), 0)</f>
        <v>47.339603452622192</v>
      </c>
      <c r="AC4">
        <f t="shared" si="10"/>
        <v>0</v>
      </c>
      <c r="AD4">
        <f t="shared" si="11"/>
        <v>47.339603452622192</v>
      </c>
      <c r="AE4">
        <f t="shared" si="12"/>
        <v>47.339603452622192</v>
      </c>
      <c r="AF4" t="b">
        <f t="shared" ref="AF4:AF58" si="23">IF(OR(Y4&gt;AE4, Y4&lt;AD4, Y4=0), TRUE, FALSE)</f>
        <v>0</v>
      </c>
      <c r="AG4" t="b">
        <f t="shared" ref="AG4:AG61" si="24">AF4</f>
        <v>0</v>
      </c>
      <c r="AH4">
        <f t="shared" si="13"/>
        <v>0</v>
      </c>
      <c r="AI4" t="str">
        <f>VLOOKUP($B4,'Data availability'!$A$2:$F$91,5,FALSE)</f>
        <v>-</v>
      </c>
      <c r="AJ4" cm="1">
        <f t="array" ref="AJ4">IFERROR(QUARTILE(_xlfn._xlws.FILTER($AH$3:$AH$61, ($H$3:$H$61=$H4) * ($AH$3:$AH$61&gt;0)), 1), 0)</f>
        <v>0</v>
      </c>
      <c r="AK4" cm="1">
        <f t="array" ref="AK4">IFERROR(QUARTILE(_xlfn._xlws.FILTER($AH$3:$AH$61, ($H$3:$H$61=$H4) * ($AH$3:$AH$61&gt;0)), 3), 0)</f>
        <v>0</v>
      </c>
      <c r="AL4">
        <f t="shared" si="14"/>
        <v>0</v>
      </c>
      <c r="AM4">
        <f t="shared" si="15"/>
        <v>0</v>
      </c>
      <c r="AN4">
        <f t="shared" si="16"/>
        <v>0</v>
      </c>
      <c r="AO4" t="b">
        <f t="shared" ref="AO4:AO58" si="25">IF(OR(AH4&gt;AN4,AH4&lt;AM4,AH4=0),TRUE,FALSE)</f>
        <v>1</v>
      </c>
      <c r="AP4" t="b">
        <f t="shared" ref="AP4:AP61" si="26">AO4</f>
        <v>1</v>
      </c>
      <c r="AQ4">
        <f t="shared" ref="AQ4:AQ61" si="27">IFERROR((F4*12)/$G4,0)</f>
        <v>0</v>
      </c>
      <c r="AR4" t="str">
        <f>VLOOKUP($B4,'Data availability'!$A$2:$F$91,6,FALSE)</f>
        <v>-</v>
      </c>
      <c r="AS4" cm="1">
        <f t="array" ref="AS4">IFERROR(QUARTILE(_xlfn._xlws.FILTER($AQ$3:$AQ$61, ($H$3:$H$61=$H4) * ($AQ$3:$AQ$61&gt;0)), 1), 0)</f>
        <v>0</v>
      </c>
      <c r="AT4" cm="1">
        <f t="array" ref="AT4">IFERROR(QUARTILE(_xlfn._xlws.FILTER($AQ$3:$AQ$61, ($H$3:$H$61=$H4) * ($AQ$3:$AQ$61&gt;0)), 3), 0)</f>
        <v>0</v>
      </c>
      <c r="AU4">
        <f t="shared" si="17"/>
        <v>0</v>
      </c>
      <c r="AV4">
        <f t="shared" si="18"/>
        <v>0</v>
      </c>
      <c r="AW4">
        <f t="shared" si="19"/>
        <v>0</v>
      </c>
      <c r="AX4" t="b">
        <f t="shared" ref="AX4:AX61" si="28">IF(OR(AQ4&gt;AW4,AQ4&lt;AV4,AQ4=0),TRUE,FALSE)</f>
        <v>1</v>
      </c>
      <c r="AY4" t="b">
        <f t="shared" ref="AY4:AY61" si="29">AX4</f>
        <v>1</v>
      </c>
      <c r="BA4" t="str">
        <v>Storage</v>
      </c>
      <c r="BB4">
        <f t="shared" si="20"/>
        <v>4</v>
      </c>
    </row>
    <row r="5" spans="2:54" x14ac:dyDescent="0.3">
      <c r="B5" t="s">
        <v>126</v>
      </c>
      <c r="C5">
        <f>SUMIF('SkYSPark Data_w Will''s Data'!$C$3:$C$734,Outliers!$B5,'SkYSPark Data_w Will''s Data'!$G$3:$G$734)</f>
        <v>949464.12068966124</v>
      </c>
      <c r="D5">
        <f>SUMIF('SkYSPark Data_w Will''s Data'!$C$3:$C$734,Outliers!$B5,'SkYSPark Data_w Will''s Data'!$I$3:$I$734)</f>
        <v>5.2254512310028076</v>
      </c>
      <c r="E5">
        <f>SUMIF('SkYSPark Data_w Will''s Data'!$C$3:$C$734,Outliers!$B5,'SkYSPark Data_w Will''s Data'!$J$3:$J$734)</f>
        <v>40371.625808189543</v>
      </c>
      <c r="F5">
        <f>SUMIF('SkYSPark Data_w Will''s Data'!$C$3:$C$734,Outliers!$B5,'SkYSPark Data_w Will''s Data'!$K$3:$K$734)</f>
        <v>147665.8951663523</v>
      </c>
      <c r="G5">
        <f>INDEX('SkYSPark Data_w Will''s Data'!$E$3:$E$734,MATCH(Outliers!B5,'SkYSPark Data_w Will''s Data'!$C$3:$C$734,0))</f>
        <v>85419</v>
      </c>
      <c r="H5" t="str">
        <f>INDEX('SkYSPark Data_w Will''s Data'!$F$3:$F$734,MATCH(Outliers!B5,'SkYSPark Data_w Will''s Data'!$C$3:$C$734,0))</f>
        <v xml:space="preserve">Lab </v>
      </c>
      <c r="I5">
        <f t="shared" si="0"/>
        <v>105.93951518668453</v>
      </c>
      <c r="J5" cm="1">
        <f t="array" ref="J5">QUARTILE(_xlfn._xlws.FILTER($I$3:$I$61,$H$3:$H$61=H5),1)</f>
        <v>105.93951518668453</v>
      </c>
      <c r="K5" cm="1">
        <f t="array" ref="K5">QUARTILE(_xlfn._xlws.FILTER($I$3:$I$61,$H$3:$H$61=H5),3)</f>
        <v>123.42568667836801</v>
      </c>
      <c r="L5">
        <f t="shared" si="1"/>
        <v>17.486171491683479</v>
      </c>
      <c r="M5">
        <f t="shared" si="2"/>
        <v>88.453343695001053</v>
      </c>
      <c r="N5">
        <f t="shared" si="3"/>
        <v>140.91185817005149</v>
      </c>
      <c r="O5" t="b">
        <f t="shared" si="4"/>
        <v>0</v>
      </c>
      <c r="P5">
        <f t="shared" si="5"/>
        <v>37.925655647960333</v>
      </c>
      <c r="Q5" t="str">
        <f>VLOOKUP($B5,'Data availability'!$A$2:$F$91,3,FALSE)</f>
        <v>Y</v>
      </c>
      <c r="R5" cm="1">
        <f t="array" ref="R5">IFERROR(QUARTILE(_xlfn._xlws.FILTER($P$3:$P$61, ($H$3:$H$61=$H5) * ($P$3:$P$61&gt;0)), 1), 0)</f>
        <v>29.865089067225885</v>
      </c>
      <c r="S5" cm="1">
        <f t="array" ref="S5">IFERROR(QUARTILE(_xlfn._xlws.FILTER($P$3:$P$61, ($H$3:$H$61=$H5) * ($P$3:$P$61&gt;0)), 3), 0)</f>
        <v>45.125135626267713</v>
      </c>
      <c r="T5">
        <f t="shared" si="6"/>
        <v>15.260046559041829</v>
      </c>
      <c r="U5">
        <f t="shared" si="7"/>
        <v>14.605042508184056</v>
      </c>
      <c r="V5">
        <f t="shared" si="8"/>
        <v>60.385182185309546</v>
      </c>
      <c r="W5" t="b">
        <f t="shared" si="21"/>
        <v>0</v>
      </c>
      <c r="X5" t="b">
        <f t="shared" si="22"/>
        <v>0</v>
      </c>
      <c r="Y5">
        <f t="shared" si="9"/>
        <v>6.1174343307727882E-3</v>
      </c>
      <c r="Z5" t="str">
        <f>VLOOKUP($B5,'Data availability'!$A$2:$F$91,4,FALSE)</f>
        <v>Y</v>
      </c>
      <c r="AA5" cm="1">
        <f t="array" ref="AA5">IFERROR(QUARTILE(_xlfn._xlws.FILTER($Y$3:$Y$61, ($H$3:$H$61=$H5) * ($Y$3:$Y$61&gt;0)), 1), 0)</f>
        <v>5.8225963160264418E-2</v>
      </c>
      <c r="AB5" cm="1">
        <f t="array" ref="AB5">IFERROR(QUARTILE(_xlfn._xlws.FILTER($Y$3:$Y$61, ($H$3:$H$61=$H5) * ($Y$3:$Y$61&gt;0)), 3), 0)</f>
        <v>25.363099338846663</v>
      </c>
      <c r="AC5">
        <f t="shared" si="10"/>
        <v>25.304873375686398</v>
      </c>
      <c r="AD5">
        <f t="shared" si="11"/>
        <v>-25.246647412526134</v>
      </c>
      <c r="AE5">
        <f t="shared" si="12"/>
        <v>50.667972714533065</v>
      </c>
      <c r="AF5" t="b">
        <f t="shared" si="23"/>
        <v>0</v>
      </c>
      <c r="AG5" t="b">
        <f t="shared" si="24"/>
        <v>0</v>
      </c>
      <c r="AH5">
        <f t="shared" si="13"/>
        <v>47.263051321356542</v>
      </c>
      <c r="AI5" t="str">
        <f>VLOOKUP($B5,'Data availability'!$A$2:$F$91,5,FALSE)</f>
        <v>Y</v>
      </c>
      <c r="AJ5" cm="1">
        <f t="array" ref="AJ5">IFERROR(QUARTILE(_xlfn._xlws.FILTER($AH$3:$AH$61, ($H$3:$H$61=$H5) * ($AH$3:$AH$61&gt;0)), 1), 0)</f>
        <v>36.12030354378453</v>
      </c>
      <c r="AK5" cm="1">
        <f t="array" ref="AK5">IFERROR(QUARTILE(_xlfn._xlws.FILTER($AH$3:$AH$61, ($H$3:$H$61=$H5) * ($AH$3:$AH$61&gt;0)), 3), 0)</f>
        <v>56.253209992579698</v>
      </c>
      <c r="AL5">
        <f t="shared" si="14"/>
        <v>20.132906448795168</v>
      </c>
      <c r="AM5">
        <f t="shared" si="15"/>
        <v>15.987397094989362</v>
      </c>
      <c r="AN5">
        <f t="shared" si="16"/>
        <v>76.386116441374867</v>
      </c>
      <c r="AO5" t="b">
        <f t="shared" si="25"/>
        <v>0</v>
      </c>
      <c r="AP5" t="b">
        <f t="shared" si="26"/>
        <v>0</v>
      </c>
      <c r="AQ5">
        <f t="shared" si="27"/>
        <v>20.744690783036887</v>
      </c>
      <c r="AR5" t="str">
        <f>VLOOKUP($B5,'Data availability'!$A$2:$F$91,6,FALSE)</f>
        <v>Y</v>
      </c>
      <c r="AS5" cm="1">
        <f t="array" ref="AS5">IFERROR(QUARTILE(_xlfn._xlws.FILTER($AQ$3:$AQ$61, ($H$3:$H$61=$H5) * ($AQ$3:$AQ$61&gt;0)), 1), 0)</f>
        <v>22.237691880516579</v>
      </c>
      <c r="AT5" cm="1">
        <f t="array" ref="AT5">IFERROR(QUARTILE(_xlfn._xlws.FILTER($AQ$3:$AQ$61, ($H$3:$H$61=$H5) * ($AQ$3:$AQ$61&gt;0)), 3), 0)</f>
        <v>42.662065282549577</v>
      </c>
      <c r="AU5">
        <f t="shared" si="17"/>
        <v>20.424373402032998</v>
      </c>
      <c r="AV5">
        <f t="shared" si="18"/>
        <v>1.8133184784835805</v>
      </c>
      <c r="AW5">
        <f t="shared" si="19"/>
        <v>63.086438684582575</v>
      </c>
      <c r="AX5" t="b">
        <f t="shared" si="28"/>
        <v>0</v>
      </c>
      <c r="AY5" t="b">
        <f t="shared" si="29"/>
        <v>0</v>
      </c>
      <c r="BA5" t="str">
        <v xml:space="preserve">Lab </v>
      </c>
      <c r="BB5">
        <f t="shared" si="20"/>
        <v>3</v>
      </c>
    </row>
    <row r="6" spans="2:54" x14ac:dyDescent="0.3">
      <c r="B6" t="s">
        <v>128</v>
      </c>
      <c r="C6">
        <f>SUMIF('SkYSPark Data_w Will''s Data'!$C$3:$C$734,Outliers!$B6,'SkYSPark Data_w Will''s Data'!$G$3:$G$734)</f>
        <v>38719.272727272677</v>
      </c>
      <c r="D6">
        <f>SUMIF('SkYSPark Data_w Will''s Data'!$C$3:$C$734,Outliers!$B6,'SkYSPark Data_w Will''s Data'!$I$3:$I$734)</f>
        <v>0</v>
      </c>
      <c r="E6">
        <f>SUMIF('SkYSPark Data_w Will''s Data'!$C$3:$C$734,Outliers!$B6,'SkYSPark Data_w Will''s Data'!$J$3:$J$734)</f>
        <v>0</v>
      </c>
      <c r="F6">
        <f>SUMIF('SkYSPark Data_w Will''s Data'!$C$3:$C$734,Outliers!$B6,'SkYSPark Data_w Will''s Data'!$K$3:$K$734)</f>
        <v>0</v>
      </c>
      <c r="G6">
        <f>INDEX('SkYSPark Data_w Will''s Data'!$E$3:$E$734,MATCH(Outliers!B6,'SkYSPark Data_w Will''s Data'!$C$3:$C$734,0))</f>
        <v>8591</v>
      </c>
      <c r="H6" t="str">
        <f>INDEX('SkYSPark Data_w Will''s Data'!$F$3:$F$734,MATCH(Outliers!B6,'SkYSPark Data_w Will''s Data'!$C$3:$C$734,0))</f>
        <v>Office</v>
      </c>
      <c r="I6">
        <f t="shared" si="0"/>
        <v>15.377739325509763</v>
      </c>
      <c r="J6" cm="1">
        <f t="array" ref="J6">QUARTILE(_xlfn._xlws.FILTER($I$3:$I$61,$H$3:$H$61=H6),1)</f>
        <v>8.8203385892012705</v>
      </c>
      <c r="K6" cm="1">
        <f t="array" ref="K6">QUARTILE(_xlfn._xlws.FILTER($I$3:$I$61,$H$3:$H$61=H6),3)</f>
        <v>69.275490194408547</v>
      </c>
      <c r="L6">
        <f t="shared" si="1"/>
        <v>60.455151605207277</v>
      </c>
      <c r="M6">
        <f t="shared" si="2"/>
        <v>-51.634813016006007</v>
      </c>
      <c r="N6">
        <f t="shared" si="3"/>
        <v>129.73064179961582</v>
      </c>
      <c r="O6" t="b">
        <f t="shared" si="4"/>
        <v>0</v>
      </c>
      <c r="P6">
        <f t="shared" si="5"/>
        <v>15.377739325509763</v>
      </c>
      <c r="Q6" t="str">
        <f>VLOOKUP($B6,'Data availability'!$A$2:$F$91,3,FALSE)</f>
        <v>Y</v>
      </c>
      <c r="R6" cm="1">
        <f t="array" ref="R6">IFERROR(QUARTILE(_xlfn._xlws.FILTER($P$3:$P$61, ($H$3:$H$61=$H6) * ($P$3:$P$61&gt;0)), 1), 0)</f>
        <v>15.284554956771059</v>
      </c>
      <c r="S6" cm="1">
        <f t="array" ref="S6">IFERROR(QUARTILE(_xlfn._xlws.FILTER($P$3:$P$61, ($H$3:$H$61=$H6) * ($P$3:$P$61&gt;0)), 3), 0)</f>
        <v>46.24076613564857</v>
      </c>
      <c r="T6">
        <f t="shared" si="6"/>
        <v>30.95621117887751</v>
      </c>
      <c r="U6">
        <f t="shared" si="7"/>
        <v>-15.671656222106451</v>
      </c>
      <c r="V6">
        <f t="shared" si="8"/>
        <v>77.19697731452608</v>
      </c>
      <c r="W6" t="b">
        <f t="shared" si="21"/>
        <v>0</v>
      </c>
      <c r="X6" t="b">
        <f t="shared" si="22"/>
        <v>0</v>
      </c>
      <c r="Y6">
        <f t="shared" si="9"/>
        <v>0</v>
      </c>
      <c r="Z6" t="str">
        <f>VLOOKUP($B6,'Data availability'!$A$2:$F$91,4,FALSE)</f>
        <v>-</v>
      </c>
      <c r="AA6" cm="1">
        <f t="array" ref="AA6">IFERROR(QUARTILE(_xlfn._xlws.FILTER($Y$3:$Y$61, ($H$3:$H$61=$H6) * ($Y$3:$Y$61&gt;0)), 1), 0)</f>
        <v>6.5665650736195023</v>
      </c>
      <c r="AB6" cm="1">
        <f t="array" ref="AB6">IFERROR(QUARTILE(_xlfn._xlws.FILTER($Y$3:$Y$61, ($H$3:$H$61=$H6) * ($Y$3:$Y$61&gt;0)), 3), 0)</f>
        <v>25.940532343422344</v>
      </c>
      <c r="AC6">
        <f t="shared" si="10"/>
        <v>19.37396726980284</v>
      </c>
      <c r="AD6">
        <f t="shared" si="11"/>
        <v>-12.807402196183338</v>
      </c>
      <c r="AE6">
        <f t="shared" si="12"/>
        <v>45.31449961322518</v>
      </c>
      <c r="AF6" t="b">
        <f t="shared" si="23"/>
        <v>1</v>
      </c>
      <c r="AG6" t="b">
        <f t="shared" si="24"/>
        <v>1</v>
      </c>
      <c r="AH6">
        <f t="shared" si="13"/>
        <v>0</v>
      </c>
      <c r="AI6" t="str">
        <f>VLOOKUP($B6,'Data availability'!$A$2:$F$91,5,FALSE)</f>
        <v>-</v>
      </c>
      <c r="AJ6" cm="1">
        <f t="array" ref="AJ6">IFERROR(QUARTILE(_xlfn._xlws.FILTER($AH$3:$AH$61, ($H$3:$H$61=$H6) * ($AH$3:$AH$61&gt;0)), 1), 0)</f>
        <v>16.477362470385007</v>
      </c>
      <c r="AK6" cm="1">
        <f t="array" ref="AK6">IFERROR(QUARTILE(_xlfn._xlws.FILTER($AH$3:$AH$61, ($H$3:$H$61=$H6) * ($AH$3:$AH$61&gt;0)), 3), 0)</f>
        <v>23.950261445766277</v>
      </c>
      <c r="AL6">
        <f t="shared" si="14"/>
        <v>7.4728989753812698</v>
      </c>
      <c r="AM6">
        <f t="shared" si="15"/>
        <v>9.004463495003737</v>
      </c>
      <c r="AN6">
        <f t="shared" si="16"/>
        <v>31.423160421147546</v>
      </c>
      <c r="AO6" t="b">
        <f t="shared" si="25"/>
        <v>1</v>
      </c>
      <c r="AP6" t="b">
        <f t="shared" si="26"/>
        <v>1</v>
      </c>
      <c r="AQ6">
        <f t="shared" si="27"/>
        <v>0</v>
      </c>
      <c r="AR6" t="str">
        <f>VLOOKUP($B6,'Data availability'!$A$2:$F$91,6,FALSE)</f>
        <v>-</v>
      </c>
      <c r="AS6" cm="1">
        <f t="array" ref="AS6">IFERROR(QUARTILE(_xlfn._xlws.FILTER($AQ$3:$AQ$61, ($H$3:$H$61=$H6) * ($AQ$3:$AQ$61&gt;0)), 1), 0)</f>
        <v>11.329125107085785</v>
      </c>
      <c r="AT6" cm="1">
        <f t="array" ref="AT6">IFERROR(QUARTILE(_xlfn._xlws.FILTER($AQ$3:$AQ$61, ($H$3:$H$61=$H6) * ($AQ$3:$AQ$61&gt;0)), 3), 0)</f>
        <v>16.085135960920159</v>
      </c>
      <c r="AU6">
        <f t="shared" si="17"/>
        <v>4.7560108538343737</v>
      </c>
      <c r="AV6">
        <f t="shared" si="18"/>
        <v>6.5731142532514113</v>
      </c>
      <c r="AW6">
        <f t="shared" si="19"/>
        <v>20.841146814754531</v>
      </c>
      <c r="AX6" t="b">
        <f t="shared" si="28"/>
        <v>1</v>
      </c>
      <c r="AY6" t="b">
        <f t="shared" si="29"/>
        <v>1</v>
      </c>
      <c r="BA6" t="str">
        <v>Academic</v>
      </c>
      <c r="BB6">
        <f t="shared" si="20"/>
        <v>14</v>
      </c>
    </row>
    <row r="7" spans="2:54" x14ac:dyDescent="0.3">
      <c r="B7" t="s">
        <v>129</v>
      </c>
      <c r="C7">
        <f>SUMIF('SkYSPark Data_w Will''s Data'!$C$3:$C$734,Outliers!$B7,'SkYSPark Data_w Will''s Data'!$G$3:$G$734)</f>
        <v>29048.126193333403</v>
      </c>
      <c r="D7">
        <f>SUMIF('SkYSPark Data_w Will''s Data'!$C$3:$C$734,Outliers!$B7,'SkYSPark Data_w Will''s Data'!$I$3:$I$734)</f>
        <v>0</v>
      </c>
      <c r="E7">
        <f>SUMIF('SkYSPark Data_w Will''s Data'!$C$3:$C$734,Outliers!$B7,'SkYSPark Data_w Will''s Data'!$J$3:$J$734)</f>
        <v>0</v>
      </c>
      <c r="F7">
        <f>SUMIF('SkYSPark Data_w Will''s Data'!$C$3:$C$734,Outliers!$B7,'SkYSPark Data_w Will''s Data'!$K$3:$K$734)</f>
        <v>0</v>
      </c>
      <c r="G7">
        <f>INDEX('SkYSPark Data_w Will''s Data'!$E$3:$E$734,MATCH(Outliers!B7,'SkYSPark Data_w Will''s Data'!$C$3:$C$734,0))</f>
        <v>1396</v>
      </c>
      <c r="H7" t="str">
        <f>INDEX('SkYSPark Data_w Will''s Data'!$F$3:$F$734,MATCH(Outliers!B7,'SkYSPark Data_w Will''s Data'!$C$3:$C$734,0))</f>
        <v>Office</v>
      </c>
      <c r="I7">
        <f t="shared" si="0"/>
        <v>70.997282644450976</v>
      </c>
      <c r="J7" cm="1">
        <f t="array" ref="J7">QUARTILE(_xlfn._xlws.FILTER($I$3:$I$61,$H$3:$H$61=H7),1)</f>
        <v>8.8203385892012705</v>
      </c>
      <c r="K7" cm="1">
        <f t="array" ref="K7">QUARTILE(_xlfn._xlws.FILTER($I$3:$I$61,$H$3:$H$61=H7),3)</f>
        <v>69.275490194408547</v>
      </c>
      <c r="L7">
        <f t="shared" si="1"/>
        <v>60.455151605207277</v>
      </c>
      <c r="M7">
        <f t="shared" si="2"/>
        <v>-51.634813016006007</v>
      </c>
      <c r="N7">
        <f t="shared" si="3"/>
        <v>129.73064179961582</v>
      </c>
      <c r="O7" t="b">
        <f t="shared" si="4"/>
        <v>0</v>
      </c>
      <c r="P7">
        <f t="shared" si="5"/>
        <v>70.997282644450976</v>
      </c>
      <c r="Q7" t="str">
        <f>VLOOKUP($B7,'Data availability'!$A$2:$F$91,3,FALSE)</f>
        <v>Y</v>
      </c>
      <c r="R7" cm="1">
        <f t="array" ref="R7">IFERROR(QUARTILE(_xlfn._xlws.FILTER($P$3:$P$61, ($H$3:$H$61=$H7) * ($P$3:$P$61&gt;0)), 1), 0)</f>
        <v>15.284554956771059</v>
      </c>
      <c r="S7" cm="1">
        <f t="array" ref="S7">IFERROR(QUARTILE(_xlfn._xlws.FILTER($P$3:$P$61, ($H$3:$H$61=$H7) * ($P$3:$P$61&gt;0)), 3), 0)</f>
        <v>46.24076613564857</v>
      </c>
      <c r="T7">
        <f t="shared" si="6"/>
        <v>30.95621117887751</v>
      </c>
      <c r="U7">
        <f t="shared" si="7"/>
        <v>-15.671656222106451</v>
      </c>
      <c r="V7">
        <f t="shared" si="8"/>
        <v>77.19697731452608</v>
      </c>
      <c r="W7" t="b">
        <f t="shared" si="21"/>
        <v>0</v>
      </c>
      <c r="X7" t="b">
        <f t="shared" si="22"/>
        <v>0</v>
      </c>
      <c r="Y7">
        <f t="shared" si="9"/>
        <v>0</v>
      </c>
      <c r="Z7" t="str">
        <f>VLOOKUP($B7,'Data availability'!$A$2:$F$91,4,FALSE)</f>
        <v>-</v>
      </c>
      <c r="AA7" cm="1">
        <f t="array" ref="AA7">IFERROR(QUARTILE(_xlfn._xlws.FILTER($Y$3:$Y$61, ($H$3:$H$61=$H7) * ($Y$3:$Y$61&gt;0)), 1), 0)</f>
        <v>6.5665650736195023</v>
      </c>
      <c r="AB7" cm="1">
        <f t="array" ref="AB7">IFERROR(QUARTILE(_xlfn._xlws.FILTER($Y$3:$Y$61, ($H$3:$H$61=$H7) * ($Y$3:$Y$61&gt;0)), 3), 0)</f>
        <v>25.940532343422344</v>
      </c>
      <c r="AC7">
        <f t="shared" si="10"/>
        <v>19.37396726980284</v>
      </c>
      <c r="AD7">
        <f t="shared" si="11"/>
        <v>-12.807402196183338</v>
      </c>
      <c r="AE7">
        <f t="shared" si="12"/>
        <v>45.31449961322518</v>
      </c>
      <c r="AF7" t="b">
        <f t="shared" si="23"/>
        <v>1</v>
      </c>
      <c r="AG7" t="b">
        <f t="shared" si="24"/>
        <v>1</v>
      </c>
      <c r="AH7">
        <f t="shared" si="13"/>
        <v>0</v>
      </c>
      <c r="AI7" t="str">
        <f>VLOOKUP($B7,'Data availability'!$A$2:$F$91,5,FALSE)</f>
        <v>-</v>
      </c>
      <c r="AJ7" cm="1">
        <f t="array" ref="AJ7">IFERROR(QUARTILE(_xlfn._xlws.FILTER($AH$3:$AH$61, ($H$3:$H$61=$H7) * ($AH$3:$AH$61&gt;0)), 1), 0)</f>
        <v>16.477362470385007</v>
      </c>
      <c r="AK7" cm="1">
        <f t="array" ref="AK7">IFERROR(QUARTILE(_xlfn._xlws.FILTER($AH$3:$AH$61, ($H$3:$H$61=$H7) * ($AH$3:$AH$61&gt;0)), 3), 0)</f>
        <v>23.950261445766277</v>
      </c>
      <c r="AL7">
        <f t="shared" si="14"/>
        <v>7.4728989753812698</v>
      </c>
      <c r="AM7">
        <f t="shared" si="15"/>
        <v>9.004463495003737</v>
      </c>
      <c r="AN7">
        <f t="shared" si="16"/>
        <v>31.423160421147546</v>
      </c>
      <c r="AO7" t="b">
        <f t="shared" si="25"/>
        <v>1</v>
      </c>
      <c r="AP7" t="b">
        <f t="shared" si="26"/>
        <v>1</v>
      </c>
      <c r="AQ7">
        <f t="shared" si="27"/>
        <v>0</v>
      </c>
      <c r="AR7" t="str">
        <f>VLOOKUP($B7,'Data availability'!$A$2:$F$91,6,FALSE)</f>
        <v>-</v>
      </c>
      <c r="AS7" cm="1">
        <f t="array" ref="AS7">IFERROR(QUARTILE(_xlfn._xlws.FILTER($AQ$3:$AQ$61, ($H$3:$H$61=$H7) * ($AQ$3:$AQ$61&gt;0)), 1), 0)</f>
        <v>11.329125107085785</v>
      </c>
      <c r="AT7" cm="1">
        <f t="array" ref="AT7">IFERROR(QUARTILE(_xlfn._xlws.FILTER($AQ$3:$AQ$61, ($H$3:$H$61=$H7) * ($AQ$3:$AQ$61&gt;0)), 3), 0)</f>
        <v>16.085135960920159</v>
      </c>
      <c r="AU7">
        <f t="shared" si="17"/>
        <v>4.7560108538343737</v>
      </c>
      <c r="AV7">
        <f t="shared" si="18"/>
        <v>6.5731142532514113</v>
      </c>
      <c r="AW7">
        <f t="shared" si="19"/>
        <v>20.841146814754531</v>
      </c>
      <c r="AX7" t="b">
        <f t="shared" si="28"/>
        <v>1</v>
      </c>
      <c r="AY7" t="b">
        <f t="shared" si="29"/>
        <v>1</v>
      </c>
      <c r="BA7" t="str">
        <v>Food Service</v>
      </c>
      <c r="BB7">
        <f t="shared" si="20"/>
        <v>2</v>
      </c>
    </row>
    <row r="8" spans="2:54" x14ac:dyDescent="0.3">
      <c r="B8" t="s">
        <v>453</v>
      </c>
      <c r="C8">
        <f>SUMIF('SkYSPark Data_w Will''s Data'!$C$3:$C$734,Outliers!$B8,'SkYSPark Data_w Will''s Data'!$G$3:$G$734)</f>
        <v>1307810.5344827559</v>
      </c>
      <c r="D8">
        <f>SUMIF('SkYSPark Data_w Will''s Data'!$C$3:$C$734,Outliers!$B8,'SkYSPark Data_w Will''s Data'!$I$3:$I$734)</f>
        <v>0</v>
      </c>
      <c r="E8">
        <f>SUMIF('SkYSPark Data_w Will''s Data'!$C$3:$C$734,Outliers!$B8,'SkYSPark Data_w Will''s Data'!$J$3:$J$734)</f>
        <v>71673.173491379464</v>
      </c>
      <c r="F8">
        <f>SUMIF('SkYSPark Data_w Will''s Data'!$C$3:$C$734,Outliers!$B8,'SkYSPark Data_w Will''s Data'!$K$3:$K$734)</f>
        <v>241805.66727505423</v>
      </c>
      <c r="G8">
        <f>INDEX('SkYSPark Data_w Will''s Data'!$E$3:$E$734,MATCH(Outliers!B8,'SkYSPark Data_w Will''s Data'!$C$3:$C$734,0))</f>
        <v>137601</v>
      </c>
      <c r="H8" t="str">
        <f>INDEX('SkYSPark Data_w Will''s Data'!$F$3:$F$734,MATCH(Outliers!B8,'SkYSPark Data_w Will''s Data'!$C$3:$C$734,0))</f>
        <v>Academic</v>
      </c>
      <c r="I8">
        <f t="shared" si="0"/>
        <v>105.60413732526477</v>
      </c>
      <c r="J8" cm="1">
        <f t="array" ref="J8">QUARTILE(_xlfn._xlws.FILTER($I$3:$I$61,$H$3:$H$61=H8),1)</f>
        <v>42.21959902044307</v>
      </c>
      <c r="K8" cm="1">
        <f t="array" ref="K8">QUARTILE(_xlfn._xlws.FILTER($I$3:$I$61,$H$3:$H$61=H8),3)</f>
        <v>103.33423599964128</v>
      </c>
      <c r="L8">
        <f t="shared" si="1"/>
        <v>61.11463697919821</v>
      </c>
      <c r="M8">
        <f t="shared" si="2"/>
        <v>-18.89503795875514</v>
      </c>
      <c r="N8">
        <f t="shared" si="3"/>
        <v>164.44887297883949</v>
      </c>
      <c r="O8" t="b">
        <f t="shared" si="4"/>
        <v>0</v>
      </c>
      <c r="P8">
        <f t="shared" si="5"/>
        <v>32.428903450230472</v>
      </c>
      <c r="Q8" t="e">
        <f>VLOOKUP($B8,'Data availability'!$A$2:$F$91,3,FALSE)</f>
        <v>#N/A</v>
      </c>
      <c r="R8" cm="1">
        <f t="array" ref="R8">IFERROR(QUARTILE(_xlfn._xlws.FILTER($P$3:$P$61, ($H$3:$H$61=$H8) * ($P$3:$P$61&gt;0)), 1), 0)</f>
        <v>14.691000795498219</v>
      </c>
      <c r="S8" cm="1">
        <f t="array" ref="S8">IFERROR(QUARTILE(_xlfn._xlws.FILTER($P$3:$P$61, ($H$3:$H$61=$H8) * ($P$3:$P$61&gt;0)), 3), 0)</f>
        <v>30.985762878217994</v>
      </c>
      <c r="T8">
        <f t="shared" si="6"/>
        <v>16.294762082719775</v>
      </c>
      <c r="U8">
        <f t="shared" si="7"/>
        <v>-1.6037612872215554</v>
      </c>
      <c r="V8">
        <f t="shared" si="8"/>
        <v>47.280524960937768</v>
      </c>
      <c r="W8" t="b">
        <f t="shared" si="21"/>
        <v>0</v>
      </c>
      <c r="X8" t="b">
        <f t="shared" si="22"/>
        <v>0</v>
      </c>
      <c r="Y8">
        <f t="shared" si="9"/>
        <v>0</v>
      </c>
      <c r="Z8" t="e">
        <f>VLOOKUP($B8,'Data availability'!$A$2:$F$91,4,FALSE)</f>
        <v>#N/A</v>
      </c>
      <c r="AA8" cm="1">
        <f t="array" ref="AA8">IFERROR(QUARTILE(_xlfn._xlws.FILTER($Y$3:$Y$61, ($H$3:$H$61=$H8) * ($Y$3:$Y$61&gt;0)), 1), 0)</f>
        <v>2.3207880548899436</v>
      </c>
      <c r="AB8" cm="1">
        <f t="array" ref="AB8">IFERROR(QUARTILE(_xlfn._xlws.FILTER($Y$3:$Y$61, ($H$3:$H$61=$H8) * ($Y$3:$Y$61&gt;0)), 3), 0)</f>
        <v>5.5117751255024281</v>
      </c>
      <c r="AC8">
        <f t="shared" si="10"/>
        <v>3.1909870706124845</v>
      </c>
      <c r="AD8">
        <f t="shared" si="11"/>
        <v>-0.87019901572254099</v>
      </c>
      <c r="AE8">
        <f t="shared" si="12"/>
        <v>8.7027621961149126</v>
      </c>
      <c r="AF8" t="b">
        <f t="shared" si="23"/>
        <v>1</v>
      </c>
      <c r="AG8" t="b">
        <f t="shared" si="24"/>
        <v>1</v>
      </c>
      <c r="AH8">
        <f t="shared" si="13"/>
        <v>52.087683586150874</v>
      </c>
      <c r="AI8" t="e">
        <f>VLOOKUP($B8,'Data availability'!$A$2:$F$91,5,FALSE)</f>
        <v>#N/A</v>
      </c>
      <c r="AJ8" cm="1">
        <f t="array" ref="AJ8">IFERROR(QUARTILE(_xlfn._xlws.FILTER($AH$3:$AH$61, ($H$3:$H$61=$H8) * ($AH$3:$AH$61&gt;0)), 1), 0)</f>
        <v>20.962789979692385</v>
      </c>
      <c r="AK8" cm="1">
        <f t="array" ref="AK8">IFERROR(QUARTILE(_xlfn._xlws.FILTER($AH$3:$AH$61, ($H$3:$H$61=$H8) * ($AH$3:$AH$61&gt;0)), 3), 0)</f>
        <v>37.598619727031377</v>
      </c>
      <c r="AL8">
        <f t="shared" si="14"/>
        <v>16.635829747338992</v>
      </c>
      <c r="AM8">
        <f t="shared" si="15"/>
        <v>4.3269602323533931</v>
      </c>
      <c r="AN8">
        <f t="shared" si="16"/>
        <v>54.234449474370365</v>
      </c>
      <c r="AO8" t="b">
        <f t="shared" si="25"/>
        <v>0</v>
      </c>
      <c r="AP8" t="b">
        <f t="shared" si="26"/>
        <v>0</v>
      </c>
      <c r="AQ8">
        <f t="shared" si="27"/>
        <v>21.087550288883442</v>
      </c>
      <c r="AR8" t="e">
        <f>VLOOKUP($B8,'Data availability'!$A$2:$F$91,6,FALSE)</f>
        <v>#N/A</v>
      </c>
      <c r="AS8" cm="1">
        <f t="array" ref="AS8">IFERROR(QUARTILE(_xlfn._xlws.FILTER($AQ$3:$AQ$61, ($H$3:$H$61=$H8) * ($AQ$3:$AQ$61&gt;0)), 1), 0)</f>
        <v>7.9248587636469203</v>
      </c>
      <c r="AT8" cm="1">
        <f t="array" ref="AT8">IFERROR(QUARTILE(_xlfn._xlws.FILTER($AQ$3:$AQ$61, ($H$3:$H$61=$H8) * ($AQ$3:$AQ$61&gt;0)), 3), 0)</f>
        <v>35.341609909631828</v>
      </c>
      <c r="AU8">
        <f t="shared" si="17"/>
        <v>27.416751145984907</v>
      </c>
      <c r="AV8">
        <f t="shared" si="18"/>
        <v>-19.491892382337987</v>
      </c>
      <c r="AW8">
        <f t="shared" si="19"/>
        <v>62.758361055616732</v>
      </c>
      <c r="AX8" t="b">
        <f t="shared" si="28"/>
        <v>0</v>
      </c>
      <c r="AY8" t="b">
        <f t="shared" si="29"/>
        <v>0</v>
      </c>
      <c r="BA8" t="str">
        <v>Residential</v>
      </c>
      <c r="BB8">
        <f t="shared" si="20"/>
        <v>4</v>
      </c>
    </row>
    <row r="9" spans="2:54" x14ac:dyDescent="0.3">
      <c r="B9" t="s">
        <v>367</v>
      </c>
      <c r="C9">
        <f>SUMIF('SkYSPark Data_w Will''s Data'!$C$3:$C$734,Outliers!$B9,'SkYSPark Data_w Will''s Data'!$G$3:$G$734)</f>
        <v>6080.9999999999955</v>
      </c>
      <c r="D9">
        <f>SUMIF('SkYSPark Data_w Will''s Data'!$C$3:$C$734,Outliers!$B9,'SkYSPark Data_w Will''s Data'!$I$3:$I$734)</f>
        <v>0</v>
      </c>
      <c r="E9">
        <f>SUMIF('SkYSPark Data_w Will''s Data'!$C$3:$C$734,Outliers!$B9,'SkYSPark Data_w Will''s Data'!$J$3:$J$734)</f>
        <v>0</v>
      </c>
      <c r="F9">
        <f>SUMIF('SkYSPark Data_w Will''s Data'!$C$3:$C$734,Outliers!$B9,'SkYSPark Data_w Will''s Data'!$K$3:$K$734)</f>
        <v>0</v>
      </c>
      <c r="G9">
        <f>INDEX('SkYSPark Data_w Will''s Data'!$E$3:$E$734,MATCH(Outliers!B9,'SkYSPark Data_w Will''s Data'!$C$3:$C$734,0))</f>
        <v>0</v>
      </c>
      <c r="H9" t="str">
        <f>INDEX('SkYSPark Data_w Will''s Data'!$F$3:$F$734,MATCH(Outliers!B9,'SkYSPark Data_w Will''s Data'!$C$3:$C$734,0))</f>
        <v>Food Service</v>
      </c>
      <c r="I9">
        <f t="shared" si="0"/>
        <v>0</v>
      </c>
      <c r="J9" cm="1">
        <f t="array" ref="J9">QUARTILE(_xlfn._xlws.FILTER($I$3:$I$61,$H$3:$H$61=H9),1)</f>
        <v>71.30666502877034</v>
      </c>
      <c r="K9" cm="1">
        <f t="array" ref="K9">QUARTILE(_xlfn._xlws.FILTER($I$3:$I$61,$H$3:$H$61=H9),3)</f>
        <v>213.91999508631102</v>
      </c>
      <c r="L9">
        <f t="shared" si="1"/>
        <v>142.61333005754068</v>
      </c>
      <c r="M9">
        <f t="shared" si="2"/>
        <v>-71.30666502877034</v>
      </c>
      <c r="N9">
        <f t="shared" si="3"/>
        <v>356.5333251438517</v>
      </c>
      <c r="O9" t="b">
        <f t="shared" si="4"/>
        <v>0</v>
      </c>
      <c r="P9">
        <f t="shared" si="5"/>
        <v>0</v>
      </c>
      <c r="Q9" t="e">
        <f>VLOOKUP($B9,'Data availability'!$A$2:$F$91,3,FALSE)</f>
        <v>#N/A</v>
      </c>
      <c r="R9" cm="1">
        <f t="array" ref="R9">IFERROR(QUARTILE(_xlfn._xlws.FILTER($P$3:$P$61, ($H$3:$H$61=$H9) * ($P$3:$P$61&gt;0)), 1), 0)</f>
        <v>129.82672977722038</v>
      </c>
      <c r="S9" cm="1">
        <f t="array" ref="S9">IFERROR(QUARTILE(_xlfn._xlws.FILTER($P$3:$P$61, ($H$3:$H$61=$H9) * ($P$3:$P$61&gt;0)), 3), 0)</f>
        <v>129.82672977722038</v>
      </c>
      <c r="T9">
        <f t="shared" si="6"/>
        <v>0</v>
      </c>
      <c r="U9">
        <f t="shared" si="7"/>
        <v>129.82672977722038</v>
      </c>
      <c r="V9">
        <f t="shared" si="8"/>
        <v>129.82672977722038</v>
      </c>
      <c r="W9" t="b">
        <f t="shared" si="21"/>
        <v>1</v>
      </c>
      <c r="X9" t="b">
        <f t="shared" si="22"/>
        <v>1</v>
      </c>
      <c r="Y9">
        <f t="shared" si="9"/>
        <v>0</v>
      </c>
      <c r="Z9" t="e">
        <f>VLOOKUP($B9,'Data availability'!$A$2:$F$91,4,FALSE)</f>
        <v>#N/A</v>
      </c>
      <c r="AA9" cm="1">
        <f t="array" ref="AA9">IFERROR(QUARTILE(_xlfn._xlws.FILTER($Y$3:$Y$61, ($H$3:$H$61=$H9) * ($Y$3:$Y$61&gt;0)), 1), 0)</f>
        <v>155.39993033786095</v>
      </c>
      <c r="AB9" cm="1">
        <f t="array" ref="AB9">IFERROR(QUARTILE(_xlfn._xlws.FILTER($Y$3:$Y$61, ($H$3:$H$61=$H9) * ($Y$3:$Y$61&gt;0)), 3), 0)</f>
        <v>155.39993033786095</v>
      </c>
      <c r="AC9">
        <f t="shared" si="10"/>
        <v>0</v>
      </c>
      <c r="AD9">
        <f t="shared" si="11"/>
        <v>155.39993033786095</v>
      </c>
      <c r="AE9">
        <f t="shared" si="12"/>
        <v>155.39993033786095</v>
      </c>
      <c r="AF9" t="b">
        <f t="shared" si="23"/>
        <v>1</v>
      </c>
      <c r="AG9" t="b">
        <f t="shared" si="24"/>
        <v>1</v>
      </c>
      <c r="AH9">
        <f t="shared" si="13"/>
        <v>0</v>
      </c>
      <c r="AI9" t="e">
        <f>VLOOKUP($B9,'Data availability'!$A$2:$F$91,5,FALSE)</f>
        <v>#N/A</v>
      </c>
      <c r="AJ9" cm="1">
        <f t="array" ref="AJ9">IFERROR(QUARTILE(_xlfn._xlws.FILTER($AH$3:$AH$61, ($H$3:$H$61=$H9) * ($AH$3:$AH$61&gt;0)), 1), 0)</f>
        <v>0</v>
      </c>
      <c r="AK9" cm="1">
        <f t="array" ref="AK9">IFERROR(QUARTILE(_xlfn._xlws.FILTER($AH$3:$AH$61, ($H$3:$H$61=$H9) * ($AH$3:$AH$61&gt;0)), 3), 0)</f>
        <v>0</v>
      </c>
      <c r="AL9">
        <f t="shared" si="14"/>
        <v>0</v>
      </c>
      <c r="AM9">
        <f t="shared" si="15"/>
        <v>0</v>
      </c>
      <c r="AN9">
        <f t="shared" si="16"/>
        <v>0</v>
      </c>
      <c r="AO9" t="b">
        <f t="shared" si="25"/>
        <v>1</v>
      </c>
      <c r="AP9" t="b">
        <f>AO9</f>
        <v>1</v>
      </c>
      <c r="AQ9">
        <f t="shared" si="27"/>
        <v>0</v>
      </c>
      <c r="AR9" t="e">
        <f>VLOOKUP($B9,'Data availability'!$A$2:$F$91,6,FALSE)</f>
        <v>#N/A</v>
      </c>
      <c r="AS9" cm="1">
        <f t="array" ref="AS9">IFERROR(QUARTILE(_xlfn._xlws.FILTER($AQ$3:$AQ$61, ($H$3:$H$61=$H9) * ($AQ$3:$AQ$61&gt;0)), 1), 0)</f>
        <v>0</v>
      </c>
      <c r="AT9" cm="1">
        <f t="array" ref="AT9">IFERROR(QUARTILE(_xlfn._xlws.FILTER($AQ$3:$AQ$61, ($H$3:$H$61=$H9) * ($AQ$3:$AQ$61&gt;0)), 3), 0)</f>
        <v>0</v>
      </c>
      <c r="AU9">
        <f t="shared" si="17"/>
        <v>0</v>
      </c>
      <c r="AV9">
        <f t="shared" si="18"/>
        <v>0</v>
      </c>
      <c r="AW9">
        <f t="shared" si="19"/>
        <v>0</v>
      </c>
      <c r="AX9" t="b">
        <f t="shared" si="28"/>
        <v>1</v>
      </c>
      <c r="AY9" t="b">
        <f t="shared" si="29"/>
        <v>1</v>
      </c>
      <c r="BA9">
        <v>0</v>
      </c>
      <c r="BB9">
        <f t="shared" si="20"/>
        <v>3</v>
      </c>
    </row>
    <row r="10" spans="2:54" x14ac:dyDescent="0.3">
      <c r="B10" t="s">
        <v>132</v>
      </c>
      <c r="C10">
        <f>SUMIF('SkYSPark Data_w Will''s Data'!$C$3:$C$734,Outliers!$B10,'SkYSPark Data_w Will''s Data'!$G$3:$G$734)</f>
        <v>4448049.7182544731</v>
      </c>
      <c r="D10">
        <f>SUMIF('SkYSPark Data_w Will''s Data'!$C$3:$C$734,Outliers!$B10,'SkYSPark Data_w Will''s Data'!$I$3:$I$734)</f>
        <v>0</v>
      </c>
      <c r="E10">
        <f>SUMIF('SkYSPark Data_w Will''s Data'!$C$3:$C$734,Outliers!$B10,'SkYSPark Data_w Will''s Data'!$J$3:$J$734)</f>
        <v>229493.00000000032</v>
      </c>
      <c r="F10">
        <f>SUMIF('SkYSPark Data_w Will''s Data'!$C$3:$C$734,Outliers!$B10,'SkYSPark Data_w Will''s Data'!$K$3:$K$734)</f>
        <v>832119.00000000268</v>
      </c>
      <c r="G10">
        <v>960662</v>
      </c>
      <c r="H10" t="str">
        <f>INDEX('SkYSPark Data_w Will''s Data'!$F$3:$F$734,MATCH(Outliers!B10,'SkYSPark Data_w Will''s Data'!$C$3:$C$734,0))</f>
        <v>Residential</v>
      </c>
      <c r="I10">
        <f t="shared" si="0"/>
        <v>50.081582948721113</v>
      </c>
      <c r="J10" cm="1">
        <f t="array" ref="J10">QUARTILE(_xlfn._xlws.FILTER($I$3:$I$61,$H$3:$H$61=H10),1)</f>
        <v>50.081582948721113</v>
      </c>
      <c r="K10" cm="1">
        <f t="array" ref="K10">QUARTILE(_xlfn._xlws.FILTER($I$3:$I$61,$H$3:$H$61=H10),3)</f>
        <v>60.261727435175821</v>
      </c>
      <c r="L10">
        <f t="shared" si="1"/>
        <v>10.180144486454708</v>
      </c>
      <c r="M10">
        <f t="shared" si="2"/>
        <v>39.901438462266405</v>
      </c>
      <c r="N10">
        <f t="shared" si="3"/>
        <v>70.441871921630536</v>
      </c>
      <c r="O10" t="b">
        <f t="shared" si="4"/>
        <v>0</v>
      </c>
      <c r="P10" s="131">
        <f>IFERROR((C10*3.412)/1251422,0)</f>
        <v>12.127600153013342</v>
      </c>
      <c r="Q10" t="e">
        <f>VLOOKUP($B10,'Data availability'!$A$2:$F$91,3,FALSE)</f>
        <v>#N/A</v>
      </c>
      <c r="R10" cm="1">
        <f t="array" ref="R10">IFERROR(QUARTILE(_xlfn._xlws.FILTER($P$3:$P$61, ($H$3:$H$61=$H10) * ($P$3:$P$61&gt;0)), 1), 0)</f>
        <v>15.090256370784639</v>
      </c>
      <c r="S10" cm="1">
        <f t="array" ref="S10">IFERROR(QUARTILE(_xlfn._xlws.FILTER($P$3:$P$61, ($H$3:$H$61=$H10) * ($P$3:$P$61&gt;0)), 3), 0)</f>
        <v>20.768948018924362</v>
      </c>
      <c r="T10">
        <f t="shared" si="6"/>
        <v>5.6786916481397238</v>
      </c>
      <c r="U10">
        <f t="shared" si="7"/>
        <v>9.4115647226449148</v>
      </c>
      <c r="V10">
        <f t="shared" si="8"/>
        <v>26.447639667064088</v>
      </c>
      <c r="W10" t="b">
        <f t="shared" si="21"/>
        <v>0</v>
      </c>
      <c r="X10" t="b">
        <f t="shared" si="22"/>
        <v>0</v>
      </c>
      <c r="Y10">
        <f t="shared" si="9"/>
        <v>0</v>
      </c>
      <c r="Z10" t="e">
        <f>VLOOKUP($B10,'Data availability'!$A$2:$F$91,4,FALSE)</f>
        <v>#N/A</v>
      </c>
      <c r="AA10" cm="1">
        <f t="array" ref="AA10">IFERROR(QUARTILE(_xlfn._xlws.FILTER($Y$3:$Y$61, ($H$3:$H$61=$H10) * ($Y$3:$Y$61&gt;0)), 1), 0)</f>
        <v>32.545551949603954</v>
      </c>
      <c r="AB10" cm="1">
        <f t="array" ref="AB10">IFERROR(QUARTILE(_xlfn._xlws.FILTER($Y$3:$Y$61, ($H$3:$H$61=$H10) * ($Y$3:$Y$61&gt;0)), 3), 0)</f>
        <v>36.468743578583812</v>
      </c>
      <c r="AC10">
        <f t="shared" si="10"/>
        <v>3.9231916289798576</v>
      </c>
      <c r="AD10">
        <f t="shared" si="11"/>
        <v>28.622360320624097</v>
      </c>
      <c r="AE10">
        <f t="shared" si="12"/>
        <v>40.39193520756367</v>
      </c>
      <c r="AF10" t="b">
        <f t="shared" si="23"/>
        <v>1</v>
      </c>
      <c r="AG10" t="b">
        <f t="shared" si="24"/>
        <v>1</v>
      </c>
      <c r="AH10">
        <f t="shared" si="13"/>
        <v>23.889047344435436</v>
      </c>
      <c r="AI10" t="e">
        <f>VLOOKUP($B10,'Data availability'!$A$2:$F$91,5,FALSE)</f>
        <v>#N/A</v>
      </c>
      <c r="AJ10" cm="1">
        <f t="array" ref="AJ10">IFERROR(QUARTILE(_xlfn._xlws.FILTER($AH$3:$AH$61, ($H$3:$H$61=$H10) * ($AH$3:$AH$61&gt;0)), 1), 0)</f>
        <v>28.932049487238903</v>
      </c>
      <c r="AK10" cm="1">
        <f t="array" ref="AK10">IFERROR(QUARTILE(_xlfn._xlws.FILTER($AH$3:$AH$61, ($H$3:$H$61=$H10) * ($AH$3:$AH$61&gt;0)), 3), 0)</f>
        <v>39.018053772845839</v>
      </c>
      <c r="AL10">
        <f t="shared" si="14"/>
        <v>10.086004285606936</v>
      </c>
      <c r="AM10">
        <f t="shared" si="15"/>
        <v>18.846045201631966</v>
      </c>
      <c r="AN10">
        <f t="shared" si="16"/>
        <v>49.104058058452779</v>
      </c>
      <c r="AO10" t="b">
        <f t="shared" si="25"/>
        <v>0</v>
      </c>
      <c r="AP10" t="b">
        <f t="shared" si="26"/>
        <v>0</v>
      </c>
      <c r="AQ10">
        <f t="shared" si="27"/>
        <v>10.394319750338862</v>
      </c>
      <c r="AR10" t="e">
        <f>VLOOKUP($B10,'Data availability'!$A$2:$F$91,6,FALSE)</f>
        <v>#N/A</v>
      </c>
      <c r="AS10" cm="1">
        <f t="array" ref="AS10">IFERROR(QUARTILE(_xlfn._xlws.FILTER($AQ$3:$AQ$61, ($H$3:$H$61=$H10) * ($AQ$3:$AQ$61&gt;0)), 1), 0)</f>
        <v>11.777221395526169</v>
      </c>
      <c r="AT10" cm="1">
        <f t="array" ref="AT10">IFERROR(QUARTILE(_xlfn._xlws.FILTER($AQ$3:$AQ$61, ($H$3:$H$61=$H10) * ($AQ$3:$AQ$61&gt;0)), 3), 0)</f>
        <v>14.543024685900781</v>
      </c>
      <c r="AU10">
        <f t="shared" si="17"/>
        <v>2.7658032903746115</v>
      </c>
      <c r="AV10">
        <f t="shared" si="18"/>
        <v>9.0114181051515576</v>
      </c>
      <c r="AW10">
        <f t="shared" si="19"/>
        <v>17.308827976275392</v>
      </c>
      <c r="AX10" t="b">
        <f t="shared" si="28"/>
        <v>0</v>
      </c>
      <c r="AY10" t="b">
        <f t="shared" si="29"/>
        <v>0</v>
      </c>
      <c r="BA10" t="str">
        <v>Outdoor Athletics</v>
      </c>
      <c r="BB10">
        <f t="shared" si="20"/>
        <v>2</v>
      </c>
    </row>
    <row r="11" spans="2:54" x14ac:dyDescent="0.3">
      <c r="B11" t="s">
        <v>190</v>
      </c>
      <c r="C11">
        <f>SUMIF('SkYSPark Data_w Will''s Data'!$C$3:$C$734,Outliers!$B11,'SkYSPark Data_w Will''s Data'!$G$3:$G$734)</f>
        <v>150899.46081504779</v>
      </c>
      <c r="D11">
        <f>SUMIF('SkYSPark Data_w Will''s Data'!$C$3:$C$734,Outliers!$B11,'SkYSPark Data_w Will''s Data'!$I$3:$I$734)</f>
        <v>0</v>
      </c>
      <c r="E11">
        <f>SUMIF('SkYSPark Data_w Will''s Data'!$C$3:$C$734,Outliers!$B11,'SkYSPark Data_w Will''s Data'!$J$3:$J$734)</f>
        <v>0</v>
      </c>
      <c r="F11">
        <f>SUMIF('SkYSPark Data_w Will''s Data'!$C$3:$C$734,Outliers!$B11,'SkYSPark Data_w Will''s Data'!$K$3:$K$734)</f>
        <v>0</v>
      </c>
      <c r="G11">
        <f>INDEX('SkYSPark Data_w Will''s Data'!$E$3:$E$734,MATCH(Outliers!B11,'SkYSPark Data_w Will''s Data'!$C$3:$C$734,0))</f>
        <v>0</v>
      </c>
      <c r="H11">
        <f>INDEX('SkYSPark Data_w Will''s Data'!$F$3:$F$734,MATCH(Outliers!B11,'SkYSPark Data_w Will''s Data'!$C$3:$C$734,0))</f>
        <v>0</v>
      </c>
      <c r="I11">
        <f t="shared" si="0"/>
        <v>0</v>
      </c>
      <c r="J11" cm="1">
        <f t="array" ref="J11">QUARTILE(_xlfn._xlws.FILTER($I$3:$I$61,$H$3:$H$61=H11),1)</f>
        <v>0</v>
      </c>
      <c r="K11" cm="1">
        <f t="array" ref="K11">QUARTILE(_xlfn._xlws.FILTER($I$3:$I$61,$H$3:$H$61=H11),3)</f>
        <v>0</v>
      </c>
      <c r="L11">
        <f t="shared" si="1"/>
        <v>0</v>
      </c>
      <c r="M11">
        <f t="shared" si="2"/>
        <v>0</v>
      </c>
      <c r="N11">
        <f t="shared" si="3"/>
        <v>0</v>
      </c>
      <c r="O11" t="b">
        <f t="shared" si="4"/>
        <v>0</v>
      </c>
      <c r="P11">
        <f t="shared" ref="P11:P58" si="30">IFERROR((C11*3.412)/$G11,0)</f>
        <v>0</v>
      </c>
      <c r="Q11" t="e">
        <f>VLOOKUP($B11,'Data availability'!$A$2:$F$91,3,FALSE)</f>
        <v>#N/A</v>
      </c>
      <c r="R11" cm="1">
        <f t="array" ref="R11">IFERROR(QUARTILE(_xlfn._xlws.FILTER($P$3:$P$61, ($H$3:$H$61=$H11) * ($P$3:$P$61&gt;0)), 1), 0)</f>
        <v>0</v>
      </c>
      <c r="S11" cm="1">
        <f t="array" ref="S11">IFERROR(QUARTILE(_xlfn._xlws.FILTER($P$3:$P$61, ($H$3:$H$61=$H11) * ($P$3:$P$61&gt;0)), 3), 0)</f>
        <v>0</v>
      </c>
      <c r="T11">
        <f t="shared" si="6"/>
        <v>0</v>
      </c>
      <c r="U11">
        <f t="shared" si="7"/>
        <v>0</v>
      </c>
      <c r="V11">
        <f t="shared" si="8"/>
        <v>0</v>
      </c>
      <c r="W11" t="b">
        <f t="shared" si="21"/>
        <v>1</v>
      </c>
      <c r="X11" t="b">
        <f t="shared" si="22"/>
        <v>1</v>
      </c>
      <c r="Y11">
        <f t="shared" si="9"/>
        <v>0</v>
      </c>
      <c r="Z11" t="e">
        <f>VLOOKUP($B11,'Data availability'!$A$2:$F$91,4,FALSE)</f>
        <v>#N/A</v>
      </c>
      <c r="AA11" cm="1">
        <f t="array" ref="AA11">IFERROR(QUARTILE(_xlfn._xlws.FILTER($Y$3:$Y$61, ($H$3:$H$61=$H11) * ($Y$3:$Y$61&gt;0)), 1), 0)</f>
        <v>0</v>
      </c>
      <c r="AB11" cm="1">
        <f t="array" ref="AB11">IFERROR(QUARTILE(_xlfn._xlws.FILTER($Y$3:$Y$61, ($H$3:$H$61=$H11) * ($Y$3:$Y$61&gt;0)), 3), 0)</f>
        <v>0</v>
      </c>
      <c r="AC11">
        <f t="shared" si="10"/>
        <v>0</v>
      </c>
      <c r="AD11">
        <f t="shared" si="11"/>
        <v>0</v>
      </c>
      <c r="AE11">
        <f t="shared" si="12"/>
        <v>0</v>
      </c>
      <c r="AF11" t="b">
        <f t="shared" si="23"/>
        <v>1</v>
      </c>
      <c r="AG11" t="b">
        <f t="shared" si="24"/>
        <v>1</v>
      </c>
      <c r="AH11">
        <f t="shared" si="13"/>
        <v>0</v>
      </c>
      <c r="AI11" t="e">
        <f>VLOOKUP($B11,'Data availability'!$A$2:$F$91,5,FALSE)</f>
        <v>#N/A</v>
      </c>
      <c r="AJ11" cm="1">
        <f t="array" ref="AJ11">IFERROR(QUARTILE(_xlfn._xlws.FILTER($AH$3:$AH$61, ($H$3:$H$61=$H11) * ($AH$3:$AH$61&gt;0)), 1), 0)</f>
        <v>0</v>
      </c>
      <c r="AK11" cm="1">
        <f t="array" ref="AK11">IFERROR(QUARTILE(_xlfn._xlws.FILTER($AH$3:$AH$61, ($H$3:$H$61=$H11) * ($AH$3:$AH$61&gt;0)), 3), 0)</f>
        <v>0</v>
      </c>
      <c r="AL11">
        <f t="shared" si="14"/>
        <v>0</v>
      </c>
      <c r="AM11">
        <f t="shared" si="15"/>
        <v>0</v>
      </c>
      <c r="AN11">
        <f t="shared" si="16"/>
        <v>0</v>
      </c>
      <c r="AO11" t="b">
        <f t="shared" si="25"/>
        <v>1</v>
      </c>
      <c r="AP11" t="b">
        <f t="shared" si="26"/>
        <v>1</v>
      </c>
      <c r="AQ11">
        <f t="shared" si="27"/>
        <v>0</v>
      </c>
      <c r="AR11" t="e">
        <f>VLOOKUP($B11,'Data availability'!$A$2:$F$91,6,FALSE)</f>
        <v>#N/A</v>
      </c>
      <c r="AS11" cm="1">
        <f t="array" ref="AS11">IFERROR(QUARTILE(_xlfn._xlws.FILTER($AQ$3:$AQ$61, ($H$3:$H$61=$H11) * ($AQ$3:$AQ$61&gt;0)), 1), 0)</f>
        <v>0</v>
      </c>
      <c r="AT11" cm="1">
        <f t="array" ref="AT11">IFERROR(QUARTILE(_xlfn._xlws.FILTER($AQ$3:$AQ$61, ($H$3:$H$61=$H11) * ($AQ$3:$AQ$61&gt;0)), 3), 0)</f>
        <v>0</v>
      </c>
      <c r="AU11">
        <f t="shared" si="17"/>
        <v>0</v>
      </c>
      <c r="AV11">
        <f t="shared" si="18"/>
        <v>0</v>
      </c>
      <c r="AW11">
        <f t="shared" si="19"/>
        <v>0</v>
      </c>
      <c r="AX11" t="b">
        <f t="shared" si="28"/>
        <v>1</v>
      </c>
      <c r="AY11" t="b">
        <f t="shared" si="29"/>
        <v>1</v>
      </c>
      <c r="BA11" t="str">
        <v>Warehouse</v>
      </c>
      <c r="BB11">
        <f t="shared" si="20"/>
        <v>1</v>
      </c>
    </row>
    <row r="12" spans="2:54" x14ac:dyDescent="0.3">
      <c r="B12" t="s">
        <v>133</v>
      </c>
      <c r="C12">
        <f>SUMIF('SkYSPark Data_w Will''s Data'!$C$3:$C$734,Outliers!$B12,'SkYSPark Data_w Will''s Data'!$G$3:$G$734)</f>
        <v>1134939.7842215237</v>
      </c>
      <c r="D12">
        <f>SUMIF('SkYSPark Data_w Will''s Data'!$C$3:$C$734,Outliers!$B12,'SkYSPark Data_w Will''s Data'!$I$3:$I$734)</f>
        <v>0</v>
      </c>
      <c r="E12">
        <f>SUMIF('SkYSPark Data_w Will''s Data'!$C$3:$C$734,Outliers!$B12,'SkYSPark Data_w Will''s Data'!$J$3:$J$734)</f>
        <v>82093.678160919473</v>
      </c>
      <c r="F12">
        <f>SUMIF('SkYSPark Data_w Will''s Data'!$C$3:$C$734,Outliers!$B12,'SkYSPark Data_w Will''s Data'!$K$3:$K$734)</f>
        <v>247273.89517963919</v>
      </c>
      <c r="G12">
        <f>INDEX('SkYSPark Data_w Will''s Data'!$E$3:$E$734,MATCH(Outliers!B12,'SkYSPark Data_w Will''s Data'!$C$3:$C$734,0))</f>
        <v>186318</v>
      </c>
      <c r="H12" t="str">
        <f>INDEX('SkYSPark Data_w Will''s Data'!$F$3:$F$734,MATCH(Outliers!B12,'SkYSPark Data_w Will''s Data'!$C$3:$C$734,0))</f>
        <v>Residential</v>
      </c>
      <c r="I12">
        <f t="shared" si="0"/>
        <v>80.770881514461607</v>
      </c>
      <c r="J12" cm="1">
        <f t="array" ref="J12">QUARTILE(_xlfn._xlws.FILTER($I$3:$I$61,$H$3:$H$61=H12),1)</f>
        <v>50.081582948721113</v>
      </c>
      <c r="K12" cm="1">
        <f t="array" ref="K12">QUARTILE(_xlfn._xlws.FILTER($I$3:$I$61,$H$3:$H$61=H12),3)</f>
        <v>60.261727435175821</v>
      </c>
      <c r="L12">
        <f t="shared" si="1"/>
        <v>10.180144486454708</v>
      </c>
      <c r="M12">
        <f t="shared" si="2"/>
        <v>39.901438462266405</v>
      </c>
      <c r="N12">
        <f t="shared" si="3"/>
        <v>70.441871921630536</v>
      </c>
      <c r="O12" t="b">
        <f t="shared" si="4"/>
        <v>1</v>
      </c>
      <c r="P12">
        <f t="shared" si="30"/>
        <v>20.783899267724205</v>
      </c>
      <c r="Q12" t="str">
        <f>VLOOKUP($B12,'Data availability'!$A$2:$F$91,3,FALSE)</f>
        <v>Y</v>
      </c>
      <c r="R12" cm="1">
        <f t="array" ref="R12">IFERROR(QUARTILE(_xlfn._xlws.FILTER($P$3:$P$61, ($H$3:$H$61=$H12) * ($P$3:$P$61&gt;0)), 1), 0)</f>
        <v>15.090256370784639</v>
      </c>
      <c r="S12" cm="1">
        <f t="array" ref="S12">IFERROR(QUARTILE(_xlfn._xlws.FILTER($P$3:$P$61, ($H$3:$H$61=$H12) * ($P$3:$P$61&gt;0)), 3), 0)</f>
        <v>20.768948018924362</v>
      </c>
      <c r="T12">
        <f t="shared" si="6"/>
        <v>5.6786916481397238</v>
      </c>
      <c r="U12">
        <f t="shared" si="7"/>
        <v>9.4115647226449148</v>
      </c>
      <c r="V12">
        <f t="shared" si="8"/>
        <v>26.447639667064088</v>
      </c>
      <c r="W12" t="b">
        <f t="shared" si="21"/>
        <v>0</v>
      </c>
      <c r="X12" t="b">
        <f t="shared" si="22"/>
        <v>0</v>
      </c>
      <c r="Y12">
        <f t="shared" si="9"/>
        <v>0</v>
      </c>
      <c r="Z12" t="str">
        <f>VLOOKUP($B12,'Data availability'!$A$2:$F$91,4,FALSE)</f>
        <v>-</v>
      </c>
      <c r="AA12" cm="1">
        <f t="array" ref="AA12">IFERROR(QUARTILE(_xlfn._xlws.FILTER($Y$3:$Y$61, ($H$3:$H$61=$H12) * ($Y$3:$Y$61&gt;0)), 1), 0)</f>
        <v>32.545551949603954</v>
      </c>
      <c r="AB12" cm="1">
        <f t="array" ref="AB12">IFERROR(QUARTILE(_xlfn._xlws.FILTER($Y$3:$Y$61, ($H$3:$H$61=$H12) * ($Y$3:$Y$61&gt;0)), 3), 0)</f>
        <v>36.468743578583812</v>
      </c>
      <c r="AC12">
        <f t="shared" si="10"/>
        <v>3.9231916289798576</v>
      </c>
      <c r="AD12">
        <f t="shared" si="11"/>
        <v>28.622360320624097</v>
      </c>
      <c r="AE12">
        <f t="shared" si="12"/>
        <v>40.39193520756367</v>
      </c>
      <c r="AF12" t="b">
        <f t="shared" si="23"/>
        <v>1</v>
      </c>
      <c r="AG12" t="b">
        <f t="shared" si="24"/>
        <v>1</v>
      </c>
      <c r="AH12">
        <f t="shared" si="13"/>
        <v>44.061055915649305</v>
      </c>
      <c r="AI12" t="str">
        <f>VLOOKUP($B12,'Data availability'!$A$2:$F$91,5,FALSE)</f>
        <v>Y</v>
      </c>
      <c r="AJ12" cm="1">
        <f t="array" ref="AJ12">IFERROR(QUARTILE(_xlfn._xlws.FILTER($AH$3:$AH$61, ($H$3:$H$61=$H12) * ($AH$3:$AH$61&gt;0)), 1), 0)</f>
        <v>28.932049487238903</v>
      </c>
      <c r="AK12" cm="1">
        <f t="array" ref="AK12">IFERROR(QUARTILE(_xlfn._xlws.FILTER($AH$3:$AH$61, ($H$3:$H$61=$H12) * ($AH$3:$AH$61&gt;0)), 3), 0)</f>
        <v>39.018053772845839</v>
      </c>
      <c r="AL12">
        <f t="shared" si="14"/>
        <v>10.086004285606936</v>
      </c>
      <c r="AM12">
        <f t="shared" si="15"/>
        <v>18.846045201631966</v>
      </c>
      <c r="AN12">
        <f t="shared" si="16"/>
        <v>49.104058058452779</v>
      </c>
      <c r="AO12" t="b">
        <f t="shared" si="25"/>
        <v>0</v>
      </c>
      <c r="AP12" t="b">
        <f t="shared" si="26"/>
        <v>0</v>
      </c>
      <c r="AQ12">
        <f t="shared" si="27"/>
        <v>15.925926331088087</v>
      </c>
      <c r="AR12" t="str">
        <f>VLOOKUP($B12,'Data availability'!$A$2:$F$91,6,FALSE)</f>
        <v>Y</v>
      </c>
      <c r="AS12" cm="1">
        <f t="array" ref="AS12">IFERROR(QUARTILE(_xlfn._xlws.FILTER($AQ$3:$AQ$61, ($H$3:$H$61=$H12) * ($AQ$3:$AQ$61&gt;0)), 1), 0)</f>
        <v>11.777221395526169</v>
      </c>
      <c r="AT12" cm="1">
        <f t="array" ref="AT12">IFERROR(QUARTILE(_xlfn._xlws.FILTER($AQ$3:$AQ$61, ($H$3:$H$61=$H12) * ($AQ$3:$AQ$61&gt;0)), 3), 0)</f>
        <v>14.543024685900781</v>
      </c>
      <c r="AU12">
        <f t="shared" si="17"/>
        <v>2.7658032903746115</v>
      </c>
      <c r="AV12">
        <f t="shared" si="18"/>
        <v>9.0114181051515576</v>
      </c>
      <c r="AW12">
        <f t="shared" si="19"/>
        <v>17.308827976275392</v>
      </c>
      <c r="AX12" t="b">
        <f t="shared" si="28"/>
        <v>0</v>
      </c>
      <c r="AY12" t="b">
        <f t="shared" si="29"/>
        <v>0</v>
      </c>
      <c r="BA12" t="str">
        <v>Library</v>
      </c>
      <c r="BB12">
        <f t="shared" si="20"/>
        <v>2</v>
      </c>
    </row>
    <row r="13" spans="2:54" x14ac:dyDescent="0.3">
      <c r="B13" t="s">
        <v>135</v>
      </c>
      <c r="C13">
        <f>SUMIF('SkYSPark Data_w Will''s Data'!$C$3:$C$734,Outliers!$B13,'SkYSPark Data_w Will''s Data'!$G$3:$G$734)</f>
        <v>559629.53205657483</v>
      </c>
      <c r="D13">
        <f>SUMIF('SkYSPark Data_w Will''s Data'!$C$3:$C$734,Outliers!$B13,'SkYSPark Data_w Will''s Data'!$I$3:$I$734)</f>
        <v>0</v>
      </c>
      <c r="E13">
        <f>SUMIF('SkYSPark Data_w Will''s Data'!$C$3:$C$734,Outliers!$B13,'SkYSPark Data_w Will''s Data'!$J$3:$J$734)</f>
        <v>0</v>
      </c>
      <c r="F13">
        <f>SUMIF('SkYSPark Data_w Will''s Data'!$C$3:$C$734,Outliers!$B13,'SkYSPark Data_w Will''s Data'!$K$3:$K$734)</f>
        <v>0</v>
      </c>
      <c r="G13">
        <f>INDEX('SkYSPark Data_w Will''s Data'!$E$3:$E$734,MATCH(Outliers!B13,'SkYSPark Data_w Will''s Data'!$C$3:$C$734,0))</f>
        <v>11541</v>
      </c>
      <c r="H13" t="str">
        <f>INDEX('SkYSPark Data_w Will''s Data'!$F$3:$F$734,MATCH(Outliers!B13,'SkYSPark Data_w Will''s Data'!$C$3:$C$734,0))</f>
        <v>Outdoor Athletics</v>
      </c>
      <c r="I13">
        <f t="shared" si="0"/>
        <v>165.44978454007742</v>
      </c>
      <c r="J13" cm="1">
        <f t="array" ref="J13">QUARTILE(_xlfn._xlws.FILTER($I$3:$I$61,$H$3:$H$61=H13),1)</f>
        <v>45.780267031418759</v>
      </c>
      <c r="K13" cm="1">
        <f t="array" ref="K13">QUARTILE(_xlfn._xlws.FILTER($I$3:$I$61,$H$3:$H$61=H13),3)</f>
        <v>125.55994537052453</v>
      </c>
      <c r="L13">
        <f t="shared" si="1"/>
        <v>79.779678339105772</v>
      </c>
      <c r="M13">
        <f t="shared" si="2"/>
        <v>-33.999411307687012</v>
      </c>
      <c r="N13">
        <f t="shared" si="3"/>
        <v>205.3396237096303</v>
      </c>
      <c r="O13" t="b">
        <f t="shared" si="4"/>
        <v>0</v>
      </c>
      <c r="P13">
        <f t="shared" si="30"/>
        <v>165.44978454007742</v>
      </c>
      <c r="Q13" t="str">
        <f>VLOOKUP($B13,'Data availability'!$A$2:$F$91,3,FALSE)</f>
        <v>Y</v>
      </c>
      <c r="R13" cm="1">
        <f t="array" ref="R13">IFERROR(QUARTILE(_xlfn._xlws.FILTER($P$3:$P$61, ($H$3:$H$61=$H13) * ($P$3:$P$61&gt;0)), 1), 0)</f>
        <v>45.780267031418759</v>
      </c>
      <c r="S13" cm="1">
        <f t="array" ref="S13">IFERROR(QUARTILE(_xlfn._xlws.FILTER($P$3:$P$61, ($H$3:$H$61=$H13) * ($P$3:$P$61&gt;0)), 3), 0)</f>
        <v>125.55994537052453</v>
      </c>
      <c r="T13">
        <f t="shared" si="6"/>
        <v>79.779678339105772</v>
      </c>
      <c r="U13">
        <f t="shared" si="7"/>
        <v>-33.999411307687012</v>
      </c>
      <c r="V13">
        <f t="shared" si="8"/>
        <v>205.3396237096303</v>
      </c>
      <c r="W13" t="b">
        <f t="shared" si="21"/>
        <v>0</v>
      </c>
      <c r="X13" t="b">
        <f t="shared" si="22"/>
        <v>0</v>
      </c>
      <c r="Y13">
        <f t="shared" si="9"/>
        <v>0</v>
      </c>
      <c r="Z13" t="str">
        <f>VLOOKUP($B13,'Data availability'!$A$2:$F$91,4,FALSE)</f>
        <v>-</v>
      </c>
      <c r="AA13" cm="1">
        <f t="array" ref="AA13">IFERROR(QUARTILE(_xlfn._xlws.FILTER($Y$3:$Y$61, ($H$3:$H$61=$H13) * ($Y$3:$Y$61&gt;0)), 1), 0)</f>
        <v>0</v>
      </c>
      <c r="AB13" cm="1">
        <f t="array" ref="AB13">IFERROR(QUARTILE(_xlfn._xlws.FILTER($Y$3:$Y$61, ($H$3:$H$61=$H13) * ($Y$3:$Y$61&gt;0)), 3), 0)</f>
        <v>0</v>
      </c>
      <c r="AC13">
        <f t="shared" si="10"/>
        <v>0</v>
      </c>
      <c r="AD13">
        <f t="shared" si="11"/>
        <v>0</v>
      </c>
      <c r="AE13">
        <f t="shared" si="12"/>
        <v>0</v>
      </c>
      <c r="AF13" t="b">
        <f t="shared" si="23"/>
        <v>1</v>
      </c>
      <c r="AG13" t="b">
        <f t="shared" si="24"/>
        <v>1</v>
      </c>
      <c r="AH13">
        <f t="shared" si="13"/>
        <v>0</v>
      </c>
      <c r="AI13" t="str">
        <f>VLOOKUP($B13,'Data availability'!$A$2:$F$91,5,FALSE)</f>
        <v>-</v>
      </c>
      <c r="AJ13" cm="1">
        <f t="array" ref="AJ13">IFERROR(QUARTILE(_xlfn._xlws.FILTER($AH$3:$AH$61, ($H$3:$H$61=$H13) * ($AH$3:$AH$61&gt;0)), 1), 0)</f>
        <v>0</v>
      </c>
      <c r="AK13" cm="1">
        <f t="array" ref="AK13">IFERROR(QUARTILE(_xlfn._xlws.FILTER($AH$3:$AH$61, ($H$3:$H$61=$H13) * ($AH$3:$AH$61&gt;0)), 3), 0)</f>
        <v>0</v>
      </c>
      <c r="AL13">
        <f t="shared" si="14"/>
        <v>0</v>
      </c>
      <c r="AM13">
        <f t="shared" si="15"/>
        <v>0</v>
      </c>
      <c r="AN13">
        <f t="shared" si="16"/>
        <v>0</v>
      </c>
      <c r="AO13" t="b">
        <f t="shared" si="25"/>
        <v>1</v>
      </c>
      <c r="AP13" t="b">
        <f t="shared" si="26"/>
        <v>1</v>
      </c>
      <c r="AQ13">
        <f t="shared" si="27"/>
        <v>0</v>
      </c>
      <c r="AR13" t="str">
        <f>VLOOKUP($B13,'Data availability'!$A$2:$F$91,6,FALSE)</f>
        <v>-</v>
      </c>
      <c r="AS13" cm="1">
        <f t="array" ref="AS13">IFERROR(QUARTILE(_xlfn._xlws.FILTER($AQ$3:$AQ$61, ($H$3:$H$61=$H13) * ($AQ$3:$AQ$61&gt;0)), 1), 0)</f>
        <v>0</v>
      </c>
      <c r="AT13" cm="1">
        <f t="array" ref="AT13">IFERROR(QUARTILE(_xlfn._xlws.FILTER($AQ$3:$AQ$61, ($H$3:$H$61=$H13) * ($AQ$3:$AQ$61&gt;0)), 3), 0)</f>
        <v>0</v>
      </c>
      <c r="AU13">
        <f t="shared" si="17"/>
        <v>0</v>
      </c>
      <c r="AV13">
        <f t="shared" si="18"/>
        <v>0</v>
      </c>
      <c r="AW13">
        <f t="shared" si="19"/>
        <v>0</v>
      </c>
      <c r="AX13" t="b">
        <f t="shared" si="28"/>
        <v>1</v>
      </c>
      <c r="AY13" t="b">
        <f t="shared" si="29"/>
        <v>1</v>
      </c>
      <c r="BA13" t="str">
        <v>Athletics</v>
      </c>
      <c r="BB13">
        <f t="shared" si="20"/>
        <v>7</v>
      </c>
    </row>
    <row r="14" spans="2:54" x14ac:dyDescent="0.3">
      <c r="B14" t="s">
        <v>137</v>
      </c>
      <c r="C14">
        <f>SUMIF('SkYSPark Data_w Will''s Data'!$C$3:$C$734,Outliers!$B14,'SkYSPark Data_w Will''s Data'!$G$3:$G$734)</f>
        <v>303598.62068965426</v>
      </c>
      <c r="D14">
        <f>SUMIF('SkYSPark Data_w Will''s Data'!$C$3:$C$734,Outliers!$B14,'SkYSPark Data_w Will''s Data'!$I$3:$I$734)</f>
        <v>270.11546638607979</v>
      </c>
      <c r="E14">
        <f>SUMIF('SkYSPark Data_w Will''s Data'!$C$3:$C$734,Outliers!$B14,'SkYSPark Data_w Will''s Data'!$J$3:$J$734)</f>
        <v>9903.4018049569004</v>
      </c>
      <c r="F14">
        <f>SUMIF('SkYSPark Data_w Will''s Data'!$C$3:$C$734,Outliers!$B14,'SkYSPark Data_w Will''s Data'!$K$3:$K$734)</f>
        <v>116142.43902141636</v>
      </c>
      <c r="G14">
        <f>INDEX('SkYSPark Data_w Will''s Data'!$E$3:$E$734,MATCH(Outliers!B14,'SkYSPark Data_w Will''s Data'!$C$3:$C$734,0))</f>
        <v>33407</v>
      </c>
      <c r="H14" t="str">
        <f>INDEX('SkYSPark Data_w Will''s Data'!$F$3:$F$734,MATCH(Outliers!B14,'SkYSPark Data_w Will''s Data'!$C$3:$C$734,0))</f>
        <v>Academic</v>
      </c>
      <c r="I14">
        <f t="shared" si="0"/>
        <v>103.18015652960142</v>
      </c>
      <c r="J14" cm="1">
        <f t="array" ref="J14">QUARTILE(_xlfn._xlws.FILTER($I$3:$I$61,$H$3:$H$61=H14),1)</f>
        <v>42.21959902044307</v>
      </c>
      <c r="K14" cm="1">
        <f t="array" ref="K14">QUARTILE(_xlfn._xlws.FILTER($I$3:$I$61,$H$3:$H$61=H14),3)</f>
        <v>103.33423599964128</v>
      </c>
      <c r="L14">
        <f t="shared" si="1"/>
        <v>61.11463697919821</v>
      </c>
      <c r="M14">
        <f t="shared" si="2"/>
        <v>-18.89503795875514</v>
      </c>
      <c r="N14">
        <f t="shared" si="3"/>
        <v>164.44887297883949</v>
      </c>
      <c r="O14" t="b">
        <f t="shared" si="4"/>
        <v>0</v>
      </c>
      <c r="P14">
        <f t="shared" si="30"/>
        <v>31.007827514984893</v>
      </c>
      <c r="Q14" t="str">
        <f>VLOOKUP($B14,'Data availability'!$A$2:$F$91,3,FALSE)</f>
        <v>Y</v>
      </c>
      <c r="R14" cm="1">
        <f t="array" ref="R14">IFERROR(QUARTILE(_xlfn._xlws.FILTER($P$3:$P$61, ($H$3:$H$61=$H14) * ($P$3:$P$61&gt;0)), 1), 0)</f>
        <v>14.691000795498219</v>
      </c>
      <c r="S14" cm="1">
        <f t="array" ref="S14">IFERROR(QUARTILE(_xlfn._xlws.FILTER($P$3:$P$61, ($H$3:$H$61=$H14) * ($P$3:$P$61&gt;0)), 3), 0)</f>
        <v>30.985762878217994</v>
      </c>
      <c r="T14">
        <f t="shared" si="6"/>
        <v>16.294762082719775</v>
      </c>
      <c r="U14">
        <f t="shared" si="7"/>
        <v>-1.6037612872215554</v>
      </c>
      <c r="V14">
        <f t="shared" si="8"/>
        <v>47.280524960937768</v>
      </c>
      <c r="W14" t="b">
        <f t="shared" si="21"/>
        <v>0</v>
      </c>
      <c r="X14" t="b">
        <f t="shared" si="22"/>
        <v>0</v>
      </c>
      <c r="Y14">
        <f t="shared" si="9"/>
        <v>0.80855948270146916</v>
      </c>
      <c r="Z14" t="str">
        <f>VLOOKUP($B14,'Data availability'!$A$2:$F$91,4,FALSE)</f>
        <v>Y</v>
      </c>
      <c r="AA14" cm="1">
        <f t="array" ref="AA14">IFERROR(QUARTILE(_xlfn._xlws.FILTER($Y$3:$Y$61, ($H$3:$H$61=$H14) * ($Y$3:$Y$61&gt;0)), 1), 0)</f>
        <v>2.3207880548899436</v>
      </c>
      <c r="AB14" cm="1">
        <f t="array" ref="AB14">IFERROR(QUARTILE(_xlfn._xlws.FILTER($Y$3:$Y$61, ($H$3:$H$61=$H14) * ($Y$3:$Y$61&gt;0)), 3), 0)</f>
        <v>5.5117751255024281</v>
      </c>
      <c r="AC14">
        <f t="shared" si="10"/>
        <v>3.1909870706124845</v>
      </c>
      <c r="AD14">
        <f t="shared" si="11"/>
        <v>-0.87019901572254099</v>
      </c>
      <c r="AE14">
        <f t="shared" si="12"/>
        <v>8.7027621961149126</v>
      </c>
      <c r="AF14" t="b">
        <f t="shared" si="23"/>
        <v>0</v>
      </c>
      <c r="AG14" t="b">
        <f t="shared" si="24"/>
        <v>0</v>
      </c>
      <c r="AH14">
        <f t="shared" si="13"/>
        <v>29.644690648537434</v>
      </c>
      <c r="AI14" t="str">
        <f>VLOOKUP($B14,'Data availability'!$A$2:$F$91,5,FALSE)</f>
        <v>Y</v>
      </c>
      <c r="AJ14" cm="1">
        <f t="array" ref="AJ14">IFERROR(QUARTILE(_xlfn._xlws.FILTER($AH$3:$AH$61, ($H$3:$H$61=$H14) * ($AH$3:$AH$61&gt;0)), 1), 0)</f>
        <v>20.962789979692385</v>
      </c>
      <c r="AK14" cm="1">
        <f t="array" ref="AK14">IFERROR(QUARTILE(_xlfn._xlws.FILTER($AH$3:$AH$61, ($H$3:$H$61=$H14) * ($AH$3:$AH$61&gt;0)), 3), 0)</f>
        <v>37.598619727031377</v>
      </c>
      <c r="AL14">
        <f t="shared" si="14"/>
        <v>16.635829747338992</v>
      </c>
      <c r="AM14">
        <f t="shared" si="15"/>
        <v>4.3269602323533931</v>
      </c>
      <c r="AN14">
        <f t="shared" si="16"/>
        <v>54.234449474370365</v>
      </c>
      <c r="AO14" t="b">
        <f t="shared" si="25"/>
        <v>0</v>
      </c>
      <c r="AP14" t="b">
        <f t="shared" si="26"/>
        <v>0</v>
      </c>
      <c r="AQ14">
        <f t="shared" si="27"/>
        <v>41.719078883377627</v>
      </c>
      <c r="AR14" t="str">
        <f>VLOOKUP($B14,'Data availability'!$A$2:$F$91,6,FALSE)</f>
        <v>Y</v>
      </c>
      <c r="AS14" cm="1">
        <f t="array" ref="AS14">IFERROR(QUARTILE(_xlfn._xlws.FILTER($AQ$3:$AQ$61, ($H$3:$H$61=$H14) * ($AQ$3:$AQ$61&gt;0)), 1), 0)</f>
        <v>7.9248587636469203</v>
      </c>
      <c r="AT14" cm="1">
        <f t="array" ref="AT14">IFERROR(QUARTILE(_xlfn._xlws.FILTER($AQ$3:$AQ$61, ($H$3:$H$61=$H14) * ($AQ$3:$AQ$61&gt;0)), 3), 0)</f>
        <v>35.341609909631828</v>
      </c>
      <c r="AU14">
        <f t="shared" si="17"/>
        <v>27.416751145984907</v>
      </c>
      <c r="AV14">
        <f t="shared" si="18"/>
        <v>-19.491892382337987</v>
      </c>
      <c r="AW14">
        <f t="shared" si="19"/>
        <v>62.758361055616732</v>
      </c>
      <c r="AX14" t="b">
        <f t="shared" si="28"/>
        <v>0</v>
      </c>
      <c r="AY14" t="b">
        <f t="shared" si="29"/>
        <v>0</v>
      </c>
      <c r="BA14" t="str">
        <v>Theater</v>
      </c>
      <c r="BB14">
        <f t="shared" si="20"/>
        <v>1</v>
      </c>
    </row>
    <row r="15" spans="2:54" x14ac:dyDescent="0.3">
      <c r="B15" t="s">
        <v>138</v>
      </c>
      <c r="C15">
        <f>SUMIF('SkYSPark Data_w Will''s Data'!$C$3:$C$734,Outliers!$B15,'SkYSPark Data_w Will''s Data'!$G$3:$G$734)</f>
        <v>38020.236363636315</v>
      </c>
      <c r="D15">
        <f>SUMIF('SkYSPark Data_w Will''s Data'!$C$3:$C$734,Outliers!$B15,'SkYSPark Data_w Will''s Data'!$I$3:$I$734)</f>
        <v>926.78787878787875</v>
      </c>
      <c r="E15">
        <f>SUMIF('SkYSPark Data_w Will''s Data'!$C$3:$C$734,Outliers!$B15,'SkYSPark Data_w Will''s Data'!$J$3:$J$734)</f>
        <v>0</v>
      </c>
      <c r="F15">
        <f>SUMIF('SkYSPark Data_w Will''s Data'!$C$3:$C$734,Outliers!$B15,'SkYSPark Data_w Will''s Data'!$K$3:$K$734)</f>
        <v>0</v>
      </c>
      <c r="G15">
        <f>INDEX('SkYSPark Data_w Will''s Data'!$E$3:$E$734,MATCH(Outliers!B15,'SkYSPark Data_w Will''s Data'!$C$3:$C$734,0))</f>
        <v>12889</v>
      </c>
      <c r="H15" t="str">
        <f>INDEX('SkYSPark Data_w Will''s Data'!$F$3:$F$734,MATCH(Outliers!B15,'SkYSPark Data_w Will''s Data'!$C$3:$C$734,0))</f>
        <v>Academic</v>
      </c>
      <c r="I15">
        <f t="shared" si="0"/>
        <v>17.255321153814492</v>
      </c>
      <c r="J15" cm="1">
        <f t="array" ref="J15">QUARTILE(_xlfn._xlws.FILTER($I$3:$I$61,$H$3:$H$61=H15),1)</f>
        <v>42.21959902044307</v>
      </c>
      <c r="K15" cm="1">
        <f t="array" ref="K15">QUARTILE(_xlfn._xlws.FILTER($I$3:$I$61,$H$3:$H$61=H15),3)</f>
        <v>103.33423599964128</v>
      </c>
      <c r="L15">
        <f t="shared" si="1"/>
        <v>61.11463697919821</v>
      </c>
      <c r="M15">
        <f t="shared" si="2"/>
        <v>-18.89503795875514</v>
      </c>
      <c r="N15">
        <f t="shared" si="3"/>
        <v>164.44887297883949</v>
      </c>
      <c r="O15" t="b">
        <f t="shared" si="4"/>
        <v>0</v>
      </c>
      <c r="P15">
        <f t="shared" si="30"/>
        <v>10.064787529888052</v>
      </c>
      <c r="Q15" t="str">
        <f>VLOOKUP($B15,'Data availability'!$A$2:$F$91,3,FALSE)</f>
        <v>Y</v>
      </c>
      <c r="R15" cm="1">
        <f t="array" ref="R15">IFERROR(QUARTILE(_xlfn._xlws.FILTER($P$3:$P$61, ($H$3:$H$61=$H15) * ($P$3:$P$61&gt;0)), 1), 0)</f>
        <v>14.691000795498219</v>
      </c>
      <c r="S15" cm="1">
        <f t="array" ref="S15">IFERROR(QUARTILE(_xlfn._xlws.FILTER($P$3:$P$61, ($H$3:$H$61=$H15) * ($P$3:$P$61&gt;0)), 3), 0)</f>
        <v>30.985762878217994</v>
      </c>
      <c r="T15">
        <f t="shared" si="6"/>
        <v>16.294762082719775</v>
      </c>
      <c r="U15">
        <f t="shared" si="7"/>
        <v>-1.6037612872215554</v>
      </c>
      <c r="V15">
        <f t="shared" si="8"/>
        <v>47.280524960937768</v>
      </c>
      <c r="W15" t="b">
        <f t="shared" si="21"/>
        <v>0</v>
      </c>
      <c r="X15" t="b">
        <f t="shared" si="22"/>
        <v>0</v>
      </c>
      <c r="Y15">
        <f t="shared" si="9"/>
        <v>7.1905336239264388</v>
      </c>
      <c r="Z15" t="str">
        <f>VLOOKUP($B15,'Data availability'!$A$2:$F$91,4,FALSE)</f>
        <v>Y</v>
      </c>
      <c r="AA15" cm="1">
        <f t="array" ref="AA15">IFERROR(QUARTILE(_xlfn._xlws.FILTER($Y$3:$Y$61, ($H$3:$H$61=$H15) * ($Y$3:$Y$61&gt;0)), 1), 0)</f>
        <v>2.3207880548899436</v>
      </c>
      <c r="AB15" cm="1">
        <f t="array" ref="AB15">IFERROR(QUARTILE(_xlfn._xlws.FILTER($Y$3:$Y$61, ($H$3:$H$61=$H15) * ($Y$3:$Y$61&gt;0)), 3), 0)</f>
        <v>5.5117751255024281</v>
      </c>
      <c r="AC15">
        <f t="shared" si="10"/>
        <v>3.1909870706124845</v>
      </c>
      <c r="AD15">
        <f t="shared" si="11"/>
        <v>-0.87019901572254099</v>
      </c>
      <c r="AE15">
        <f t="shared" si="12"/>
        <v>8.7027621961149126</v>
      </c>
      <c r="AF15" t="b">
        <f t="shared" si="23"/>
        <v>0</v>
      </c>
      <c r="AG15" t="b">
        <f t="shared" si="24"/>
        <v>0</v>
      </c>
      <c r="AH15">
        <f t="shared" si="13"/>
        <v>0</v>
      </c>
      <c r="AI15" t="str">
        <f>VLOOKUP($B15,'Data availability'!$A$2:$F$91,5,FALSE)</f>
        <v>-</v>
      </c>
      <c r="AJ15" cm="1">
        <f t="array" ref="AJ15">IFERROR(QUARTILE(_xlfn._xlws.FILTER($AH$3:$AH$61, ($H$3:$H$61=$H15) * ($AH$3:$AH$61&gt;0)), 1), 0)</f>
        <v>20.962789979692385</v>
      </c>
      <c r="AK15" cm="1">
        <f t="array" ref="AK15">IFERROR(QUARTILE(_xlfn._xlws.FILTER($AH$3:$AH$61, ($H$3:$H$61=$H15) * ($AH$3:$AH$61&gt;0)), 3), 0)</f>
        <v>37.598619727031377</v>
      </c>
      <c r="AL15">
        <f t="shared" si="14"/>
        <v>16.635829747338992</v>
      </c>
      <c r="AM15">
        <f t="shared" si="15"/>
        <v>4.3269602323533931</v>
      </c>
      <c r="AN15">
        <f t="shared" si="16"/>
        <v>54.234449474370365</v>
      </c>
      <c r="AO15" t="b">
        <f t="shared" si="25"/>
        <v>1</v>
      </c>
      <c r="AP15" t="b">
        <f t="shared" si="26"/>
        <v>1</v>
      </c>
      <c r="AQ15">
        <f t="shared" si="27"/>
        <v>0</v>
      </c>
      <c r="AR15" t="str">
        <f>VLOOKUP($B15,'Data availability'!$A$2:$F$91,6,FALSE)</f>
        <v>-</v>
      </c>
      <c r="AS15" cm="1">
        <f t="array" ref="AS15">IFERROR(QUARTILE(_xlfn._xlws.FILTER($AQ$3:$AQ$61, ($H$3:$H$61=$H15) * ($AQ$3:$AQ$61&gt;0)), 1), 0)</f>
        <v>7.9248587636469203</v>
      </c>
      <c r="AT15" cm="1">
        <f t="array" ref="AT15">IFERROR(QUARTILE(_xlfn._xlws.FILTER($AQ$3:$AQ$61, ($H$3:$H$61=$H15) * ($AQ$3:$AQ$61&gt;0)), 3), 0)</f>
        <v>35.341609909631828</v>
      </c>
      <c r="AU15">
        <f t="shared" si="17"/>
        <v>27.416751145984907</v>
      </c>
      <c r="AV15">
        <f t="shared" si="18"/>
        <v>-19.491892382337987</v>
      </c>
      <c r="AW15">
        <f t="shared" si="19"/>
        <v>62.758361055616732</v>
      </c>
      <c r="AX15" t="b">
        <f t="shared" si="28"/>
        <v>1</v>
      </c>
      <c r="AY15" t="b">
        <f t="shared" si="29"/>
        <v>1</v>
      </c>
      <c r="BA15" t="str">
        <v>Food Sale</v>
      </c>
    </row>
    <row r="16" spans="2:54" x14ac:dyDescent="0.3">
      <c r="B16" t="s">
        <v>139</v>
      </c>
      <c r="C16">
        <f>SUMIF('SkYSPark Data_w Will''s Data'!$C$3:$C$734,Outliers!$B16,'SkYSPark Data_w Will''s Data'!$G$3:$G$734)</f>
        <v>782515.00699999998</v>
      </c>
      <c r="D16">
        <f>SUMIF('SkYSPark Data_w Will''s Data'!$C$3:$C$734,Outliers!$B16,'SkYSPark Data_w Will''s Data'!$I$3:$I$734)</f>
        <v>0</v>
      </c>
      <c r="E16">
        <f>SUMIF('SkYSPark Data_w Will''s Data'!$C$3:$C$734,Outliers!$B16,'SkYSPark Data_w Will''s Data'!$J$3:$J$734)</f>
        <v>34145.665739999997</v>
      </c>
      <c r="F16">
        <f>SUMIF('SkYSPark Data_w Will''s Data'!$C$3:$C$734,Outliers!$B16,'SkYSPark Data_w Will''s Data'!$K$3:$K$734)</f>
        <v>231395.90118894429</v>
      </c>
      <c r="G16">
        <f>INDEX('SkYSPark Data_w Will''s Data'!$E$3:$E$734,MATCH(Outliers!B16,'SkYSPark Data_w Will''s Data'!$C$3:$C$734,0))</f>
        <v>192428</v>
      </c>
      <c r="H16" t="str">
        <f>INDEX('SkYSPark Data_w Will''s Data'!$F$3:$F$734,MATCH(Outliers!B16,'SkYSPark Data_w Will''s Data'!$C$3:$C$734,0))</f>
        <v>Academic</v>
      </c>
      <c r="I16">
        <f t="shared" si="0"/>
        <v>46.049735964367613</v>
      </c>
      <c r="J16" cm="1">
        <f t="array" ref="J16">QUARTILE(_xlfn._xlws.FILTER($I$3:$I$61,$H$3:$H$61=H16),1)</f>
        <v>42.21959902044307</v>
      </c>
      <c r="K16" cm="1">
        <f t="array" ref="K16">QUARTILE(_xlfn._xlws.FILTER($I$3:$I$61,$H$3:$H$61=H16),3)</f>
        <v>103.33423599964128</v>
      </c>
      <c r="L16">
        <f t="shared" si="1"/>
        <v>61.11463697919821</v>
      </c>
      <c r="M16">
        <f t="shared" si="2"/>
        <v>-18.89503795875514</v>
      </c>
      <c r="N16">
        <f t="shared" si="3"/>
        <v>164.44887297883949</v>
      </c>
      <c r="O16" t="b">
        <f t="shared" si="4"/>
        <v>0</v>
      </c>
      <c r="P16">
        <f t="shared" si="30"/>
        <v>13.875014051406239</v>
      </c>
      <c r="Q16" t="str">
        <f>VLOOKUP($B16,'Data availability'!$A$2:$F$91,3,FALSE)</f>
        <v>Y</v>
      </c>
      <c r="R16" cm="1">
        <f t="array" ref="R16">IFERROR(QUARTILE(_xlfn._xlws.FILTER($P$3:$P$61, ($H$3:$H$61=$H16) * ($P$3:$P$61&gt;0)), 1), 0)</f>
        <v>14.691000795498219</v>
      </c>
      <c r="S16" cm="1">
        <f t="array" ref="S16">IFERROR(QUARTILE(_xlfn._xlws.FILTER($P$3:$P$61, ($H$3:$H$61=$H16) * ($P$3:$P$61&gt;0)), 3), 0)</f>
        <v>30.985762878217994</v>
      </c>
      <c r="T16">
        <f t="shared" si="6"/>
        <v>16.294762082719775</v>
      </c>
      <c r="U16">
        <f t="shared" si="7"/>
        <v>-1.6037612872215554</v>
      </c>
      <c r="V16">
        <f t="shared" si="8"/>
        <v>47.280524960937768</v>
      </c>
      <c r="W16" t="b">
        <f t="shared" si="21"/>
        <v>0</v>
      </c>
      <c r="X16" t="b">
        <f t="shared" si="22"/>
        <v>0</v>
      </c>
      <c r="Y16">
        <f t="shared" si="9"/>
        <v>0</v>
      </c>
      <c r="Z16" t="str">
        <f>VLOOKUP($B16,'Data availability'!$A$2:$F$91,4,FALSE)</f>
        <v>-</v>
      </c>
      <c r="AA16" cm="1">
        <f t="array" ref="AA16">IFERROR(QUARTILE(_xlfn._xlws.FILTER($Y$3:$Y$61, ($H$3:$H$61=$H16) * ($Y$3:$Y$61&gt;0)), 1), 0)</f>
        <v>2.3207880548899436</v>
      </c>
      <c r="AB16" cm="1">
        <f t="array" ref="AB16">IFERROR(QUARTILE(_xlfn._xlws.FILTER($Y$3:$Y$61, ($H$3:$H$61=$H16) * ($Y$3:$Y$61&gt;0)), 3), 0)</f>
        <v>5.5117751255024281</v>
      </c>
      <c r="AC16">
        <f t="shared" si="10"/>
        <v>3.1909870706124845</v>
      </c>
      <c r="AD16">
        <f t="shared" si="11"/>
        <v>-0.87019901572254099</v>
      </c>
      <c r="AE16">
        <f t="shared" si="12"/>
        <v>8.7027621961149126</v>
      </c>
      <c r="AF16" t="b">
        <f t="shared" si="23"/>
        <v>1</v>
      </c>
      <c r="AG16" t="b">
        <f t="shared" si="24"/>
        <v>1</v>
      </c>
      <c r="AH16">
        <f t="shared" si="13"/>
        <v>17.744645134803665</v>
      </c>
      <c r="AI16" t="str">
        <f>VLOOKUP($B16,'Data availability'!$A$2:$F$91,5,FALSE)</f>
        <v>Y</v>
      </c>
      <c r="AJ16" cm="1">
        <f t="array" ref="AJ16">IFERROR(QUARTILE(_xlfn._xlws.FILTER($AH$3:$AH$61, ($H$3:$H$61=$H16) * ($AH$3:$AH$61&gt;0)), 1), 0)</f>
        <v>20.962789979692385</v>
      </c>
      <c r="AK16" cm="1">
        <f t="array" ref="AK16">IFERROR(QUARTILE(_xlfn._xlws.FILTER($AH$3:$AH$61, ($H$3:$H$61=$H16) * ($AH$3:$AH$61&gt;0)), 3), 0)</f>
        <v>37.598619727031377</v>
      </c>
      <c r="AL16">
        <f t="shared" si="14"/>
        <v>16.635829747338992</v>
      </c>
      <c r="AM16">
        <f t="shared" si="15"/>
        <v>4.3269602323533931</v>
      </c>
      <c r="AN16">
        <f t="shared" si="16"/>
        <v>54.234449474370365</v>
      </c>
      <c r="AO16" t="b">
        <f t="shared" si="25"/>
        <v>0</v>
      </c>
      <c r="AP16" t="b">
        <f t="shared" si="26"/>
        <v>0</v>
      </c>
      <c r="AQ16">
        <f t="shared" si="27"/>
        <v>14.43007677815771</v>
      </c>
      <c r="AR16" t="str">
        <f>VLOOKUP($B16,'Data availability'!$A$2:$F$91,6,FALSE)</f>
        <v>Y</v>
      </c>
      <c r="AS16" cm="1">
        <f t="array" ref="AS16">IFERROR(QUARTILE(_xlfn._xlws.FILTER($AQ$3:$AQ$61, ($H$3:$H$61=$H16) * ($AQ$3:$AQ$61&gt;0)), 1), 0)</f>
        <v>7.9248587636469203</v>
      </c>
      <c r="AT16" cm="1">
        <f t="array" ref="AT16">IFERROR(QUARTILE(_xlfn._xlws.FILTER($AQ$3:$AQ$61, ($H$3:$H$61=$H16) * ($AQ$3:$AQ$61&gt;0)), 3), 0)</f>
        <v>35.341609909631828</v>
      </c>
      <c r="AU16">
        <f t="shared" si="17"/>
        <v>27.416751145984907</v>
      </c>
      <c r="AV16">
        <f t="shared" si="18"/>
        <v>-19.491892382337987</v>
      </c>
      <c r="AW16">
        <f t="shared" si="19"/>
        <v>62.758361055616732</v>
      </c>
      <c r="AX16" t="b">
        <f t="shared" si="28"/>
        <v>0</v>
      </c>
      <c r="AY16" t="b">
        <f t="shared" si="29"/>
        <v>0</v>
      </c>
    </row>
    <row r="17" spans="2:51" x14ac:dyDescent="0.3">
      <c r="B17" t="s">
        <v>140</v>
      </c>
      <c r="C17">
        <f>SUMIF('SkYSPark Data_w Will''s Data'!$C$3:$C$734,Outliers!$B17,'SkYSPark Data_w Will''s Data'!$G$3:$G$734)</f>
        <v>0</v>
      </c>
      <c r="D17">
        <f>SUMIF('SkYSPark Data_w Will''s Data'!$C$3:$C$734,Outliers!$B17,'SkYSPark Data_w Will''s Data'!$I$3:$I$734)</f>
        <v>0</v>
      </c>
      <c r="E17">
        <f>SUMIF('SkYSPark Data_w Will''s Data'!$C$3:$C$734,Outliers!$B17,'SkYSPark Data_w Will''s Data'!$J$3:$J$734)</f>
        <v>0</v>
      </c>
      <c r="F17">
        <f>SUMIF('SkYSPark Data_w Will''s Data'!$C$3:$C$734,Outliers!$B17,'SkYSPark Data_w Will''s Data'!$K$3:$K$734)</f>
        <v>0</v>
      </c>
      <c r="G17">
        <f>INDEX('SkYSPark Data_w Will''s Data'!$E$3:$E$734,MATCH(Outliers!B17,'SkYSPark Data_w Will''s Data'!$C$3:$C$734,0))</f>
        <v>4320</v>
      </c>
      <c r="H17" t="str">
        <f>INDEX('SkYSPark Data_w Will''s Data'!$F$3:$F$734,MATCH(Outliers!B17,'SkYSPark Data_w Will''s Data'!$C$3:$C$734,0))</f>
        <v>Storage</v>
      </c>
      <c r="I17">
        <f t="shared" si="0"/>
        <v>0</v>
      </c>
      <c r="J17" cm="1">
        <f t="array" ref="J17">QUARTILE(_xlfn._xlws.FILTER($I$3:$I$61,$H$3:$H$61=H17),1)</f>
        <v>3.4305431551831256</v>
      </c>
      <c r="K17" cm="1">
        <f t="array" ref="K17">QUARTILE(_xlfn._xlws.FILTER($I$3:$I$61,$H$3:$H$61=H17),3)</f>
        <v>58.84076585750978</v>
      </c>
      <c r="L17">
        <f t="shared" si="1"/>
        <v>55.410222702326656</v>
      </c>
      <c r="M17">
        <f t="shared" si="2"/>
        <v>-51.979679547143533</v>
      </c>
      <c r="N17">
        <f t="shared" si="3"/>
        <v>114.25098855983643</v>
      </c>
      <c r="O17" t="b">
        <f t="shared" si="4"/>
        <v>0</v>
      </c>
      <c r="P17">
        <f t="shared" si="30"/>
        <v>0</v>
      </c>
      <c r="Q17" t="str">
        <f>VLOOKUP($B17,'Data availability'!$A$2:$F$91,3,FALSE)</f>
        <v>N</v>
      </c>
      <c r="R17" cm="1">
        <f t="array" ref="R17">IFERROR(QUARTILE(_xlfn._xlws.FILTER($P$3:$P$61, ($H$3:$H$61=$H17) * ($P$3:$P$61&gt;0)), 1), 0)</f>
        <v>14.174440210505276</v>
      </c>
      <c r="S17" cm="1">
        <f t="array" ref="S17">IFERROR(QUARTILE(_xlfn._xlws.FILTER($P$3:$P$61, ($H$3:$H$61=$H17) * ($P$3:$P$61&gt;0)), 3), 0)</f>
        <v>39.262184289824951</v>
      </c>
      <c r="T17">
        <f t="shared" si="6"/>
        <v>25.087744079319677</v>
      </c>
      <c r="U17">
        <f t="shared" si="7"/>
        <v>-10.913303868814401</v>
      </c>
      <c r="V17">
        <f t="shared" si="8"/>
        <v>64.349928369144635</v>
      </c>
      <c r="W17" t="b">
        <f t="shared" si="21"/>
        <v>1</v>
      </c>
      <c r="X17" t="b">
        <f t="shared" si="22"/>
        <v>1</v>
      </c>
      <c r="Y17">
        <f t="shared" si="9"/>
        <v>0</v>
      </c>
      <c r="Z17" t="str">
        <f>VLOOKUP($B17,'Data availability'!$A$2:$F$91,4,FALSE)</f>
        <v>-</v>
      </c>
      <c r="AA17" cm="1">
        <f t="array" ref="AA17">IFERROR(QUARTILE(_xlfn._xlws.FILTER($Y$3:$Y$61, ($H$3:$H$61=$H17) * ($Y$3:$Y$61&gt;0)), 1), 0)</f>
        <v>47.339603452622192</v>
      </c>
      <c r="AB17" cm="1">
        <f t="array" ref="AB17">IFERROR(QUARTILE(_xlfn._xlws.FILTER($Y$3:$Y$61, ($H$3:$H$61=$H17) * ($Y$3:$Y$61&gt;0)), 3), 0)</f>
        <v>47.339603452622192</v>
      </c>
      <c r="AC17">
        <f t="shared" si="10"/>
        <v>0</v>
      </c>
      <c r="AD17">
        <f t="shared" si="11"/>
        <v>47.339603452622192</v>
      </c>
      <c r="AE17">
        <f t="shared" si="12"/>
        <v>47.339603452622192</v>
      </c>
      <c r="AF17" t="b">
        <f t="shared" si="23"/>
        <v>1</v>
      </c>
      <c r="AG17" t="b">
        <f t="shared" si="24"/>
        <v>1</v>
      </c>
      <c r="AH17">
        <f t="shared" si="13"/>
        <v>0</v>
      </c>
      <c r="AI17" t="str">
        <f>VLOOKUP($B17,'Data availability'!$A$2:$F$91,5,FALSE)</f>
        <v>-</v>
      </c>
      <c r="AJ17" cm="1">
        <f t="array" ref="AJ17">IFERROR(QUARTILE(_xlfn._xlws.FILTER($AH$3:$AH$61, ($H$3:$H$61=$H17) * ($AH$3:$AH$61&gt;0)), 1), 0)</f>
        <v>0</v>
      </c>
      <c r="AK17" cm="1">
        <f t="array" ref="AK17">IFERROR(QUARTILE(_xlfn._xlws.FILTER($AH$3:$AH$61, ($H$3:$H$61=$H17) * ($AH$3:$AH$61&gt;0)), 3), 0)</f>
        <v>0</v>
      </c>
      <c r="AL17">
        <f t="shared" si="14"/>
        <v>0</v>
      </c>
      <c r="AM17">
        <f t="shared" si="15"/>
        <v>0</v>
      </c>
      <c r="AN17">
        <f t="shared" si="16"/>
        <v>0</v>
      </c>
      <c r="AO17" t="b">
        <f t="shared" si="25"/>
        <v>1</v>
      </c>
      <c r="AP17" t="b">
        <f t="shared" si="26"/>
        <v>1</v>
      </c>
      <c r="AQ17">
        <f t="shared" si="27"/>
        <v>0</v>
      </c>
      <c r="AR17" t="str">
        <f>VLOOKUP($B17,'Data availability'!$A$2:$F$91,6,FALSE)</f>
        <v>-</v>
      </c>
      <c r="AS17" cm="1">
        <f t="array" ref="AS17">IFERROR(QUARTILE(_xlfn._xlws.FILTER($AQ$3:$AQ$61, ($H$3:$H$61=$H17) * ($AQ$3:$AQ$61&gt;0)), 1), 0)</f>
        <v>0</v>
      </c>
      <c r="AT17" cm="1">
        <f t="array" ref="AT17">IFERROR(QUARTILE(_xlfn._xlws.FILTER($AQ$3:$AQ$61, ($H$3:$H$61=$H17) * ($AQ$3:$AQ$61&gt;0)), 3), 0)</f>
        <v>0</v>
      </c>
      <c r="AU17">
        <f t="shared" si="17"/>
        <v>0</v>
      </c>
      <c r="AV17">
        <f t="shared" si="18"/>
        <v>0</v>
      </c>
      <c r="AW17">
        <f t="shared" si="19"/>
        <v>0</v>
      </c>
      <c r="AX17" t="b">
        <f t="shared" si="28"/>
        <v>1</v>
      </c>
      <c r="AY17" t="b">
        <f t="shared" si="29"/>
        <v>1</v>
      </c>
    </row>
    <row r="18" spans="2:51" x14ac:dyDescent="0.3">
      <c r="B18" t="s">
        <v>715</v>
      </c>
      <c r="C18">
        <f>SUMIF('SkYSPark Data_w Will''s Data'!$C$3:$C$734,Outliers!$B18,'SkYSPark Data_w Will''s Data'!$G$3:$G$734)</f>
        <v>0</v>
      </c>
      <c r="D18">
        <f>SUMIF('SkYSPark Data_w Will''s Data'!$C$3:$C$734,Outliers!$B18,'SkYSPark Data_w Will''s Data'!$I$3:$I$734)</f>
        <v>2787.7666666666601</v>
      </c>
      <c r="E18">
        <f>SUMIF('SkYSPark Data_w Will''s Data'!$C$3:$C$734,Outliers!$B18,'SkYSPark Data_w Will''s Data'!$J$3:$J$734)</f>
        <v>0</v>
      </c>
      <c r="F18">
        <f>SUMIF('SkYSPark Data_w Will''s Data'!$C$3:$C$734,Outliers!$B18,'SkYSPark Data_w Will''s Data'!$K$3:$K$734)</f>
        <v>0</v>
      </c>
      <c r="G18">
        <f>INDEX('SkYSPark Data_w Will''s Data'!$E$3:$E$734,MATCH(Outliers!B18,'SkYSPark Data_w Will''s Data'!$C$3:$C$734,0))</f>
        <v>42019</v>
      </c>
      <c r="H18" t="str">
        <f>INDEX('SkYSPark Data_w Will''s Data'!$F$3:$F$734,MATCH(Outliers!B18,'SkYSPark Data_w Will''s Data'!$C$3:$C$734,0))</f>
        <v>Office</v>
      </c>
      <c r="I18">
        <f t="shared" si="0"/>
        <v>6.6345383437651062</v>
      </c>
      <c r="J18" cm="1">
        <f t="array" ref="J18">QUARTILE(_xlfn._xlws.FILTER($I$3:$I$61,$H$3:$H$61=H18),1)</f>
        <v>8.8203385892012705</v>
      </c>
      <c r="K18" cm="1">
        <f t="array" ref="K18">QUARTILE(_xlfn._xlws.FILTER($I$3:$I$61,$H$3:$H$61=H18),3)</f>
        <v>69.275490194408547</v>
      </c>
      <c r="L18">
        <f t="shared" si="1"/>
        <v>60.455151605207277</v>
      </c>
      <c r="M18">
        <f t="shared" si="2"/>
        <v>-51.634813016006007</v>
      </c>
      <c r="N18">
        <f t="shared" si="3"/>
        <v>129.73064179961582</v>
      </c>
      <c r="O18" t="b">
        <f t="shared" si="4"/>
        <v>0</v>
      </c>
      <c r="P18">
        <f t="shared" si="30"/>
        <v>0</v>
      </c>
      <c r="Q18" t="e">
        <f>VLOOKUP($B18,'Data availability'!$A$2:$F$91,3,FALSE)</f>
        <v>#N/A</v>
      </c>
      <c r="R18" cm="1">
        <f t="array" ref="R18">IFERROR(QUARTILE(_xlfn._xlws.FILTER($P$3:$P$61, ($H$3:$H$61=$H18) * ($P$3:$P$61&gt;0)), 1), 0)</f>
        <v>15.284554956771059</v>
      </c>
      <c r="S18" cm="1">
        <f t="array" ref="S18">IFERROR(QUARTILE(_xlfn._xlws.FILTER($P$3:$P$61, ($H$3:$H$61=$H18) * ($P$3:$P$61&gt;0)), 3), 0)</f>
        <v>46.24076613564857</v>
      </c>
      <c r="T18">
        <f t="shared" si="6"/>
        <v>30.95621117887751</v>
      </c>
      <c r="U18">
        <f t="shared" si="7"/>
        <v>-15.671656222106451</v>
      </c>
      <c r="V18">
        <f t="shared" si="8"/>
        <v>77.19697731452608</v>
      </c>
      <c r="W18" t="b">
        <f t="shared" si="21"/>
        <v>1</v>
      </c>
      <c r="X18" t="b">
        <f t="shared" si="22"/>
        <v>1</v>
      </c>
      <c r="Y18">
        <f t="shared" si="9"/>
        <v>6.6345383437651062</v>
      </c>
      <c r="Z18" t="e">
        <f>VLOOKUP($B18,'Data availability'!$A$2:$F$91,4,FALSE)</f>
        <v>#N/A</v>
      </c>
      <c r="AA18" cm="1">
        <f t="array" ref="AA18">IFERROR(QUARTILE(_xlfn._xlws.FILTER($Y$3:$Y$61, ($H$3:$H$61=$H18) * ($Y$3:$Y$61&gt;0)), 1), 0)</f>
        <v>6.5665650736195023</v>
      </c>
      <c r="AB18" cm="1">
        <f t="array" ref="AB18">IFERROR(QUARTILE(_xlfn._xlws.FILTER($Y$3:$Y$61, ($H$3:$H$61=$H18) * ($Y$3:$Y$61&gt;0)), 3), 0)</f>
        <v>25.940532343422344</v>
      </c>
      <c r="AC18">
        <f t="shared" si="10"/>
        <v>19.37396726980284</v>
      </c>
      <c r="AD18">
        <f t="shared" si="11"/>
        <v>-12.807402196183338</v>
      </c>
      <c r="AE18">
        <f t="shared" si="12"/>
        <v>45.31449961322518</v>
      </c>
      <c r="AF18" t="b">
        <f t="shared" si="23"/>
        <v>0</v>
      </c>
      <c r="AG18" t="b">
        <f t="shared" si="24"/>
        <v>0</v>
      </c>
      <c r="AH18">
        <f t="shared" si="13"/>
        <v>0</v>
      </c>
      <c r="AI18" t="e">
        <f>VLOOKUP($B18,'Data availability'!$A$2:$F$91,5,FALSE)</f>
        <v>#N/A</v>
      </c>
      <c r="AJ18" cm="1">
        <f t="array" ref="AJ18">IFERROR(QUARTILE(_xlfn._xlws.FILTER($AH$3:$AH$61, ($H$3:$H$61=$H18) * ($AH$3:$AH$61&gt;0)), 1), 0)</f>
        <v>16.477362470385007</v>
      </c>
      <c r="AK18" cm="1">
        <f t="array" ref="AK18">IFERROR(QUARTILE(_xlfn._xlws.FILTER($AH$3:$AH$61, ($H$3:$H$61=$H18) * ($AH$3:$AH$61&gt;0)), 3), 0)</f>
        <v>23.950261445766277</v>
      </c>
      <c r="AL18">
        <f t="shared" si="14"/>
        <v>7.4728989753812698</v>
      </c>
      <c r="AM18">
        <f t="shared" si="15"/>
        <v>9.004463495003737</v>
      </c>
      <c r="AN18">
        <f t="shared" si="16"/>
        <v>31.423160421147546</v>
      </c>
      <c r="AO18" t="b">
        <f t="shared" si="25"/>
        <v>1</v>
      </c>
      <c r="AP18" t="b">
        <f t="shared" si="26"/>
        <v>1</v>
      </c>
      <c r="AQ18">
        <f t="shared" si="27"/>
        <v>0</v>
      </c>
      <c r="AR18" t="e">
        <f>VLOOKUP($B18,'Data availability'!$A$2:$F$91,6,FALSE)</f>
        <v>#N/A</v>
      </c>
      <c r="AS18" cm="1">
        <f t="array" ref="AS18">IFERROR(QUARTILE(_xlfn._xlws.FILTER($AQ$3:$AQ$61, ($H$3:$H$61=$H18) * ($AQ$3:$AQ$61&gt;0)), 1), 0)</f>
        <v>11.329125107085785</v>
      </c>
      <c r="AT18" cm="1">
        <f t="array" ref="AT18">IFERROR(QUARTILE(_xlfn._xlws.FILTER($AQ$3:$AQ$61, ($H$3:$H$61=$H18) * ($AQ$3:$AQ$61&gt;0)), 3), 0)</f>
        <v>16.085135960920159</v>
      </c>
      <c r="AU18">
        <f t="shared" si="17"/>
        <v>4.7560108538343737</v>
      </c>
      <c r="AV18">
        <f t="shared" si="18"/>
        <v>6.5731142532514113</v>
      </c>
      <c r="AW18">
        <f t="shared" si="19"/>
        <v>20.841146814754531</v>
      </c>
      <c r="AX18" t="b">
        <f t="shared" si="28"/>
        <v>1</v>
      </c>
      <c r="AY18" t="b">
        <f t="shared" si="29"/>
        <v>1</v>
      </c>
    </row>
    <row r="19" spans="2:51" x14ac:dyDescent="0.3">
      <c r="B19" t="s">
        <v>142</v>
      </c>
      <c r="C19">
        <f>SUMIF('SkYSPark Data_w Will''s Data'!$C$3:$C$734,Outliers!$B19,'SkYSPark Data_w Will''s Data'!$G$3:$G$734)</f>
        <v>0</v>
      </c>
      <c r="D19">
        <f>SUMIF('SkYSPark Data_w Will''s Data'!$C$3:$C$734,Outliers!$B19,'SkYSPark Data_w Will''s Data'!$I$3:$I$734)</f>
        <v>0</v>
      </c>
      <c r="E19">
        <f>SUMIF('SkYSPark Data_w Will''s Data'!$C$3:$C$734,Outliers!$B19,'SkYSPark Data_w Will''s Data'!$J$3:$J$734)</f>
        <v>0</v>
      </c>
      <c r="F19">
        <f>SUMIF('SkYSPark Data_w Will''s Data'!$C$3:$C$734,Outliers!$B19,'SkYSPark Data_w Will''s Data'!$K$3:$K$734)</f>
        <v>0</v>
      </c>
      <c r="G19">
        <f>INDEX('SkYSPark Data_w Will''s Data'!$E$3:$E$734,MATCH(Outliers!B19,'SkYSPark Data_w Will''s Data'!$C$3:$C$734,0))</f>
        <v>29182</v>
      </c>
      <c r="H19" t="str">
        <f>INDEX('SkYSPark Data_w Will''s Data'!$F$3:$F$734,MATCH(Outliers!B19,'SkYSPark Data_w Will''s Data'!$C$3:$C$734,0))</f>
        <v>Warehouse</v>
      </c>
      <c r="I19">
        <f t="shared" si="0"/>
        <v>0</v>
      </c>
      <c r="J19" cm="1">
        <f t="array" ref="J19">QUARTILE(_xlfn._xlws.FILTER($I$3:$I$61,$H$3:$H$61=H19),1)</f>
        <v>0</v>
      </c>
      <c r="K19" cm="1">
        <f t="array" ref="K19">QUARTILE(_xlfn._xlws.FILTER($I$3:$I$61,$H$3:$H$61=H19),3)</f>
        <v>0</v>
      </c>
      <c r="L19">
        <f t="shared" si="1"/>
        <v>0</v>
      </c>
      <c r="M19">
        <f t="shared" si="2"/>
        <v>0</v>
      </c>
      <c r="N19">
        <f t="shared" si="3"/>
        <v>0</v>
      </c>
      <c r="O19" t="b">
        <f t="shared" si="4"/>
        <v>0</v>
      </c>
      <c r="P19">
        <f t="shared" si="30"/>
        <v>0</v>
      </c>
      <c r="Q19" t="str">
        <f>VLOOKUP($B19,'Data availability'!$A$2:$F$91,3,FALSE)</f>
        <v>-</v>
      </c>
      <c r="R19" cm="1">
        <f t="array" ref="R19">IFERROR(QUARTILE(_xlfn._xlws.FILTER($P$3:$P$61, ($H$3:$H$61=$H19) * ($P$3:$P$61&gt;0)), 1), 0)</f>
        <v>0</v>
      </c>
      <c r="S19" cm="1">
        <f t="array" ref="S19">IFERROR(QUARTILE(_xlfn._xlws.FILTER($P$3:$P$61, ($H$3:$H$61=$H19) * ($P$3:$P$61&gt;0)), 3), 0)</f>
        <v>0</v>
      </c>
      <c r="T19">
        <f t="shared" si="6"/>
        <v>0</v>
      </c>
      <c r="U19">
        <f t="shared" si="7"/>
        <v>0</v>
      </c>
      <c r="V19">
        <f t="shared" si="8"/>
        <v>0</v>
      </c>
      <c r="W19" t="b">
        <f t="shared" si="21"/>
        <v>1</v>
      </c>
      <c r="X19" t="b">
        <f t="shared" si="22"/>
        <v>1</v>
      </c>
      <c r="Y19">
        <f t="shared" si="9"/>
        <v>0</v>
      </c>
      <c r="Z19" t="str">
        <f>VLOOKUP($B19,'Data availability'!$A$2:$F$91,4,FALSE)</f>
        <v>-</v>
      </c>
      <c r="AA19" cm="1">
        <f t="array" ref="AA19">IFERROR(QUARTILE(_xlfn._xlws.FILTER($Y$3:$Y$61, ($H$3:$H$61=$H19) * ($Y$3:$Y$61&gt;0)), 1), 0)</f>
        <v>0</v>
      </c>
      <c r="AB19" cm="1">
        <f t="array" ref="AB19">IFERROR(QUARTILE(_xlfn._xlws.FILTER($Y$3:$Y$61, ($H$3:$H$61=$H19) * ($Y$3:$Y$61&gt;0)), 3), 0)</f>
        <v>0</v>
      </c>
      <c r="AC19">
        <f t="shared" si="10"/>
        <v>0</v>
      </c>
      <c r="AD19">
        <f t="shared" si="11"/>
        <v>0</v>
      </c>
      <c r="AE19">
        <f t="shared" si="12"/>
        <v>0</v>
      </c>
      <c r="AF19" t="b">
        <f t="shared" si="23"/>
        <v>1</v>
      </c>
      <c r="AG19" t="b">
        <f t="shared" si="24"/>
        <v>1</v>
      </c>
      <c r="AH19">
        <f t="shared" si="13"/>
        <v>0</v>
      </c>
      <c r="AI19" t="str">
        <f>VLOOKUP($B19,'Data availability'!$A$2:$F$91,5,FALSE)</f>
        <v>-</v>
      </c>
      <c r="AJ19" cm="1">
        <f t="array" ref="AJ19">IFERROR(QUARTILE(_xlfn._xlws.FILTER($AH$3:$AH$61, ($H$3:$H$61=$H19) * ($AH$3:$AH$61&gt;0)), 1), 0)</f>
        <v>0</v>
      </c>
      <c r="AK19" cm="1">
        <f t="array" ref="AK19">IFERROR(QUARTILE(_xlfn._xlws.FILTER($AH$3:$AH$61, ($H$3:$H$61=$H19) * ($AH$3:$AH$61&gt;0)), 3), 0)</f>
        <v>0</v>
      </c>
      <c r="AL19">
        <f t="shared" si="14"/>
        <v>0</v>
      </c>
      <c r="AM19">
        <f t="shared" si="15"/>
        <v>0</v>
      </c>
      <c r="AN19">
        <f t="shared" si="16"/>
        <v>0</v>
      </c>
      <c r="AO19" t="b">
        <f t="shared" si="25"/>
        <v>1</v>
      </c>
      <c r="AP19" t="b">
        <f t="shared" si="26"/>
        <v>1</v>
      </c>
      <c r="AQ19">
        <f t="shared" si="27"/>
        <v>0</v>
      </c>
      <c r="AR19" t="str">
        <f>VLOOKUP($B19,'Data availability'!$A$2:$F$91,6,FALSE)</f>
        <v>-</v>
      </c>
      <c r="AS19" cm="1">
        <f t="array" ref="AS19">IFERROR(QUARTILE(_xlfn._xlws.FILTER($AQ$3:$AQ$61, ($H$3:$H$61=$H19) * ($AQ$3:$AQ$61&gt;0)), 1), 0)</f>
        <v>0</v>
      </c>
      <c r="AT19" cm="1">
        <f t="array" ref="AT19">IFERROR(QUARTILE(_xlfn._xlws.FILTER($AQ$3:$AQ$61, ($H$3:$H$61=$H19) * ($AQ$3:$AQ$61&gt;0)), 3), 0)</f>
        <v>0</v>
      </c>
      <c r="AU19">
        <f t="shared" si="17"/>
        <v>0</v>
      </c>
      <c r="AV19">
        <f t="shared" si="18"/>
        <v>0</v>
      </c>
      <c r="AW19">
        <f t="shared" si="19"/>
        <v>0</v>
      </c>
      <c r="AX19" t="b">
        <f t="shared" si="28"/>
        <v>1</v>
      </c>
      <c r="AY19" t="b">
        <f t="shared" si="29"/>
        <v>1</v>
      </c>
    </row>
    <row r="20" spans="2:51" x14ac:dyDescent="0.3">
      <c r="B20" t="s">
        <v>144</v>
      </c>
      <c r="C20">
        <f>SUMIF('SkYSPark Data_w Will''s Data'!$C$3:$C$734,Outliers!$B20,'SkYSPark Data_w Will''s Data'!$G$3:$G$734)</f>
        <v>910347.15999999933</v>
      </c>
      <c r="D20">
        <f>SUMIF('SkYSPark Data_w Will''s Data'!$C$3:$C$734,Outliers!$B20,'SkYSPark Data_w Will''s Data'!$I$3:$I$734)</f>
        <v>37179.433333333232</v>
      </c>
      <c r="E20">
        <f>SUMIF('SkYSPark Data_w Will''s Data'!$C$3:$C$734,Outliers!$B20,'SkYSPark Data_w Will''s Data'!$J$3:$J$734)</f>
        <v>0</v>
      </c>
      <c r="F20">
        <f>SUMIF('SkYSPark Data_w Will''s Data'!$C$3:$C$734,Outliers!$B20,'SkYSPark Data_w Will''s Data'!$K$3:$K$734)</f>
        <v>0</v>
      </c>
      <c r="G20">
        <f>INDEX('SkYSPark Data_w Will''s Data'!$E$3:$E$734,MATCH(Outliers!B20,'SkYSPark Data_w Will''s Data'!$C$3:$C$734,0))</f>
        <v>23925</v>
      </c>
      <c r="H20" t="str">
        <f>INDEX('SkYSPark Data_w Will''s Data'!$F$3:$F$734,MATCH(Outliers!B20,'SkYSPark Data_w Will''s Data'!$C$3:$C$734,0))</f>
        <v>Food Service</v>
      </c>
      <c r="I20">
        <f t="shared" si="0"/>
        <v>285.22666011508136</v>
      </c>
      <c r="J20" cm="1">
        <f t="array" ref="J20">QUARTILE(_xlfn._xlws.FILTER($I$3:$I$61,$H$3:$H$61=H20),1)</f>
        <v>71.30666502877034</v>
      </c>
      <c r="K20" cm="1">
        <f t="array" ref="K20">QUARTILE(_xlfn._xlws.FILTER($I$3:$I$61,$H$3:$H$61=H20),3)</f>
        <v>213.91999508631102</v>
      </c>
      <c r="L20">
        <f t="shared" si="1"/>
        <v>142.61333005754068</v>
      </c>
      <c r="M20">
        <f t="shared" si="2"/>
        <v>-71.30666502877034</v>
      </c>
      <c r="N20">
        <f t="shared" si="3"/>
        <v>356.5333251438517</v>
      </c>
      <c r="O20" t="b">
        <f t="shared" si="4"/>
        <v>0</v>
      </c>
      <c r="P20">
        <f t="shared" si="30"/>
        <v>129.82672977722038</v>
      </c>
      <c r="Q20" t="str">
        <f>VLOOKUP($B20,'Data availability'!$A$2:$F$91,3,FALSE)</f>
        <v>Y</v>
      </c>
      <c r="R20" cm="1">
        <f t="array" ref="R20">IFERROR(QUARTILE(_xlfn._xlws.FILTER($P$3:$P$61, ($H$3:$H$61=$H20) * ($P$3:$P$61&gt;0)), 1), 0)</f>
        <v>129.82672977722038</v>
      </c>
      <c r="S20" cm="1">
        <f t="array" ref="S20">IFERROR(QUARTILE(_xlfn._xlws.FILTER($P$3:$P$61, ($H$3:$H$61=$H20) * ($P$3:$P$61&gt;0)), 3), 0)</f>
        <v>129.82672977722038</v>
      </c>
      <c r="T20">
        <f t="shared" si="6"/>
        <v>0</v>
      </c>
      <c r="U20">
        <f t="shared" si="7"/>
        <v>129.82672977722038</v>
      </c>
      <c r="V20">
        <f t="shared" si="8"/>
        <v>129.82672977722038</v>
      </c>
      <c r="W20" t="b">
        <f t="shared" si="21"/>
        <v>0</v>
      </c>
      <c r="X20" t="b">
        <f t="shared" si="22"/>
        <v>0</v>
      </c>
      <c r="Y20">
        <f t="shared" si="9"/>
        <v>155.39993033786095</v>
      </c>
      <c r="Z20" t="str">
        <f>VLOOKUP($B20,'Data availability'!$A$2:$F$91,4,FALSE)</f>
        <v>Y</v>
      </c>
      <c r="AA20" cm="1">
        <f t="array" ref="AA20">IFERROR(QUARTILE(_xlfn._xlws.FILTER($Y$3:$Y$61, ($H$3:$H$61=$H20) * ($Y$3:$Y$61&gt;0)), 1), 0)</f>
        <v>155.39993033786095</v>
      </c>
      <c r="AB20" cm="1">
        <f t="array" ref="AB20">IFERROR(QUARTILE(_xlfn._xlws.FILTER($Y$3:$Y$61, ($H$3:$H$61=$H20) * ($Y$3:$Y$61&gt;0)), 3), 0)</f>
        <v>155.39993033786095</v>
      </c>
      <c r="AC20">
        <f t="shared" si="10"/>
        <v>0</v>
      </c>
      <c r="AD20">
        <f t="shared" si="11"/>
        <v>155.39993033786095</v>
      </c>
      <c r="AE20">
        <f t="shared" si="12"/>
        <v>155.39993033786095</v>
      </c>
      <c r="AF20" t="b">
        <f t="shared" si="23"/>
        <v>0</v>
      </c>
      <c r="AG20" t="b">
        <f t="shared" si="24"/>
        <v>0</v>
      </c>
      <c r="AH20">
        <f t="shared" si="13"/>
        <v>0</v>
      </c>
      <c r="AI20" t="str">
        <f>VLOOKUP($B20,'Data availability'!$A$2:$F$91,5,FALSE)</f>
        <v>-</v>
      </c>
      <c r="AJ20" cm="1">
        <f t="array" ref="AJ20">IFERROR(QUARTILE(_xlfn._xlws.FILTER($AH$3:$AH$61, ($H$3:$H$61=$H20) * ($AH$3:$AH$61&gt;0)), 1), 0)</f>
        <v>0</v>
      </c>
      <c r="AK20" cm="1">
        <f t="array" ref="AK20">IFERROR(QUARTILE(_xlfn._xlws.FILTER($AH$3:$AH$61, ($H$3:$H$61=$H20) * ($AH$3:$AH$61&gt;0)), 3), 0)</f>
        <v>0</v>
      </c>
      <c r="AL20">
        <f t="shared" si="14"/>
        <v>0</v>
      </c>
      <c r="AM20">
        <f t="shared" si="15"/>
        <v>0</v>
      </c>
      <c r="AN20">
        <f t="shared" si="16"/>
        <v>0</v>
      </c>
      <c r="AO20" t="b">
        <f t="shared" si="25"/>
        <v>1</v>
      </c>
      <c r="AP20" t="b">
        <f t="shared" si="26"/>
        <v>1</v>
      </c>
      <c r="AQ20">
        <f t="shared" si="27"/>
        <v>0</v>
      </c>
      <c r="AR20" t="str">
        <f>VLOOKUP($B20,'Data availability'!$A$2:$F$91,6,FALSE)</f>
        <v>-</v>
      </c>
      <c r="AS20" cm="1">
        <f t="array" ref="AS20">IFERROR(QUARTILE(_xlfn._xlws.FILTER($AQ$3:$AQ$61, ($H$3:$H$61=$H20) * ($AQ$3:$AQ$61&gt;0)), 1), 0)</f>
        <v>0</v>
      </c>
      <c r="AT20" cm="1">
        <f t="array" ref="AT20">IFERROR(QUARTILE(_xlfn._xlws.FILTER($AQ$3:$AQ$61, ($H$3:$H$61=$H20) * ($AQ$3:$AQ$61&gt;0)), 3), 0)</f>
        <v>0</v>
      </c>
      <c r="AU20">
        <f t="shared" si="17"/>
        <v>0</v>
      </c>
      <c r="AV20">
        <f t="shared" si="18"/>
        <v>0</v>
      </c>
      <c r="AW20">
        <f t="shared" si="19"/>
        <v>0</v>
      </c>
      <c r="AX20" t="b">
        <f t="shared" si="28"/>
        <v>1</v>
      </c>
      <c r="AY20" t="b">
        <f t="shared" si="29"/>
        <v>1</v>
      </c>
    </row>
    <row r="21" spans="2:51" x14ac:dyDescent="0.3">
      <c r="B21" t="s">
        <v>146</v>
      </c>
      <c r="C21">
        <f>SUMIF('SkYSPark Data_w Will''s Data'!$C$3:$C$734,Outliers!$B21,'SkYSPark Data_w Will''s Data'!$G$3:$G$734)</f>
        <v>3950956.9157768507</v>
      </c>
      <c r="D21">
        <f>SUMIF('SkYSPark Data_w Will''s Data'!$C$3:$C$734,Outliers!$B21,'SkYSPark Data_w Will''s Data'!$I$3:$I$734)</f>
        <v>0</v>
      </c>
      <c r="E21">
        <f>SUMIF('SkYSPark Data_w Will''s Data'!$C$3:$C$734,Outliers!$B21,'SkYSPark Data_w Will''s Data'!$J$3:$J$734)</f>
        <v>68233.285026123835</v>
      </c>
      <c r="F21">
        <f>SUMIF('SkYSPark Data_w Will''s Data'!$C$3:$C$734,Outliers!$B21,'SkYSPark Data_w Will''s Data'!$K$3:$K$734)</f>
        <v>1217847.8327740815</v>
      </c>
      <c r="G21">
        <f>INDEX('SkYSPark Data_w Will''s Data'!$E$3:$E$734,MATCH(Outliers!B21,'SkYSPark Data_w Will''s Data'!$C$3:$C$734,0))</f>
        <v>499221</v>
      </c>
      <c r="H21" t="str">
        <f>INDEX('SkYSPark Data_w Will''s Data'!$F$3:$F$734,MATCH(Outliers!B21,'SkYSPark Data_w Will''s Data'!$C$3:$C$734,0))</f>
        <v>Library</v>
      </c>
      <c r="I21">
        <f t="shared" si="0"/>
        <v>69.945309777697602</v>
      </c>
      <c r="J21" cm="1">
        <f t="array" ref="J21">QUARTILE(_xlfn._xlws.FILTER($I$3:$I$61,$H$3:$H$61=H21),1)</f>
        <v>40.147890915599049</v>
      </c>
      <c r="K21" cm="1">
        <f t="array" ref="K21">QUARTILE(_xlfn._xlws.FILTER($I$3:$I$61,$H$3:$H$61=H21),3)</f>
        <v>60.012836823664756</v>
      </c>
      <c r="L21">
        <f t="shared" si="1"/>
        <v>19.864945908065707</v>
      </c>
      <c r="M21">
        <f t="shared" si="2"/>
        <v>20.282945007533343</v>
      </c>
      <c r="N21">
        <f t="shared" si="3"/>
        <v>79.877782731730463</v>
      </c>
      <c r="O21" t="b">
        <f t="shared" si="4"/>
        <v>0</v>
      </c>
      <c r="P21">
        <f t="shared" si="30"/>
        <v>27.003401292474905</v>
      </c>
      <c r="Q21" t="str">
        <f>VLOOKUP($B21,'Data availability'!$A$2:$F$91,3,FALSE)</f>
        <v>Y</v>
      </c>
      <c r="R21" cm="1">
        <f t="array" ref="R21">IFERROR(QUARTILE(_xlfn._xlws.FILTER($P$3:$P$61, ($H$3:$H$61=$H21) * ($P$3:$P$61&gt;0)), 1), 0)</f>
        <v>27.806405459747729</v>
      </c>
      <c r="S21" cm="1">
        <f t="array" ref="S21">IFERROR(QUARTILE(_xlfn._xlws.FILTER($P$3:$P$61, ($H$3:$H$61=$H21) * ($P$3:$P$61&gt;0)), 3), 0)</f>
        <v>29.412413794293379</v>
      </c>
      <c r="T21">
        <f t="shared" si="6"/>
        <v>1.6060083345456491</v>
      </c>
      <c r="U21">
        <f t="shared" si="7"/>
        <v>26.20039712520208</v>
      </c>
      <c r="V21">
        <f t="shared" si="8"/>
        <v>31.018422128839028</v>
      </c>
      <c r="W21" t="b">
        <f t="shared" si="21"/>
        <v>0</v>
      </c>
      <c r="X21" t="b">
        <f t="shared" si="22"/>
        <v>0</v>
      </c>
      <c r="Y21">
        <f t="shared" si="9"/>
        <v>0</v>
      </c>
      <c r="Z21" t="str">
        <f>VLOOKUP($B21,'Data availability'!$A$2:$F$91,4,FALSE)</f>
        <v>-</v>
      </c>
      <c r="AA21" cm="1">
        <f t="array" ref="AA21">IFERROR(QUARTILE(_xlfn._xlws.FILTER($Y$3:$Y$61, ($H$3:$H$61=$H21) * ($Y$3:$Y$61&gt;0)), 1), 0)</f>
        <v>0</v>
      </c>
      <c r="AB21" cm="1">
        <f t="array" ref="AB21">IFERROR(QUARTILE(_xlfn._xlws.FILTER($Y$3:$Y$61, ($H$3:$H$61=$H21) * ($Y$3:$Y$61&gt;0)), 3), 0)</f>
        <v>0</v>
      </c>
      <c r="AC21">
        <f t="shared" si="10"/>
        <v>0</v>
      </c>
      <c r="AD21">
        <f t="shared" si="11"/>
        <v>0</v>
      </c>
      <c r="AE21">
        <f t="shared" si="12"/>
        <v>0</v>
      </c>
      <c r="AF21" t="b">
        <f t="shared" si="23"/>
        <v>1</v>
      </c>
      <c r="AG21" t="b">
        <f t="shared" si="24"/>
        <v>1</v>
      </c>
      <c r="AH21">
        <f t="shared" si="13"/>
        <v>13.667951673932754</v>
      </c>
      <c r="AI21" t="str">
        <f>VLOOKUP($B21,'Data availability'!$A$2:$F$91,5,FALSE)</f>
        <v>Y</v>
      </c>
      <c r="AJ21" cm="1">
        <f t="array" ref="AJ21">IFERROR(QUARTILE(_xlfn._xlws.FILTER($AH$3:$AH$61, ($H$3:$H$61=$H21) * ($AH$3:$AH$61&gt;0)), 1), 0)</f>
        <v>13.667951673932754</v>
      </c>
      <c r="AK21" cm="1">
        <f t="array" ref="AK21">IFERROR(QUARTILE(_xlfn._xlws.FILTER($AH$3:$AH$61, ($H$3:$H$61=$H21) * ($AH$3:$AH$61&gt;0)), 3), 0)</f>
        <v>13.667951673932754</v>
      </c>
      <c r="AL21">
        <f t="shared" si="14"/>
        <v>0</v>
      </c>
      <c r="AM21">
        <f t="shared" si="15"/>
        <v>13.667951673932754</v>
      </c>
      <c r="AN21">
        <f t="shared" si="16"/>
        <v>13.667951673932754</v>
      </c>
      <c r="AO21" t="b">
        <f t="shared" si="25"/>
        <v>0</v>
      </c>
      <c r="AP21" t="b">
        <f t="shared" si="26"/>
        <v>0</v>
      </c>
      <c r="AQ21">
        <f t="shared" si="27"/>
        <v>29.273956811289949</v>
      </c>
      <c r="AR21" t="str">
        <f>VLOOKUP($B21,'Data availability'!$A$2:$F$91,6,FALSE)</f>
        <v>Y</v>
      </c>
      <c r="AS21" cm="1">
        <f t="array" ref="AS21">IFERROR(QUARTILE(_xlfn._xlws.FILTER($AQ$3:$AQ$61, ($H$3:$H$61=$H21) * ($AQ$3:$AQ$61&gt;0)), 1), 0)</f>
        <v>29.273956811289949</v>
      </c>
      <c r="AT21" cm="1">
        <f t="array" ref="AT21">IFERROR(QUARTILE(_xlfn._xlws.FILTER($AQ$3:$AQ$61, ($H$3:$H$61=$H21) * ($AQ$3:$AQ$61&gt;0)), 3), 0)</f>
        <v>29.273956811289949</v>
      </c>
      <c r="AU21">
        <f t="shared" si="17"/>
        <v>0</v>
      </c>
      <c r="AV21">
        <f t="shared" si="18"/>
        <v>29.273956811289949</v>
      </c>
      <c r="AW21">
        <f t="shared" si="19"/>
        <v>29.273956811289949</v>
      </c>
      <c r="AX21" t="b">
        <f t="shared" si="28"/>
        <v>0</v>
      </c>
      <c r="AY21" t="b">
        <f t="shared" si="29"/>
        <v>0</v>
      </c>
    </row>
    <row r="22" spans="2:51" x14ac:dyDescent="0.3">
      <c r="B22" t="s">
        <v>289</v>
      </c>
      <c r="C22">
        <f>SUMIF('SkYSPark Data_w Will''s Data'!$C$3:$C$734,Outliers!$B22,'SkYSPark Data_w Will''s Data'!$G$3:$G$734)</f>
        <v>21767.144592476474</v>
      </c>
      <c r="D22">
        <f>SUMIF('SkYSPark Data_w Will''s Data'!$C$3:$C$734,Outliers!$B22,'SkYSPark Data_w Will''s Data'!$I$3:$I$734)</f>
        <v>0</v>
      </c>
      <c r="E22">
        <f>SUMIF('SkYSPark Data_w Will''s Data'!$C$3:$C$734,Outliers!$B22,'SkYSPark Data_w Will''s Data'!$J$3:$J$734)</f>
        <v>0</v>
      </c>
      <c r="F22">
        <f>SUMIF('SkYSPark Data_w Will''s Data'!$C$3:$C$734,Outliers!$B22,'SkYSPark Data_w Will''s Data'!$K$3:$K$734)</f>
        <v>0</v>
      </c>
      <c r="G22">
        <f>INDEX('SkYSPark Data_w Will''s Data'!$E$3:$E$734,MATCH(Outliers!B22,'SkYSPark Data_w Will''s Data'!$C$3:$C$734,0))</f>
        <v>2458</v>
      </c>
      <c r="H22" t="str">
        <f>INDEX('SkYSPark Data_w Will''s Data'!$F$3:$F$734,MATCH(Outliers!B22,'SkYSPark Data_w Will''s Data'!$C$3:$C$734,0))</f>
        <v>Library</v>
      </c>
      <c r="I22">
        <f t="shared" si="0"/>
        <v>30.215417961566203</v>
      </c>
      <c r="J22" cm="1">
        <f t="array" ref="J22">QUARTILE(_xlfn._xlws.FILTER($I$3:$I$61,$H$3:$H$61=H22),1)</f>
        <v>40.147890915599049</v>
      </c>
      <c r="K22" cm="1">
        <f t="array" ref="K22">QUARTILE(_xlfn._xlws.FILTER($I$3:$I$61,$H$3:$H$61=H22),3)</f>
        <v>60.012836823664756</v>
      </c>
      <c r="L22">
        <f t="shared" si="1"/>
        <v>19.864945908065707</v>
      </c>
      <c r="M22">
        <f t="shared" si="2"/>
        <v>20.282945007533343</v>
      </c>
      <c r="N22">
        <f t="shared" si="3"/>
        <v>79.877782731730463</v>
      </c>
      <c r="O22" t="b">
        <f t="shared" si="4"/>
        <v>0</v>
      </c>
      <c r="P22">
        <f t="shared" si="30"/>
        <v>30.215417961566203</v>
      </c>
      <c r="Q22" t="e">
        <f>VLOOKUP($B22,'Data availability'!$A$2:$F$91,3,FALSE)</f>
        <v>#N/A</v>
      </c>
      <c r="R22" cm="1">
        <f t="array" ref="R22">IFERROR(QUARTILE(_xlfn._xlws.FILTER($P$3:$P$61, ($H$3:$H$61=$H22) * ($P$3:$P$61&gt;0)), 1), 0)</f>
        <v>27.806405459747729</v>
      </c>
      <c r="S22" cm="1">
        <f t="array" ref="S22">IFERROR(QUARTILE(_xlfn._xlws.FILTER($P$3:$P$61, ($H$3:$H$61=$H22) * ($P$3:$P$61&gt;0)), 3), 0)</f>
        <v>29.412413794293379</v>
      </c>
      <c r="T22">
        <f t="shared" si="6"/>
        <v>1.6060083345456491</v>
      </c>
      <c r="U22">
        <f t="shared" si="7"/>
        <v>26.20039712520208</v>
      </c>
      <c r="V22">
        <f t="shared" si="8"/>
        <v>31.018422128839028</v>
      </c>
      <c r="W22" t="b">
        <f t="shared" si="21"/>
        <v>0</v>
      </c>
      <c r="X22" t="b">
        <f t="shared" si="22"/>
        <v>0</v>
      </c>
      <c r="Y22">
        <f t="shared" si="9"/>
        <v>0</v>
      </c>
      <c r="Z22" t="e">
        <f>VLOOKUP($B22,'Data availability'!$A$2:$F$91,4,FALSE)</f>
        <v>#N/A</v>
      </c>
      <c r="AA22" cm="1">
        <f t="array" ref="AA22">IFERROR(QUARTILE(_xlfn._xlws.FILTER($Y$3:$Y$61, ($H$3:$H$61=$H22) * ($Y$3:$Y$61&gt;0)), 1), 0)</f>
        <v>0</v>
      </c>
      <c r="AB22" cm="1">
        <f t="array" ref="AB22">IFERROR(QUARTILE(_xlfn._xlws.FILTER($Y$3:$Y$61, ($H$3:$H$61=$H22) * ($Y$3:$Y$61&gt;0)), 3), 0)</f>
        <v>0</v>
      </c>
      <c r="AC22">
        <f t="shared" si="10"/>
        <v>0</v>
      </c>
      <c r="AD22">
        <f t="shared" si="11"/>
        <v>0</v>
      </c>
      <c r="AE22">
        <f t="shared" si="12"/>
        <v>0</v>
      </c>
      <c r="AF22" t="b">
        <f t="shared" si="23"/>
        <v>1</v>
      </c>
      <c r="AG22" t="b">
        <f t="shared" si="24"/>
        <v>1</v>
      </c>
      <c r="AH22">
        <f t="shared" si="13"/>
        <v>0</v>
      </c>
      <c r="AI22" t="e">
        <f>VLOOKUP($B22,'Data availability'!$A$2:$F$91,5,FALSE)</f>
        <v>#N/A</v>
      </c>
      <c r="AJ22" cm="1">
        <f t="array" ref="AJ22">IFERROR(QUARTILE(_xlfn._xlws.FILTER($AH$3:$AH$61, ($H$3:$H$61=$H22) * ($AH$3:$AH$61&gt;0)), 1), 0)</f>
        <v>13.667951673932754</v>
      </c>
      <c r="AK22" cm="1">
        <f t="array" ref="AK22">IFERROR(QUARTILE(_xlfn._xlws.FILTER($AH$3:$AH$61, ($H$3:$H$61=$H22) * ($AH$3:$AH$61&gt;0)), 3), 0)</f>
        <v>13.667951673932754</v>
      </c>
      <c r="AL22">
        <f t="shared" si="14"/>
        <v>0</v>
      </c>
      <c r="AM22">
        <f t="shared" si="15"/>
        <v>13.667951673932754</v>
      </c>
      <c r="AN22">
        <f t="shared" si="16"/>
        <v>13.667951673932754</v>
      </c>
      <c r="AO22" t="b">
        <f t="shared" si="25"/>
        <v>1</v>
      </c>
      <c r="AP22" t="b">
        <f t="shared" si="26"/>
        <v>1</v>
      </c>
      <c r="AQ22">
        <f t="shared" si="27"/>
        <v>0</v>
      </c>
      <c r="AR22" t="e">
        <f>VLOOKUP($B22,'Data availability'!$A$2:$F$91,6,FALSE)</f>
        <v>#N/A</v>
      </c>
      <c r="AS22" cm="1">
        <f t="array" ref="AS22">IFERROR(QUARTILE(_xlfn._xlws.FILTER($AQ$3:$AQ$61, ($H$3:$H$61=$H22) * ($AQ$3:$AQ$61&gt;0)), 1), 0)</f>
        <v>29.273956811289949</v>
      </c>
      <c r="AT22" cm="1">
        <f t="array" ref="AT22">IFERROR(QUARTILE(_xlfn._xlws.FILTER($AQ$3:$AQ$61, ($H$3:$H$61=$H22) * ($AQ$3:$AQ$61&gt;0)), 3), 0)</f>
        <v>29.273956811289949</v>
      </c>
      <c r="AU22">
        <f t="shared" si="17"/>
        <v>0</v>
      </c>
      <c r="AV22">
        <f t="shared" si="18"/>
        <v>29.273956811289949</v>
      </c>
      <c r="AW22">
        <f t="shared" si="19"/>
        <v>29.273956811289949</v>
      </c>
      <c r="AX22" t="b">
        <f t="shared" si="28"/>
        <v>1</v>
      </c>
      <c r="AY22" t="b">
        <f t="shared" si="29"/>
        <v>1</v>
      </c>
    </row>
    <row r="23" spans="2:51" x14ac:dyDescent="0.3">
      <c r="B23" t="s">
        <v>148</v>
      </c>
      <c r="C23">
        <f>SUMIF('SkYSPark Data_w Will''s Data'!$C$3:$C$734,Outliers!$B23,'SkYSPark Data_w Will''s Data'!$G$3:$G$734)</f>
        <v>3026028.5072907377</v>
      </c>
      <c r="D23">
        <f>SUMIF('SkYSPark Data_w Will''s Data'!$C$3:$C$734,Outliers!$B23,'SkYSPark Data_w Will''s Data'!$I$3:$I$734)</f>
        <v>261.34488868713379</v>
      </c>
      <c r="E23">
        <f>SUMIF('SkYSPark Data_w Will''s Data'!$C$3:$C$734,Outliers!$B23,'SkYSPark Data_w Will''s Data'!$J$3:$J$734)</f>
        <v>241151.10991379301</v>
      </c>
      <c r="F23">
        <f>SUMIF('SkYSPark Data_w Will''s Data'!$C$3:$C$734,Outliers!$B23,'SkYSPark Data_w Will''s Data'!$K$3:$K$734)</f>
        <v>683671.37690733164</v>
      </c>
      <c r="G23">
        <f>INDEX('SkYSPark Data_w Will''s Data'!$E$3:$E$734,MATCH(Outliers!B23,'SkYSPark Data_w Will''s Data'!$C$3:$C$734,0))</f>
        <v>345715</v>
      </c>
      <c r="H23" t="str">
        <f>INDEX('SkYSPark Data_w Will''s Data'!$F$3:$F$734,MATCH(Outliers!B23,'SkYSPark Data_w Will''s Data'!$C$3:$C$734,0))</f>
        <v xml:space="preserve">Lab </v>
      </c>
      <c r="I23">
        <f t="shared" si="0"/>
        <v>123.42568667836801</v>
      </c>
      <c r="J23" cm="1">
        <f t="array" ref="J23">QUARTILE(_xlfn._xlws.FILTER($I$3:$I$61,$H$3:$H$61=H23),1)</f>
        <v>105.93951518668453</v>
      </c>
      <c r="K23" cm="1">
        <f t="array" ref="K23">QUARTILE(_xlfn._xlws.FILTER($I$3:$I$61,$H$3:$H$61=H23),3)</f>
        <v>123.42568667836801</v>
      </c>
      <c r="L23">
        <f t="shared" si="1"/>
        <v>17.486171491683479</v>
      </c>
      <c r="M23">
        <f t="shared" si="2"/>
        <v>88.453343695001053</v>
      </c>
      <c r="N23">
        <f t="shared" si="3"/>
        <v>140.91185817005149</v>
      </c>
      <c r="O23" t="b">
        <f t="shared" si="4"/>
        <v>0</v>
      </c>
      <c r="P23">
        <f t="shared" si="30"/>
        <v>29.865089067225885</v>
      </c>
      <c r="Q23" t="str">
        <f>VLOOKUP($B23,'Data availability'!$A$2:$F$91,3,FALSE)</f>
        <v>Y</v>
      </c>
      <c r="R23" cm="1">
        <f t="array" ref="R23">IFERROR(QUARTILE(_xlfn._xlws.FILTER($P$3:$P$61, ($H$3:$H$61=$H23) * ($P$3:$P$61&gt;0)), 1), 0)</f>
        <v>29.865089067225885</v>
      </c>
      <c r="S23" cm="1">
        <f t="array" ref="S23">IFERROR(QUARTILE(_xlfn._xlws.FILTER($P$3:$P$61, ($H$3:$H$61=$H23) * ($P$3:$P$61&gt;0)), 3), 0)</f>
        <v>45.125135626267713</v>
      </c>
      <c r="T23">
        <f t="shared" si="6"/>
        <v>15.260046559041829</v>
      </c>
      <c r="U23">
        <f t="shared" si="7"/>
        <v>14.605042508184056</v>
      </c>
      <c r="V23">
        <f t="shared" si="8"/>
        <v>60.385182185309546</v>
      </c>
      <c r="W23" t="b">
        <f t="shared" si="21"/>
        <v>0</v>
      </c>
      <c r="X23" t="b">
        <f t="shared" si="22"/>
        <v>0</v>
      </c>
      <c r="Y23">
        <f t="shared" si="9"/>
        <v>7.5595472770094957E-2</v>
      </c>
      <c r="Z23" t="str">
        <f>VLOOKUP($B23,'Data availability'!$A$2:$F$91,4,FALSE)</f>
        <v>Y</v>
      </c>
      <c r="AA23" cm="1">
        <f t="array" ref="AA23">IFERROR(QUARTILE(_xlfn._xlws.FILTER($Y$3:$Y$61, ($H$3:$H$61=$H23) * ($Y$3:$Y$61&gt;0)), 1), 0)</f>
        <v>5.8225963160264418E-2</v>
      </c>
      <c r="AB23" cm="1">
        <f t="array" ref="AB23">IFERROR(QUARTILE(_xlfn._xlws.FILTER($Y$3:$Y$61, ($H$3:$H$61=$H23) * ($Y$3:$Y$61&gt;0)), 3), 0)</f>
        <v>25.363099338846663</v>
      </c>
      <c r="AC23">
        <f t="shared" si="10"/>
        <v>25.304873375686398</v>
      </c>
      <c r="AD23">
        <f t="shared" si="11"/>
        <v>-25.246647412526134</v>
      </c>
      <c r="AE23">
        <f t="shared" si="12"/>
        <v>50.667972714533065</v>
      </c>
      <c r="AF23" t="b">
        <f t="shared" si="23"/>
        <v>0</v>
      </c>
      <c r="AG23" t="b">
        <f t="shared" si="24"/>
        <v>0</v>
      </c>
      <c r="AH23">
        <f t="shared" si="13"/>
        <v>69.754309160375755</v>
      </c>
      <c r="AI23" t="str">
        <f>VLOOKUP($B23,'Data availability'!$A$2:$F$91,5,FALSE)</f>
        <v>Y</v>
      </c>
      <c r="AJ23" cm="1">
        <f t="array" ref="AJ23">IFERROR(QUARTILE(_xlfn._xlws.FILTER($AH$3:$AH$61, ($H$3:$H$61=$H23) * ($AH$3:$AH$61&gt;0)), 1), 0)</f>
        <v>36.12030354378453</v>
      </c>
      <c r="AK23" cm="1">
        <f t="array" ref="AK23">IFERROR(QUARTILE(_xlfn._xlws.FILTER($AH$3:$AH$61, ($H$3:$H$61=$H23) * ($AH$3:$AH$61&gt;0)), 3), 0)</f>
        <v>56.253209992579698</v>
      </c>
      <c r="AL23">
        <f t="shared" si="14"/>
        <v>20.132906448795168</v>
      </c>
      <c r="AM23">
        <f t="shared" si="15"/>
        <v>15.987397094989362</v>
      </c>
      <c r="AN23">
        <f t="shared" si="16"/>
        <v>76.386116441374867</v>
      </c>
      <c r="AO23" t="b">
        <f t="shared" si="25"/>
        <v>0</v>
      </c>
      <c r="AP23" t="b">
        <f t="shared" si="26"/>
        <v>0</v>
      </c>
      <c r="AQ23">
        <f t="shared" si="27"/>
        <v>23.730692977996267</v>
      </c>
      <c r="AR23" t="str">
        <f>VLOOKUP($B23,'Data availability'!$A$2:$F$91,6,FALSE)</f>
        <v>Y</v>
      </c>
      <c r="AS23" cm="1">
        <f t="array" ref="AS23">IFERROR(QUARTILE(_xlfn._xlws.FILTER($AQ$3:$AQ$61, ($H$3:$H$61=$H23) * ($AQ$3:$AQ$61&gt;0)), 1), 0)</f>
        <v>22.237691880516579</v>
      </c>
      <c r="AT23" cm="1">
        <f t="array" ref="AT23">IFERROR(QUARTILE(_xlfn._xlws.FILTER($AQ$3:$AQ$61, ($H$3:$H$61=$H23) * ($AQ$3:$AQ$61&gt;0)), 3), 0)</f>
        <v>42.662065282549577</v>
      </c>
      <c r="AU23">
        <f t="shared" si="17"/>
        <v>20.424373402032998</v>
      </c>
      <c r="AV23">
        <f t="shared" si="18"/>
        <v>1.8133184784835805</v>
      </c>
      <c r="AW23">
        <f t="shared" si="19"/>
        <v>63.086438684582575</v>
      </c>
      <c r="AX23" t="b">
        <f t="shared" si="28"/>
        <v>0</v>
      </c>
      <c r="AY23" t="b">
        <f t="shared" si="29"/>
        <v>0</v>
      </c>
    </row>
    <row r="24" spans="2:51" x14ac:dyDescent="0.3">
      <c r="B24" t="s">
        <v>150</v>
      </c>
      <c r="C24">
        <f>SUMIF('SkYSPark Data_w Will''s Data'!$C$3:$C$734,Outliers!$B24,'SkYSPark Data_w Will''s Data'!$G$3:$G$734)</f>
        <v>204996.91379310278</v>
      </c>
      <c r="D24">
        <f>SUMIF('SkYSPark Data_w Will''s Data'!$C$3:$C$734,Outliers!$B24,'SkYSPark Data_w Will''s Data'!$I$3:$I$734)</f>
        <v>0</v>
      </c>
      <c r="E24">
        <f>SUMIF('SkYSPark Data_w Will''s Data'!$C$3:$C$734,Outliers!$B24,'SkYSPark Data_w Will''s Data'!$J$3:$J$734)</f>
        <v>14962.941136853417</v>
      </c>
      <c r="F24">
        <f>SUMIF('SkYSPark Data_w Will''s Data'!$C$3:$C$734,Outliers!$B24,'SkYSPark Data_w Will''s Data'!$K$3:$K$734)</f>
        <v>11980.403668149838</v>
      </c>
      <c r="G24">
        <f>INDEX('SkYSPark Data_w Will''s Data'!$E$3:$E$734,MATCH(Outliers!B24,'SkYSPark Data_w Will''s Data'!$C$3:$C$734,0))</f>
        <v>36691</v>
      </c>
      <c r="H24" t="str">
        <f>INDEX('SkYSPark Data_w Will''s Data'!$F$3:$F$734,MATCH(Outliers!B24,'SkYSPark Data_w Will''s Data'!$C$3:$C$734,0))</f>
        <v>Academic</v>
      </c>
      <c r="I24">
        <f t="shared" si="0"/>
        <v>63.762460210002622</v>
      </c>
      <c r="J24" cm="1">
        <f t="array" ref="J24">QUARTILE(_xlfn._xlws.FILTER($I$3:$I$61,$H$3:$H$61=H24),1)</f>
        <v>42.21959902044307</v>
      </c>
      <c r="K24" cm="1">
        <f t="array" ref="K24">QUARTILE(_xlfn._xlws.FILTER($I$3:$I$61,$H$3:$H$61=H24),3)</f>
        <v>103.33423599964128</v>
      </c>
      <c r="L24">
        <f t="shared" si="1"/>
        <v>61.11463697919821</v>
      </c>
      <c r="M24">
        <f t="shared" si="2"/>
        <v>-18.89503795875514</v>
      </c>
      <c r="N24">
        <f t="shared" si="3"/>
        <v>164.44887297883949</v>
      </c>
      <c r="O24" t="b">
        <f t="shared" si="4"/>
        <v>0</v>
      </c>
      <c r="P24">
        <f t="shared" si="30"/>
        <v>19.063243570959273</v>
      </c>
      <c r="Q24" t="str">
        <f>VLOOKUP($B24,'Data availability'!$A$2:$F$91,3,FALSE)</f>
        <v>Y</v>
      </c>
      <c r="R24" cm="1">
        <f t="array" ref="R24">IFERROR(QUARTILE(_xlfn._xlws.FILTER($P$3:$P$61, ($H$3:$H$61=$H24) * ($P$3:$P$61&gt;0)), 1), 0)</f>
        <v>14.691000795498219</v>
      </c>
      <c r="S24" cm="1">
        <f t="array" ref="S24">IFERROR(QUARTILE(_xlfn._xlws.FILTER($P$3:$P$61, ($H$3:$H$61=$H24) * ($P$3:$P$61&gt;0)), 3), 0)</f>
        <v>30.985762878217994</v>
      </c>
      <c r="T24">
        <f t="shared" si="6"/>
        <v>16.294762082719775</v>
      </c>
      <c r="U24">
        <f t="shared" si="7"/>
        <v>-1.6037612872215554</v>
      </c>
      <c r="V24">
        <f t="shared" si="8"/>
        <v>47.280524960937768</v>
      </c>
      <c r="W24" t="b">
        <f t="shared" si="21"/>
        <v>0</v>
      </c>
      <c r="X24" t="b">
        <f t="shared" si="22"/>
        <v>0</v>
      </c>
      <c r="Y24">
        <f t="shared" si="9"/>
        <v>0</v>
      </c>
      <c r="Z24" t="str">
        <f>VLOOKUP($B24,'Data availability'!$A$2:$F$91,4,FALSE)</f>
        <v>-</v>
      </c>
      <c r="AA24" cm="1">
        <f t="array" ref="AA24">IFERROR(QUARTILE(_xlfn._xlws.FILTER($Y$3:$Y$61, ($H$3:$H$61=$H24) * ($Y$3:$Y$61&gt;0)), 1), 0)</f>
        <v>2.3207880548899436</v>
      </c>
      <c r="AB24" cm="1">
        <f t="array" ref="AB24">IFERROR(QUARTILE(_xlfn._xlws.FILTER($Y$3:$Y$61, ($H$3:$H$61=$H24) * ($Y$3:$Y$61&gt;0)), 3), 0)</f>
        <v>5.5117751255024281</v>
      </c>
      <c r="AC24">
        <f t="shared" si="10"/>
        <v>3.1909870706124845</v>
      </c>
      <c r="AD24">
        <f t="shared" si="11"/>
        <v>-0.87019901572254099</v>
      </c>
      <c r="AE24">
        <f t="shared" si="12"/>
        <v>8.7027621961149126</v>
      </c>
      <c r="AF24" t="b">
        <f t="shared" si="23"/>
        <v>1</v>
      </c>
      <c r="AG24" t="b">
        <f t="shared" si="24"/>
        <v>1</v>
      </c>
      <c r="AH24">
        <f t="shared" si="13"/>
        <v>40.780957555949456</v>
      </c>
      <c r="AI24" t="str">
        <f>VLOOKUP($B24,'Data availability'!$A$2:$F$91,5,FALSE)</f>
        <v>Y</v>
      </c>
      <c r="AJ24" cm="1">
        <f t="array" ref="AJ24">IFERROR(QUARTILE(_xlfn._xlws.FILTER($AH$3:$AH$61, ($H$3:$H$61=$H24) * ($AH$3:$AH$61&gt;0)), 1), 0)</f>
        <v>20.962789979692385</v>
      </c>
      <c r="AK24" cm="1">
        <f t="array" ref="AK24">IFERROR(QUARTILE(_xlfn._xlws.FILTER($AH$3:$AH$61, ($H$3:$H$61=$H24) * ($AH$3:$AH$61&gt;0)), 3), 0)</f>
        <v>37.598619727031377</v>
      </c>
      <c r="AL24">
        <f t="shared" si="14"/>
        <v>16.635829747338992</v>
      </c>
      <c r="AM24">
        <f t="shared" si="15"/>
        <v>4.3269602323533931</v>
      </c>
      <c r="AN24">
        <f t="shared" si="16"/>
        <v>54.234449474370365</v>
      </c>
      <c r="AO24" t="b">
        <f t="shared" si="25"/>
        <v>0</v>
      </c>
      <c r="AP24" t="b">
        <f t="shared" si="26"/>
        <v>0</v>
      </c>
      <c r="AQ24">
        <f t="shared" si="27"/>
        <v>3.9182590830938935</v>
      </c>
      <c r="AR24" t="str">
        <f>VLOOKUP($B24,'Data availability'!$A$2:$F$91,6,FALSE)</f>
        <v>Y</v>
      </c>
      <c r="AS24" cm="1">
        <f t="array" ref="AS24">IFERROR(QUARTILE(_xlfn._xlws.FILTER($AQ$3:$AQ$61, ($H$3:$H$61=$H24) * ($AQ$3:$AQ$61&gt;0)), 1), 0)</f>
        <v>7.9248587636469203</v>
      </c>
      <c r="AT24" cm="1">
        <f t="array" ref="AT24">IFERROR(QUARTILE(_xlfn._xlws.FILTER($AQ$3:$AQ$61, ($H$3:$H$61=$H24) * ($AQ$3:$AQ$61&gt;0)), 3), 0)</f>
        <v>35.341609909631828</v>
      </c>
      <c r="AU24">
        <f t="shared" si="17"/>
        <v>27.416751145984907</v>
      </c>
      <c r="AV24">
        <f t="shared" si="18"/>
        <v>-19.491892382337987</v>
      </c>
      <c r="AW24">
        <f t="shared" si="19"/>
        <v>62.758361055616732</v>
      </c>
      <c r="AX24" t="b">
        <f t="shared" si="28"/>
        <v>0</v>
      </c>
      <c r="AY24" t="b">
        <f t="shared" si="29"/>
        <v>0</v>
      </c>
    </row>
    <row r="25" spans="2:51" x14ac:dyDescent="0.3">
      <c r="B25" t="s">
        <v>151</v>
      </c>
      <c r="C25">
        <f>SUMIF('SkYSPark Data_w Will''s Data'!$C$3:$C$734,Outliers!$B25,'SkYSPark Data_w Will''s Data'!$G$3:$G$734)</f>
        <v>3640859.4866699218</v>
      </c>
      <c r="D25">
        <f>SUMIF('SkYSPark Data_w Will''s Data'!$C$3:$C$734,Outliers!$B25,'SkYSPark Data_w Will''s Data'!$I$3:$I$734)</f>
        <v>0</v>
      </c>
      <c r="E25">
        <f>SUMIF('SkYSPark Data_w Will''s Data'!$C$3:$C$734,Outliers!$B25,'SkYSPark Data_w Will''s Data'!$J$3:$J$734)</f>
        <v>122149.66056034474</v>
      </c>
      <c r="F25">
        <f>SUMIF('SkYSPark Data_w Will''s Data'!$C$3:$C$734,Outliers!$B25,'SkYSPark Data_w Will''s Data'!$K$3:$K$734)</f>
        <v>1052101.3005792033</v>
      </c>
      <c r="G25">
        <f>INDEX('SkYSPark Data_w Will''s Data'!$E$3:$E$734,MATCH(Outliers!B25,'SkYSPark Data_w Will''s Data'!$C$3:$C$734,0))</f>
        <v>341415</v>
      </c>
      <c r="H25" t="str">
        <f>INDEX('SkYSPark Data_w Will''s Data'!$F$3:$F$734,MATCH(Outliers!B25,'SkYSPark Data_w Will''s Data'!$C$3:$C$734,0))</f>
        <v>Academic</v>
      </c>
      <c r="I25">
        <f t="shared" si="0"/>
        <v>109.14222934406128</v>
      </c>
      <c r="J25" cm="1">
        <f t="array" ref="J25">QUARTILE(_xlfn._xlws.FILTER($I$3:$I$61,$H$3:$H$61=H25),1)</f>
        <v>42.21959902044307</v>
      </c>
      <c r="K25" cm="1">
        <f t="array" ref="K25">QUARTILE(_xlfn._xlws.FILTER($I$3:$I$61,$H$3:$H$61=H25),3)</f>
        <v>103.33423599964128</v>
      </c>
      <c r="L25">
        <f t="shared" si="1"/>
        <v>61.11463697919821</v>
      </c>
      <c r="M25">
        <f t="shared" si="2"/>
        <v>-18.89503795875514</v>
      </c>
      <c r="N25">
        <f t="shared" si="3"/>
        <v>164.44887297883949</v>
      </c>
      <c r="O25" t="b">
        <f t="shared" si="4"/>
        <v>0</v>
      </c>
      <c r="P25">
        <f t="shared" si="30"/>
        <v>36.385667204187783</v>
      </c>
      <c r="Q25" t="str">
        <f>VLOOKUP($B25,'Data availability'!$A$2:$F$91,3,FALSE)</f>
        <v>Y</v>
      </c>
      <c r="R25" cm="1">
        <f t="array" ref="R25">IFERROR(QUARTILE(_xlfn._xlws.FILTER($P$3:$P$61, ($H$3:$H$61=$H25) * ($P$3:$P$61&gt;0)), 1), 0)</f>
        <v>14.691000795498219</v>
      </c>
      <c r="S25" cm="1">
        <f t="array" ref="S25">IFERROR(QUARTILE(_xlfn._xlws.FILTER($P$3:$P$61, ($H$3:$H$61=$H25) * ($P$3:$P$61&gt;0)), 3), 0)</f>
        <v>30.985762878217994</v>
      </c>
      <c r="T25">
        <f t="shared" si="6"/>
        <v>16.294762082719775</v>
      </c>
      <c r="U25">
        <f t="shared" si="7"/>
        <v>-1.6037612872215554</v>
      </c>
      <c r="V25">
        <f t="shared" si="8"/>
        <v>47.280524960937768</v>
      </c>
      <c r="W25" t="b">
        <f t="shared" si="21"/>
        <v>0</v>
      </c>
      <c r="X25" t="b">
        <f t="shared" si="22"/>
        <v>0</v>
      </c>
      <c r="Y25">
        <f t="shared" si="9"/>
        <v>0</v>
      </c>
      <c r="Z25" t="str">
        <f>VLOOKUP($B25,'Data availability'!$A$2:$F$91,4,FALSE)</f>
        <v>-</v>
      </c>
      <c r="AA25" cm="1">
        <f t="array" ref="AA25">IFERROR(QUARTILE(_xlfn._xlws.FILTER($Y$3:$Y$61, ($H$3:$H$61=$H25) * ($Y$3:$Y$61&gt;0)), 1), 0)</f>
        <v>2.3207880548899436</v>
      </c>
      <c r="AB25" cm="1">
        <f t="array" ref="AB25">IFERROR(QUARTILE(_xlfn._xlws.FILTER($Y$3:$Y$61, ($H$3:$H$61=$H25) * ($Y$3:$Y$61&gt;0)), 3), 0)</f>
        <v>5.5117751255024281</v>
      </c>
      <c r="AC25">
        <f t="shared" si="10"/>
        <v>3.1909870706124845</v>
      </c>
      <c r="AD25">
        <f t="shared" si="11"/>
        <v>-0.87019901572254099</v>
      </c>
      <c r="AE25">
        <f t="shared" si="12"/>
        <v>8.7027621961149126</v>
      </c>
      <c r="AF25" t="b">
        <f t="shared" si="23"/>
        <v>1</v>
      </c>
      <c r="AG25" t="b">
        <f t="shared" si="24"/>
        <v>1</v>
      </c>
      <c r="AH25">
        <f t="shared" si="13"/>
        <v>35.777473327283431</v>
      </c>
      <c r="AI25" t="str">
        <f>VLOOKUP($B25,'Data availability'!$A$2:$F$91,5,FALSE)</f>
        <v>Y</v>
      </c>
      <c r="AJ25" cm="1">
        <f t="array" ref="AJ25">IFERROR(QUARTILE(_xlfn._xlws.FILTER($AH$3:$AH$61, ($H$3:$H$61=$H25) * ($AH$3:$AH$61&gt;0)), 1), 0)</f>
        <v>20.962789979692385</v>
      </c>
      <c r="AK25" cm="1">
        <f t="array" ref="AK25">IFERROR(QUARTILE(_xlfn._xlws.FILTER($AH$3:$AH$61, ($H$3:$H$61=$H25) * ($AH$3:$AH$61&gt;0)), 3), 0)</f>
        <v>37.598619727031377</v>
      </c>
      <c r="AL25">
        <f t="shared" si="14"/>
        <v>16.635829747338992</v>
      </c>
      <c r="AM25">
        <f t="shared" si="15"/>
        <v>4.3269602323533931</v>
      </c>
      <c r="AN25">
        <f t="shared" si="16"/>
        <v>54.234449474370365</v>
      </c>
      <c r="AO25" t="b">
        <f t="shared" si="25"/>
        <v>0</v>
      </c>
      <c r="AP25" t="b">
        <f t="shared" si="26"/>
        <v>0</v>
      </c>
      <c r="AQ25">
        <f t="shared" si="27"/>
        <v>36.979088812590071</v>
      </c>
      <c r="AR25" t="str">
        <f>VLOOKUP($B25,'Data availability'!$A$2:$F$91,6,FALSE)</f>
        <v>Y</v>
      </c>
      <c r="AS25" cm="1">
        <f t="array" ref="AS25">IFERROR(QUARTILE(_xlfn._xlws.FILTER($AQ$3:$AQ$61, ($H$3:$H$61=$H25) * ($AQ$3:$AQ$61&gt;0)), 1), 0)</f>
        <v>7.9248587636469203</v>
      </c>
      <c r="AT25" cm="1">
        <f t="array" ref="AT25">IFERROR(QUARTILE(_xlfn._xlws.FILTER($AQ$3:$AQ$61, ($H$3:$H$61=$H25) * ($AQ$3:$AQ$61&gt;0)), 3), 0)</f>
        <v>35.341609909631828</v>
      </c>
      <c r="AU25">
        <f t="shared" si="17"/>
        <v>27.416751145984907</v>
      </c>
      <c r="AV25">
        <f t="shared" si="18"/>
        <v>-19.491892382337987</v>
      </c>
      <c r="AW25">
        <f t="shared" si="19"/>
        <v>62.758361055616732</v>
      </c>
      <c r="AX25" t="b">
        <f t="shared" si="28"/>
        <v>0</v>
      </c>
      <c r="AY25" t="b">
        <f t="shared" si="29"/>
        <v>0</v>
      </c>
    </row>
    <row r="26" spans="2:51" x14ac:dyDescent="0.3">
      <c r="B26" t="s">
        <v>152</v>
      </c>
      <c r="C26">
        <f>SUMIF('SkYSPark Data_w Will''s Data'!$C$3:$C$734,Outliers!$B26,'SkYSPark Data_w Will''s Data'!$G$3:$G$734)</f>
        <v>124299.94010824984</v>
      </c>
      <c r="D26">
        <f>SUMIF('SkYSPark Data_w Will''s Data'!$C$3:$C$734,Outliers!$B26,'SkYSPark Data_w Will''s Data'!$I$3:$I$734)</f>
        <v>5222.9000000000078</v>
      </c>
      <c r="E26">
        <f>SUMIF('SkYSPark Data_w Will''s Data'!$C$3:$C$734,Outliers!$B26,'SkYSPark Data_w Will''s Data'!$J$3:$J$734)</f>
        <v>0</v>
      </c>
      <c r="F26">
        <f>SUMIF('SkYSPark Data_w Will''s Data'!$C$3:$C$734,Outliers!$B26,'SkYSPark Data_w Will''s Data'!$K$3:$K$734)</f>
        <v>0</v>
      </c>
      <c r="G26">
        <f>INDEX('SkYSPark Data_w Will''s Data'!$E$3:$E$734,MATCH(Outliers!B26,'SkYSPark Data_w Will''s Data'!$C$3:$C$734,0))</f>
        <v>15667</v>
      </c>
      <c r="H26" t="str">
        <f>INDEX('SkYSPark Data_w Will''s Data'!$F$3:$F$734,MATCH(Outliers!B26,'SkYSPark Data_w Will''s Data'!$C$3:$C$734,0))</f>
        <v>Athletics</v>
      </c>
      <c r="I26">
        <f t="shared" si="0"/>
        <v>60.407314460289093</v>
      </c>
      <c r="J26" cm="1">
        <f t="array" ref="J26">QUARTILE(_xlfn._xlws.FILTER($I$3:$I$61,$H$3:$H$61=H26),1)</f>
        <v>35.241304721956851</v>
      </c>
      <c r="K26" cm="1">
        <f t="array" ref="K26">QUARTILE(_xlfn._xlws.FILTER($I$3:$I$61,$H$3:$H$61=H26),3)</f>
        <v>110.27168618999586</v>
      </c>
      <c r="L26">
        <f t="shared" si="1"/>
        <v>75.03038146803901</v>
      </c>
      <c r="M26">
        <f t="shared" si="2"/>
        <v>-39.789076746082159</v>
      </c>
      <c r="N26">
        <f t="shared" si="3"/>
        <v>185.30206765803487</v>
      </c>
      <c r="O26" t="b">
        <f t="shared" si="4"/>
        <v>0</v>
      </c>
      <c r="P26">
        <f t="shared" si="30"/>
        <v>27.070364182635377</v>
      </c>
      <c r="Q26" t="str">
        <f>VLOOKUP($B26,'Data availability'!$A$2:$F$91,3,FALSE)</f>
        <v>Y</v>
      </c>
      <c r="R26" cm="1">
        <f t="array" ref="R26">IFERROR(QUARTILE(_xlfn._xlws.FILTER($P$3:$P$61, ($H$3:$H$61=$H26) * ($P$3:$P$61&gt;0)), 1), 0)</f>
        <v>22.386081175049085</v>
      </c>
      <c r="S26" cm="1">
        <f t="array" ref="S26">IFERROR(QUARTILE(_xlfn._xlws.FILTER($P$3:$P$61, ($H$3:$H$61=$H26) * ($P$3:$P$61&gt;0)), 3), 0)</f>
        <v>42.853420284849037</v>
      </c>
      <c r="T26">
        <f t="shared" si="6"/>
        <v>20.467339109799951</v>
      </c>
      <c r="U26">
        <f t="shared" si="7"/>
        <v>1.918742065249134</v>
      </c>
      <c r="V26">
        <f t="shared" si="8"/>
        <v>63.320759394648988</v>
      </c>
      <c r="W26" t="b">
        <f t="shared" si="21"/>
        <v>0</v>
      </c>
      <c r="X26" t="b">
        <f t="shared" si="22"/>
        <v>0</v>
      </c>
      <c r="Y26">
        <f t="shared" si="9"/>
        <v>33.336950277653713</v>
      </c>
      <c r="Z26" t="str">
        <f>VLOOKUP($B26,'Data availability'!$A$2:$F$91,4,FALSE)</f>
        <v>Y</v>
      </c>
      <c r="AA26" cm="1">
        <f t="array" ref="AA26">IFERROR(QUARTILE(_xlfn._xlws.FILTER($Y$3:$Y$61, ($H$3:$H$61=$H26) * ($Y$3:$Y$61&gt;0)), 1), 0)</f>
        <v>25.288828048792482</v>
      </c>
      <c r="AB26" cm="1">
        <f t="array" ref="AB26">IFERROR(QUARTILE(_xlfn._xlws.FILTER($Y$3:$Y$61, ($H$3:$H$61=$H26) * ($Y$3:$Y$61&gt;0)), 3), 0)</f>
        <v>38.336388047513843</v>
      </c>
      <c r="AC26">
        <f t="shared" si="10"/>
        <v>13.047559998721361</v>
      </c>
      <c r="AD26">
        <f t="shared" si="11"/>
        <v>12.24126805007112</v>
      </c>
      <c r="AE26">
        <f t="shared" si="12"/>
        <v>51.383948046235204</v>
      </c>
      <c r="AF26" t="b">
        <f t="shared" si="23"/>
        <v>0</v>
      </c>
      <c r="AG26" t="b">
        <f t="shared" si="24"/>
        <v>0</v>
      </c>
      <c r="AH26">
        <f t="shared" si="13"/>
        <v>0</v>
      </c>
      <c r="AI26" t="str">
        <f>VLOOKUP($B26,'Data availability'!$A$2:$F$91,5,FALSE)</f>
        <v>-</v>
      </c>
      <c r="AJ26" cm="1">
        <f t="array" ref="AJ26">IFERROR(QUARTILE(_xlfn._xlws.FILTER($AH$3:$AH$61, ($H$3:$H$61=$H26) * ($AH$3:$AH$61&gt;0)), 1), 0)</f>
        <v>9.9719961163773458</v>
      </c>
      <c r="AK26" cm="1">
        <f t="array" ref="AK26">IFERROR(QUARTILE(_xlfn._xlws.FILTER($AH$3:$AH$61, ($H$3:$H$61=$H26) * ($AH$3:$AH$61&gt;0)), 3), 0)</f>
        <v>92.542374107098553</v>
      </c>
      <c r="AL26">
        <f t="shared" si="14"/>
        <v>82.570377990721212</v>
      </c>
      <c r="AM26">
        <f t="shared" si="15"/>
        <v>-72.598381874343872</v>
      </c>
      <c r="AN26">
        <f t="shared" si="16"/>
        <v>175.11275209781977</v>
      </c>
      <c r="AO26" t="b">
        <f t="shared" si="25"/>
        <v>1</v>
      </c>
      <c r="AP26" t="b">
        <f t="shared" si="26"/>
        <v>1</v>
      </c>
      <c r="AQ26">
        <f t="shared" si="27"/>
        <v>0</v>
      </c>
      <c r="AR26" t="str">
        <f>VLOOKUP($B26,'Data availability'!$A$2:$F$91,6,FALSE)</f>
        <v>-</v>
      </c>
      <c r="AS26" cm="1">
        <f t="array" ref="AS26">IFERROR(QUARTILE(_xlfn._xlws.FILTER($AQ$3:$AQ$61, ($H$3:$H$61=$H26) * ($AQ$3:$AQ$61&gt;0)), 1), 0)</f>
        <v>8.1385129695793257</v>
      </c>
      <c r="AT26" cm="1">
        <f t="array" ref="AT26">IFERROR(QUARTILE(_xlfn._xlws.FILTER($AQ$3:$AQ$61, ($H$3:$H$61=$H26) * ($AQ$3:$AQ$61&gt;0)), 3), 0)</f>
        <v>25.43708742579112</v>
      </c>
      <c r="AU26">
        <f t="shared" si="17"/>
        <v>17.298574456211796</v>
      </c>
      <c r="AV26">
        <f t="shared" si="18"/>
        <v>-9.1600614866324701</v>
      </c>
      <c r="AW26">
        <f t="shared" si="19"/>
        <v>42.735661882002915</v>
      </c>
      <c r="AX26" t="b">
        <f t="shared" si="28"/>
        <v>1</v>
      </c>
      <c r="AY26" t="b">
        <f t="shared" si="29"/>
        <v>1</v>
      </c>
    </row>
    <row r="27" spans="2:51" x14ac:dyDescent="0.3">
      <c r="B27" t="s">
        <v>154</v>
      </c>
      <c r="C27">
        <f>SUMIF('SkYSPark Data_w Will''s Data'!$C$3:$C$734,Outliers!$B27,'SkYSPark Data_w Will''s Data'!$G$3:$G$734)</f>
        <v>77492.367317204189</v>
      </c>
      <c r="D27">
        <f>SUMIF('SkYSPark Data_w Will''s Data'!$C$3:$C$734,Outliers!$B27,'SkYSPark Data_w Will''s Data'!$I$3:$I$734)</f>
        <v>0</v>
      </c>
      <c r="E27">
        <f>SUMIF('SkYSPark Data_w Will''s Data'!$C$3:$C$734,Outliers!$B27,'SkYSPark Data_w Will''s Data'!$J$3:$J$734)</f>
        <v>0</v>
      </c>
      <c r="F27">
        <f>SUMIF('SkYSPark Data_w Will''s Data'!$C$3:$C$734,Outliers!$B27,'SkYSPark Data_w Will''s Data'!$K$3:$K$734)</f>
        <v>0</v>
      </c>
      <c r="G27">
        <f>INDEX('SkYSPark Data_w Will''s Data'!$E$3:$E$734,MATCH(Outliers!B27,'SkYSPark Data_w Will''s Data'!$C$3:$C$734,0))</f>
        <v>0</v>
      </c>
      <c r="H27">
        <f>INDEX('SkYSPark Data_w Will''s Data'!$F$3:$F$734,MATCH(Outliers!B27,'SkYSPark Data_w Will''s Data'!$C$3:$C$734,0))</f>
        <v>0</v>
      </c>
      <c r="I27">
        <f t="shared" si="0"/>
        <v>0</v>
      </c>
      <c r="J27" cm="1">
        <f t="array" ref="J27">QUARTILE(_xlfn._xlws.FILTER($I$3:$I$61,$H$3:$H$61=H27),1)</f>
        <v>0</v>
      </c>
      <c r="K27" cm="1">
        <f t="array" ref="K27">QUARTILE(_xlfn._xlws.FILTER($I$3:$I$61,$H$3:$H$61=H27),3)</f>
        <v>0</v>
      </c>
      <c r="L27">
        <f t="shared" si="1"/>
        <v>0</v>
      </c>
      <c r="M27">
        <f t="shared" si="2"/>
        <v>0</v>
      </c>
      <c r="N27">
        <f t="shared" si="3"/>
        <v>0</v>
      </c>
      <c r="O27" t="b">
        <f t="shared" si="4"/>
        <v>0</v>
      </c>
      <c r="P27">
        <f t="shared" si="30"/>
        <v>0</v>
      </c>
      <c r="Q27" t="e">
        <f>VLOOKUP($B27,'Data availability'!$A$2:$F$91,3,FALSE)</f>
        <v>#N/A</v>
      </c>
      <c r="R27" cm="1">
        <f t="array" ref="R27">IFERROR(QUARTILE(_xlfn._xlws.FILTER($P$3:$P$61, ($H$3:$H$61=$H27) * ($P$3:$P$61&gt;0)), 1), 0)</f>
        <v>0</v>
      </c>
      <c r="S27" cm="1">
        <f t="array" ref="S27">IFERROR(QUARTILE(_xlfn._xlws.FILTER($P$3:$P$61, ($H$3:$H$61=$H27) * ($P$3:$P$61&gt;0)), 3), 0)</f>
        <v>0</v>
      </c>
      <c r="T27">
        <f t="shared" si="6"/>
        <v>0</v>
      </c>
      <c r="U27">
        <f t="shared" si="7"/>
        <v>0</v>
      </c>
      <c r="V27">
        <f t="shared" si="8"/>
        <v>0</v>
      </c>
      <c r="W27" t="b">
        <f t="shared" si="21"/>
        <v>1</v>
      </c>
      <c r="X27" t="b">
        <f t="shared" si="22"/>
        <v>1</v>
      </c>
      <c r="Y27">
        <f t="shared" si="9"/>
        <v>0</v>
      </c>
      <c r="Z27" t="e">
        <f>VLOOKUP($B27,'Data availability'!$A$2:$F$91,4,FALSE)</f>
        <v>#N/A</v>
      </c>
      <c r="AA27" cm="1">
        <f t="array" ref="AA27">IFERROR(QUARTILE(_xlfn._xlws.FILTER($Y$3:$Y$61, ($H$3:$H$61=$H27) * ($Y$3:$Y$61&gt;0)), 1), 0)</f>
        <v>0</v>
      </c>
      <c r="AB27" cm="1">
        <f t="array" ref="AB27">IFERROR(QUARTILE(_xlfn._xlws.FILTER($Y$3:$Y$61, ($H$3:$H$61=$H27) * ($Y$3:$Y$61&gt;0)), 3), 0)</f>
        <v>0</v>
      </c>
      <c r="AC27">
        <f t="shared" si="10"/>
        <v>0</v>
      </c>
      <c r="AD27">
        <f t="shared" si="11"/>
        <v>0</v>
      </c>
      <c r="AE27">
        <f t="shared" si="12"/>
        <v>0</v>
      </c>
      <c r="AF27" t="b">
        <f t="shared" si="23"/>
        <v>1</v>
      </c>
      <c r="AG27" t="b">
        <f t="shared" si="24"/>
        <v>1</v>
      </c>
      <c r="AH27">
        <f t="shared" si="13"/>
        <v>0</v>
      </c>
      <c r="AI27" t="e">
        <f>VLOOKUP($B27,'Data availability'!$A$2:$F$91,5,FALSE)</f>
        <v>#N/A</v>
      </c>
      <c r="AJ27" cm="1">
        <f t="array" ref="AJ27">IFERROR(QUARTILE(_xlfn._xlws.FILTER($AH$3:$AH$61, ($H$3:$H$61=$H27) * ($AH$3:$AH$61&gt;0)), 1), 0)</f>
        <v>0</v>
      </c>
      <c r="AK27" cm="1">
        <f t="array" ref="AK27">IFERROR(QUARTILE(_xlfn._xlws.FILTER($AH$3:$AH$61, ($H$3:$H$61=$H27) * ($AH$3:$AH$61&gt;0)), 3), 0)</f>
        <v>0</v>
      </c>
      <c r="AL27">
        <f t="shared" si="14"/>
        <v>0</v>
      </c>
      <c r="AM27">
        <f t="shared" si="15"/>
        <v>0</v>
      </c>
      <c r="AN27">
        <f t="shared" si="16"/>
        <v>0</v>
      </c>
      <c r="AO27" t="b">
        <f t="shared" si="25"/>
        <v>1</v>
      </c>
      <c r="AP27" t="b">
        <f t="shared" si="26"/>
        <v>1</v>
      </c>
      <c r="AQ27">
        <f t="shared" si="27"/>
        <v>0</v>
      </c>
      <c r="AR27" t="e">
        <f>VLOOKUP($B27,'Data availability'!$A$2:$F$91,6,FALSE)</f>
        <v>#N/A</v>
      </c>
      <c r="AS27" cm="1">
        <f t="array" ref="AS27">IFERROR(QUARTILE(_xlfn._xlws.FILTER($AQ$3:$AQ$61, ($H$3:$H$61=$H27) * ($AQ$3:$AQ$61&gt;0)), 1), 0)</f>
        <v>0</v>
      </c>
      <c r="AT27" cm="1">
        <f t="array" ref="AT27">IFERROR(QUARTILE(_xlfn._xlws.FILTER($AQ$3:$AQ$61, ($H$3:$H$61=$H27) * ($AQ$3:$AQ$61&gt;0)), 3), 0)</f>
        <v>0</v>
      </c>
      <c r="AU27">
        <f t="shared" si="17"/>
        <v>0</v>
      </c>
      <c r="AV27">
        <f t="shared" si="18"/>
        <v>0</v>
      </c>
      <c r="AW27">
        <f t="shared" si="19"/>
        <v>0</v>
      </c>
      <c r="AX27" t="b">
        <f t="shared" si="28"/>
        <v>1</v>
      </c>
      <c r="AY27" t="b">
        <f t="shared" si="29"/>
        <v>1</v>
      </c>
    </row>
    <row r="28" spans="2:51" x14ac:dyDescent="0.3">
      <c r="B28" t="s">
        <v>155</v>
      </c>
      <c r="C28">
        <f>SUMIF('SkYSPark Data_w Will''s Data'!$C$3:$C$734,Outliers!$B28,'SkYSPark Data_w Will''s Data'!$G$3:$G$734)</f>
        <v>1055524.8235393954</v>
      </c>
      <c r="D28">
        <f>SUMIF('SkYSPark Data_w Will''s Data'!$C$3:$C$734,Outliers!$B28,'SkYSPark Data_w Will''s Data'!$I$3:$I$734)</f>
        <v>9802.9696969697306</v>
      </c>
      <c r="E28">
        <f>SUMIF('SkYSPark Data_w Will''s Data'!$C$3:$C$734,Outliers!$B28,'SkYSPark Data_w Will''s Data'!$J$3:$J$734)</f>
        <v>0</v>
      </c>
      <c r="F28">
        <f>SUMIF('SkYSPark Data_w Will''s Data'!$C$3:$C$734,Outliers!$B28,'SkYSPark Data_w Will''s Data'!$K$3:$K$734)</f>
        <v>0</v>
      </c>
      <c r="G28">
        <f>INDEX('SkYSPark Data_w Will''s Data'!$E$3:$E$734,MATCH(Outliers!B28,'SkYSPark Data_w Will''s Data'!$C$3:$C$734,0))</f>
        <v>52851</v>
      </c>
      <c r="H28" t="str">
        <f>INDEX('SkYSPark Data_w Will''s Data'!$F$3:$F$734,MATCH(Outliers!B28,'SkYSPark Data_w Will''s Data'!$C$3:$C$734,0))</f>
        <v>Theater</v>
      </c>
      <c r="I28">
        <f t="shared" si="0"/>
        <v>86.691787622058044</v>
      </c>
      <c r="J28" cm="1">
        <f t="array" ref="J28">QUARTILE(_xlfn._xlws.FILTER($I$3:$I$61,$H$3:$H$61=H28),1)</f>
        <v>86.691787622058044</v>
      </c>
      <c r="K28" cm="1">
        <f t="array" ref="K28">QUARTILE(_xlfn._xlws.FILTER($I$3:$I$61,$H$3:$H$61=H28),3)</f>
        <v>86.691787622058044</v>
      </c>
      <c r="L28">
        <f t="shared" si="1"/>
        <v>0</v>
      </c>
      <c r="M28">
        <f t="shared" si="2"/>
        <v>86.691787622058044</v>
      </c>
      <c r="N28">
        <f t="shared" si="3"/>
        <v>86.691787622058044</v>
      </c>
      <c r="O28" t="b">
        <f t="shared" si="4"/>
        <v>0</v>
      </c>
      <c r="P28">
        <f t="shared" si="30"/>
        <v>68.143473120970597</v>
      </c>
      <c r="Q28" t="str">
        <f>VLOOKUP($B28,'Data availability'!$A$2:$F$91,3,FALSE)</f>
        <v>Y</v>
      </c>
      <c r="R28" cm="1">
        <f t="array" ref="R28">IFERROR(QUARTILE(_xlfn._xlws.FILTER($P$3:$P$61, ($H$3:$H$61=$H28) * ($P$3:$P$61&gt;0)), 1), 0)</f>
        <v>68.143473120970597</v>
      </c>
      <c r="S28" cm="1">
        <f t="array" ref="S28">IFERROR(QUARTILE(_xlfn._xlws.FILTER($P$3:$P$61, ($H$3:$H$61=$H28) * ($P$3:$P$61&gt;0)), 3), 0)</f>
        <v>68.143473120970597</v>
      </c>
      <c r="T28">
        <f t="shared" si="6"/>
        <v>0</v>
      </c>
      <c r="U28">
        <f t="shared" si="7"/>
        <v>68.143473120970597</v>
      </c>
      <c r="V28">
        <f t="shared" si="8"/>
        <v>68.143473120970597</v>
      </c>
      <c r="W28" t="b">
        <f t="shared" si="21"/>
        <v>0</v>
      </c>
      <c r="X28" t="b">
        <f t="shared" si="22"/>
        <v>0</v>
      </c>
      <c r="Y28">
        <f t="shared" si="9"/>
        <v>18.548314501087454</v>
      </c>
      <c r="Z28" t="str">
        <f>VLOOKUP($B28,'Data availability'!$A$2:$F$91,4,FALSE)</f>
        <v>Y</v>
      </c>
      <c r="AA28" cm="1">
        <f t="array" ref="AA28">IFERROR(QUARTILE(_xlfn._xlws.FILTER($Y$3:$Y$61, ($H$3:$H$61=$H28) * ($Y$3:$Y$61&gt;0)), 1), 0)</f>
        <v>18.548314501087454</v>
      </c>
      <c r="AB28" cm="1">
        <f t="array" ref="AB28">IFERROR(QUARTILE(_xlfn._xlws.FILTER($Y$3:$Y$61, ($H$3:$H$61=$H28) * ($Y$3:$Y$61&gt;0)), 3), 0)</f>
        <v>18.548314501087454</v>
      </c>
      <c r="AC28">
        <f t="shared" si="10"/>
        <v>0</v>
      </c>
      <c r="AD28">
        <f t="shared" si="11"/>
        <v>18.548314501087454</v>
      </c>
      <c r="AE28">
        <f t="shared" si="12"/>
        <v>18.548314501087454</v>
      </c>
      <c r="AF28" t="b">
        <f t="shared" si="23"/>
        <v>0</v>
      </c>
      <c r="AG28" t="b">
        <f t="shared" si="24"/>
        <v>0</v>
      </c>
      <c r="AH28">
        <f t="shared" si="13"/>
        <v>0</v>
      </c>
      <c r="AI28" t="str">
        <f>VLOOKUP($B28,'Data availability'!$A$2:$F$91,5,FALSE)</f>
        <v>-</v>
      </c>
      <c r="AJ28" cm="1">
        <f t="array" ref="AJ28">IFERROR(QUARTILE(_xlfn._xlws.FILTER($AH$3:$AH$61, ($H$3:$H$61=$H28) * ($AH$3:$AH$61&gt;0)), 1), 0)</f>
        <v>0</v>
      </c>
      <c r="AK28" cm="1">
        <f t="array" ref="AK28">IFERROR(QUARTILE(_xlfn._xlws.FILTER($AH$3:$AH$61, ($H$3:$H$61=$H28) * ($AH$3:$AH$61&gt;0)), 3), 0)</f>
        <v>0</v>
      </c>
      <c r="AL28">
        <f t="shared" si="14"/>
        <v>0</v>
      </c>
      <c r="AM28">
        <f t="shared" si="15"/>
        <v>0</v>
      </c>
      <c r="AN28">
        <f t="shared" si="16"/>
        <v>0</v>
      </c>
      <c r="AO28" t="b">
        <f t="shared" si="25"/>
        <v>1</v>
      </c>
      <c r="AP28" t="b">
        <f t="shared" si="26"/>
        <v>1</v>
      </c>
      <c r="AQ28">
        <f t="shared" si="27"/>
        <v>0</v>
      </c>
      <c r="AR28" t="str">
        <f>VLOOKUP($B28,'Data availability'!$A$2:$F$91,6,FALSE)</f>
        <v>-</v>
      </c>
      <c r="AS28" cm="1">
        <f t="array" ref="AS28">IFERROR(QUARTILE(_xlfn._xlws.FILTER($AQ$3:$AQ$61, ($H$3:$H$61=$H28) * ($AQ$3:$AQ$61&gt;0)), 1), 0)</f>
        <v>0</v>
      </c>
      <c r="AT28" cm="1">
        <f t="array" ref="AT28">IFERROR(QUARTILE(_xlfn._xlws.FILTER($AQ$3:$AQ$61, ($H$3:$H$61=$H28) * ($AQ$3:$AQ$61&gt;0)), 3), 0)</f>
        <v>0</v>
      </c>
      <c r="AU28">
        <f t="shared" si="17"/>
        <v>0</v>
      </c>
      <c r="AV28">
        <f t="shared" si="18"/>
        <v>0</v>
      </c>
      <c r="AW28">
        <f t="shared" si="19"/>
        <v>0</v>
      </c>
      <c r="AX28" t="b">
        <f t="shared" si="28"/>
        <v>1</v>
      </c>
      <c r="AY28" t="b">
        <f t="shared" si="29"/>
        <v>1</v>
      </c>
    </row>
    <row r="29" spans="2:51" x14ac:dyDescent="0.3">
      <c r="B29" t="s">
        <v>157</v>
      </c>
      <c r="C29">
        <f>SUMIF('SkYSPark Data_w Will''s Data'!$C$3:$C$734,Outliers!$B29,'SkYSPark Data_w Will''s Data'!$G$3:$G$734)</f>
        <v>353676.20428677171</v>
      </c>
      <c r="D29">
        <f>SUMIF('SkYSPark Data_w Will''s Data'!$C$3:$C$734,Outliers!$B29,'SkYSPark Data_w Will''s Data'!$I$3:$I$734)</f>
        <v>0</v>
      </c>
      <c r="E29">
        <f>SUMIF('SkYSPark Data_w Will''s Data'!$C$3:$C$734,Outliers!$B29,'SkYSPark Data_w Will''s Data'!$J$3:$J$734)</f>
        <v>15508.486379310376</v>
      </c>
      <c r="F29">
        <f>SUMIF('SkYSPark Data_w Will''s Data'!$C$3:$C$734,Outliers!$B29,'SkYSPark Data_w Will''s Data'!$K$3:$K$734)</f>
        <v>123075.58627241405</v>
      </c>
      <c r="G29">
        <f>INDEX('SkYSPark Data_w Will''s Data'!$E$3:$E$734,MATCH(Outliers!B29,'SkYSPark Data_w Will''s Data'!$C$3:$C$734,0))</f>
        <v>42445</v>
      </c>
      <c r="H29" t="str">
        <f>INDEX('SkYSPark Data_w Will''s Data'!$F$3:$F$734,MATCH(Outliers!B29,'SkYSPark Data_w Will''s Data'!$C$3:$C$734,0))</f>
        <v>Academic</v>
      </c>
      <c r="I29">
        <f t="shared" si="0"/>
        <v>99.764374654882104</v>
      </c>
      <c r="J29" cm="1">
        <f t="array" ref="J29">QUARTILE(_xlfn._xlws.FILTER($I$3:$I$61,$H$3:$H$61=H29),1)</f>
        <v>42.21959902044307</v>
      </c>
      <c r="K29" cm="1">
        <f t="array" ref="K29">QUARTILE(_xlfn._xlws.FILTER($I$3:$I$61,$H$3:$H$61=H29),3)</f>
        <v>103.33423599964128</v>
      </c>
      <c r="L29">
        <f t="shared" si="1"/>
        <v>61.11463697919821</v>
      </c>
      <c r="M29">
        <f t="shared" si="2"/>
        <v>-18.89503795875514</v>
      </c>
      <c r="N29">
        <f t="shared" si="3"/>
        <v>164.44887297883949</v>
      </c>
      <c r="O29" t="b">
        <f t="shared" si="4"/>
        <v>0</v>
      </c>
      <c r="P29">
        <f t="shared" si="30"/>
        <v>28.430750595511014</v>
      </c>
      <c r="Q29" t="str">
        <f>VLOOKUP($B29,'Data availability'!$A$2:$F$91,3,FALSE)</f>
        <v>Y</v>
      </c>
      <c r="R29" cm="1">
        <f t="array" ref="R29">IFERROR(QUARTILE(_xlfn._xlws.FILTER($P$3:$P$61, ($H$3:$H$61=$H29) * ($P$3:$P$61&gt;0)), 1), 0)</f>
        <v>14.691000795498219</v>
      </c>
      <c r="S29" cm="1">
        <f t="array" ref="S29">IFERROR(QUARTILE(_xlfn._xlws.FILTER($P$3:$P$61, ($H$3:$H$61=$H29) * ($P$3:$P$61&gt;0)), 3), 0)</f>
        <v>30.985762878217994</v>
      </c>
      <c r="T29">
        <f t="shared" si="6"/>
        <v>16.294762082719775</v>
      </c>
      <c r="U29">
        <f t="shared" si="7"/>
        <v>-1.6037612872215554</v>
      </c>
      <c r="V29">
        <f t="shared" si="8"/>
        <v>47.280524960937768</v>
      </c>
      <c r="W29" t="b">
        <f t="shared" si="21"/>
        <v>0</v>
      </c>
      <c r="X29" t="b">
        <f t="shared" si="22"/>
        <v>0</v>
      </c>
      <c r="Y29">
        <f t="shared" si="9"/>
        <v>0</v>
      </c>
      <c r="Z29" t="str">
        <f>VLOOKUP($B29,'Data availability'!$A$2:$F$91,4,FALSE)</f>
        <v>-</v>
      </c>
      <c r="AA29" cm="1">
        <f t="array" ref="AA29">IFERROR(QUARTILE(_xlfn._xlws.FILTER($Y$3:$Y$61, ($H$3:$H$61=$H29) * ($Y$3:$Y$61&gt;0)), 1), 0)</f>
        <v>2.3207880548899436</v>
      </c>
      <c r="AB29" cm="1">
        <f t="array" ref="AB29">IFERROR(QUARTILE(_xlfn._xlws.FILTER($Y$3:$Y$61, ($H$3:$H$61=$H29) * ($Y$3:$Y$61&gt;0)), 3), 0)</f>
        <v>5.5117751255024281</v>
      </c>
      <c r="AC29">
        <f t="shared" si="10"/>
        <v>3.1909870706124845</v>
      </c>
      <c r="AD29">
        <f t="shared" si="11"/>
        <v>-0.87019901572254099</v>
      </c>
      <c r="AE29">
        <f t="shared" si="12"/>
        <v>8.7027621961149126</v>
      </c>
      <c r="AF29" t="b">
        <f t="shared" si="23"/>
        <v>1</v>
      </c>
      <c r="AG29" t="b">
        <f t="shared" si="24"/>
        <v>1</v>
      </c>
      <c r="AH29">
        <f t="shared" si="13"/>
        <v>36.537840450725355</v>
      </c>
      <c r="AI29" t="str">
        <f>VLOOKUP($B29,'Data availability'!$A$2:$F$91,5,FALSE)</f>
        <v>Y</v>
      </c>
      <c r="AJ29" cm="1">
        <f t="array" ref="AJ29">IFERROR(QUARTILE(_xlfn._xlws.FILTER($AH$3:$AH$61, ($H$3:$H$61=$H29) * ($AH$3:$AH$61&gt;0)), 1), 0)</f>
        <v>20.962789979692385</v>
      </c>
      <c r="AK29" cm="1">
        <f t="array" ref="AK29">IFERROR(QUARTILE(_xlfn._xlws.FILTER($AH$3:$AH$61, ($H$3:$H$61=$H29) * ($AH$3:$AH$61&gt;0)), 3), 0)</f>
        <v>37.598619727031377</v>
      </c>
      <c r="AL29">
        <f t="shared" si="14"/>
        <v>16.635829747338992</v>
      </c>
      <c r="AM29">
        <f t="shared" si="15"/>
        <v>4.3269602323533931</v>
      </c>
      <c r="AN29">
        <f t="shared" si="16"/>
        <v>54.234449474370365</v>
      </c>
      <c r="AO29" t="b">
        <f t="shared" si="25"/>
        <v>0</v>
      </c>
      <c r="AP29" t="b">
        <f t="shared" si="26"/>
        <v>0</v>
      </c>
      <c r="AQ29">
        <f t="shared" si="27"/>
        <v>34.795783608645742</v>
      </c>
      <c r="AR29" t="str">
        <f>VLOOKUP($B29,'Data availability'!$A$2:$F$91,6,FALSE)</f>
        <v>Y</v>
      </c>
      <c r="AS29" cm="1">
        <f t="array" ref="AS29">IFERROR(QUARTILE(_xlfn._xlws.FILTER($AQ$3:$AQ$61, ($H$3:$H$61=$H29) * ($AQ$3:$AQ$61&gt;0)), 1), 0)</f>
        <v>7.9248587636469203</v>
      </c>
      <c r="AT29" cm="1">
        <f t="array" ref="AT29">IFERROR(QUARTILE(_xlfn._xlws.FILTER($AQ$3:$AQ$61, ($H$3:$H$61=$H29) * ($AQ$3:$AQ$61&gt;0)), 3), 0)</f>
        <v>35.341609909631828</v>
      </c>
      <c r="AU29">
        <f t="shared" si="17"/>
        <v>27.416751145984907</v>
      </c>
      <c r="AV29">
        <f t="shared" si="18"/>
        <v>-19.491892382337987</v>
      </c>
      <c r="AW29">
        <f t="shared" si="19"/>
        <v>62.758361055616732</v>
      </c>
      <c r="AX29" t="b">
        <f t="shared" si="28"/>
        <v>0</v>
      </c>
      <c r="AY29" t="b">
        <f t="shared" si="29"/>
        <v>0</v>
      </c>
    </row>
    <row r="30" spans="2:51" x14ac:dyDescent="0.3">
      <c r="B30" t="s">
        <v>158</v>
      </c>
      <c r="C30">
        <f>SUMIF('SkYSPark Data_w Will''s Data'!$C$3:$C$734,Outliers!$B30,'SkYSPark Data_w Will''s Data'!$G$3:$G$734)</f>
        <v>580831.7408068428</v>
      </c>
      <c r="D30">
        <f>SUMIF('SkYSPark Data_w Will''s Data'!$C$3:$C$734,Outliers!$B30,'SkYSPark Data_w Will''s Data'!$I$3:$I$734)</f>
        <v>0</v>
      </c>
      <c r="E30">
        <f>SUMIF('SkYSPark Data_w Will''s Data'!$C$3:$C$734,Outliers!$B30,'SkYSPark Data_w Will''s Data'!$J$3:$J$734)</f>
        <v>0</v>
      </c>
      <c r="F30">
        <f>SUMIF('SkYSPark Data_w Will''s Data'!$C$3:$C$734,Outliers!$B30,'SkYSPark Data_w Will''s Data'!$K$3:$K$734)</f>
        <v>99281.436045689654</v>
      </c>
      <c r="G30">
        <f>INDEX('SkYSPark Data_w Will''s Data'!$E$3:$E$734,MATCH(Outliers!B30,'SkYSPark Data_w Will''s Data'!$C$3:$C$734,0))</f>
        <v>73315</v>
      </c>
      <c r="H30" t="str">
        <f>INDEX('SkYSPark Data_w Will''s Data'!$F$3:$F$734,MATCH(Outliers!B30,'SkYSPark Data_w Will''s Data'!$C$3:$C$734,0))</f>
        <v>Academic</v>
      </c>
      <c r="I30">
        <f t="shared" si="0"/>
        <v>43.28139033187238</v>
      </c>
      <c r="J30" cm="1">
        <f t="array" ref="J30">QUARTILE(_xlfn._xlws.FILTER($I$3:$I$61,$H$3:$H$61=H30),1)</f>
        <v>42.21959902044307</v>
      </c>
      <c r="K30" cm="1">
        <f t="array" ref="K30">QUARTILE(_xlfn._xlws.FILTER($I$3:$I$61,$H$3:$H$61=H30),3)</f>
        <v>103.33423599964128</v>
      </c>
      <c r="L30">
        <f t="shared" si="1"/>
        <v>61.11463697919821</v>
      </c>
      <c r="M30">
        <f t="shared" si="2"/>
        <v>-18.89503795875514</v>
      </c>
      <c r="N30">
        <f t="shared" si="3"/>
        <v>164.44887297883949</v>
      </c>
      <c r="O30" t="b">
        <f t="shared" si="4"/>
        <v>0</v>
      </c>
      <c r="P30">
        <f t="shared" si="30"/>
        <v>27.031274631834517</v>
      </c>
      <c r="Q30" t="str">
        <f>VLOOKUP($B30,'Data availability'!$A$2:$F$91,3,FALSE)</f>
        <v>Y</v>
      </c>
      <c r="R30" cm="1">
        <f t="array" ref="R30">IFERROR(QUARTILE(_xlfn._xlws.FILTER($P$3:$P$61, ($H$3:$H$61=$H30) * ($P$3:$P$61&gt;0)), 1), 0)</f>
        <v>14.691000795498219</v>
      </c>
      <c r="S30" cm="1">
        <f t="array" ref="S30">IFERROR(QUARTILE(_xlfn._xlws.FILTER($P$3:$P$61, ($H$3:$H$61=$H30) * ($P$3:$P$61&gt;0)), 3), 0)</f>
        <v>30.985762878217994</v>
      </c>
      <c r="T30">
        <f t="shared" si="6"/>
        <v>16.294762082719775</v>
      </c>
      <c r="U30">
        <f t="shared" si="7"/>
        <v>-1.6037612872215554</v>
      </c>
      <c r="V30">
        <f t="shared" si="8"/>
        <v>47.280524960937768</v>
      </c>
      <c r="W30" t="b">
        <f t="shared" si="21"/>
        <v>0</v>
      </c>
      <c r="X30" t="b">
        <f t="shared" si="22"/>
        <v>0</v>
      </c>
      <c r="Y30">
        <f t="shared" si="9"/>
        <v>0</v>
      </c>
      <c r="Z30" t="str">
        <f>VLOOKUP($B30,'Data availability'!$A$2:$F$91,4,FALSE)</f>
        <v>-</v>
      </c>
      <c r="AA30" cm="1">
        <f t="array" ref="AA30">IFERROR(QUARTILE(_xlfn._xlws.FILTER($Y$3:$Y$61, ($H$3:$H$61=$H30) * ($Y$3:$Y$61&gt;0)), 1), 0)</f>
        <v>2.3207880548899436</v>
      </c>
      <c r="AB30" cm="1">
        <f t="array" ref="AB30">IFERROR(QUARTILE(_xlfn._xlws.FILTER($Y$3:$Y$61, ($H$3:$H$61=$H30) * ($Y$3:$Y$61&gt;0)), 3), 0)</f>
        <v>5.5117751255024281</v>
      </c>
      <c r="AC30">
        <f t="shared" si="10"/>
        <v>3.1909870706124845</v>
      </c>
      <c r="AD30">
        <f t="shared" si="11"/>
        <v>-0.87019901572254099</v>
      </c>
      <c r="AE30">
        <f t="shared" si="12"/>
        <v>8.7027621961149126</v>
      </c>
      <c r="AF30" t="b">
        <f t="shared" si="23"/>
        <v>1</v>
      </c>
      <c r="AG30" t="b">
        <f t="shared" si="24"/>
        <v>1</v>
      </c>
      <c r="AH30">
        <f t="shared" si="13"/>
        <v>0</v>
      </c>
      <c r="AI30" t="str">
        <f>VLOOKUP($B30,'Data availability'!$A$2:$F$91,5,FALSE)</f>
        <v>Y</v>
      </c>
      <c r="AJ30" cm="1">
        <f t="array" ref="AJ30">IFERROR(QUARTILE(_xlfn._xlws.FILTER($AH$3:$AH$61, ($H$3:$H$61=$H30) * ($AH$3:$AH$61&gt;0)), 1), 0)</f>
        <v>20.962789979692385</v>
      </c>
      <c r="AK30" cm="1">
        <f t="array" ref="AK30">IFERROR(QUARTILE(_xlfn._xlws.FILTER($AH$3:$AH$61, ($H$3:$H$61=$H30) * ($AH$3:$AH$61&gt;0)), 3), 0)</f>
        <v>37.598619727031377</v>
      </c>
      <c r="AL30">
        <f t="shared" si="14"/>
        <v>16.635829747338992</v>
      </c>
      <c r="AM30">
        <f t="shared" si="15"/>
        <v>4.3269602323533931</v>
      </c>
      <c r="AN30">
        <f t="shared" si="16"/>
        <v>54.234449474370365</v>
      </c>
      <c r="AO30" t="b">
        <f t="shared" si="25"/>
        <v>1</v>
      </c>
      <c r="AP30" t="b">
        <f t="shared" si="26"/>
        <v>1</v>
      </c>
      <c r="AQ30">
        <f t="shared" si="27"/>
        <v>16.250115700037863</v>
      </c>
      <c r="AR30" t="str">
        <f>VLOOKUP($B30,'Data availability'!$A$2:$F$91,6,FALSE)</f>
        <v>N(Bad Data)</v>
      </c>
      <c r="AS30" cm="1">
        <f t="array" ref="AS30">IFERROR(QUARTILE(_xlfn._xlws.FILTER($AQ$3:$AQ$61, ($H$3:$H$61=$H30) * ($AQ$3:$AQ$61&gt;0)), 1), 0)</f>
        <v>7.9248587636469203</v>
      </c>
      <c r="AT30" cm="1">
        <f t="array" ref="AT30">IFERROR(QUARTILE(_xlfn._xlws.FILTER($AQ$3:$AQ$61, ($H$3:$H$61=$H30) * ($AQ$3:$AQ$61&gt;0)), 3), 0)</f>
        <v>35.341609909631828</v>
      </c>
      <c r="AU30">
        <f t="shared" si="17"/>
        <v>27.416751145984907</v>
      </c>
      <c r="AV30">
        <f t="shared" si="18"/>
        <v>-19.491892382337987</v>
      </c>
      <c r="AW30">
        <f t="shared" si="19"/>
        <v>62.758361055616732</v>
      </c>
      <c r="AX30" t="b">
        <f t="shared" si="28"/>
        <v>0</v>
      </c>
      <c r="AY30" t="b">
        <f t="shared" si="29"/>
        <v>0</v>
      </c>
    </row>
    <row r="31" spans="2:51" x14ac:dyDescent="0.3">
      <c r="B31" t="s">
        <v>159</v>
      </c>
      <c r="C31">
        <f>SUMIF('SkYSPark Data_w Will''s Data'!$C$3:$C$734,Outliers!$B31,'SkYSPark Data_w Will''s Data'!$G$3:$G$734)</f>
        <v>397894.87220501108</v>
      </c>
      <c r="D31">
        <f>SUMIF('SkYSPark Data_w Will''s Data'!$C$3:$C$734,Outliers!$B31,'SkYSPark Data_w Will''s Data'!$I$3:$I$734)</f>
        <v>14142.283353328705</v>
      </c>
      <c r="E31">
        <f>SUMIF('SkYSPark Data_w Will''s Data'!$C$3:$C$734,Outliers!$B31,'SkYSPark Data_w Will''s Data'!$J$3:$J$734)</f>
        <v>3050.158060344806</v>
      </c>
      <c r="F31">
        <f>SUMIF('SkYSPark Data_w Will''s Data'!$C$3:$C$734,Outliers!$B31,'SkYSPark Data_w Will''s Data'!$K$3:$K$734)</f>
        <v>0</v>
      </c>
      <c r="G31">
        <f>INDEX('SkYSPark Data_w Will''s Data'!$E$3:$E$734,MATCH(Outliers!B31,'SkYSPark Data_w Will''s Data'!$C$3:$C$734,0))</f>
        <v>113302</v>
      </c>
      <c r="H31" t="str">
        <f>INDEX('SkYSPark Data_w Will''s Data'!$F$3:$F$734,MATCH(Outliers!B31,'SkYSPark Data_w Will''s Data'!$C$3:$C$734,0))</f>
        <v xml:space="preserve">Lab </v>
      </c>
      <c r="I31">
        <f t="shared" si="0"/>
        <v>27.156285372992965</v>
      </c>
      <c r="J31" cm="1">
        <f t="array" ref="J31">QUARTILE(_xlfn._xlws.FILTER($I$3:$I$61,$H$3:$H$61=H31),1)</f>
        <v>105.93951518668453</v>
      </c>
      <c r="K31" cm="1">
        <f t="array" ref="K31">QUARTILE(_xlfn._xlws.FILTER($I$3:$I$61,$H$3:$H$61=H31),3)</f>
        <v>123.42568667836801</v>
      </c>
      <c r="L31">
        <f t="shared" si="1"/>
        <v>17.486171491683479</v>
      </c>
      <c r="M31">
        <f t="shared" si="2"/>
        <v>88.453343695001053</v>
      </c>
      <c r="N31">
        <f t="shared" si="3"/>
        <v>140.91185817005149</v>
      </c>
      <c r="O31" t="b">
        <f t="shared" si="4"/>
        <v>1</v>
      </c>
      <c r="P31">
        <f t="shared" si="30"/>
        <v>11.982288961920334</v>
      </c>
      <c r="Q31" t="str">
        <f>VLOOKUP($B31,'Data availability'!$A$2:$F$91,3,FALSE)</f>
        <v>Y</v>
      </c>
      <c r="R31" cm="1">
        <f t="array" ref="R31">IFERROR(QUARTILE(_xlfn._xlws.FILTER($P$3:$P$61, ($H$3:$H$61=$H31) * ($P$3:$P$61&gt;0)), 1), 0)</f>
        <v>29.865089067225885</v>
      </c>
      <c r="S31" cm="1">
        <f t="array" ref="S31">IFERROR(QUARTILE(_xlfn._xlws.FILTER($P$3:$P$61, ($H$3:$H$61=$H31) * ($P$3:$P$61&gt;0)), 3), 0)</f>
        <v>45.125135626267713</v>
      </c>
      <c r="T31">
        <f t="shared" si="6"/>
        <v>15.260046559041829</v>
      </c>
      <c r="U31">
        <f t="shared" si="7"/>
        <v>14.605042508184056</v>
      </c>
      <c r="V31">
        <f t="shared" si="8"/>
        <v>60.385182185309546</v>
      </c>
      <c r="W31" t="b">
        <f t="shared" si="21"/>
        <v>1</v>
      </c>
      <c r="X31" t="b">
        <f t="shared" si="22"/>
        <v>1</v>
      </c>
      <c r="Y31">
        <f t="shared" si="9"/>
        <v>12.481936200004153</v>
      </c>
      <c r="Z31" t="str">
        <f>VLOOKUP($B31,'Data availability'!$A$2:$F$91,4,FALSE)</f>
        <v>Y</v>
      </c>
      <c r="AA31" cm="1">
        <f t="array" ref="AA31">IFERROR(QUARTILE(_xlfn._xlws.FILTER($Y$3:$Y$61, ($H$3:$H$61=$H31) * ($Y$3:$Y$61&gt;0)), 1), 0)</f>
        <v>5.8225963160264418E-2</v>
      </c>
      <c r="AB31" cm="1">
        <f t="array" ref="AB31">IFERROR(QUARTILE(_xlfn._xlws.FILTER($Y$3:$Y$61, ($H$3:$H$61=$H31) * ($Y$3:$Y$61&gt;0)), 3), 0)</f>
        <v>25.363099338846663</v>
      </c>
      <c r="AC31">
        <f t="shared" si="10"/>
        <v>25.304873375686398</v>
      </c>
      <c r="AD31">
        <f t="shared" si="11"/>
        <v>-25.246647412526134</v>
      </c>
      <c r="AE31">
        <f t="shared" si="12"/>
        <v>50.667972714533065</v>
      </c>
      <c r="AF31" t="b">
        <f t="shared" si="23"/>
        <v>0</v>
      </c>
      <c r="AG31" t="b">
        <f t="shared" si="24"/>
        <v>0</v>
      </c>
      <c r="AH31">
        <f t="shared" si="13"/>
        <v>2.6920602110684775</v>
      </c>
      <c r="AI31" t="str">
        <f>VLOOKUP($B31,'Data availability'!$A$2:$F$91,5,FALSE)</f>
        <v>-</v>
      </c>
      <c r="AJ31" cm="1">
        <f t="array" ref="AJ31">IFERROR(QUARTILE(_xlfn._xlws.FILTER($AH$3:$AH$61, ($H$3:$H$61=$H31) * ($AH$3:$AH$61&gt;0)), 1), 0)</f>
        <v>36.12030354378453</v>
      </c>
      <c r="AK31" cm="1">
        <f t="array" ref="AK31">IFERROR(QUARTILE(_xlfn._xlws.FILTER($AH$3:$AH$61, ($H$3:$H$61=$H31) * ($AH$3:$AH$61&gt;0)), 3), 0)</f>
        <v>56.253209992579698</v>
      </c>
      <c r="AL31">
        <f t="shared" si="14"/>
        <v>20.132906448795168</v>
      </c>
      <c r="AM31">
        <f t="shared" si="15"/>
        <v>15.987397094989362</v>
      </c>
      <c r="AN31">
        <f t="shared" si="16"/>
        <v>76.386116441374867</v>
      </c>
      <c r="AO31" t="b">
        <f t="shared" si="25"/>
        <v>1</v>
      </c>
      <c r="AP31" t="b">
        <f t="shared" si="26"/>
        <v>1</v>
      </c>
      <c r="AQ31">
        <f t="shared" si="27"/>
        <v>0</v>
      </c>
      <c r="AR31" t="str">
        <f>VLOOKUP($B31,'Data availability'!$A$2:$F$91,6,FALSE)</f>
        <v>Y</v>
      </c>
      <c r="AS31" cm="1">
        <f t="array" ref="AS31">IFERROR(QUARTILE(_xlfn._xlws.FILTER($AQ$3:$AQ$61, ($H$3:$H$61=$H31) * ($AQ$3:$AQ$61&gt;0)), 1), 0)</f>
        <v>22.237691880516579</v>
      </c>
      <c r="AT31" cm="1">
        <f t="array" ref="AT31">IFERROR(QUARTILE(_xlfn._xlws.FILTER($AQ$3:$AQ$61, ($H$3:$H$61=$H31) * ($AQ$3:$AQ$61&gt;0)), 3), 0)</f>
        <v>42.662065282549577</v>
      </c>
      <c r="AU31">
        <f t="shared" si="17"/>
        <v>20.424373402032998</v>
      </c>
      <c r="AV31">
        <f t="shared" si="18"/>
        <v>1.8133184784835805</v>
      </c>
      <c r="AW31">
        <f t="shared" si="19"/>
        <v>63.086438684582575</v>
      </c>
      <c r="AX31" t="b">
        <f t="shared" si="28"/>
        <v>1</v>
      </c>
      <c r="AY31" t="b">
        <f t="shared" si="29"/>
        <v>1</v>
      </c>
    </row>
    <row r="32" spans="2:51" x14ac:dyDescent="0.3">
      <c r="B32" s="72" t="s">
        <v>160</v>
      </c>
      <c r="C32">
        <f>SUMIF('SkYSPark Data_w Will''s Data'!$C$3:$C$734,Outliers!$B32,'SkYSPark Data_w Will''s Data'!$G$3:$G$734)</f>
        <v>2162038.8838334526</v>
      </c>
      <c r="D32">
        <f>SUMIF('SkYSPark Data_w Will''s Data'!$C$3:$C$734,Outliers!$B32,'SkYSPark Data_w Will''s Data'!$I$3:$I$734)</f>
        <v>0</v>
      </c>
      <c r="E32">
        <f>SUMIF('SkYSPark Data_w Will''s Data'!$C$3:$C$734,Outliers!$B32,'SkYSPark Data_w Will''s Data'!$J$3:$J$734)</f>
        <v>84603.478608954159</v>
      </c>
      <c r="F32">
        <f>SUMIF('SkYSPark Data_w Will''s Data'!$C$3:$C$734,Outliers!$B32,'SkYSPark Data_w Will''s Data'!$K$3:$K$734)</f>
        <v>839087.40024910285</v>
      </c>
      <c r="G32">
        <f>INDEX('SkYSPark Data_w Will''s Data'!$E$3:$E$734,MATCH(Outliers!B32,'SkYSPark Data_w Will''s Data'!$C$3:$C$734,0))</f>
        <v>163476</v>
      </c>
      <c r="H32" t="str">
        <f>INDEX('SkYSPark Data_w Will''s Data'!$F$3:$F$734,MATCH(Outliers!B32,'SkYSPark Data_w Will''s Data'!$C$3:$C$734,0))</f>
        <v xml:space="preserve">Lab </v>
      </c>
      <c r="I32">
        <f t="shared" si="0"/>
        <v>158.47141681668495</v>
      </c>
      <c r="J32" cm="1">
        <f t="array" ref="J32">QUARTILE(_xlfn._xlws.FILTER($I$3:$I$61,$H$3:$H$61=H32),1)</f>
        <v>105.93951518668453</v>
      </c>
      <c r="K32" cm="1">
        <f t="array" ref="K32">QUARTILE(_xlfn._xlws.FILTER($I$3:$I$61,$H$3:$H$61=H32),3)</f>
        <v>123.42568667836801</v>
      </c>
      <c r="L32">
        <f t="shared" si="1"/>
        <v>17.486171491683479</v>
      </c>
      <c r="M32">
        <f t="shared" si="2"/>
        <v>88.453343695001053</v>
      </c>
      <c r="N32">
        <f t="shared" si="3"/>
        <v>140.91185817005149</v>
      </c>
      <c r="O32" t="b">
        <f t="shared" si="4"/>
        <v>1</v>
      </c>
      <c r="P32">
        <f t="shared" si="30"/>
        <v>45.125135626267713</v>
      </c>
      <c r="Q32" t="str">
        <f>VLOOKUP($B32,'Data availability'!$A$2:$F$91,3,FALSE)</f>
        <v>Y</v>
      </c>
      <c r="R32" cm="1">
        <f t="array" ref="R32">IFERROR(QUARTILE(_xlfn._xlws.FILTER($P$3:$P$61, ($H$3:$H$61=$H32) * ($P$3:$P$61&gt;0)), 1), 0)</f>
        <v>29.865089067225885</v>
      </c>
      <c r="S32" cm="1">
        <f t="array" ref="S32">IFERROR(QUARTILE(_xlfn._xlws.FILTER($P$3:$P$61, ($H$3:$H$61=$H32) * ($P$3:$P$61&gt;0)), 3), 0)</f>
        <v>45.125135626267713</v>
      </c>
      <c r="T32">
        <f t="shared" si="6"/>
        <v>15.260046559041829</v>
      </c>
      <c r="U32">
        <f t="shared" si="7"/>
        <v>14.605042508184056</v>
      </c>
      <c r="V32">
        <f t="shared" si="8"/>
        <v>60.385182185309546</v>
      </c>
      <c r="W32" t="b">
        <f t="shared" si="21"/>
        <v>0</v>
      </c>
      <c r="X32" t="b">
        <f t="shared" si="22"/>
        <v>0</v>
      </c>
      <c r="Y32">
        <f t="shared" si="9"/>
        <v>0</v>
      </c>
      <c r="Z32" t="str">
        <f>VLOOKUP($B32,'Data availability'!$A$2:$F$91,4,FALSE)</f>
        <v>-</v>
      </c>
      <c r="AA32" cm="1">
        <f t="array" ref="AA32">IFERROR(QUARTILE(_xlfn._xlws.FILTER($Y$3:$Y$61, ($H$3:$H$61=$H32) * ($Y$3:$Y$61&gt;0)), 1), 0)</f>
        <v>5.8225963160264418E-2</v>
      </c>
      <c r="AB32" cm="1">
        <f t="array" ref="AB32">IFERROR(QUARTILE(_xlfn._xlws.FILTER($Y$3:$Y$61, ($H$3:$H$61=$H32) * ($Y$3:$Y$61&gt;0)), 3), 0)</f>
        <v>25.363099338846663</v>
      </c>
      <c r="AC32">
        <f t="shared" si="10"/>
        <v>25.304873375686398</v>
      </c>
      <c r="AD32">
        <f t="shared" si="11"/>
        <v>-25.246647412526134</v>
      </c>
      <c r="AE32">
        <f t="shared" si="12"/>
        <v>50.667972714533065</v>
      </c>
      <c r="AF32" t="b">
        <f t="shared" si="23"/>
        <v>1</v>
      </c>
      <c r="AG32" t="b">
        <f t="shared" si="24"/>
        <v>1</v>
      </c>
      <c r="AH32">
        <f t="shared" si="13"/>
        <v>51.752843603314346</v>
      </c>
      <c r="AI32" t="str">
        <f>VLOOKUP($B32,'Data availability'!$A$2:$F$91,5,FALSE)</f>
        <v>Y</v>
      </c>
      <c r="AJ32" cm="1">
        <f t="array" ref="AJ32">IFERROR(QUARTILE(_xlfn._xlws.FILTER($AH$3:$AH$61, ($H$3:$H$61=$H32) * ($AH$3:$AH$61&gt;0)), 1), 0)</f>
        <v>36.12030354378453</v>
      </c>
      <c r="AK32" cm="1">
        <f t="array" ref="AK32">IFERROR(QUARTILE(_xlfn._xlws.FILTER($AH$3:$AH$61, ($H$3:$H$61=$H32) * ($AH$3:$AH$61&gt;0)), 3), 0)</f>
        <v>56.253209992579698</v>
      </c>
      <c r="AL32">
        <f t="shared" si="14"/>
        <v>20.132906448795168</v>
      </c>
      <c r="AM32">
        <f t="shared" si="15"/>
        <v>15.987397094989362</v>
      </c>
      <c r="AN32">
        <f t="shared" si="16"/>
        <v>76.386116441374867</v>
      </c>
      <c r="AO32" t="b">
        <f t="shared" si="25"/>
        <v>0</v>
      </c>
      <c r="AP32" t="b">
        <f t="shared" si="26"/>
        <v>0</v>
      </c>
      <c r="AQ32">
        <f t="shared" si="27"/>
        <v>61.593437587102898</v>
      </c>
      <c r="AR32" t="str">
        <f>VLOOKUP($B32,'Data availability'!$A$2:$F$91,6,FALSE)</f>
        <v>Y</v>
      </c>
      <c r="AS32" cm="1">
        <f t="array" ref="AS32">IFERROR(QUARTILE(_xlfn._xlws.FILTER($AQ$3:$AQ$61, ($H$3:$H$61=$H32) * ($AQ$3:$AQ$61&gt;0)), 1), 0)</f>
        <v>22.237691880516579</v>
      </c>
      <c r="AT32" cm="1">
        <f t="array" ref="AT32">IFERROR(QUARTILE(_xlfn._xlws.FILTER($AQ$3:$AQ$61, ($H$3:$H$61=$H32) * ($AQ$3:$AQ$61&gt;0)), 3), 0)</f>
        <v>42.662065282549577</v>
      </c>
      <c r="AU32">
        <f t="shared" si="17"/>
        <v>20.424373402032998</v>
      </c>
      <c r="AV32">
        <f t="shared" si="18"/>
        <v>1.8133184784835805</v>
      </c>
      <c r="AW32">
        <f t="shared" si="19"/>
        <v>63.086438684582575</v>
      </c>
      <c r="AX32" t="b">
        <f t="shared" si="28"/>
        <v>0</v>
      </c>
      <c r="AY32" t="b">
        <f t="shared" si="29"/>
        <v>0</v>
      </c>
    </row>
    <row r="33" spans="2:51" x14ac:dyDescent="0.3">
      <c r="B33" t="s">
        <v>161</v>
      </c>
      <c r="C33">
        <f>SUMIF('SkYSPark Data_w Will''s Data'!$C$3:$C$734,Outliers!$B33,'SkYSPark Data_w Will''s Data'!$G$3:$G$734)</f>
        <v>111982.79346666677</v>
      </c>
      <c r="D33">
        <f>SUMIF('SkYSPark Data_w Will''s Data'!$C$3:$C$734,Outliers!$B33,'SkYSPark Data_w Will''s Data'!$I$3:$I$734)</f>
        <v>8468.1999999999734</v>
      </c>
      <c r="E33">
        <f>SUMIF('SkYSPark Data_w Will''s Data'!$C$3:$C$734,Outliers!$B33,'SkYSPark Data_w Will''s Data'!$J$3:$J$734)</f>
        <v>0</v>
      </c>
      <c r="F33">
        <f>SUMIF('SkYSPark Data_w Will''s Data'!$C$3:$C$734,Outliers!$B33,'SkYSPark Data_w Will''s Data'!$K$3:$K$734)</f>
        <v>0</v>
      </c>
      <c r="G33">
        <f>INDEX('SkYSPark Data_w Will''s Data'!$E$3:$E$734,MATCH(Outliers!B33,'SkYSPark Data_w Will''s Data'!$C$3:$C$734,0))</f>
        <v>25320</v>
      </c>
      <c r="H33" t="str">
        <f>INDEX('SkYSPark Data_w Will''s Data'!$F$3:$F$734,MATCH(Outliers!B33,'SkYSPark Data_w Will''s Data'!$C$3:$C$734,0))</f>
        <v>Residential</v>
      </c>
      <c r="I33">
        <f t="shared" si="0"/>
        <v>48.534964111700802</v>
      </c>
      <c r="J33" cm="1">
        <f t="array" ref="J33">QUARTILE(_xlfn._xlws.FILTER($I$3:$I$61,$H$3:$H$61=H33),1)</f>
        <v>50.081582948721113</v>
      </c>
      <c r="K33" cm="1">
        <f t="array" ref="K33">QUARTILE(_xlfn._xlws.FILTER($I$3:$I$61,$H$3:$H$61=H33),3)</f>
        <v>60.261727435175821</v>
      </c>
      <c r="L33">
        <f t="shared" si="1"/>
        <v>10.180144486454708</v>
      </c>
      <c r="M33">
        <f t="shared" si="2"/>
        <v>39.901438462266405</v>
      </c>
      <c r="N33">
        <f t="shared" si="3"/>
        <v>70.441871921630536</v>
      </c>
      <c r="O33" t="b">
        <f t="shared" si="4"/>
        <v>0</v>
      </c>
      <c r="P33">
        <f t="shared" si="30"/>
        <v>15.090256370784639</v>
      </c>
      <c r="Q33" t="str">
        <f>VLOOKUP($B33,'Data availability'!$A$2:$F$91,3,FALSE)</f>
        <v>Y</v>
      </c>
      <c r="R33" cm="1">
        <f t="array" ref="R33">IFERROR(QUARTILE(_xlfn._xlws.FILTER($P$3:$P$61, ($H$3:$H$61=$H33) * ($P$3:$P$61&gt;0)), 1), 0)</f>
        <v>15.090256370784639</v>
      </c>
      <c r="S33" cm="1">
        <f t="array" ref="S33">IFERROR(QUARTILE(_xlfn._xlws.FILTER($P$3:$P$61, ($H$3:$H$61=$H33) * ($P$3:$P$61&gt;0)), 3), 0)</f>
        <v>20.768948018924362</v>
      </c>
      <c r="T33">
        <f t="shared" si="6"/>
        <v>5.6786916481397238</v>
      </c>
      <c r="U33">
        <f t="shared" si="7"/>
        <v>9.4115647226449148</v>
      </c>
      <c r="V33">
        <f t="shared" si="8"/>
        <v>26.447639667064088</v>
      </c>
      <c r="W33" t="b">
        <f t="shared" si="21"/>
        <v>0</v>
      </c>
      <c r="X33" t="b">
        <f t="shared" si="22"/>
        <v>0</v>
      </c>
      <c r="Y33">
        <f t="shared" si="9"/>
        <v>33.444707740916165</v>
      </c>
      <c r="Z33" t="str">
        <f>VLOOKUP($B33,'Data availability'!$A$2:$F$91,4,FALSE)</f>
        <v>Y</v>
      </c>
      <c r="AA33" cm="1">
        <f t="array" ref="AA33">IFERROR(QUARTILE(_xlfn._xlws.FILTER($Y$3:$Y$61, ($H$3:$H$61=$H33) * ($Y$3:$Y$61&gt;0)), 1), 0)</f>
        <v>32.545551949603954</v>
      </c>
      <c r="AB33" cm="1">
        <f t="array" ref="AB33">IFERROR(QUARTILE(_xlfn._xlws.FILTER($Y$3:$Y$61, ($H$3:$H$61=$H33) * ($Y$3:$Y$61&gt;0)), 3), 0)</f>
        <v>36.468743578583812</v>
      </c>
      <c r="AC33">
        <f t="shared" si="10"/>
        <v>3.9231916289798576</v>
      </c>
      <c r="AD33">
        <f t="shared" si="11"/>
        <v>28.622360320624097</v>
      </c>
      <c r="AE33">
        <f t="shared" si="12"/>
        <v>40.39193520756367</v>
      </c>
      <c r="AF33" t="b">
        <f t="shared" si="23"/>
        <v>0</v>
      </c>
      <c r="AG33" t="b">
        <f t="shared" si="24"/>
        <v>0</v>
      </c>
      <c r="AH33">
        <f t="shared" si="13"/>
        <v>0</v>
      </c>
      <c r="AI33" t="str">
        <f>VLOOKUP($B33,'Data availability'!$A$2:$F$91,5,FALSE)</f>
        <v>-</v>
      </c>
      <c r="AJ33" cm="1">
        <f t="array" ref="AJ33">IFERROR(QUARTILE(_xlfn._xlws.FILTER($AH$3:$AH$61, ($H$3:$H$61=$H33) * ($AH$3:$AH$61&gt;0)), 1), 0)</f>
        <v>28.932049487238903</v>
      </c>
      <c r="AK33" cm="1">
        <f t="array" ref="AK33">IFERROR(QUARTILE(_xlfn._xlws.FILTER($AH$3:$AH$61, ($H$3:$H$61=$H33) * ($AH$3:$AH$61&gt;0)), 3), 0)</f>
        <v>39.018053772845839</v>
      </c>
      <c r="AL33">
        <f t="shared" si="14"/>
        <v>10.086004285606936</v>
      </c>
      <c r="AM33">
        <f t="shared" si="15"/>
        <v>18.846045201631966</v>
      </c>
      <c r="AN33">
        <f t="shared" si="16"/>
        <v>49.104058058452779</v>
      </c>
      <c r="AO33" t="b">
        <f t="shared" si="25"/>
        <v>1</v>
      </c>
      <c r="AP33" t="b">
        <f t="shared" si="26"/>
        <v>1</v>
      </c>
      <c r="AQ33">
        <f t="shared" si="27"/>
        <v>0</v>
      </c>
      <c r="AR33" t="str">
        <f>VLOOKUP($B33,'Data availability'!$A$2:$F$91,6,FALSE)</f>
        <v>-</v>
      </c>
      <c r="AS33" cm="1">
        <f t="array" ref="AS33">IFERROR(QUARTILE(_xlfn._xlws.FILTER($AQ$3:$AQ$61, ($H$3:$H$61=$H33) * ($AQ$3:$AQ$61&gt;0)), 1), 0)</f>
        <v>11.777221395526169</v>
      </c>
      <c r="AT33" cm="1">
        <f t="array" ref="AT33">IFERROR(QUARTILE(_xlfn._xlws.FILTER($AQ$3:$AQ$61, ($H$3:$H$61=$H33) * ($AQ$3:$AQ$61&gt;0)), 3), 0)</f>
        <v>14.543024685900781</v>
      </c>
      <c r="AU33">
        <f t="shared" si="17"/>
        <v>2.7658032903746115</v>
      </c>
      <c r="AV33">
        <f t="shared" si="18"/>
        <v>9.0114181051515576</v>
      </c>
      <c r="AW33">
        <f t="shared" si="19"/>
        <v>17.308827976275392</v>
      </c>
      <c r="AX33" t="b">
        <f t="shared" si="28"/>
        <v>1</v>
      </c>
      <c r="AY33" t="b">
        <f t="shared" si="29"/>
        <v>1</v>
      </c>
    </row>
    <row r="34" spans="2:51" x14ac:dyDescent="0.3">
      <c r="B34" t="s">
        <v>162</v>
      </c>
      <c r="C34">
        <f>SUMIF('SkYSPark Data_w Will''s Data'!$C$3:$C$734,Outliers!$B34,'SkYSPark Data_w Will''s Data'!$G$3:$G$734)</f>
        <v>712454.99983024597</v>
      </c>
      <c r="D34">
        <f>SUMIF('SkYSPark Data_w Will''s Data'!$C$3:$C$734,Outliers!$B34,'SkYSPark Data_w Will''s Data'!$I$3:$I$734)</f>
        <v>41140.315005779266</v>
      </c>
      <c r="E34">
        <f>SUMIF('SkYSPark Data_w Will''s Data'!$C$3:$C$734,Outliers!$B34,'SkYSPark Data_w Will''s Data'!$J$3:$J$734)</f>
        <v>0</v>
      </c>
      <c r="F34">
        <f>SUMIF('SkYSPark Data_w Will''s Data'!$C$3:$C$734,Outliers!$B34,'SkYSPark Data_w Will''s Data'!$K$3:$K$734)</f>
        <v>0</v>
      </c>
      <c r="G34">
        <f>INDEX('SkYSPark Data_w Will''s Data'!$E$3:$E$734,MATCH(Outliers!B34,'SkYSPark Data_w Will''s Data'!$C$3:$C$734,0))</f>
        <v>130000</v>
      </c>
      <c r="H34" t="str">
        <f>INDEX('SkYSPark Data_w Will''s Data'!$F$3:$F$734,MATCH(Outliers!B34,'SkYSPark Data_w Will''s Data'!$C$3:$C$734,0))</f>
        <v>Residential</v>
      </c>
      <c r="I34">
        <f t="shared" si="0"/>
        <v>50.345599692297888</v>
      </c>
      <c r="J34" cm="1">
        <f t="array" ref="J34">QUARTILE(_xlfn._xlws.FILTER($I$3:$I$61,$H$3:$H$61=H34),1)</f>
        <v>50.081582948721113</v>
      </c>
      <c r="K34" cm="1">
        <f t="array" ref="K34">QUARTILE(_xlfn._xlws.FILTER($I$3:$I$61,$H$3:$H$61=H34),3)</f>
        <v>60.261727435175821</v>
      </c>
      <c r="L34">
        <f t="shared" si="1"/>
        <v>10.180144486454708</v>
      </c>
      <c r="M34">
        <f t="shared" si="2"/>
        <v>39.901438462266405</v>
      </c>
      <c r="N34">
        <f t="shared" si="3"/>
        <v>70.441871921630536</v>
      </c>
      <c r="O34" t="b">
        <f t="shared" si="4"/>
        <v>0</v>
      </c>
      <c r="P34">
        <f t="shared" si="30"/>
        <v>18.699203534006148</v>
      </c>
      <c r="Q34" t="str">
        <f>VLOOKUP($B34,'Data availability'!$A$2:$F$91,3,FALSE)</f>
        <v>Y</v>
      </c>
      <c r="R34" cm="1">
        <f t="array" ref="R34">IFERROR(QUARTILE(_xlfn._xlws.FILTER($P$3:$P$61, ($H$3:$H$61=$H34) * ($P$3:$P$61&gt;0)), 1), 0)</f>
        <v>15.090256370784639</v>
      </c>
      <c r="S34" cm="1">
        <f t="array" ref="S34">IFERROR(QUARTILE(_xlfn._xlws.FILTER($P$3:$P$61, ($H$3:$H$61=$H34) * ($P$3:$P$61&gt;0)), 3), 0)</f>
        <v>20.768948018924362</v>
      </c>
      <c r="T34">
        <f t="shared" si="6"/>
        <v>5.6786916481397238</v>
      </c>
      <c r="U34">
        <f t="shared" si="7"/>
        <v>9.4115647226449148</v>
      </c>
      <c r="V34">
        <f t="shared" si="8"/>
        <v>26.447639667064088</v>
      </c>
      <c r="W34" t="b">
        <f t="shared" si="21"/>
        <v>0</v>
      </c>
      <c r="X34" t="b">
        <f t="shared" si="22"/>
        <v>0</v>
      </c>
      <c r="Y34">
        <f t="shared" si="9"/>
        <v>31.646396158291743</v>
      </c>
      <c r="Z34" t="str">
        <f>VLOOKUP($B34,'Data availability'!$A$2:$F$91,4,FALSE)</f>
        <v>Y</v>
      </c>
      <c r="AA34" cm="1">
        <f t="array" ref="AA34">IFERROR(QUARTILE(_xlfn._xlws.FILTER($Y$3:$Y$61, ($H$3:$H$61=$H34) * ($Y$3:$Y$61&gt;0)), 1), 0)</f>
        <v>32.545551949603954</v>
      </c>
      <c r="AB34" cm="1">
        <f t="array" ref="AB34">IFERROR(QUARTILE(_xlfn._xlws.FILTER($Y$3:$Y$61, ($H$3:$H$61=$H34) * ($Y$3:$Y$61&gt;0)), 3), 0)</f>
        <v>36.468743578583812</v>
      </c>
      <c r="AC34">
        <f t="shared" si="10"/>
        <v>3.9231916289798576</v>
      </c>
      <c r="AD34">
        <f t="shared" si="11"/>
        <v>28.622360320624097</v>
      </c>
      <c r="AE34">
        <f t="shared" si="12"/>
        <v>40.39193520756367</v>
      </c>
      <c r="AF34" t="b">
        <f t="shared" si="23"/>
        <v>0</v>
      </c>
      <c r="AG34" t="b">
        <f t="shared" si="24"/>
        <v>0</v>
      </c>
      <c r="AH34">
        <f t="shared" si="13"/>
        <v>0</v>
      </c>
      <c r="AI34" t="str">
        <f>VLOOKUP($B34,'Data availability'!$A$2:$F$91,5,FALSE)</f>
        <v>-</v>
      </c>
      <c r="AJ34" cm="1">
        <f t="array" ref="AJ34">IFERROR(QUARTILE(_xlfn._xlws.FILTER($AH$3:$AH$61, ($H$3:$H$61=$H34) * ($AH$3:$AH$61&gt;0)), 1), 0)</f>
        <v>28.932049487238903</v>
      </c>
      <c r="AK34" cm="1">
        <f t="array" ref="AK34">IFERROR(QUARTILE(_xlfn._xlws.FILTER($AH$3:$AH$61, ($H$3:$H$61=$H34) * ($AH$3:$AH$61&gt;0)), 3), 0)</f>
        <v>39.018053772845839</v>
      </c>
      <c r="AL34">
        <f t="shared" si="14"/>
        <v>10.086004285606936</v>
      </c>
      <c r="AM34">
        <f t="shared" si="15"/>
        <v>18.846045201631966</v>
      </c>
      <c r="AN34">
        <f t="shared" si="16"/>
        <v>49.104058058452779</v>
      </c>
      <c r="AO34" t="b">
        <f t="shared" si="25"/>
        <v>1</v>
      </c>
      <c r="AP34" t="b">
        <f t="shared" si="26"/>
        <v>1</v>
      </c>
      <c r="AQ34">
        <f t="shared" si="27"/>
        <v>0</v>
      </c>
      <c r="AR34" t="str">
        <f>VLOOKUP($B34,'Data availability'!$A$2:$F$91,6,FALSE)</f>
        <v>-</v>
      </c>
      <c r="AS34" cm="1">
        <f t="array" ref="AS34">IFERROR(QUARTILE(_xlfn._xlws.FILTER($AQ$3:$AQ$61, ($H$3:$H$61=$H34) * ($AQ$3:$AQ$61&gt;0)), 1), 0)</f>
        <v>11.777221395526169</v>
      </c>
      <c r="AT34" cm="1">
        <f t="array" ref="AT34">IFERROR(QUARTILE(_xlfn._xlws.FILTER($AQ$3:$AQ$61, ($H$3:$H$61=$H34) * ($AQ$3:$AQ$61&gt;0)), 3), 0)</f>
        <v>14.543024685900781</v>
      </c>
      <c r="AU34">
        <f t="shared" si="17"/>
        <v>2.7658032903746115</v>
      </c>
      <c r="AV34">
        <f t="shared" si="18"/>
        <v>9.0114181051515576</v>
      </c>
      <c r="AW34">
        <f t="shared" si="19"/>
        <v>17.308827976275392</v>
      </c>
      <c r="AX34" t="b">
        <f t="shared" si="28"/>
        <v>1</v>
      </c>
      <c r="AY34" t="b">
        <f t="shared" si="29"/>
        <v>1</v>
      </c>
    </row>
    <row r="35" spans="2:51" x14ac:dyDescent="0.3">
      <c r="B35" t="s">
        <v>163</v>
      </c>
      <c r="C35">
        <f>SUMIF('SkYSPark Data_w Will''s Data'!$C$3:$C$734,Outliers!$B35,'SkYSPark Data_w Will''s Data'!$G$3:$G$734)</f>
        <v>212782.22645076009</v>
      </c>
      <c r="D35">
        <f>SUMIF('SkYSPark Data_w Will''s Data'!$C$3:$C$734,Outliers!$B35,'SkYSPark Data_w Will''s Data'!$I$3:$I$734)</f>
        <v>6655.516129032294</v>
      </c>
      <c r="E35">
        <f>SUMIF('SkYSPark Data_w Will''s Data'!$C$3:$C$734,Outliers!$B35,'SkYSPark Data_w Will''s Data'!$J$3:$J$734)</f>
        <v>0</v>
      </c>
      <c r="F35">
        <f>SUMIF('SkYSPark Data_w Will''s Data'!$C$3:$C$734,Outliers!$B35,'SkYSPark Data_w Will''s Data'!$K$3:$K$734)</f>
        <v>0</v>
      </c>
      <c r="G35">
        <f>INDEX('SkYSPark Data_w Will''s Data'!$E$3:$E$734,MATCH(Outliers!B35,'SkYSPark Data_w Will''s Data'!$C$3:$C$734,0))</f>
        <v>15358</v>
      </c>
      <c r="H35" t="str">
        <f>INDEX('SkYSPark Data_w Will''s Data'!$F$3:$F$734,MATCH(Outliers!B35,'SkYSPark Data_w Will''s Data'!$C$3:$C$734,0))</f>
        <v>Athletics</v>
      </c>
      <c r="I35">
        <f t="shared" ref="I35:I58" si="31">IFERROR((C35*3.412+D35*100+E35*100+F35*12)/G35,0)</f>
        <v>90.608449638834671</v>
      </c>
      <c r="J35" cm="1">
        <f t="array" ref="J35">QUARTILE(_xlfn._xlws.FILTER($I$3:$I$61,$H$3:$H$61=H35),1)</f>
        <v>35.241304721956851</v>
      </c>
      <c r="K35" cm="1">
        <f t="array" ref="K35">QUARTILE(_xlfn._xlws.FILTER($I$3:$I$61,$H$3:$H$61=H35),3)</f>
        <v>110.27168618999586</v>
      </c>
      <c r="L35">
        <f t="shared" ref="L35:L58" si="32">K35-J35</f>
        <v>75.03038146803901</v>
      </c>
      <c r="M35">
        <f t="shared" ref="M35:M58" si="33">J35-L35</f>
        <v>-39.789076746082159</v>
      </c>
      <c r="N35">
        <f t="shared" ref="N35:N58" si="34">K35+L35</f>
        <v>185.30206765803487</v>
      </c>
      <c r="O35" t="b">
        <f t="shared" ref="O35:O58" si="35">IF(OR(I35&gt;N35,I35&lt;M35),TRUE,FALSE)</f>
        <v>0</v>
      </c>
      <c r="P35">
        <f t="shared" si="30"/>
        <v>47.272623821460698</v>
      </c>
      <c r="Q35" t="str">
        <f>VLOOKUP($B35,'Data availability'!$A$2:$F$91,3,FALSE)</f>
        <v>Y</v>
      </c>
      <c r="R35" cm="1">
        <f t="array" ref="R35">IFERROR(QUARTILE(_xlfn._xlws.FILTER($P$3:$P$61, ($H$3:$H$61=$H35) * ($P$3:$P$61&gt;0)), 1), 0)</f>
        <v>22.386081175049085</v>
      </c>
      <c r="S35" cm="1">
        <f t="array" ref="S35">IFERROR(QUARTILE(_xlfn._xlws.FILTER($P$3:$P$61, ($H$3:$H$61=$H35) * ($P$3:$P$61&gt;0)), 3), 0)</f>
        <v>42.853420284849037</v>
      </c>
      <c r="T35">
        <f t="shared" si="6"/>
        <v>20.467339109799951</v>
      </c>
      <c r="U35">
        <f t="shared" si="7"/>
        <v>1.918742065249134</v>
      </c>
      <c r="V35">
        <f t="shared" si="8"/>
        <v>63.320759394648988</v>
      </c>
      <c r="W35" t="b">
        <f t="shared" si="21"/>
        <v>0</v>
      </c>
      <c r="X35" t="b">
        <f t="shared" si="22"/>
        <v>0</v>
      </c>
      <c r="Y35">
        <f t="shared" ref="Y35:Y58" si="36">IFERROR((D35*100)/$G35,0)</f>
        <v>43.335825817373973</v>
      </c>
      <c r="Z35" t="str">
        <f>VLOOKUP($B35,'Data availability'!$A$2:$F$91,4,FALSE)</f>
        <v>Y</v>
      </c>
      <c r="AA35" cm="1">
        <f t="array" ref="AA35">IFERROR(QUARTILE(_xlfn._xlws.FILTER($Y$3:$Y$61, ($H$3:$H$61=$H35) * ($Y$3:$Y$61&gt;0)), 1), 0)</f>
        <v>25.288828048792482</v>
      </c>
      <c r="AB35" cm="1">
        <f t="array" ref="AB35">IFERROR(QUARTILE(_xlfn._xlws.FILTER($Y$3:$Y$61, ($H$3:$H$61=$H35) * ($Y$3:$Y$61&gt;0)), 3), 0)</f>
        <v>38.336388047513843</v>
      </c>
      <c r="AC35">
        <f t="shared" si="10"/>
        <v>13.047559998721361</v>
      </c>
      <c r="AD35">
        <f t="shared" si="11"/>
        <v>12.24126805007112</v>
      </c>
      <c r="AE35">
        <f t="shared" si="12"/>
        <v>51.383948046235204</v>
      </c>
      <c r="AF35" t="b">
        <f t="shared" si="23"/>
        <v>0</v>
      </c>
      <c r="AG35" t="b">
        <f t="shared" si="24"/>
        <v>0</v>
      </c>
      <c r="AH35">
        <f t="shared" ref="AH35:AH58" si="37">IFERROR((E35*100)/$G35,0)</f>
        <v>0</v>
      </c>
      <c r="AI35" t="str">
        <f>VLOOKUP($B35,'Data availability'!$A$2:$F$91,5,FALSE)</f>
        <v>-</v>
      </c>
      <c r="AJ35" cm="1">
        <f t="array" ref="AJ35">IFERROR(QUARTILE(_xlfn._xlws.FILTER($AH$3:$AH$61, ($H$3:$H$61=$H35) * ($AH$3:$AH$61&gt;0)), 1), 0)</f>
        <v>9.9719961163773458</v>
      </c>
      <c r="AK35" cm="1">
        <f t="array" ref="AK35">IFERROR(QUARTILE(_xlfn._xlws.FILTER($AH$3:$AH$61, ($H$3:$H$61=$H35) * ($AH$3:$AH$61&gt;0)), 3), 0)</f>
        <v>92.542374107098553</v>
      </c>
      <c r="AL35">
        <f t="shared" si="14"/>
        <v>82.570377990721212</v>
      </c>
      <c r="AM35">
        <f t="shared" si="15"/>
        <v>-72.598381874343872</v>
      </c>
      <c r="AN35">
        <f t="shared" si="16"/>
        <v>175.11275209781977</v>
      </c>
      <c r="AO35" t="b">
        <f t="shared" si="25"/>
        <v>1</v>
      </c>
      <c r="AP35" t="b">
        <f t="shared" si="26"/>
        <v>1</v>
      </c>
      <c r="AQ35">
        <f t="shared" si="27"/>
        <v>0</v>
      </c>
      <c r="AR35" t="str">
        <f>VLOOKUP($B35,'Data availability'!$A$2:$F$91,6,FALSE)</f>
        <v>-</v>
      </c>
      <c r="AS35" cm="1">
        <f t="array" ref="AS35">IFERROR(QUARTILE(_xlfn._xlws.FILTER($AQ$3:$AQ$61, ($H$3:$H$61=$H35) * ($AQ$3:$AQ$61&gt;0)), 1), 0)</f>
        <v>8.1385129695793257</v>
      </c>
      <c r="AT35" cm="1">
        <f t="array" ref="AT35">IFERROR(QUARTILE(_xlfn._xlws.FILTER($AQ$3:$AQ$61, ($H$3:$H$61=$H35) * ($AQ$3:$AQ$61&gt;0)), 3), 0)</f>
        <v>25.43708742579112</v>
      </c>
      <c r="AU35">
        <f t="shared" si="17"/>
        <v>17.298574456211796</v>
      </c>
      <c r="AV35">
        <f t="shared" si="18"/>
        <v>-9.1600614866324701</v>
      </c>
      <c r="AW35">
        <f t="shared" si="19"/>
        <v>42.735661882002915</v>
      </c>
      <c r="AX35" t="b">
        <f t="shared" si="28"/>
        <v>1</v>
      </c>
      <c r="AY35" t="b">
        <f t="shared" si="29"/>
        <v>1</v>
      </c>
    </row>
    <row r="36" spans="2:51" x14ac:dyDescent="0.3">
      <c r="B36" t="s">
        <v>164</v>
      </c>
      <c r="C36">
        <f>SUMIF('SkYSPark Data_w Will''s Data'!$C$3:$C$734,Outliers!$B36,'SkYSPark Data_w Will''s Data'!$G$3:$G$734)</f>
        <v>973759.30501294998</v>
      </c>
      <c r="D36">
        <f>SUMIF('SkYSPark Data_w Will''s Data'!$C$3:$C$734,Outliers!$B36,'SkYSPark Data_w Will''s Data'!$I$3:$I$734)</f>
        <v>0</v>
      </c>
      <c r="E36">
        <f>SUMIF('SkYSPark Data_w Will''s Data'!$C$3:$C$734,Outliers!$B36,'SkYSPark Data_w Will''s Data'!$J$3:$J$734)</f>
        <v>19215.972184806134</v>
      </c>
      <c r="F36">
        <f>SUMIF('SkYSPark Data_w Will''s Data'!$C$3:$C$734,Outliers!$B36,'SkYSPark Data_w Will''s Data'!$K$3:$K$734)</f>
        <v>75222.989411031682</v>
      </c>
      <c r="G36">
        <f>INDEX('SkYSPark Data_w Will''s Data'!$E$3:$E$734,MATCH(Outliers!B36,'SkYSPark Data_w Will''s Data'!$C$3:$C$734,0))</f>
        <v>107302</v>
      </c>
      <c r="H36" t="str">
        <f>INDEX('SkYSPark Data_w Will''s Data'!$F$3:$F$734,MATCH(Outliers!B36,'SkYSPark Data_w Will''s Data'!$C$3:$C$734,0))</f>
        <v>Academic</v>
      </c>
      <c r="I36">
        <f t="shared" si="31"/>
        <v>57.2844852856161</v>
      </c>
      <c r="J36" cm="1">
        <f t="array" ref="J36">QUARTILE(_xlfn._xlws.FILTER($I$3:$I$61,$H$3:$H$61=H36),1)</f>
        <v>42.21959902044307</v>
      </c>
      <c r="K36" cm="1">
        <f t="array" ref="K36">QUARTILE(_xlfn._xlws.FILTER($I$3:$I$61,$H$3:$H$61=H36),3)</f>
        <v>103.33423599964128</v>
      </c>
      <c r="L36">
        <f t="shared" si="32"/>
        <v>61.11463697919821</v>
      </c>
      <c r="M36">
        <f t="shared" si="33"/>
        <v>-18.89503795875514</v>
      </c>
      <c r="N36">
        <f t="shared" si="34"/>
        <v>164.44887297883949</v>
      </c>
      <c r="O36" t="b">
        <f t="shared" si="35"/>
        <v>0</v>
      </c>
      <c r="P36">
        <f t="shared" si="30"/>
        <v>30.963698241451095</v>
      </c>
      <c r="Q36" t="str">
        <f>VLOOKUP($B36,'Data availability'!$A$2:$F$91,3,FALSE)</f>
        <v>Y</v>
      </c>
      <c r="R36" cm="1">
        <f t="array" ref="R36">IFERROR(QUARTILE(_xlfn._xlws.FILTER($P$3:$P$61, ($H$3:$H$61=$H36) * ($P$3:$P$61&gt;0)), 1), 0)</f>
        <v>14.691000795498219</v>
      </c>
      <c r="S36" cm="1">
        <f t="array" ref="S36">IFERROR(QUARTILE(_xlfn._xlws.FILTER($P$3:$P$61, ($H$3:$H$61=$H36) * ($P$3:$P$61&gt;0)), 3), 0)</f>
        <v>30.985762878217994</v>
      </c>
      <c r="T36">
        <f t="shared" si="6"/>
        <v>16.294762082719775</v>
      </c>
      <c r="U36">
        <f t="shared" si="7"/>
        <v>-1.6037612872215554</v>
      </c>
      <c r="V36">
        <f t="shared" si="8"/>
        <v>47.280524960937768</v>
      </c>
      <c r="W36" t="b">
        <f t="shared" si="21"/>
        <v>0</v>
      </c>
      <c r="X36" t="b">
        <f t="shared" si="22"/>
        <v>0</v>
      </c>
      <c r="Y36">
        <f t="shared" si="36"/>
        <v>0</v>
      </c>
      <c r="Z36" t="str">
        <f>VLOOKUP($B36,'Data availability'!$A$2:$F$91,4,FALSE)</f>
        <v>-</v>
      </c>
      <c r="AA36" cm="1">
        <f t="array" ref="AA36">IFERROR(QUARTILE(_xlfn._xlws.FILTER($Y$3:$Y$61, ($H$3:$H$61=$H36) * ($Y$3:$Y$61&gt;0)), 1), 0)</f>
        <v>2.3207880548899436</v>
      </c>
      <c r="AB36" cm="1">
        <f t="array" ref="AB36">IFERROR(QUARTILE(_xlfn._xlws.FILTER($Y$3:$Y$61, ($H$3:$H$61=$H36) * ($Y$3:$Y$61&gt;0)), 3), 0)</f>
        <v>5.5117751255024281</v>
      </c>
      <c r="AC36">
        <f t="shared" si="10"/>
        <v>3.1909870706124845</v>
      </c>
      <c r="AD36">
        <f t="shared" si="11"/>
        <v>-0.87019901572254099</v>
      </c>
      <c r="AE36">
        <f t="shared" si="12"/>
        <v>8.7027621961149126</v>
      </c>
      <c r="AF36" t="b">
        <f t="shared" si="23"/>
        <v>1</v>
      </c>
      <c r="AG36" t="b">
        <f t="shared" si="24"/>
        <v>1</v>
      </c>
      <c r="AH36">
        <f t="shared" si="37"/>
        <v>17.908307566313894</v>
      </c>
      <c r="AI36" t="str">
        <f>VLOOKUP($B36,'Data availability'!$A$2:$F$91,5,FALSE)</f>
        <v>Y</v>
      </c>
      <c r="AJ36" cm="1">
        <f t="array" ref="AJ36">IFERROR(QUARTILE(_xlfn._xlws.FILTER($AH$3:$AH$61, ($H$3:$H$61=$H36) * ($AH$3:$AH$61&gt;0)), 1), 0)</f>
        <v>20.962789979692385</v>
      </c>
      <c r="AK36" cm="1">
        <f t="array" ref="AK36">IFERROR(QUARTILE(_xlfn._xlws.FILTER($AH$3:$AH$61, ($H$3:$H$61=$H36) * ($AH$3:$AH$61&gt;0)), 3), 0)</f>
        <v>37.598619727031377</v>
      </c>
      <c r="AL36">
        <f t="shared" si="14"/>
        <v>16.635829747338992</v>
      </c>
      <c r="AM36">
        <f t="shared" si="15"/>
        <v>4.3269602323533931</v>
      </c>
      <c r="AN36">
        <f t="shared" si="16"/>
        <v>54.234449474370365</v>
      </c>
      <c r="AO36" t="b">
        <f t="shared" si="25"/>
        <v>0</v>
      </c>
      <c r="AP36" t="b">
        <f t="shared" si="26"/>
        <v>0</v>
      </c>
      <c r="AQ36">
        <f t="shared" si="27"/>
        <v>8.4124794778511127</v>
      </c>
      <c r="AR36" t="str">
        <f>VLOOKUP($B36,'Data availability'!$A$2:$F$91,6,FALSE)</f>
        <v>Y</v>
      </c>
      <c r="AS36" cm="1">
        <f t="array" ref="AS36">IFERROR(QUARTILE(_xlfn._xlws.FILTER($AQ$3:$AQ$61, ($H$3:$H$61=$H36) * ($AQ$3:$AQ$61&gt;0)), 1), 0)</f>
        <v>7.9248587636469203</v>
      </c>
      <c r="AT36" cm="1">
        <f t="array" ref="AT36">IFERROR(QUARTILE(_xlfn._xlws.FILTER($AQ$3:$AQ$61, ($H$3:$H$61=$H36) * ($AQ$3:$AQ$61&gt;0)), 3), 0)</f>
        <v>35.341609909631828</v>
      </c>
      <c r="AU36">
        <f t="shared" si="17"/>
        <v>27.416751145984907</v>
      </c>
      <c r="AV36">
        <f t="shared" si="18"/>
        <v>-19.491892382337987</v>
      </c>
      <c r="AW36">
        <f t="shared" si="19"/>
        <v>62.758361055616732</v>
      </c>
      <c r="AX36" t="b">
        <f t="shared" si="28"/>
        <v>0</v>
      </c>
      <c r="AY36" t="b">
        <f t="shared" si="29"/>
        <v>0</v>
      </c>
    </row>
    <row r="37" spans="2:51" x14ac:dyDescent="0.3">
      <c r="B37" t="s">
        <v>194</v>
      </c>
      <c r="C37">
        <f>SUMIF('SkYSPark Data_w Will''s Data'!$C$3:$C$734,Outliers!$B37,'SkYSPark Data_w Will''s Data'!$G$3:$G$734)</f>
        <v>302468.20075757481</v>
      </c>
      <c r="D37">
        <f>SUMIF('SkYSPark Data_w Will''s Data'!$C$3:$C$734,Outliers!$B37,'SkYSPark Data_w Will''s Data'!$I$3:$I$734)</f>
        <v>0</v>
      </c>
      <c r="E37">
        <f>SUMIF('SkYSPark Data_w Will''s Data'!$C$3:$C$734,Outliers!$B37,'SkYSPark Data_w Will''s Data'!$J$3:$J$734)</f>
        <v>0</v>
      </c>
      <c r="F37">
        <f>SUMIF('SkYSPark Data_w Will''s Data'!$C$3:$C$734,Outliers!$B37,'SkYSPark Data_w Will''s Data'!$K$3:$K$734)</f>
        <v>0</v>
      </c>
      <c r="G37">
        <f>INDEX('SkYSPark Data_w Will''s Data'!$E$3:$E$734,MATCH(Outliers!B37,'SkYSPark Data_w Will''s Data'!$C$3:$C$734,0))</f>
        <v>3724</v>
      </c>
      <c r="H37" t="str">
        <f>INDEX('SkYSPark Data_w Will''s Data'!$F$3:$F$734,MATCH(Outliers!B37,'SkYSPark Data_w Will''s Data'!$C$3:$C$734,0))</f>
        <v>Food Sale</v>
      </c>
      <c r="I37">
        <f t="shared" si="31"/>
        <v>277.1271484921711</v>
      </c>
      <c r="J37" cm="1">
        <f t="array" ref="J37">QUARTILE(_xlfn._xlws.FILTER($I$3:$I$61,$H$3:$H$61=H37),1)</f>
        <v>277.1271484921711</v>
      </c>
      <c r="K37" cm="1">
        <f t="array" ref="K37">QUARTILE(_xlfn._xlws.FILTER($I$3:$I$61,$H$3:$H$61=H37),3)</f>
        <v>277.1271484921711</v>
      </c>
      <c r="L37">
        <f t="shared" si="32"/>
        <v>0</v>
      </c>
      <c r="M37">
        <f t="shared" si="33"/>
        <v>277.1271484921711</v>
      </c>
      <c r="N37">
        <f t="shared" si="34"/>
        <v>277.1271484921711</v>
      </c>
      <c r="O37" t="b">
        <f t="shared" si="35"/>
        <v>0</v>
      </c>
      <c r="P37">
        <f t="shared" si="30"/>
        <v>277.1271484921711</v>
      </c>
      <c r="Q37" t="e">
        <f>VLOOKUP($B37,'Data availability'!$A$2:$F$91,3,FALSE)</f>
        <v>#N/A</v>
      </c>
      <c r="R37" cm="1">
        <f t="array" ref="R37">IFERROR(QUARTILE(_xlfn._xlws.FILTER($P$3:$P$61, ($H$3:$H$61=$H37) * ($P$3:$P$61&gt;0)), 1), 0)</f>
        <v>277.1271484921711</v>
      </c>
      <c r="S37" cm="1">
        <f t="array" ref="S37">IFERROR(QUARTILE(_xlfn._xlws.FILTER($P$3:$P$61, ($H$3:$H$61=$H37) * ($P$3:$P$61&gt;0)), 3), 0)</f>
        <v>277.1271484921711</v>
      </c>
      <c r="T37">
        <f t="shared" si="6"/>
        <v>0</v>
      </c>
      <c r="U37">
        <f t="shared" si="7"/>
        <v>277.1271484921711</v>
      </c>
      <c r="V37">
        <f t="shared" si="8"/>
        <v>277.1271484921711</v>
      </c>
      <c r="W37" t="b">
        <f t="shared" si="21"/>
        <v>0</v>
      </c>
      <c r="X37" t="b">
        <f t="shared" si="22"/>
        <v>0</v>
      </c>
      <c r="Y37">
        <f t="shared" si="36"/>
        <v>0</v>
      </c>
      <c r="Z37" t="e">
        <f>VLOOKUP($B37,'Data availability'!$A$2:$F$91,4,FALSE)</f>
        <v>#N/A</v>
      </c>
      <c r="AA37" cm="1">
        <f t="array" ref="AA37">IFERROR(QUARTILE(_xlfn._xlws.FILTER($Y$3:$Y$61, ($H$3:$H$61=$H37) * ($Y$3:$Y$61&gt;0)), 1), 0)</f>
        <v>0</v>
      </c>
      <c r="AB37" cm="1">
        <f t="array" ref="AB37">IFERROR(QUARTILE(_xlfn._xlws.FILTER($Y$3:$Y$61, ($H$3:$H$61=$H37) * ($Y$3:$Y$61&gt;0)), 3), 0)</f>
        <v>0</v>
      </c>
      <c r="AC37">
        <f t="shared" si="10"/>
        <v>0</v>
      </c>
      <c r="AD37">
        <f t="shared" si="11"/>
        <v>0</v>
      </c>
      <c r="AE37">
        <f t="shared" si="12"/>
        <v>0</v>
      </c>
      <c r="AF37" t="b">
        <f t="shared" si="23"/>
        <v>1</v>
      </c>
      <c r="AG37" t="b">
        <f t="shared" si="24"/>
        <v>1</v>
      </c>
      <c r="AH37">
        <f t="shared" si="37"/>
        <v>0</v>
      </c>
      <c r="AI37" t="e">
        <f>VLOOKUP($B37,'Data availability'!$A$2:$F$91,5,FALSE)</f>
        <v>#N/A</v>
      </c>
      <c r="AJ37" cm="1">
        <f t="array" ref="AJ37">IFERROR(QUARTILE(_xlfn._xlws.FILTER($AH$3:$AH$61, ($H$3:$H$61=$H37) * ($AH$3:$AH$61&gt;0)), 1), 0)</f>
        <v>0</v>
      </c>
      <c r="AK37" cm="1">
        <f t="array" ref="AK37">IFERROR(QUARTILE(_xlfn._xlws.FILTER($AH$3:$AH$61, ($H$3:$H$61=$H37) * ($AH$3:$AH$61&gt;0)), 3), 0)</f>
        <v>0</v>
      </c>
      <c r="AL37">
        <f t="shared" si="14"/>
        <v>0</v>
      </c>
      <c r="AM37">
        <f t="shared" si="15"/>
        <v>0</v>
      </c>
      <c r="AN37">
        <f t="shared" si="16"/>
        <v>0</v>
      </c>
      <c r="AO37" t="b">
        <f t="shared" si="25"/>
        <v>1</v>
      </c>
      <c r="AP37" t="b">
        <f t="shared" si="26"/>
        <v>1</v>
      </c>
      <c r="AQ37">
        <f t="shared" si="27"/>
        <v>0</v>
      </c>
      <c r="AR37" t="e">
        <f>VLOOKUP($B37,'Data availability'!$A$2:$F$91,6,FALSE)</f>
        <v>#N/A</v>
      </c>
      <c r="AS37" cm="1">
        <f t="array" ref="AS37">IFERROR(QUARTILE(_xlfn._xlws.FILTER($AQ$3:$AQ$61, ($H$3:$H$61=$H37) * ($AQ$3:$AQ$61&gt;0)), 1), 0)</f>
        <v>0</v>
      </c>
      <c r="AT37" cm="1">
        <f t="array" ref="AT37">IFERROR(QUARTILE(_xlfn._xlws.FILTER($AQ$3:$AQ$61, ($H$3:$H$61=$H37) * ($AQ$3:$AQ$61&gt;0)), 3), 0)</f>
        <v>0</v>
      </c>
      <c r="AU37">
        <f t="shared" si="17"/>
        <v>0</v>
      </c>
      <c r="AV37">
        <f t="shared" si="18"/>
        <v>0</v>
      </c>
      <c r="AW37">
        <f t="shared" si="19"/>
        <v>0</v>
      </c>
      <c r="AX37" t="b">
        <f t="shared" si="28"/>
        <v>1</v>
      </c>
      <c r="AY37" t="b">
        <f t="shared" si="29"/>
        <v>1</v>
      </c>
    </row>
    <row r="38" spans="2:51" x14ac:dyDescent="0.3">
      <c r="B38" t="s">
        <v>165</v>
      </c>
      <c r="C38">
        <f>SUMIF('SkYSPark Data_w Will''s Data'!$C$3:$C$734,Outliers!$B38,'SkYSPark Data_w Will''s Data'!$G$3:$G$734)</f>
        <v>75105.587466666737</v>
      </c>
      <c r="D38">
        <f>SUMIF('SkYSPark Data_w Will''s Data'!$C$3:$C$734,Outliers!$B38,'SkYSPark Data_w Will''s Data'!$I$3:$I$734)</f>
        <v>0</v>
      </c>
      <c r="E38">
        <f>SUMIF('SkYSPark Data_w Will''s Data'!$C$3:$C$734,Outliers!$B38,'SkYSPark Data_w Will''s Data'!$J$3:$J$734)</f>
        <v>0</v>
      </c>
      <c r="F38">
        <f>SUMIF('SkYSPark Data_w Will''s Data'!$C$3:$C$734,Outliers!$B38,'SkYSPark Data_w Will''s Data'!$K$3:$K$734)</f>
        <v>0</v>
      </c>
      <c r="G38">
        <f>INDEX('SkYSPark Data_w Will''s Data'!$E$3:$E$734,MATCH(Outliers!B38,'SkYSPark Data_w Will''s Data'!$C$3:$C$734,0))</f>
        <v>6451</v>
      </c>
      <c r="H38" t="str">
        <f>INDEX('SkYSPark Data_w Will''s Data'!$F$3:$F$734,MATCH(Outliers!B38,'SkYSPark Data_w Will''s Data'!$C$3:$C$734,0))</f>
        <v>Office</v>
      </c>
      <c r="I38">
        <f t="shared" si="31"/>
        <v>39.724114778525333</v>
      </c>
      <c r="J38" cm="1">
        <f t="array" ref="J38">QUARTILE(_xlfn._xlws.FILTER($I$3:$I$61,$H$3:$H$61=H38),1)</f>
        <v>8.8203385892012705</v>
      </c>
      <c r="K38" cm="1">
        <f t="array" ref="K38">QUARTILE(_xlfn._xlws.FILTER($I$3:$I$61,$H$3:$H$61=H38),3)</f>
        <v>69.275490194408547</v>
      </c>
      <c r="L38">
        <f t="shared" si="32"/>
        <v>60.455151605207277</v>
      </c>
      <c r="M38">
        <f t="shared" si="33"/>
        <v>-51.634813016006007</v>
      </c>
      <c r="N38">
        <f t="shared" si="34"/>
        <v>129.73064179961582</v>
      </c>
      <c r="O38" t="b">
        <f t="shared" si="35"/>
        <v>0</v>
      </c>
      <c r="P38">
        <f t="shared" si="30"/>
        <v>39.724114778525333</v>
      </c>
      <c r="Q38" t="e">
        <f>VLOOKUP($B38,'Data availability'!$A$2:$F$91,3,FALSE)</f>
        <v>#N/A</v>
      </c>
      <c r="R38" cm="1">
        <f t="array" ref="R38">IFERROR(QUARTILE(_xlfn._xlws.FILTER($P$3:$P$61, ($H$3:$H$61=$H38) * ($P$3:$P$61&gt;0)), 1), 0)</f>
        <v>15.284554956771059</v>
      </c>
      <c r="S38" cm="1">
        <f t="array" ref="S38">IFERROR(QUARTILE(_xlfn._xlws.FILTER($P$3:$P$61, ($H$3:$H$61=$H38) * ($P$3:$P$61&gt;0)), 3), 0)</f>
        <v>46.24076613564857</v>
      </c>
      <c r="T38">
        <f t="shared" si="6"/>
        <v>30.95621117887751</v>
      </c>
      <c r="U38">
        <f t="shared" si="7"/>
        <v>-15.671656222106451</v>
      </c>
      <c r="V38">
        <f t="shared" si="8"/>
        <v>77.19697731452608</v>
      </c>
      <c r="W38" t="b">
        <f t="shared" si="21"/>
        <v>0</v>
      </c>
      <c r="X38" t="b">
        <f t="shared" si="22"/>
        <v>0</v>
      </c>
      <c r="Y38">
        <f t="shared" si="36"/>
        <v>0</v>
      </c>
      <c r="Z38" t="e">
        <f>VLOOKUP($B38,'Data availability'!$A$2:$F$91,4,FALSE)</f>
        <v>#N/A</v>
      </c>
      <c r="AA38" cm="1">
        <f t="array" ref="AA38">IFERROR(QUARTILE(_xlfn._xlws.FILTER($Y$3:$Y$61, ($H$3:$H$61=$H38) * ($Y$3:$Y$61&gt;0)), 1), 0)</f>
        <v>6.5665650736195023</v>
      </c>
      <c r="AB38" cm="1">
        <f t="array" ref="AB38">IFERROR(QUARTILE(_xlfn._xlws.FILTER($Y$3:$Y$61, ($H$3:$H$61=$H38) * ($Y$3:$Y$61&gt;0)), 3), 0)</f>
        <v>25.940532343422344</v>
      </c>
      <c r="AC38">
        <f t="shared" si="10"/>
        <v>19.37396726980284</v>
      </c>
      <c r="AD38">
        <f t="shared" si="11"/>
        <v>-12.807402196183338</v>
      </c>
      <c r="AE38">
        <f t="shared" si="12"/>
        <v>45.31449961322518</v>
      </c>
      <c r="AF38" t="b">
        <f t="shared" si="23"/>
        <v>1</v>
      </c>
      <c r="AG38" t="b">
        <f t="shared" si="24"/>
        <v>1</v>
      </c>
      <c r="AH38">
        <f t="shared" si="37"/>
        <v>0</v>
      </c>
      <c r="AI38" t="e">
        <f>VLOOKUP($B38,'Data availability'!$A$2:$F$91,5,FALSE)</f>
        <v>#N/A</v>
      </c>
      <c r="AJ38" cm="1">
        <f t="array" ref="AJ38">IFERROR(QUARTILE(_xlfn._xlws.FILTER($AH$3:$AH$61, ($H$3:$H$61=$H38) * ($AH$3:$AH$61&gt;0)), 1), 0)</f>
        <v>16.477362470385007</v>
      </c>
      <c r="AK38" cm="1">
        <f t="array" ref="AK38">IFERROR(QUARTILE(_xlfn._xlws.FILTER($AH$3:$AH$61, ($H$3:$H$61=$H38) * ($AH$3:$AH$61&gt;0)), 3), 0)</f>
        <v>23.950261445766277</v>
      </c>
      <c r="AL38">
        <f t="shared" si="14"/>
        <v>7.4728989753812698</v>
      </c>
      <c r="AM38">
        <f t="shared" si="15"/>
        <v>9.004463495003737</v>
      </c>
      <c r="AN38">
        <f t="shared" si="16"/>
        <v>31.423160421147546</v>
      </c>
      <c r="AO38" t="b">
        <f t="shared" si="25"/>
        <v>1</v>
      </c>
      <c r="AP38" t="b">
        <f t="shared" si="26"/>
        <v>1</v>
      </c>
      <c r="AQ38">
        <f t="shared" si="27"/>
        <v>0</v>
      </c>
      <c r="AR38" t="e">
        <f>VLOOKUP($B38,'Data availability'!$A$2:$F$91,6,FALSE)</f>
        <v>#N/A</v>
      </c>
      <c r="AS38" cm="1">
        <f t="array" ref="AS38">IFERROR(QUARTILE(_xlfn._xlws.FILTER($AQ$3:$AQ$61, ($H$3:$H$61=$H38) * ($AQ$3:$AQ$61&gt;0)), 1), 0)</f>
        <v>11.329125107085785</v>
      </c>
      <c r="AT38" cm="1">
        <f t="array" ref="AT38">IFERROR(QUARTILE(_xlfn._xlws.FILTER($AQ$3:$AQ$61, ($H$3:$H$61=$H38) * ($AQ$3:$AQ$61&gt;0)), 3), 0)</f>
        <v>16.085135960920159</v>
      </c>
      <c r="AU38">
        <f t="shared" si="17"/>
        <v>4.7560108538343737</v>
      </c>
      <c r="AV38">
        <f t="shared" si="18"/>
        <v>6.5731142532514113</v>
      </c>
      <c r="AW38">
        <f t="shared" si="19"/>
        <v>20.841146814754531</v>
      </c>
      <c r="AX38" t="b">
        <f t="shared" si="28"/>
        <v>1</v>
      </c>
      <c r="AY38" t="b">
        <f>AX38</f>
        <v>1</v>
      </c>
    </row>
    <row r="39" spans="2:51" x14ac:dyDescent="0.3">
      <c r="B39" t="s">
        <v>166</v>
      </c>
      <c r="C39">
        <f>SUMIF('SkYSPark Data_w Will''s Data'!$C$3:$C$734,Outliers!$B39,'SkYSPark Data_w Will''s Data'!$G$3:$G$734)</f>
        <v>835644.70967741846</v>
      </c>
      <c r="D39">
        <f>SUMIF('SkYSPark Data_w Will''s Data'!$C$3:$C$734,Outliers!$B39,'SkYSPark Data_w Will''s Data'!$I$3:$I$734)</f>
        <v>39083.703225806588</v>
      </c>
      <c r="E39">
        <f>SUMIF('SkYSPark Data_w Will''s Data'!$C$3:$C$734,Outliers!$B39,'SkYSPark Data_w Will''s Data'!$J$3:$J$734)</f>
        <v>0</v>
      </c>
      <c r="F39">
        <f>SUMIF('SkYSPark Data_w Will''s Data'!$C$3:$C$734,Outliers!$B39,'SkYSPark Data_w Will''s Data'!$K$3:$K$734)</f>
        <v>0</v>
      </c>
      <c r="G39">
        <f>INDEX('SkYSPark Data_w Will''s Data'!$E$3:$E$734,MATCH(Outliers!B39,'SkYSPark Data_w Will''s Data'!$C$3:$C$734,0))</f>
        <v>61062</v>
      </c>
      <c r="H39" t="str">
        <f>INDEX('SkYSPark Data_w Will''s Data'!$F$3:$F$734,MATCH(Outliers!B39,'SkYSPark Data_w Will''s Data'!$C$3:$C$734,0))</f>
        <v xml:space="preserve">Lab </v>
      </c>
      <c r="I39">
        <f t="shared" si="31"/>
        <v>110.70043680193918</v>
      </c>
      <c r="J39" cm="1">
        <f t="array" ref="J39">QUARTILE(_xlfn._xlws.FILTER($I$3:$I$61,$H$3:$H$61=H39),1)</f>
        <v>105.93951518668453</v>
      </c>
      <c r="K39" cm="1">
        <f t="array" ref="K39">QUARTILE(_xlfn._xlws.FILTER($I$3:$I$61,$H$3:$H$61=H39),3)</f>
        <v>123.42568667836801</v>
      </c>
      <c r="L39">
        <f t="shared" si="32"/>
        <v>17.486171491683479</v>
      </c>
      <c r="M39">
        <f t="shared" si="33"/>
        <v>88.453343695001053</v>
      </c>
      <c r="N39">
        <f t="shared" si="34"/>
        <v>140.91185817005149</v>
      </c>
      <c r="O39" t="b">
        <f t="shared" si="35"/>
        <v>0</v>
      </c>
      <c r="P39">
        <f t="shared" si="30"/>
        <v>46.693848046564995</v>
      </c>
      <c r="Q39" t="str">
        <f>VLOOKUP($B39,'Data availability'!$A$2:$F$91,3,FALSE)</f>
        <v>-</v>
      </c>
      <c r="R39" cm="1">
        <f t="array" ref="R39">IFERROR(QUARTILE(_xlfn._xlws.FILTER($P$3:$P$61, ($H$3:$H$61=$H39) * ($P$3:$P$61&gt;0)), 1), 0)</f>
        <v>29.865089067225885</v>
      </c>
      <c r="S39" cm="1">
        <f t="array" ref="S39">IFERROR(QUARTILE(_xlfn._xlws.FILTER($P$3:$P$61, ($H$3:$H$61=$H39) * ($P$3:$P$61&gt;0)), 3), 0)</f>
        <v>45.125135626267713</v>
      </c>
      <c r="T39">
        <f t="shared" si="6"/>
        <v>15.260046559041829</v>
      </c>
      <c r="U39">
        <f t="shared" si="7"/>
        <v>14.605042508184056</v>
      </c>
      <c r="V39">
        <f t="shared" si="8"/>
        <v>60.385182185309546</v>
      </c>
      <c r="W39" t="b">
        <f t="shared" si="21"/>
        <v>0</v>
      </c>
      <c r="X39" t="b">
        <f t="shared" si="22"/>
        <v>0</v>
      </c>
      <c r="Y39">
        <f t="shared" si="36"/>
        <v>64.006588755374196</v>
      </c>
      <c r="Z39" t="str">
        <f>VLOOKUP($B39,'Data availability'!$A$2:$F$91,4,FALSE)</f>
        <v>-</v>
      </c>
      <c r="AA39" cm="1">
        <f t="array" ref="AA39">IFERROR(QUARTILE(_xlfn._xlws.FILTER($Y$3:$Y$61, ($H$3:$H$61=$H39) * ($Y$3:$Y$61&gt;0)), 1), 0)</f>
        <v>5.8225963160264418E-2</v>
      </c>
      <c r="AB39" cm="1">
        <f t="array" ref="AB39">IFERROR(QUARTILE(_xlfn._xlws.FILTER($Y$3:$Y$61, ($H$3:$H$61=$H39) * ($Y$3:$Y$61&gt;0)), 3), 0)</f>
        <v>25.363099338846663</v>
      </c>
      <c r="AC39">
        <f t="shared" si="10"/>
        <v>25.304873375686398</v>
      </c>
      <c r="AD39">
        <f t="shared" si="11"/>
        <v>-25.246647412526134</v>
      </c>
      <c r="AE39">
        <f t="shared" si="12"/>
        <v>50.667972714533065</v>
      </c>
      <c r="AF39" t="b">
        <f t="shared" si="23"/>
        <v>1</v>
      </c>
      <c r="AG39" t="b">
        <f t="shared" si="24"/>
        <v>1</v>
      </c>
      <c r="AH39">
        <f t="shared" si="37"/>
        <v>0</v>
      </c>
      <c r="AI39" t="str">
        <f>VLOOKUP($B39,'Data availability'!$A$2:$F$91,5,FALSE)</f>
        <v>-</v>
      </c>
      <c r="AJ39" cm="1">
        <f t="array" ref="AJ39">IFERROR(QUARTILE(_xlfn._xlws.FILTER($AH$3:$AH$61, ($H$3:$H$61=$H39) * ($AH$3:$AH$61&gt;0)), 1), 0)</f>
        <v>36.12030354378453</v>
      </c>
      <c r="AK39" cm="1">
        <f t="array" ref="AK39">IFERROR(QUARTILE(_xlfn._xlws.FILTER($AH$3:$AH$61, ($H$3:$H$61=$H39) * ($AH$3:$AH$61&gt;0)), 3), 0)</f>
        <v>56.253209992579698</v>
      </c>
      <c r="AL39">
        <f t="shared" si="14"/>
        <v>20.132906448795168</v>
      </c>
      <c r="AM39">
        <f t="shared" si="15"/>
        <v>15.987397094989362</v>
      </c>
      <c r="AN39">
        <f t="shared" si="16"/>
        <v>76.386116441374867</v>
      </c>
      <c r="AO39" t="b">
        <f t="shared" si="25"/>
        <v>1</v>
      </c>
      <c r="AP39" t="b">
        <f t="shared" si="26"/>
        <v>1</v>
      </c>
      <c r="AQ39">
        <f t="shared" si="27"/>
        <v>0</v>
      </c>
      <c r="AR39" t="str">
        <f>VLOOKUP($B39,'Data availability'!$A$2:$F$91,6,FALSE)</f>
        <v>-</v>
      </c>
      <c r="AS39" cm="1">
        <f t="array" ref="AS39">IFERROR(QUARTILE(_xlfn._xlws.FILTER($AQ$3:$AQ$61, ($H$3:$H$61=$H39) * ($AQ$3:$AQ$61&gt;0)), 1), 0)</f>
        <v>22.237691880516579</v>
      </c>
      <c r="AT39" cm="1">
        <f t="array" ref="AT39">IFERROR(QUARTILE(_xlfn._xlws.FILTER($AQ$3:$AQ$61, ($H$3:$H$61=$H39) * ($AQ$3:$AQ$61&gt;0)), 3), 0)</f>
        <v>42.662065282549577</v>
      </c>
      <c r="AU39">
        <f t="shared" si="17"/>
        <v>20.424373402032998</v>
      </c>
      <c r="AV39">
        <f t="shared" si="18"/>
        <v>1.8133184784835805</v>
      </c>
      <c r="AW39">
        <f t="shared" si="19"/>
        <v>63.086438684582575</v>
      </c>
      <c r="AX39" t="b">
        <f t="shared" si="28"/>
        <v>1</v>
      </c>
      <c r="AY39" t="b">
        <f t="shared" si="29"/>
        <v>1</v>
      </c>
    </row>
    <row r="40" spans="2:51" x14ac:dyDescent="0.3">
      <c r="B40" t="s">
        <v>167</v>
      </c>
      <c r="C40">
        <f>SUMIF('SkYSPark Data_w Will''s Data'!$C$3:$C$734,Outliers!$B40,'SkYSPark Data_w Will''s Data'!$G$3:$G$734)</f>
        <v>323817.98275862046</v>
      </c>
      <c r="D40">
        <f>SUMIF('SkYSPark Data_w Will''s Data'!$C$3:$C$734,Outliers!$B40,'SkYSPark Data_w Will''s Data'!$I$3:$I$734)</f>
        <v>0</v>
      </c>
      <c r="E40">
        <f>SUMIF('SkYSPark Data_w Will''s Data'!$C$3:$C$734,Outliers!$B40,'SkYSPark Data_w Will''s Data'!$J$3:$J$734)</f>
        <v>51757.712149784515</v>
      </c>
      <c r="F40">
        <f>SUMIF('SkYSPark Data_w Will''s Data'!$C$3:$C$734,Outliers!$B40,'SkYSPark Data_w Will''s Data'!$K$3:$K$734)</f>
        <v>249145.24651530565</v>
      </c>
      <c r="G40">
        <f>INDEX('SkYSPark Data_w Will''s Data'!$E$3:$E$734,MATCH(Outliers!B40,'SkYSPark Data_w Will''s Data'!$C$3:$C$734,0))</f>
        <v>64072</v>
      </c>
      <c r="H40" t="str">
        <f>INDEX('SkYSPark Data_w Will''s Data'!$F$3:$F$734,MATCH(Outliers!B40,'SkYSPark Data_w Will''s Data'!$C$3:$C$734,0))</f>
        <v>Academic</v>
      </c>
      <c r="I40">
        <f t="shared" si="31"/>
        <v>144.68693236256919</v>
      </c>
      <c r="J40" cm="1">
        <f t="array" ref="J40">QUARTILE(_xlfn._xlws.FILTER($I$3:$I$61,$H$3:$H$61=H40),1)</f>
        <v>42.21959902044307</v>
      </c>
      <c r="K40" cm="1">
        <f t="array" ref="K40">QUARTILE(_xlfn._xlws.FILTER($I$3:$I$61,$H$3:$H$61=H40),3)</f>
        <v>103.33423599964128</v>
      </c>
      <c r="L40">
        <f t="shared" si="32"/>
        <v>61.11463697919821</v>
      </c>
      <c r="M40">
        <f t="shared" si="33"/>
        <v>-18.89503795875514</v>
      </c>
      <c r="N40">
        <f t="shared" si="34"/>
        <v>164.44887297883949</v>
      </c>
      <c r="O40" t="b">
        <f t="shared" si="35"/>
        <v>0</v>
      </c>
      <c r="P40">
        <f t="shared" si="30"/>
        <v>17.244146540960372</v>
      </c>
      <c r="Q40" t="str">
        <f>VLOOKUP($B40,'Data availability'!$A$2:$F$91,3,FALSE)</f>
        <v>Y</v>
      </c>
      <c r="R40" cm="1">
        <f t="array" ref="R40">IFERROR(QUARTILE(_xlfn._xlws.FILTER($P$3:$P$61, ($H$3:$H$61=$H40) * ($P$3:$P$61&gt;0)), 1), 0)</f>
        <v>14.691000795498219</v>
      </c>
      <c r="S40" cm="1">
        <f t="array" ref="S40">IFERROR(QUARTILE(_xlfn._xlws.FILTER($P$3:$P$61, ($H$3:$H$61=$H40) * ($P$3:$P$61&gt;0)), 3), 0)</f>
        <v>30.985762878217994</v>
      </c>
      <c r="T40">
        <f t="shared" si="6"/>
        <v>16.294762082719775</v>
      </c>
      <c r="U40">
        <f t="shared" si="7"/>
        <v>-1.6037612872215554</v>
      </c>
      <c r="V40">
        <f t="shared" si="8"/>
        <v>47.280524960937768</v>
      </c>
      <c r="W40" t="b">
        <f t="shared" si="21"/>
        <v>0</v>
      </c>
      <c r="X40" t="b">
        <f t="shared" si="22"/>
        <v>0</v>
      </c>
      <c r="Y40">
        <f t="shared" si="36"/>
        <v>0</v>
      </c>
      <c r="Z40" t="str">
        <f>VLOOKUP($B40,'Data availability'!$A$2:$F$91,4,FALSE)</f>
        <v>-</v>
      </c>
      <c r="AA40" cm="1">
        <f t="array" ref="AA40">IFERROR(QUARTILE(_xlfn._xlws.FILTER($Y$3:$Y$61, ($H$3:$H$61=$H40) * ($Y$3:$Y$61&gt;0)), 1), 0)</f>
        <v>2.3207880548899436</v>
      </c>
      <c r="AB40" cm="1">
        <f t="array" ref="AB40">IFERROR(QUARTILE(_xlfn._xlws.FILTER($Y$3:$Y$61, ($H$3:$H$61=$H40) * ($Y$3:$Y$61&gt;0)), 3), 0)</f>
        <v>5.5117751255024281</v>
      </c>
      <c r="AC40">
        <f t="shared" si="10"/>
        <v>3.1909870706124845</v>
      </c>
      <c r="AD40">
        <f t="shared" si="11"/>
        <v>-0.87019901572254099</v>
      </c>
      <c r="AE40">
        <f t="shared" si="12"/>
        <v>8.7027621961149126</v>
      </c>
      <c r="AF40" t="b">
        <f t="shared" si="23"/>
        <v>1</v>
      </c>
      <c r="AG40" t="b">
        <f t="shared" si="24"/>
        <v>1</v>
      </c>
      <c r="AH40">
        <f t="shared" si="37"/>
        <v>80.780547118529967</v>
      </c>
      <c r="AI40" t="str">
        <f>VLOOKUP($B40,'Data availability'!$A$2:$F$91,5,FALSE)</f>
        <v>Y</v>
      </c>
      <c r="AJ40" cm="1">
        <f t="array" ref="AJ40">IFERROR(QUARTILE(_xlfn._xlws.FILTER($AH$3:$AH$61, ($H$3:$H$61=$H40) * ($AH$3:$AH$61&gt;0)), 1), 0)</f>
        <v>20.962789979692385</v>
      </c>
      <c r="AK40" cm="1">
        <f t="array" ref="AK40">IFERROR(QUARTILE(_xlfn._xlws.FILTER($AH$3:$AH$61, ($H$3:$H$61=$H40) * ($AH$3:$AH$61&gt;0)), 3), 0)</f>
        <v>37.598619727031377</v>
      </c>
      <c r="AL40">
        <f t="shared" si="14"/>
        <v>16.635829747338992</v>
      </c>
      <c r="AM40">
        <f t="shared" si="15"/>
        <v>4.3269602323533931</v>
      </c>
      <c r="AN40">
        <f t="shared" si="16"/>
        <v>54.234449474370365</v>
      </c>
      <c r="AO40" t="b">
        <f t="shared" si="25"/>
        <v>1</v>
      </c>
      <c r="AP40" t="b">
        <f t="shared" si="26"/>
        <v>1</v>
      </c>
      <c r="AQ40">
        <f t="shared" si="27"/>
        <v>46.662238703078842</v>
      </c>
      <c r="AR40" t="str">
        <f>VLOOKUP($B40,'Data availability'!$A$2:$F$91,6,FALSE)</f>
        <v>Y</v>
      </c>
      <c r="AS40" cm="1">
        <f t="array" ref="AS40">IFERROR(QUARTILE(_xlfn._xlws.FILTER($AQ$3:$AQ$61, ($H$3:$H$61=$H40) * ($AQ$3:$AQ$61&gt;0)), 1), 0)</f>
        <v>7.9248587636469203</v>
      </c>
      <c r="AT40" cm="1">
        <f t="array" ref="AT40">IFERROR(QUARTILE(_xlfn._xlws.FILTER($AQ$3:$AQ$61, ($H$3:$H$61=$H40) * ($AQ$3:$AQ$61&gt;0)), 3), 0)</f>
        <v>35.341609909631828</v>
      </c>
      <c r="AU40">
        <f t="shared" si="17"/>
        <v>27.416751145984907</v>
      </c>
      <c r="AV40">
        <f t="shared" si="18"/>
        <v>-19.491892382337987</v>
      </c>
      <c r="AW40">
        <f t="shared" si="19"/>
        <v>62.758361055616732</v>
      </c>
      <c r="AX40" t="b">
        <f t="shared" si="28"/>
        <v>0</v>
      </c>
      <c r="AY40" t="b">
        <f t="shared" si="29"/>
        <v>0</v>
      </c>
    </row>
    <row r="41" spans="2:51" x14ac:dyDescent="0.3">
      <c r="B41" t="s">
        <v>169</v>
      </c>
      <c r="C41">
        <f>SUMIF('SkYSPark Data_w Will''s Data'!$C$3:$C$734,Outliers!$B41,'SkYSPark Data_w Will''s Data'!$G$3:$G$734)</f>
        <v>213467.58649464094</v>
      </c>
      <c r="D41">
        <f>SUMIF('SkYSPark Data_w Will''s Data'!$C$3:$C$734,Outliers!$B41,'SkYSPark Data_w Will''s Data'!$I$3:$I$734)</f>
        <v>0</v>
      </c>
      <c r="E41">
        <f>SUMIF('SkYSPark Data_w Will''s Data'!$C$3:$C$734,Outliers!$B41,'SkYSPark Data_w Will''s Data'!$J$3:$J$734)</f>
        <v>0</v>
      </c>
      <c r="F41">
        <f>SUMIF('SkYSPark Data_w Will''s Data'!$C$3:$C$734,Outliers!$B41,'SkYSPark Data_w Will''s Data'!$K$3:$K$734)</f>
        <v>0</v>
      </c>
      <c r="G41">
        <f>INDEX('SkYSPark Data_w Will''s Data'!$E$3:$E$734,MATCH(Outliers!B41,'SkYSPark Data_w Will''s Data'!$C$3:$C$734,0))</f>
        <v>123650</v>
      </c>
      <c r="H41" t="str">
        <f>INDEX('SkYSPark Data_w Will''s Data'!$F$3:$F$734,MATCH(Outliers!B41,'SkYSPark Data_w Will''s Data'!$C$3:$C$734,0))</f>
        <v>Outdoor Athletics</v>
      </c>
      <c r="I41">
        <f t="shared" si="31"/>
        <v>5.890427861865871</v>
      </c>
      <c r="J41" cm="1">
        <f t="array" ref="J41">QUARTILE(_xlfn._xlws.FILTER($I$3:$I$61,$H$3:$H$61=H41),1)</f>
        <v>45.780267031418759</v>
      </c>
      <c r="K41" cm="1">
        <f t="array" ref="K41">QUARTILE(_xlfn._xlws.FILTER($I$3:$I$61,$H$3:$H$61=H41),3)</f>
        <v>125.55994537052453</v>
      </c>
      <c r="L41">
        <f t="shared" si="32"/>
        <v>79.779678339105772</v>
      </c>
      <c r="M41">
        <f t="shared" si="33"/>
        <v>-33.999411307687012</v>
      </c>
      <c r="N41">
        <f t="shared" si="34"/>
        <v>205.3396237096303</v>
      </c>
      <c r="O41" t="b">
        <f t="shared" si="35"/>
        <v>0</v>
      </c>
      <c r="P41">
        <f t="shared" si="30"/>
        <v>5.890427861865871</v>
      </c>
      <c r="Q41" t="str">
        <f>VLOOKUP($B41,'Data availability'!$A$2:$F$91,3,FALSE)</f>
        <v>Y</v>
      </c>
      <c r="R41" cm="1">
        <f t="array" ref="R41">IFERROR(QUARTILE(_xlfn._xlws.FILTER($P$3:$P$61, ($H$3:$H$61=$H41) * ($P$3:$P$61&gt;0)), 1), 0)</f>
        <v>45.780267031418759</v>
      </c>
      <c r="S41" cm="1">
        <f t="array" ref="S41">IFERROR(QUARTILE(_xlfn._xlws.FILTER($P$3:$P$61, ($H$3:$H$61=$H41) * ($P$3:$P$61&gt;0)), 3), 0)</f>
        <v>125.55994537052453</v>
      </c>
      <c r="T41">
        <f t="shared" si="6"/>
        <v>79.779678339105772</v>
      </c>
      <c r="U41">
        <f t="shared" si="7"/>
        <v>-33.999411307687012</v>
      </c>
      <c r="V41">
        <f t="shared" si="8"/>
        <v>205.3396237096303</v>
      </c>
      <c r="W41" t="b">
        <f t="shared" si="21"/>
        <v>0</v>
      </c>
      <c r="X41" t="b">
        <f t="shared" si="22"/>
        <v>0</v>
      </c>
      <c r="Y41">
        <f t="shared" si="36"/>
        <v>0</v>
      </c>
      <c r="Z41" t="str">
        <f>VLOOKUP($B41,'Data availability'!$A$2:$F$91,4,FALSE)</f>
        <v>-</v>
      </c>
      <c r="AA41" cm="1">
        <f t="array" ref="AA41">IFERROR(QUARTILE(_xlfn._xlws.FILTER($Y$3:$Y$61, ($H$3:$H$61=$H41) * ($Y$3:$Y$61&gt;0)), 1), 0)</f>
        <v>0</v>
      </c>
      <c r="AB41" cm="1">
        <f t="array" ref="AB41">IFERROR(QUARTILE(_xlfn._xlws.FILTER($Y$3:$Y$61, ($H$3:$H$61=$H41) * ($Y$3:$Y$61&gt;0)), 3), 0)</f>
        <v>0</v>
      </c>
      <c r="AC41">
        <f t="shared" si="10"/>
        <v>0</v>
      </c>
      <c r="AD41">
        <f t="shared" si="11"/>
        <v>0</v>
      </c>
      <c r="AE41">
        <f t="shared" si="12"/>
        <v>0</v>
      </c>
      <c r="AF41" t="b">
        <f t="shared" si="23"/>
        <v>1</v>
      </c>
      <c r="AG41" t="b">
        <f t="shared" si="24"/>
        <v>1</v>
      </c>
      <c r="AH41">
        <f t="shared" si="37"/>
        <v>0</v>
      </c>
      <c r="AI41" t="str">
        <f>VLOOKUP($B41,'Data availability'!$A$2:$F$91,5,FALSE)</f>
        <v>-</v>
      </c>
      <c r="AJ41" cm="1">
        <f t="array" ref="AJ41">IFERROR(QUARTILE(_xlfn._xlws.FILTER($AH$3:$AH$61, ($H$3:$H$61=$H41) * ($AH$3:$AH$61&gt;0)), 1), 0)</f>
        <v>0</v>
      </c>
      <c r="AK41" cm="1">
        <f t="array" ref="AK41">IFERROR(QUARTILE(_xlfn._xlws.FILTER($AH$3:$AH$61, ($H$3:$H$61=$H41) * ($AH$3:$AH$61&gt;0)), 3), 0)</f>
        <v>0</v>
      </c>
      <c r="AL41">
        <f t="shared" si="14"/>
        <v>0</v>
      </c>
      <c r="AM41">
        <f t="shared" si="15"/>
        <v>0</v>
      </c>
      <c r="AN41">
        <f t="shared" si="16"/>
        <v>0</v>
      </c>
      <c r="AO41" t="b">
        <f t="shared" si="25"/>
        <v>1</v>
      </c>
      <c r="AP41" t="b">
        <f t="shared" si="26"/>
        <v>1</v>
      </c>
      <c r="AQ41">
        <f t="shared" si="27"/>
        <v>0</v>
      </c>
      <c r="AR41" t="str">
        <f>VLOOKUP($B41,'Data availability'!$A$2:$F$91,6,FALSE)</f>
        <v>-</v>
      </c>
      <c r="AS41" cm="1">
        <f t="array" ref="AS41">IFERROR(QUARTILE(_xlfn._xlws.FILTER($AQ$3:$AQ$61, ($H$3:$H$61=$H41) * ($AQ$3:$AQ$61&gt;0)), 1), 0)</f>
        <v>0</v>
      </c>
      <c r="AT41" cm="1">
        <f t="array" ref="AT41">IFERROR(QUARTILE(_xlfn._xlws.FILTER($AQ$3:$AQ$61, ($H$3:$H$61=$H41) * ($AQ$3:$AQ$61&gt;0)), 3), 0)</f>
        <v>0</v>
      </c>
      <c r="AU41">
        <f t="shared" si="17"/>
        <v>0</v>
      </c>
      <c r="AV41">
        <f t="shared" si="18"/>
        <v>0</v>
      </c>
      <c r="AW41">
        <f t="shared" si="19"/>
        <v>0</v>
      </c>
      <c r="AX41" t="b">
        <f t="shared" si="28"/>
        <v>1</v>
      </c>
      <c r="AY41" t="b">
        <f t="shared" si="29"/>
        <v>1</v>
      </c>
    </row>
    <row r="42" spans="2:51" x14ac:dyDescent="0.3">
      <c r="B42" t="s">
        <v>170</v>
      </c>
      <c r="C42">
        <f>SUMIF('SkYSPark Data_w Will''s Data'!$C$3:$C$734,Outliers!$B42,'SkYSPark Data_w Will''s Data'!$G$3:$G$734)</f>
        <v>1946272.2997462223</v>
      </c>
      <c r="D42">
        <f>SUMIF('SkYSPark Data_w Will''s Data'!$C$3:$C$734,Outliers!$B42,'SkYSPark Data_w Will''s Data'!$I$3:$I$734)</f>
        <v>0</v>
      </c>
      <c r="E42">
        <f>SUMIF('SkYSPark Data_w Will''s Data'!$C$3:$C$734,Outliers!$B42,'SkYSPark Data_w Will''s Data'!$J$3:$J$734)</f>
        <v>73314.912371996237</v>
      </c>
      <c r="F42">
        <f>SUMIF('SkYSPark Data_w Will''s Data'!$C$3:$C$734,Outliers!$B42,'SkYSPark Data_w Will''s Data'!$K$3:$K$734)</f>
        <v>389189.81785559055</v>
      </c>
      <c r="G42">
        <f>INDEX('SkYSPark Data_w Will''s Data'!$E$3:$E$734,MATCH(Outliers!B42,'SkYSPark Data_w Will''s Data'!$C$3:$C$734,0))</f>
        <v>110140</v>
      </c>
      <c r="H42" t="str">
        <f>INDEX('SkYSPark Data_w Will''s Data'!$F$3:$F$734,MATCH(Outliers!B42,'SkYSPark Data_w Will''s Data'!$C$3:$C$734,0))</f>
        <v>Athletics</v>
      </c>
      <c r="I42">
        <f t="shared" si="31"/>
        <v>169.26139584347942</v>
      </c>
      <c r="J42" cm="1">
        <f t="array" ref="J42">QUARTILE(_xlfn._xlws.FILTER($I$3:$I$61,$H$3:$H$61=H42),1)</f>
        <v>35.241304721956851</v>
      </c>
      <c r="K42" cm="1">
        <f t="array" ref="K42">QUARTILE(_xlfn._xlws.FILTER($I$3:$I$61,$H$3:$H$61=H42),3)</f>
        <v>110.27168618999586</v>
      </c>
      <c r="L42">
        <f t="shared" si="32"/>
        <v>75.03038146803901</v>
      </c>
      <c r="M42">
        <f t="shared" si="33"/>
        <v>-39.789076746082159</v>
      </c>
      <c r="N42">
        <f t="shared" si="34"/>
        <v>185.30206765803487</v>
      </c>
      <c r="O42" t="b">
        <f t="shared" si="35"/>
        <v>0</v>
      </c>
      <c r="P42">
        <f t="shared" si="30"/>
        <v>60.293091399438083</v>
      </c>
      <c r="Q42" t="str">
        <f>VLOOKUP($B42,'Data availability'!$A$2:$F$91,3,FALSE)</f>
        <v>Y</v>
      </c>
      <c r="R42" cm="1">
        <f t="array" ref="R42">IFERROR(QUARTILE(_xlfn._xlws.FILTER($P$3:$P$61, ($H$3:$H$61=$H42) * ($P$3:$P$61&gt;0)), 1), 0)</f>
        <v>22.386081175049085</v>
      </c>
      <c r="S42" cm="1">
        <f t="array" ref="S42">IFERROR(QUARTILE(_xlfn._xlws.FILTER($P$3:$P$61, ($H$3:$H$61=$H42) * ($P$3:$P$61&gt;0)), 3), 0)</f>
        <v>42.853420284849037</v>
      </c>
      <c r="T42">
        <f t="shared" si="6"/>
        <v>20.467339109799951</v>
      </c>
      <c r="U42">
        <f t="shared" si="7"/>
        <v>1.918742065249134</v>
      </c>
      <c r="V42">
        <f t="shared" si="8"/>
        <v>63.320759394648988</v>
      </c>
      <c r="W42" t="b">
        <f t="shared" si="21"/>
        <v>0</v>
      </c>
      <c r="X42" t="b">
        <f t="shared" si="22"/>
        <v>0</v>
      </c>
      <c r="Y42">
        <f t="shared" si="36"/>
        <v>0</v>
      </c>
      <c r="Z42" t="str">
        <f>VLOOKUP($B42,'Data availability'!$A$2:$F$91,4,FALSE)</f>
        <v>-</v>
      </c>
      <c r="AA42" cm="1">
        <f t="array" ref="AA42">IFERROR(QUARTILE(_xlfn._xlws.FILTER($Y$3:$Y$61, ($H$3:$H$61=$H42) * ($Y$3:$Y$61&gt;0)), 1), 0)</f>
        <v>25.288828048792482</v>
      </c>
      <c r="AB42" cm="1">
        <f t="array" ref="AB42">IFERROR(QUARTILE(_xlfn._xlws.FILTER($Y$3:$Y$61, ($H$3:$H$61=$H42) * ($Y$3:$Y$61&gt;0)), 3), 0)</f>
        <v>38.336388047513843</v>
      </c>
      <c r="AC42">
        <f t="shared" si="10"/>
        <v>13.047559998721361</v>
      </c>
      <c r="AD42">
        <f t="shared" si="11"/>
        <v>12.24126805007112</v>
      </c>
      <c r="AE42">
        <f t="shared" si="12"/>
        <v>51.383948046235204</v>
      </c>
      <c r="AF42" t="b">
        <f t="shared" si="23"/>
        <v>1</v>
      </c>
      <c r="AG42" t="b">
        <f t="shared" si="24"/>
        <v>1</v>
      </c>
      <c r="AH42">
        <f t="shared" si="37"/>
        <v>66.565200991461992</v>
      </c>
      <c r="AI42" t="str">
        <f>VLOOKUP($B42,'Data availability'!$A$2:$F$91,5,FALSE)</f>
        <v>Y</v>
      </c>
      <c r="AJ42" cm="1">
        <f t="array" ref="AJ42">IFERROR(QUARTILE(_xlfn._xlws.FILTER($AH$3:$AH$61, ($H$3:$H$61=$H42) * ($AH$3:$AH$61&gt;0)), 1), 0)</f>
        <v>9.9719961163773458</v>
      </c>
      <c r="AK42" cm="1">
        <f t="array" ref="AK42">IFERROR(QUARTILE(_xlfn._xlws.FILTER($AH$3:$AH$61, ($H$3:$H$61=$H42) * ($AH$3:$AH$61&gt;0)), 3), 0)</f>
        <v>92.542374107098553</v>
      </c>
      <c r="AL42">
        <f t="shared" si="14"/>
        <v>82.570377990721212</v>
      </c>
      <c r="AM42">
        <f t="shared" si="15"/>
        <v>-72.598381874343872</v>
      </c>
      <c r="AN42">
        <f t="shared" si="16"/>
        <v>175.11275209781977</v>
      </c>
      <c r="AO42" t="b">
        <f t="shared" si="25"/>
        <v>0</v>
      </c>
      <c r="AP42" t="b">
        <f t="shared" si="26"/>
        <v>0</v>
      </c>
      <c r="AQ42">
        <f t="shared" si="27"/>
        <v>42.403103452579323</v>
      </c>
      <c r="AR42" t="str">
        <f>VLOOKUP($B42,'Data availability'!$A$2:$F$91,6,FALSE)</f>
        <v>Y</v>
      </c>
      <c r="AS42" cm="1">
        <f t="array" ref="AS42">IFERROR(QUARTILE(_xlfn._xlws.FILTER($AQ$3:$AQ$61, ($H$3:$H$61=$H42) * ($AQ$3:$AQ$61&gt;0)), 1), 0)</f>
        <v>8.1385129695793257</v>
      </c>
      <c r="AT42" cm="1">
        <f t="array" ref="AT42">IFERROR(QUARTILE(_xlfn._xlws.FILTER($AQ$3:$AQ$61, ($H$3:$H$61=$H42) * ($AQ$3:$AQ$61&gt;0)), 3), 0)</f>
        <v>25.43708742579112</v>
      </c>
      <c r="AU42">
        <f t="shared" si="17"/>
        <v>17.298574456211796</v>
      </c>
      <c r="AV42">
        <f t="shared" si="18"/>
        <v>-9.1600614866324701</v>
      </c>
      <c r="AW42">
        <f t="shared" si="19"/>
        <v>42.735661882002915</v>
      </c>
      <c r="AX42" t="b">
        <f t="shared" si="28"/>
        <v>0</v>
      </c>
      <c r="AY42" t="b">
        <f t="shared" si="29"/>
        <v>0</v>
      </c>
    </row>
    <row r="43" spans="2:51" x14ac:dyDescent="0.3">
      <c r="B43" s="72" t="s">
        <v>171</v>
      </c>
      <c r="C43">
        <f>SUMIF('SkYSPark Data_w Will''s Data'!$C$3:$C$734,Outliers!$B43,'SkYSPark Data_w Will''s Data'!$G$3:$G$734)</f>
        <v>14553.780000000053</v>
      </c>
      <c r="D43">
        <f>SUMIF('SkYSPark Data_w Will''s Data'!$C$3:$C$734,Outliers!$B43,'SkYSPark Data_w Will''s Data'!$I$3:$I$734)</f>
        <v>322.74000000000279</v>
      </c>
      <c r="E43">
        <f>SUMIF('SkYSPark Data_w Will''s Data'!$C$3:$C$734,Outliers!$B43,'SkYSPark Data_w Will''s Data'!$J$3:$J$734)</f>
        <v>0</v>
      </c>
      <c r="F43">
        <f>SUMIF('SkYSPark Data_w Will''s Data'!$C$3:$C$734,Outliers!$B43,'SkYSPark Data_w Will''s Data'!$K$3:$K$734)</f>
        <v>0</v>
      </c>
      <c r="G43">
        <f>INDEX('SkYSPark Data_w Will''s Data'!$E$3:$E$734,MATCH(Outliers!B43,'SkYSPark Data_w Will''s Data'!$C$3:$C$734,0))</f>
        <v>8420</v>
      </c>
      <c r="H43" t="str">
        <f>INDEX('SkYSPark Data_w Will''s Data'!$F$3:$F$734,MATCH(Outliers!B43,'SkYSPark Data_w Will''s Data'!$C$3:$C$734,0))</f>
        <v>Academic</v>
      </c>
      <c r="I43">
        <f t="shared" si="31"/>
        <v>9.7305816342043308</v>
      </c>
      <c r="J43" cm="1">
        <f t="array" ref="J43">QUARTILE(_xlfn._xlws.FILTER($I$3:$I$61,$H$3:$H$61=H43),1)</f>
        <v>42.21959902044307</v>
      </c>
      <c r="K43" cm="1">
        <f t="array" ref="K43">QUARTILE(_xlfn._xlws.FILTER($I$3:$I$61,$H$3:$H$61=H43),3)</f>
        <v>103.33423599964128</v>
      </c>
      <c r="L43">
        <f t="shared" si="32"/>
        <v>61.11463697919821</v>
      </c>
      <c r="M43">
        <f t="shared" si="33"/>
        <v>-18.89503795875514</v>
      </c>
      <c r="N43">
        <f t="shared" si="34"/>
        <v>164.44887297883949</v>
      </c>
      <c r="O43" t="b">
        <f t="shared" si="35"/>
        <v>0</v>
      </c>
      <c r="P43">
        <f t="shared" si="30"/>
        <v>5.8975650071259125</v>
      </c>
      <c r="Q43" t="str">
        <f>VLOOKUP($B43,'Data availability'!$A$2:$F$91,3,FALSE)</f>
        <v>Y</v>
      </c>
      <c r="R43" cm="1">
        <f t="array" ref="R43">IFERROR(QUARTILE(_xlfn._xlws.FILTER($P$3:$P$61, ($H$3:$H$61=$H43) * ($P$3:$P$61&gt;0)), 1), 0)</f>
        <v>14.691000795498219</v>
      </c>
      <c r="S43" cm="1">
        <f t="array" ref="S43">IFERROR(QUARTILE(_xlfn._xlws.FILTER($P$3:$P$61, ($H$3:$H$61=$H43) * ($P$3:$P$61&gt;0)), 3), 0)</f>
        <v>30.985762878217994</v>
      </c>
      <c r="T43">
        <f t="shared" si="6"/>
        <v>16.294762082719775</v>
      </c>
      <c r="U43">
        <f t="shared" si="7"/>
        <v>-1.6037612872215554</v>
      </c>
      <c r="V43">
        <f t="shared" si="8"/>
        <v>47.280524960937768</v>
      </c>
      <c r="W43" t="b">
        <f t="shared" si="21"/>
        <v>0</v>
      </c>
      <c r="X43" t="b">
        <f t="shared" si="22"/>
        <v>0</v>
      </c>
      <c r="Y43">
        <f t="shared" si="36"/>
        <v>3.8330166270784183</v>
      </c>
      <c r="Z43" t="str">
        <f>VLOOKUP($B43,'Data availability'!$A$2:$F$91,4,FALSE)</f>
        <v>Y</v>
      </c>
      <c r="AA43" cm="1">
        <f t="array" ref="AA43">IFERROR(QUARTILE(_xlfn._xlws.FILTER($Y$3:$Y$61, ($H$3:$H$61=$H43) * ($Y$3:$Y$61&gt;0)), 1), 0)</f>
        <v>2.3207880548899436</v>
      </c>
      <c r="AB43" cm="1">
        <f t="array" ref="AB43">IFERROR(QUARTILE(_xlfn._xlws.FILTER($Y$3:$Y$61, ($H$3:$H$61=$H43) * ($Y$3:$Y$61&gt;0)), 3), 0)</f>
        <v>5.5117751255024281</v>
      </c>
      <c r="AC43">
        <f t="shared" si="10"/>
        <v>3.1909870706124845</v>
      </c>
      <c r="AD43">
        <f t="shared" si="11"/>
        <v>-0.87019901572254099</v>
      </c>
      <c r="AE43">
        <f t="shared" si="12"/>
        <v>8.7027621961149126</v>
      </c>
      <c r="AF43" t="b">
        <f t="shared" si="23"/>
        <v>0</v>
      </c>
      <c r="AG43" t="b">
        <f t="shared" si="24"/>
        <v>0</v>
      </c>
      <c r="AH43">
        <f t="shared" si="37"/>
        <v>0</v>
      </c>
      <c r="AI43" t="str">
        <f>VLOOKUP($B43,'Data availability'!$A$2:$F$91,5,FALSE)</f>
        <v>-</v>
      </c>
      <c r="AJ43" cm="1">
        <f t="array" ref="AJ43">IFERROR(QUARTILE(_xlfn._xlws.FILTER($AH$3:$AH$61, ($H$3:$H$61=$H43) * ($AH$3:$AH$61&gt;0)), 1), 0)</f>
        <v>20.962789979692385</v>
      </c>
      <c r="AK43" cm="1">
        <f t="array" ref="AK43">IFERROR(QUARTILE(_xlfn._xlws.FILTER($AH$3:$AH$61, ($H$3:$H$61=$H43) * ($AH$3:$AH$61&gt;0)), 3), 0)</f>
        <v>37.598619727031377</v>
      </c>
      <c r="AL43">
        <f t="shared" si="14"/>
        <v>16.635829747338992</v>
      </c>
      <c r="AM43">
        <f t="shared" si="15"/>
        <v>4.3269602323533931</v>
      </c>
      <c r="AN43">
        <f t="shared" si="16"/>
        <v>54.234449474370365</v>
      </c>
      <c r="AO43" t="b">
        <f t="shared" si="25"/>
        <v>1</v>
      </c>
      <c r="AP43" t="b">
        <f t="shared" si="26"/>
        <v>1</v>
      </c>
      <c r="AQ43">
        <f t="shared" si="27"/>
        <v>0</v>
      </c>
      <c r="AR43" t="str">
        <f>VLOOKUP($B43,'Data availability'!$A$2:$F$91,6,FALSE)</f>
        <v>-</v>
      </c>
      <c r="AS43" cm="1">
        <f t="array" ref="AS43">IFERROR(QUARTILE(_xlfn._xlws.FILTER($AQ$3:$AQ$61, ($H$3:$H$61=$H43) * ($AQ$3:$AQ$61&gt;0)), 1), 0)</f>
        <v>7.9248587636469203</v>
      </c>
      <c r="AT43" cm="1">
        <f t="array" ref="AT43">IFERROR(QUARTILE(_xlfn._xlws.FILTER($AQ$3:$AQ$61, ($H$3:$H$61=$H43) * ($AQ$3:$AQ$61&gt;0)), 3), 0)</f>
        <v>35.341609909631828</v>
      </c>
      <c r="AU43">
        <f t="shared" si="17"/>
        <v>27.416751145984907</v>
      </c>
      <c r="AV43">
        <f t="shared" si="18"/>
        <v>-19.491892382337987</v>
      </c>
      <c r="AW43">
        <f t="shared" si="19"/>
        <v>62.758361055616732</v>
      </c>
      <c r="AX43" t="b">
        <f t="shared" si="28"/>
        <v>1</v>
      </c>
      <c r="AY43" t="b">
        <f t="shared" si="29"/>
        <v>1</v>
      </c>
    </row>
    <row r="44" spans="2:51" x14ac:dyDescent="0.3">
      <c r="B44" t="s">
        <v>172</v>
      </c>
      <c r="C44">
        <f>SUMIF('SkYSPark Data_w Will''s Data'!$C$3:$C$734,Outliers!$B44,'SkYSPark Data_w Will''s Data'!$G$3:$G$734)</f>
        <v>571127.62845795869</v>
      </c>
      <c r="D44">
        <f>SUMIF('SkYSPark Data_w Will''s Data'!$C$3:$C$734,Outliers!$B44,'SkYSPark Data_w Will''s Data'!$I$3:$I$734)</f>
        <v>0</v>
      </c>
      <c r="E44">
        <f>SUMIF('SkYSPark Data_w Will''s Data'!$C$3:$C$734,Outliers!$B44,'SkYSPark Data_w Will''s Data'!$J$3:$J$734)</f>
        <v>29825.598499999996</v>
      </c>
      <c r="F44">
        <f>SUMIF('SkYSPark Data_w Will''s Data'!$C$3:$C$734,Outliers!$B44,'SkYSPark Data_w Will''s Data'!$K$3:$K$734)</f>
        <v>0</v>
      </c>
      <c r="G44">
        <f>INDEX('SkYSPark Data_w Will''s Data'!$E$3:$E$734,MATCH(Outliers!B44,'SkYSPark Data_w Will''s Data'!$C$3:$C$734,0))</f>
        <v>89180</v>
      </c>
      <c r="H44" t="str">
        <f>INDEX('SkYSPark Data_w Will''s Data'!$F$3:$F$734,MATCH(Outliers!B44,'SkYSPark Data_w Will''s Data'!$C$3:$C$734,0))</f>
        <v>Academic</v>
      </c>
      <c r="I44">
        <f t="shared" si="31"/>
        <v>55.29543976562632</v>
      </c>
      <c r="J44" cm="1">
        <f t="array" ref="J44">QUARTILE(_xlfn._xlws.FILTER($I$3:$I$61,$H$3:$H$61=H44),1)</f>
        <v>42.21959902044307</v>
      </c>
      <c r="K44" cm="1">
        <f t="array" ref="K44">QUARTILE(_xlfn._xlws.FILTER($I$3:$I$61,$H$3:$H$61=H44),3)</f>
        <v>103.33423599964128</v>
      </c>
      <c r="L44">
        <f t="shared" si="32"/>
        <v>61.11463697919821</v>
      </c>
      <c r="M44">
        <f t="shared" si="33"/>
        <v>-18.89503795875514</v>
      </c>
      <c r="N44">
        <f t="shared" si="34"/>
        <v>164.44887297883949</v>
      </c>
      <c r="O44" t="b">
        <f t="shared" si="35"/>
        <v>0</v>
      </c>
      <c r="P44">
        <f t="shared" si="30"/>
        <v>21.851171431919209</v>
      </c>
      <c r="Q44" t="str">
        <f>VLOOKUP($B44,'Data availability'!$A$2:$F$91,3,FALSE)</f>
        <v>Y</v>
      </c>
      <c r="R44" cm="1">
        <f t="array" ref="R44">IFERROR(QUARTILE(_xlfn._xlws.FILTER($P$3:$P$61, ($H$3:$H$61=$H44) * ($P$3:$P$61&gt;0)), 1), 0)</f>
        <v>14.691000795498219</v>
      </c>
      <c r="S44" cm="1">
        <f t="array" ref="S44">IFERROR(QUARTILE(_xlfn._xlws.FILTER($P$3:$P$61, ($H$3:$H$61=$H44) * ($P$3:$P$61&gt;0)), 3), 0)</f>
        <v>30.985762878217994</v>
      </c>
      <c r="T44">
        <f t="shared" si="6"/>
        <v>16.294762082719775</v>
      </c>
      <c r="U44">
        <f t="shared" si="7"/>
        <v>-1.6037612872215554</v>
      </c>
      <c r="V44">
        <f t="shared" si="8"/>
        <v>47.280524960937768</v>
      </c>
      <c r="W44" t="b">
        <f t="shared" si="21"/>
        <v>0</v>
      </c>
      <c r="X44" t="b">
        <f t="shared" si="22"/>
        <v>0</v>
      </c>
      <c r="Y44">
        <f t="shared" si="36"/>
        <v>0</v>
      </c>
      <c r="Z44" t="str">
        <f>VLOOKUP($B44,'Data availability'!$A$2:$F$91,4,FALSE)</f>
        <v>-</v>
      </c>
      <c r="AA44" cm="1">
        <f t="array" ref="AA44">IFERROR(QUARTILE(_xlfn._xlws.FILTER($Y$3:$Y$61, ($H$3:$H$61=$H44) * ($Y$3:$Y$61&gt;0)), 1), 0)</f>
        <v>2.3207880548899436</v>
      </c>
      <c r="AB44" cm="1">
        <f t="array" ref="AB44">IFERROR(QUARTILE(_xlfn._xlws.FILTER($Y$3:$Y$61, ($H$3:$H$61=$H44) * ($Y$3:$Y$61&gt;0)), 3), 0)</f>
        <v>5.5117751255024281</v>
      </c>
      <c r="AC44">
        <f t="shared" si="10"/>
        <v>3.1909870706124845</v>
      </c>
      <c r="AD44">
        <f t="shared" si="11"/>
        <v>-0.87019901572254099</v>
      </c>
      <c r="AE44">
        <f t="shared" si="12"/>
        <v>8.7027621961149126</v>
      </c>
      <c r="AF44" t="b">
        <f t="shared" si="23"/>
        <v>1</v>
      </c>
      <c r="AG44" t="b">
        <f t="shared" si="24"/>
        <v>1</v>
      </c>
      <c r="AH44">
        <f t="shared" si="37"/>
        <v>33.444268333707107</v>
      </c>
      <c r="AI44" t="str">
        <f>VLOOKUP($B44,'Data availability'!$A$2:$F$91,5,FALSE)</f>
        <v>-</v>
      </c>
      <c r="AJ44" cm="1">
        <f t="array" ref="AJ44">IFERROR(QUARTILE(_xlfn._xlws.FILTER($AH$3:$AH$61, ($H$3:$H$61=$H44) * ($AH$3:$AH$61&gt;0)), 1), 0)</f>
        <v>20.962789979692385</v>
      </c>
      <c r="AK44" cm="1">
        <f t="array" ref="AK44">IFERROR(QUARTILE(_xlfn._xlws.FILTER($AH$3:$AH$61, ($H$3:$H$61=$H44) * ($AH$3:$AH$61&gt;0)), 3), 0)</f>
        <v>37.598619727031377</v>
      </c>
      <c r="AL44">
        <f t="shared" si="14"/>
        <v>16.635829747338992</v>
      </c>
      <c r="AM44">
        <f t="shared" si="15"/>
        <v>4.3269602323533931</v>
      </c>
      <c r="AN44">
        <f t="shared" si="16"/>
        <v>54.234449474370365</v>
      </c>
      <c r="AO44" t="b">
        <f t="shared" si="25"/>
        <v>0</v>
      </c>
      <c r="AP44" t="b">
        <f t="shared" si="26"/>
        <v>0</v>
      </c>
      <c r="AQ44">
        <f t="shared" si="27"/>
        <v>0</v>
      </c>
      <c r="AR44" t="str">
        <f>VLOOKUP($B44,'Data availability'!$A$2:$F$91,6,FALSE)</f>
        <v>Y(Will)</v>
      </c>
      <c r="AS44" cm="1">
        <f t="array" ref="AS44">IFERROR(QUARTILE(_xlfn._xlws.FILTER($AQ$3:$AQ$61, ($H$3:$H$61=$H44) * ($AQ$3:$AQ$61&gt;0)), 1), 0)</f>
        <v>7.9248587636469203</v>
      </c>
      <c r="AT44" cm="1">
        <f t="array" ref="AT44">IFERROR(QUARTILE(_xlfn._xlws.FILTER($AQ$3:$AQ$61, ($H$3:$H$61=$H44) * ($AQ$3:$AQ$61&gt;0)), 3), 0)</f>
        <v>35.341609909631828</v>
      </c>
      <c r="AU44">
        <f t="shared" si="17"/>
        <v>27.416751145984907</v>
      </c>
      <c r="AV44">
        <f t="shared" si="18"/>
        <v>-19.491892382337987</v>
      </c>
      <c r="AW44">
        <f t="shared" si="19"/>
        <v>62.758361055616732</v>
      </c>
      <c r="AX44" t="b">
        <f t="shared" si="28"/>
        <v>1</v>
      </c>
      <c r="AY44" t="b">
        <f t="shared" si="29"/>
        <v>1</v>
      </c>
    </row>
    <row r="45" spans="2:51" x14ac:dyDescent="0.3">
      <c r="B45" s="72" t="s">
        <v>173</v>
      </c>
      <c r="C45">
        <f>SUMIF('SkYSPark Data_w Will''s Data'!$C$3:$C$734,Outliers!$B45,'SkYSPark Data_w Will''s Data'!$G$3:$G$734)</f>
        <v>34796.545545141737</v>
      </c>
      <c r="D45">
        <f>SUMIF('SkYSPark Data_w Will''s Data'!$C$3:$C$734,Outliers!$B45,'SkYSPark Data_w Will''s Data'!$I$3:$I$734)</f>
        <v>0</v>
      </c>
      <c r="E45">
        <f>SUMIF('SkYSPark Data_w Will''s Data'!$C$3:$C$734,Outliers!$B45,'SkYSPark Data_w Will''s Data'!$J$3:$J$734)</f>
        <v>0</v>
      </c>
      <c r="F45">
        <f>SUMIF('SkYSPark Data_w Will''s Data'!$C$3:$C$734,Outliers!$B45,'SkYSPark Data_w Will''s Data'!$K$3:$K$734)</f>
        <v>0</v>
      </c>
      <c r="G45">
        <f>INDEX('SkYSPark Data_w Will''s Data'!$E$3:$E$734,MATCH(Outliers!B45,'SkYSPark Data_w Will''s Data'!$C$3:$C$734,0))</f>
        <v>0</v>
      </c>
      <c r="H45">
        <f>INDEX('SkYSPark Data_w Will''s Data'!$F$3:$F$734,MATCH(Outliers!B45,'SkYSPark Data_w Will''s Data'!$C$3:$C$734,0))</f>
        <v>0</v>
      </c>
      <c r="I45">
        <f t="shared" si="31"/>
        <v>0</v>
      </c>
      <c r="J45" cm="1">
        <f t="array" ref="J45">QUARTILE(_xlfn._xlws.FILTER($I$3:$I$61,$H$3:$H$61=H45),1)</f>
        <v>0</v>
      </c>
      <c r="K45" cm="1">
        <f t="array" ref="K45">QUARTILE(_xlfn._xlws.FILTER($I$3:$I$61,$H$3:$H$61=H45),3)</f>
        <v>0</v>
      </c>
      <c r="L45">
        <f t="shared" si="32"/>
        <v>0</v>
      </c>
      <c r="M45">
        <f t="shared" si="33"/>
        <v>0</v>
      </c>
      <c r="N45">
        <f t="shared" si="34"/>
        <v>0</v>
      </c>
      <c r="O45" t="b">
        <f t="shared" si="35"/>
        <v>0</v>
      </c>
      <c r="P45">
        <f t="shared" si="30"/>
        <v>0</v>
      </c>
      <c r="Q45" t="e">
        <f>VLOOKUP($B45,'Data availability'!$A$2:$F$91,3,FALSE)</f>
        <v>#N/A</v>
      </c>
      <c r="R45" cm="1">
        <f t="array" ref="R45">IFERROR(QUARTILE(_xlfn._xlws.FILTER($P$3:$P$61, ($H$3:$H$61=$H45) * ($P$3:$P$61&gt;0)), 1), 0)</f>
        <v>0</v>
      </c>
      <c r="S45" cm="1">
        <f t="array" ref="S45">IFERROR(QUARTILE(_xlfn._xlws.FILTER($P$3:$P$61, ($H$3:$H$61=$H45) * ($P$3:$P$61&gt;0)), 3), 0)</f>
        <v>0</v>
      </c>
      <c r="T45">
        <f t="shared" si="6"/>
        <v>0</v>
      </c>
      <c r="U45">
        <f t="shared" si="7"/>
        <v>0</v>
      </c>
      <c r="V45">
        <f t="shared" si="8"/>
        <v>0</v>
      </c>
      <c r="W45" t="b">
        <f t="shared" si="21"/>
        <v>1</v>
      </c>
      <c r="X45" t="b">
        <f t="shared" si="22"/>
        <v>1</v>
      </c>
      <c r="Y45">
        <f t="shared" si="36"/>
        <v>0</v>
      </c>
      <c r="Z45" t="e">
        <f>VLOOKUP($B45,'Data availability'!$A$2:$F$91,4,FALSE)</f>
        <v>#N/A</v>
      </c>
      <c r="AA45" cm="1">
        <f t="array" ref="AA45">IFERROR(QUARTILE(_xlfn._xlws.FILTER($Y$3:$Y$61, ($H$3:$H$61=$H45) * ($Y$3:$Y$61&gt;0)), 1), 0)</f>
        <v>0</v>
      </c>
      <c r="AB45" cm="1">
        <f t="array" ref="AB45">IFERROR(QUARTILE(_xlfn._xlws.FILTER($Y$3:$Y$61, ($H$3:$H$61=$H45) * ($Y$3:$Y$61&gt;0)), 3), 0)</f>
        <v>0</v>
      </c>
      <c r="AC45">
        <f t="shared" si="10"/>
        <v>0</v>
      </c>
      <c r="AD45">
        <f t="shared" si="11"/>
        <v>0</v>
      </c>
      <c r="AE45">
        <f t="shared" si="12"/>
        <v>0</v>
      </c>
      <c r="AF45" t="b">
        <f t="shared" si="23"/>
        <v>1</v>
      </c>
      <c r="AG45" t="b">
        <f t="shared" si="24"/>
        <v>1</v>
      </c>
      <c r="AH45">
        <f t="shared" si="37"/>
        <v>0</v>
      </c>
      <c r="AI45" t="e">
        <f>VLOOKUP($B45,'Data availability'!$A$2:$F$91,5,FALSE)</f>
        <v>#N/A</v>
      </c>
      <c r="AJ45" cm="1">
        <f t="array" ref="AJ45">IFERROR(QUARTILE(_xlfn._xlws.FILTER($AH$3:$AH$61, ($H$3:$H$61=$H45) * ($AH$3:$AH$61&gt;0)), 1), 0)</f>
        <v>0</v>
      </c>
      <c r="AK45" cm="1">
        <f t="array" ref="AK45">IFERROR(QUARTILE(_xlfn._xlws.FILTER($AH$3:$AH$61, ($H$3:$H$61=$H45) * ($AH$3:$AH$61&gt;0)), 3), 0)</f>
        <v>0</v>
      </c>
      <c r="AL45">
        <f t="shared" si="14"/>
        <v>0</v>
      </c>
      <c r="AM45">
        <f t="shared" si="15"/>
        <v>0</v>
      </c>
      <c r="AN45">
        <f t="shared" si="16"/>
        <v>0</v>
      </c>
      <c r="AO45" t="b">
        <f t="shared" si="25"/>
        <v>1</v>
      </c>
      <c r="AP45" t="b">
        <f t="shared" si="26"/>
        <v>1</v>
      </c>
      <c r="AQ45">
        <f t="shared" si="27"/>
        <v>0</v>
      </c>
      <c r="AR45" t="e">
        <f>VLOOKUP($B45,'Data availability'!$A$2:$F$91,6,FALSE)</f>
        <v>#N/A</v>
      </c>
      <c r="AS45" cm="1">
        <f t="array" ref="AS45">IFERROR(QUARTILE(_xlfn._xlws.FILTER($AQ$3:$AQ$61, ($H$3:$H$61=$H45) * ($AQ$3:$AQ$61&gt;0)), 1), 0)</f>
        <v>0</v>
      </c>
      <c r="AT45" cm="1">
        <f t="array" ref="AT45">IFERROR(QUARTILE(_xlfn._xlws.FILTER($AQ$3:$AQ$61, ($H$3:$H$61=$H45) * ($AQ$3:$AQ$61&gt;0)), 3), 0)</f>
        <v>0</v>
      </c>
      <c r="AU45">
        <f t="shared" si="17"/>
        <v>0</v>
      </c>
      <c r="AV45">
        <f t="shared" si="18"/>
        <v>0</v>
      </c>
      <c r="AW45">
        <f t="shared" si="19"/>
        <v>0</v>
      </c>
      <c r="AX45" t="b">
        <f t="shared" si="28"/>
        <v>1</v>
      </c>
      <c r="AY45" t="b">
        <f t="shared" si="29"/>
        <v>1</v>
      </c>
    </row>
    <row r="46" spans="2:51" x14ac:dyDescent="0.3">
      <c r="B46" t="s">
        <v>339</v>
      </c>
      <c r="C46">
        <f>SUMIF('SkYSPark Data_w Will''s Data'!$C$3:$C$734,Outliers!$B46,'SkYSPark Data_w Will''s Data'!$G$3:$G$734)</f>
        <v>58956.086344307645</v>
      </c>
      <c r="D46">
        <f>SUMIF('SkYSPark Data_w Will''s Data'!$C$3:$C$734,Outliers!$B46,'SkYSPark Data_w Will''s Data'!$I$3:$I$734)</f>
        <v>3878.296774193534</v>
      </c>
      <c r="E46">
        <f>SUMIF('SkYSPark Data_w Will''s Data'!$C$3:$C$734,Outliers!$B46,'SkYSPark Data_w Will''s Data'!$J$3:$J$734)</f>
        <v>0</v>
      </c>
      <c r="F46">
        <f>SUMIF('SkYSPark Data_w Will''s Data'!$C$3:$C$734,Outliers!$B46,'SkYSPark Data_w Will''s Data'!$K$3:$K$734)</f>
        <v>0</v>
      </c>
      <c r="G46">
        <f>INDEX('SkYSPark Data_w Will''s Data'!$E$3:$E$734,MATCH(Outliers!B46,'SkYSPark Data_w Will''s Data'!$C$3:$C$734,0))</f>
        <v>22495</v>
      </c>
      <c r="H46" t="str">
        <f>INDEX('SkYSPark Data_w Will''s Data'!$F$3:$F$734,MATCH(Outliers!B46,'SkYSPark Data_w Will''s Data'!$C$3:$C$734,0))</f>
        <v>Athletics</v>
      </c>
      <c r="I46">
        <f t="shared" si="31"/>
        <v>26.183055969154527</v>
      </c>
      <c r="J46" cm="1">
        <f t="array" ref="J46">QUARTILE(_xlfn._xlws.FILTER($I$3:$I$61,$H$3:$H$61=H46),1)</f>
        <v>35.241304721956851</v>
      </c>
      <c r="K46" cm="1">
        <f t="array" ref="K46">QUARTILE(_xlfn._xlws.FILTER($I$3:$I$61,$H$3:$H$61=H46),3)</f>
        <v>110.27168618999586</v>
      </c>
      <c r="L46">
        <f t="shared" si="32"/>
        <v>75.03038146803901</v>
      </c>
      <c r="M46">
        <f t="shared" si="33"/>
        <v>-39.789076746082159</v>
      </c>
      <c r="N46">
        <f t="shared" si="34"/>
        <v>185.30206765803487</v>
      </c>
      <c r="O46" t="b">
        <f t="shared" si="35"/>
        <v>0</v>
      </c>
      <c r="P46">
        <f t="shared" si="30"/>
        <v>8.9423501492232784</v>
      </c>
      <c r="Q46" t="str">
        <f>VLOOKUP($B46,'Data availability'!$A$2:$F$91,3,FALSE)</f>
        <v>Y</v>
      </c>
      <c r="R46" cm="1">
        <f t="array" ref="R46">IFERROR(QUARTILE(_xlfn._xlws.FILTER($P$3:$P$61, ($H$3:$H$61=$H46) * ($P$3:$P$61&gt;0)), 1), 0)</f>
        <v>22.386081175049085</v>
      </c>
      <c r="S46" cm="1">
        <f t="array" ref="S46">IFERROR(QUARTILE(_xlfn._xlws.FILTER($P$3:$P$61, ($H$3:$H$61=$H46) * ($P$3:$P$61&gt;0)), 3), 0)</f>
        <v>42.853420284849037</v>
      </c>
      <c r="T46">
        <f t="shared" si="6"/>
        <v>20.467339109799951</v>
      </c>
      <c r="U46">
        <f t="shared" si="7"/>
        <v>1.918742065249134</v>
      </c>
      <c r="V46">
        <f t="shared" si="8"/>
        <v>63.320759394648988</v>
      </c>
      <c r="W46" t="b">
        <f t="shared" si="21"/>
        <v>0</v>
      </c>
      <c r="X46" t="b">
        <f t="shared" si="22"/>
        <v>0</v>
      </c>
      <c r="Y46">
        <f t="shared" si="36"/>
        <v>17.240705819931247</v>
      </c>
      <c r="Z46" t="str">
        <f>VLOOKUP($B46,'Data availability'!$A$2:$F$91,4,FALSE)</f>
        <v>Y</v>
      </c>
      <c r="AA46" cm="1">
        <f t="array" ref="AA46">IFERROR(QUARTILE(_xlfn._xlws.FILTER($Y$3:$Y$61, ($H$3:$H$61=$H46) * ($Y$3:$Y$61&gt;0)), 1), 0)</f>
        <v>25.288828048792482</v>
      </c>
      <c r="AB46" cm="1">
        <f t="array" ref="AB46">IFERROR(QUARTILE(_xlfn._xlws.FILTER($Y$3:$Y$61, ($H$3:$H$61=$H46) * ($Y$3:$Y$61&gt;0)), 3), 0)</f>
        <v>38.336388047513843</v>
      </c>
      <c r="AC46">
        <f t="shared" si="10"/>
        <v>13.047559998721361</v>
      </c>
      <c r="AD46">
        <f t="shared" si="11"/>
        <v>12.24126805007112</v>
      </c>
      <c r="AE46">
        <f t="shared" si="12"/>
        <v>51.383948046235204</v>
      </c>
      <c r="AF46" t="b">
        <f t="shared" si="23"/>
        <v>0</v>
      </c>
      <c r="AG46" t="b">
        <f t="shared" si="24"/>
        <v>0</v>
      </c>
      <c r="AH46">
        <f t="shared" si="37"/>
        <v>0</v>
      </c>
      <c r="AI46" t="str">
        <f>VLOOKUP($B46,'Data availability'!$A$2:$F$91,5,FALSE)</f>
        <v>-</v>
      </c>
      <c r="AJ46" cm="1">
        <f t="array" ref="AJ46">IFERROR(QUARTILE(_xlfn._xlws.FILTER($AH$3:$AH$61, ($H$3:$H$61=$H46) * ($AH$3:$AH$61&gt;0)), 1), 0)</f>
        <v>9.9719961163773458</v>
      </c>
      <c r="AK46" cm="1">
        <f t="array" ref="AK46">IFERROR(QUARTILE(_xlfn._xlws.FILTER($AH$3:$AH$61, ($H$3:$H$61=$H46) * ($AH$3:$AH$61&gt;0)), 3), 0)</f>
        <v>92.542374107098553</v>
      </c>
      <c r="AL46">
        <f t="shared" si="14"/>
        <v>82.570377990721212</v>
      </c>
      <c r="AM46">
        <f t="shared" si="15"/>
        <v>-72.598381874343872</v>
      </c>
      <c r="AN46">
        <f t="shared" si="16"/>
        <v>175.11275209781977</v>
      </c>
      <c r="AO46" t="b">
        <f t="shared" si="25"/>
        <v>1</v>
      </c>
      <c r="AP46" t="b">
        <f t="shared" si="26"/>
        <v>1</v>
      </c>
      <c r="AQ46">
        <f t="shared" si="27"/>
        <v>0</v>
      </c>
      <c r="AR46" t="str">
        <f>VLOOKUP($B46,'Data availability'!$A$2:$F$91,6,FALSE)</f>
        <v>-</v>
      </c>
      <c r="AS46" cm="1">
        <f t="array" ref="AS46">IFERROR(QUARTILE(_xlfn._xlws.FILTER($AQ$3:$AQ$61, ($H$3:$H$61=$H46) * ($AQ$3:$AQ$61&gt;0)), 1), 0)</f>
        <v>8.1385129695793257</v>
      </c>
      <c r="AT46" cm="1">
        <f t="array" ref="AT46">IFERROR(QUARTILE(_xlfn._xlws.FILTER($AQ$3:$AQ$61, ($H$3:$H$61=$H46) * ($AQ$3:$AQ$61&gt;0)), 3), 0)</f>
        <v>25.43708742579112</v>
      </c>
      <c r="AU46">
        <f t="shared" si="17"/>
        <v>17.298574456211796</v>
      </c>
      <c r="AV46">
        <f t="shared" si="18"/>
        <v>-9.1600614866324701</v>
      </c>
      <c r="AW46">
        <f t="shared" si="19"/>
        <v>42.735661882002915</v>
      </c>
      <c r="AX46" t="b">
        <f t="shared" si="28"/>
        <v>1</v>
      </c>
      <c r="AY46" t="b">
        <f t="shared" si="29"/>
        <v>1</v>
      </c>
    </row>
    <row r="47" spans="2:51" x14ac:dyDescent="0.3">
      <c r="B47" t="s">
        <v>174</v>
      </c>
      <c r="C47">
        <f>SUMIF('SkYSPark Data_w Will''s Data'!$C$3:$C$734,Outliers!$B47,'SkYSPark Data_w Will''s Data'!$G$3:$G$734)</f>
        <v>1029.5651204301057</v>
      </c>
      <c r="D47">
        <f>SUMIF('SkYSPark Data_w Will''s Data'!$C$3:$C$734,Outliers!$B47,'SkYSPark Data_w Will''s Data'!$I$3:$I$734)</f>
        <v>0</v>
      </c>
      <c r="E47">
        <f>SUMIF('SkYSPark Data_w Will''s Data'!$C$3:$C$734,Outliers!$B47,'SkYSPark Data_w Will''s Data'!$J$3:$J$734)</f>
        <v>0</v>
      </c>
      <c r="F47">
        <f>SUMIF('SkYSPark Data_w Will''s Data'!$C$3:$C$734,Outliers!$B47,'SkYSPark Data_w Will''s Data'!$K$3:$K$734)</f>
        <v>0</v>
      </c>
      <c r="G47">
        <f>INDEX('SkYSPark Data_w Will''s Data'!$E$3:$E$734,MATCH(Outliers!B47,'SkYSPark Data_w Will''s Data'!$C$3:$C$734,0))</f>
        <v>768</v>
      </c>
      <c r="H47" t="str">
        <f>INDEX('SkYSPark Data_w Will''s Data'!$F$3:$F$734,MATCH(Outliers!B47,'SkYSPark Data_w Will''s Data'!$C$3:$C$734,0))</f>
        <v>Storage</v>
      </c>
      <c r="I47">
        <f t="shared" si="31"/>
        <v>4.5740575402441674</v>
      </c>
      <c r="J47" cm="1">
        <f t="array" ref="J47">QUARTILE(_xlfn._xlws.FILTER($I$3:$I$61,$H$3:$H$61=H47),1)</f>
        <v>3.4305431551831256</v>
      </c>
      <c r="K47" cm="1">
        <f t="array" ref="K47">QUARTILE(_xlfn._xlws.FILTER($I$3:$I$61,$H$3:$H$61=H47),3)</f>
        <v>58.84076585750978</v>
      </c>
      <c r="L47">
        <f t="shared" si="32"/>
        <v>55.410222702326656</v>
      </c>
      <c r="M47">
        <f t="shared" si="33"/>
        <v>-51.979679547143533</v>
      </c>
      <c r="N47">
        <f t="shared" si="34"/>
        <v>114.25098855983643</v>
      </c>
      <c r="O47" t="b">
        <f t="shared" si="35"/>
        <v>0</v>
      </c>
      <c r="P47">
        <f t="shared" si="30"/>
        <v>4.5740575402441674</v>
      </c>
      <c r="Q47" t="str">
        <f>VLOOKUP($B47,'Data availability'!$A$2:$F$91,3,FALSE)</f>
        <v>Y</v>
      </c>
      <c r="R47" cm="1">
        <f t="array" ref="R47">IFERROR(QUARTILE(_xlfn._xlws.FILTER($P$3:$P$61, ($H$3:$H$61=$H47) * ($P$3:$P$61&gt;0)), 1), 0)</f>
        <v>14.174440210505276</v>
      </c>
      <c r="S47" cm="1">
        <f t="array" ref="S47">IFERROR(QUARTILE(_xlfn._xlws.FILTER($P$3:$P$61, ($H$3:$H$61=$H47) * ($P$3:$P$61&gt;0)), 3), 0)</f>
        <v>39.262184289824951</v>
      </c>
      <c r="T47">
        <f t="shared" si="6"/>
        <v>25.087744079319677</v>
      </c>
      <c r="U47">
        <f t="shared" si="7"/>
        <v>-10.913303868814401</v>
      </c>
      <c r="V47">
        <f t="shared" si="8"/>
        <v>64.349928369144635</v>
      </c>
      <c r="W47" t="b">
        <f t="shared" si="21"/>
        <v>0</v>
      </c>
      <c r="X47" t="b">
        <f t="shared" si="22"/>
        <v>0</v>
      </c>
      <c r="Y47">
        <f t="shared" si="36"/>
        <v>0</v>
      </c>
      <c r="Z47" t="str">
        <f>VLOOKUP($B47,'Data availability'!$A$2:$F$91,4,FALSE)</f>
        <v>-</v>
      </c>
      <c r="AA47" cm="1">
        <f t="array" ref="AA47">IFERROR(QUARTILE(_xlfn._xlws.FILTER($Y$3:$Y$61, ($H$3:$H$61=$H47) * ($Y$3:$Y$61&gt;0)), 1), 0)</f>
        <v>47.339603452622192</v>
      </c>
      <c r="AB47" cm="1">
        <f t="array" ref="AB47">IFERROR(QUARTILE(_xlfn._xlws.FILTER($Y$3:$Y$61, ($H$3:$H$61=$H47) * ($Y$3:$Y$61&gt;0)), 3), 0)</f>
        <v>47.339603452622192</v>
      </c>
      <c r="AC47">
        <f t="shared" si="10"/>
        <v>0</v>
      </c>
      <c r="AD47">
        <f t="shared" si="11"/>
        <v>47.339603452622192</v>
      </c>
      <c r="AE47">
        <f t="shared" si="12"/>
        <v>47.339603452622192</v>
      </c>
      <c r="AF47" t="b">
        <f t="shared" si="23"/>
        <v>1</v>
      </c>
      <c r="AG47" t="b">
        <f t="shared" si="24"/>
        <v>1</v>
      </c>
      <c r="AH47">
        <f t="shared" si="37"/>
        <v>0</v>
      </c>
      <c r="AI47" t="str">
        <f>VLOOKUP($B47,'Data availability'!$A$2:$F$91,5,FALSE)</f>
        <v>-</v>
      </c>
      <c r="AJ47" cm="1">
        <f t="array" ref="AJ47">IFERROR(QUARTILE(_xlfn._xlws.FILTER($AH$3:$AH$61, ($H$3:$H$61=$H47) * ($AH$3:$AH$61&gt;0)), 1), 0)</f>
        <v>0</v>
      </c>
      <c r="AK47" cm="1">
        <f t="array" ref="AK47">IFERROR(QUARTILE(_xlfn._xlws.FILTER($AH$3:$AH$61, ($H$3:$H$61=$H47) * ($AH$3:$AH$61&gt;0)), 3), 0)</f>
        <v>0</v>
      </c>
      <c r="AL47">
        <f t="shared" si="14"/>
        <v>0</v>
      </c>
      <c r="AM47">
        <f t="shared" si="15"/>
        <v>0</v>
      </c>
      <c r="AN47">
        <f t="shared" si="16"/>
        <v>0</v>
      </c>
      <c r="AO47" t="b">
        <f t="shared" si="25"/>
        <v>1</v>
      </c>
      <c r="AP47" t="b">
        <f t="shared" si="26"/>
        <v>1</v>
      </c>
      <c r="AQ47">
        <f t="shared" si="27"/>
        <v>0</v>
      </c>
      <c r="AR47" t="str">
        <f>VLOOKUP($B47,'Data availability'!$A$2:$F$91,6,FALSE)</f>
        <v>-</v>
      </c>
      <c r="AS47" cm="1">
        <f t="array" ref="AS47">IFERROR(QUARTILE(_xlfn._xlws.FILTER($AQ$3:$AQ$61, ($H$3:$H$61=$H47) * ($AQ$3:$AQ$61&gt;0)), 1), 0)</f>
        <v>0</v>
      </c>
      <c r="AT47" cm="1">
        <f t="array" ref="AT47">IFERROR(QUARTILE(_xlfn._xlws.FILTER($AQ$3:$AQ$61, ($H$3:$H$61=$H47) * ($AQ$3:$AQ$61&gt;0)), 3), 0)</f>
        <v>0</v>
      </c>
      <c r="AU47">
        <f t="shared" si="17"/>
        <v>0</v>
      </c>
      <c r="AV47">
        <f t="shared" si="18"/>
        <v>0</v>
      </c>
      <c r="AW47">
        <f t="shared" si="19"/>
        <v>0</v>
      </c>
      <c r="AX47" t="b">
        <f t="shared" si="28"/>
        <v>1</v>
      </c>
      <c r="AY47" t="b">
        <f t="shared" si="29"/>
        <v>1</v>
      </c>
    </row>
    <row r="48" spans="2:51" x14ac:dyDescent="0.3">
      <c r="B48" t="s">
        <v>175</v>
      </c>
      <c r="C48">
        <f>SUMIF('SkYSPark Data_w Will''s Data'!$C$3:$C$734,Outliers!$B48,'SkYSPark Data_w Will''s Data'!$G$3:$G$734)</f>
        <v>208983.84304831253</v>
      </c>
      <c r="D48">
        <f>SUMIF('SkYSPark Data_w Will''s Data'!$C$3:$C$734,Outliers!$B48,'SkYSPark Data_w Will''s Data'!$I$3:$I$734)</f>
        <v>11511.945454545485</v>
      </c>
      <c r="E48">
        <f>SUMIF('SkYSPark Data_w Will''s Data'!$C$3:$C$734,Outliers!$B48,'SkYSPark Data_w Will''s Data'!$J$3:$J$734)</f>
        <v>0</v>
      </c>
      <c r="F48">
        <f>SUMIF('SkYSPark Data_w Will''s Data'!$C$3:$C$734,Outliers!$B48,'SkYSPark Data_w Will''s Data'!$K$3:$K$734)</f>
        <v>0</v>
      </c>
      <c r="G48">
        <f>INDEX('SkYSPark Data_w Will''s Data'!$E$3:$E$734,MATCH(Outliers!B48,'SkYSPark Data_w Will''s Data'!$C$3:$C$734,0))</f>
        <v>22203</v>
      </c>
      <c r="H48" t="str">
        <f>INDEX('SkYSPark Data_w Will''s Data'!$F$3:$F$734,MATCH(Outliers!B48,'SkYSPark Data_w Will''s Data'!$C$3:$C$734,0))</f>
        <v>Office</v>
      </c>
      <c r="I48">
        <f t="shared" si="31"/>
        <v>83.963762461621883</v>
      </c>
      <c r="J48" cm="1">
        <f t="array" ref="J48">QUARTILE(_xlfn._xlws.FILTER($I$3:$I$61,$H$3:$H$61=H48),1)</f>
        <v>8.8203385892012705</v>
      </c>
      <c r="K48" cm="1">
        <f t="array" ref="K48">QUARTILE(_xlfn._xlws.FILTER($I$3:$I$61,$H$3:$H$61=H48),3)</f>
        <v>69.275490194408547</v>
      </c>
      <c r="L48">
        <f t="shared" si="32"/>
        <v>60.455151605207277</v>
      </c>
      <c r="M48">
        <f t="shared" si="33"/>
        <v>-51.634813016006007</v>
      </c>
      <c r="N48">
        <f t="shared" si="34"/>
        <v>129.73064179961582</v>
      </c>
      <c r="O48" t="b">
        <f t="shared" si="35"/>
        <v>0</v>
      </c>
      <c r="P48">
        <f t="shared" si="30"/>
        <v>32.115158874063965</v>
      </c>
      <c r="Q48" t="str">
        <f>VLOOKUP($B48,'Data availability'!$A$2:$F$91,3,FALSE)</f>
        <v>Y</v>
      </c>
      <c r="R48" cm="1">
        <f t="array" ref="R48">IFERROR(QUARTILE(_xlfn._xlws.FILTER($P$3:$P$61, ($H$3:$H$61=$H48) * ($P$3:$P$61&gt;0)), 1), 0)</f>
        <v>15.284554956771059</v>
      </c>
      <c r="S48" cm="1">
        <f t="array" ref="S48">IFERROR(QUARTILE(_xlfn._xlws.FILTER($P$3:$P$61, ($H$3:$H$61=$H48) * ($P$3:$P$61&gt;0)), 3), 0)</f>
        <v>46.24076613564857</v>
      </c>
      <c r="T48">
        <f t="shared" si="6"/>
        <v>30.95621117887751</v>
      </c>
      <c r="U48">
        <f t="shared" si="7"/>
        <v>-15.671656222106451</v>
      </c>
      <c r="V48">
        <f t="shared" si="8"/>
        <v>77.19697731452608</v>
      </c>
      <c r="W48" t="b">
        <f t="shared" si="21"/>
        <v>0</v>
      </c>
      <c r="X48" t="b">
        <f t="shared" si="22"/>
        <v>0</v>
      </c>
      <c r="Y48">
        <f t="shared" si="36"/>
        <v>51.848603587557918</v>
      </c>
      <c r="Z48" t="str">
        <f>VLOOKUP($B48,'Data availability'!$A$2:$F$91,4,FALSE)</f>
        <v>Y</v>
      </c>
      <c r="AA48" cm="1">
        <f t="array" ref="AA48">IFERROR(QUARTILE(_xlfn._xlws.FILTER($Y$3:$Y$61, ($H$3:$H$61=$H48) * ($Y$3:$Y$61&gt;0)), 1), 0)</f>
        <v>6.5665650736195023</v>
      </c>
      <c r="AB48" cm="1">
        <f t="array" ref="AB48">IFERROR(QUARTILE(_xlfn._xlws.FILTER($Y$3:$Y$61, ($H$3:$H$61=$H48) * ($Y$3:$Y$61&gt;0)), 3), 0)</f>
        <v>25.940532343422344</v>
      </c>
      <c r="AC48">
        <f t="shared" si="10"/>
        <v>19.37396726980284</v>
      </c>
      <c r="AD48">
        <f t="shared" si="11"/>
        <v>-12.807402196183338</v>
      </c>
      <c r="AE48">
        <f t="shared" si="12"/>
        <v>45.31449961322518</v>
      </c>
      <c r="AF48" t="b">
        <f t="shared" si="23"/>
        <v>1</v>
      </c>
      <c r="AG48" t="b">
        <f t="shared" si="24"/>
        <v>1</v>
      </c>
      <c r="AH48">
        <f t="shared" si="37"/>
        <v>0</v>
      </c>
      <c r="AI48" t="str">
        <f>VLOOKUP($B48,'Data availability'!$A$2:$F$91,5,FALSE)</f>
        <v>-</v>
      </c>
      <c r="AJ48" cm="1">
        <f t="array" ref="AJ48">IFERROR(QUARTILE(_xlfn._xlws.FILTER($AH$3:$AH$61, ($H$3:$H$61=$H48) * ($AH$3:$AH$61&gt;0)), 1), 0)</f>
        <v>16.477362470385007</v>
      </c>
      <c r="AK48" cm="1">
        <f t="array" ref="AK48">IFERROR(QUARTILE(_xlfn._xlws.FILTER($AH$3:$AH$61, ($H$3:$H$61=$H48) * ($AH$3:$AH$61&gt;0)), 3), 0)</f>
        <v>23.950261445766277</v>
      </c>
      <c r="AL48">
        <f t="shared" si="14"/>
        <v>7.4728989753812698</v>
      </c>
      <c r="AM48">
        <f t="shared" si="15"/>
        <v>9.004463495003737</v>
      </c>
      <c r="AN48">
        <f t="shared" si="16"/>
        <v>31.423160421147546</v>
      </c>
      <c r="AO48" t="b">
        <f t="shared" si="25"/>
        <v>1</v>
      </c>
      <c r="AP48" t="b">
        <f t="shared" si="26"/>
        <v>1</v>
      </c>
      <c r="AQ48">
        <f t="shared" si="27"/>
        <v>0</v>
      </c>
      <c r="AR48" t="str">
        <f>VLOOKUP($B48,'Data availability'!$A$2:$F$91,6,FALSE)</f>
        <v>-</v>
      </c>
      <c r="AS48" cm="1">
        <f t="array" ref="AS48">IFERROR(QUARTILE(_xlfn._xlws.FILTER($AQ$3:$AQ$61, ($H$3:$H$61=$H48) * ($AQ$3:$AQ$61&gt;0)), 1), 0)</f>
        <v>11.329125107085785</v>
      </c>
      <c r="AT48" cm="1">
        <f t="array" ref="AT48">IFERROR(QUARTILE(_xlfn._xlws.FILTER($AQ$3:$AQ$61, ($H$3:$H$61=$H48) * ($AQ$3:$AQ$61&gt;0)), 3), 0)</f>
        <v>16.085135960920159</v>
      </c>
      <c r="AU48">
        <f t="shared" si="17"/>
        <v>4.7560108538343737</v>
      </c>
      <c r="AV48">
        <f t="shared" si="18"/>
        <v>6.5731142532514113</v>
      </c>
      <c r="AW48">
        <f t="shared" si="19"/>
        <v>20.841146814754531</v>
      </c>
      <c r="AX48" t="b">
        <f t="shared" si="28"/>
        <v>1</v>
      </c>
      <c r="AY48" t="b">
        <f t="shared" si="29"/>
        <v>1</v>
      </c>
    </row>
    <row r="49" spans="2:51" x14ac:dyDescent="0.3">
      <c r="B49" t="s">
        <v>176</v>
      </c>
      <c r="C49">
        <f>SUMIF('SkYSPark Data_w Will''s Data'!$C$3:$C$734,Outliers!$B49,'SkYSPark Data_w Will''s Data'!$G$3:$G$734)</f>
        <v>1367794.0219435734</v>
      </c>
      <c r="D49">
        <f>SUMIF('SkYSPark Data_w Will''s Data'!$C$3:$C$734,Outliers!$B49,'SkYSPark Data_w Will''s Data'!$I$3:$I$734)</f>
        <v>0</v>
      </c>
      <c r="E49">
        <f>SUMIF('SkYSPark Data_w Will''s Data'!$C$3:$C$734,Outliers!$B49,'SkYSPark Data_w Will''s Data'!$J$3:$J$734)</f>
        <v>206999.62986546406</v>
      </c>
      <c r="F49">
        <f>SUMIF('SkYSPark Data_w Will''s Data'!$C$3:$C$734,Outliers!$B49,'SkYSPark Data_w Will''s Data'!$K$3:$K$734)</f>
        <v>200168.21864509871</v>
      </c>
      <c r="G49">
        <f>INDEX('SkYSPark Data_w Will''s Data'!$E$3:$E$734,MATCH(Outliers!B49,'SkYSPark Data_w Will''s Data'!$C$3:$C$734,0))</f>
        <v>121426</v>
      </c>
      <c r="H49" t="str">
        <f>INDEX('SkYSPark Data_w Will''s Data'!$F$3:$F$734,MATCH(Outliers!B49,'SkYSPark Data_w Will''s Data'!$C$3:$C$734,0))</f>
        <v>Athletics</v>
      </c>
      <c r="I49">
        <f t="shared" si="31"/>
        <v>228.68985895244066</v>
      </c>
      <c r="J49" cm="1">
        <f t="array" ref="J49">QUARTILE(_xlfn._xlws.FILTER($I$3:$I$61,$H$3:$H$61=H49),1)</f>
        <v>35.241304721956851</v>
      </c>
      <c r="K49" cm="1">
        <f t="array" ref="K49">QUARTILE(_xlfn._xlws.FILTER($I$3:$I$61,$H$3:$H$61=H49),3)</f>
        <v>110.27168618999586</v>
      </c>
      <c r="L49">
        <f t="shared" si="32"/>
        <v>75.03038146803901</v>
      </c>
      <c r="M49">
        <f t="shared" si="33"/>
        <v>-39.789076746082159</v>
      </c>
      <c r="N49">
        <f t="shared" si="34"/>
        <v>185.30206765803487</v>
      </c>
      <c r="O49" t="b">
        <f t="shared" si="35"/>
        <v>1</v>
      </c>
      <c r="P49">
        <f t="shared" si="30"/>
        <v>38.434216748237382</v>
      </c>
      <c r="Q49" t="str">
        <f>VLOOKUP($B49,'Data availability'!$A$2:$F$91,3,FALSE)</f>
        <v>Y</v>
      </c>
      <c r="R49" cm="1">
        <f t="array" ref="R49">IFERROR(QUARTILE(_xlfn._xlws.FILTER($P$3:$P$61, ($H$3:$H$61=$H49) * ($P$3:$P$61&gt;0)), 1), 0)</f>
        <v>22.386081175049085</v>
      </c>
      <c r="S49" cm="1">
        <f t="array" ref="S49">IFERROR(QUARTILE(_xlfn._xlws.FILTER($P$3:$P$61, ($H$3:$H$61=$H49) * ($P$3:$P$61&gt;0)), 3), 0)</f>
        <v>42.853420284849037</v>
      </c>
      <c r="T49">
        <f t="shared" si="6"/>
        <v>20.467339109799951</v>
      </c>
      <c r="U49">
        <f t="shared" si="7"/>
        <v>1.918742065249134</v>
      </c>
      <c r="V49">
        <f t="shared" si="8"/>
        <v>63.320759394648988</v>
      </c>
      <c r="W49" t="b">
        <f t="shared" si="21"/>
        <v>0</v>
      </c>
      <c r="X49" t="b">
        <f t="shared" si="22"/>
        <v>0</v>
      </c>
      <c r="Y49">
        <f t="shared" si="36"/>
        <v>0</v>
      </c>
      <c r="Z49" t="str">
        <f>VLOOKUP($B49,'Data availability'!$A$2:$F$91,4,FALSE)</f>
        <v>-</v>
      </c>
      <c r="AA49" cm="1">
        <f t="array" ref="AA49">IFERROR(QUARTILE(_xlfn._xlws.FILTER($Y$3:$Y$61, ($H$3:$H$61=$H49) * ($Y$3:$Y$61&gt;0)), 1), 0)</f>
        <v>25.288828048792482</v>
      </c>
      <c r="AB49" cm="1">
        <f t="array" ref="AB49">IFERROR(QUARTILE(_xlfn._xlws.FILTER($Y$3:$Y$61, ($H$3:$H$61=$H49) * ($Y$3:$Y$61&gt;0)), 3), 0)</f>
        <v>38.336388047513843</v>
      </c>
      <c r="AC49">
        <f t="shared" si="10"/>
        <v>13.047559998721361</v>
      </c>
      <c r="AD49">
        <f t="shared" si="11"/>
        <v>12.24126805007112</v>
      </c>
      <c r="AE49">
        <f t="shared" si="12"/>
        <v>51.383948046235204</v>
      </c>
      <c r="AF49" t="b">
        <f t="shared" si="23"/>
        <v>1</v>
      </c>
      <c r="AG49" t="b">
        <f t="shared" si="24"/>
        <v>1</v>
      </c>
      <c r="AH49">
        <f t="shared" si="37"/>
        <v>170.47389345400825</v>
      </c>
      <c r="AI49" t="str">
        <f>VLOOKUP($B49,'Data availability'!$A$2:$F$91,5,FALSE)</f>
        <v>Y</v>
      </c>
      <c r="AJ49" cm="1">
        <f t="array" ref="AJ49">IFERROR(QUARTILE(_xlfn._xlws.FILTER($AH$3:$AH$61, ($H$3:$H$61=$H49) * ($AH$3:$AH$61&gt;0)), 1), 0)</f>
        <v>9.9719961163773458</v>
      </c>
      <c r="AK49" cm="1">
        <f t="array" ref="AK49">IFERROR(QUARTILE(_xlfn._xlws.FILTER($AH$3:$AH$61, ($H$3:$H$61=$H49) * ($AH$3:$AH$61&gt;0)), 3), 0)</f>
        <v>92.542374107098553</v>
      </c>
      <c r="AL49">
        <f t="shared" si="14"/>
        <v>82.570377990721212</v>
      </c>
      <c r="AM49">
        <f t="shared" si="15"/>
        <v>-72.598381874343872</v>
      </c>
      <c r="AN49">
        <f t="shared" si="16"/>
        <v>175.11275209781977</v>
      </c>
      <c r="AO49" t="b">
        <f t="shared" si="25"/>
        <v>0</v>
      </c>
      <c r="AP49" t="b">
        <f t="shared" si="26"/>
        <v>0</v>
      </c>
      <c r="AQ49">
        <f t="shared" si="27"/>
        <v>19.781748750195053</v>
      </c>
      <c r="AR49" t="str">
        <f>VLOOKUP($B49,'Data availability'!$A$2:$F$91,6,FALSE)</f>
        <v>Y</v>
      </c>
      <c r="AS49" cm="1">
        <f t="array" ref="AS49">IFERROR(QUARTILE(_xlfn._xlws.FILTER($AQ$3:$AQ$61, ($H$3:$H$61=$H49) * ($AQ$3:$AQ$61&gt;0)), 1), 0)</f>
        <v>8.1385129695793257</v>
      </c>
      <c r="AT49" cm="1">
        <f t="array" ref="AT49">IFERROR(QUARTILE(_xlfn._xlws.FILTER($AQ$3:$AQ$61, ($H$3:$H$61=$H49) * ($AQ$3:$AQ$61&gt;0)), 3), 0)</f>
        <v>25.43708742579112</v>
      </c>
      <c r="AU49">
        <f t="shared" si="17"/>
        <v>17.298574456211796</v>
      </c>
      <c r="AV49">
        <f t="shared" si="18"/>
        <v>-9.1600614866324701</v>
      </c>
      <c r="AW49">
        <f t="shared" si="19"/>
        <v>42.735661882002915</v>
      </c>
      <c r="AX49" t="b">
        <f t="shared" si="28"/>
        <v>0</v>
      </c>
      <c r="AY49" t="b">
        <f t="shared" si="29"/>
        <v>0</v>
      </c>
    </row>
    <row r="50" spans="2:51" x14ac:dyDescent="0.3">
      <c r="B50" t="s">
        <v>430</v>
      </c>
      <c r="C50">
        <f>SUMIF('SkYSPark Data_w Will''s Data'!$C$3:$C$734,Outliers!$B50,'SkYSPark Data_w Will''s Data'!$G$3:$G$734)</f>
        <v>1039713.405911868</v>
      </c>
      <c r="D50">
        <f>SUMIF('SkYSPark Data_w Will''s Data'!$C$3:$C$734,Outliers!$B50,'SkYSPark Data_w Will''s Data'!$I$3:$I$734)</f>
        <v>0</v>
      </c>
      <c r="E50">
        <f>SUMIF('SkYSPark Data_w Will''s Data'!$C$3:$C$734,Outliers!$B50,'SkYSPark Data_w Will''s Data'!$J$3:$J$734)</f>
        <v>6770.7176366163003</v>
      </c>
      <c r="F50">
        <f>SUMIF('SkYSPark Data_w Will''s Data'!$C$3:$C$734,Outliers!$B50,'SkYSPark Data_w Will''s Data'!$K$3:$K$734)</f>
        <v>47185.879985506195</v>
      </c>
      <c r="G50">
        <f>INDEX('SkYSPark Data_w Will''s Data'!$E$3:$E$734,MATCH(Outliers!B50,'SkYSPark Data_w Will''s Data'!$C$3:$C$734,0))</f>
        <v>115492</v>
      </c>
      <c r="H50" t="str">
        <f>INDEX('SkYSPark Data_w Will''s Data'!$F$3:$F$734,MATCH(Outliers!B50,'SkYSPark Data_w Will''s Data'!$C$3:$C$734,0))</f>
        <v>Athletics</v>
      </c>
      <c r="I50">
        <f t="shared" si="31"/>
        <v>41.481699723435376</v>
      </c>
      <c r="J50" cm="1">
        <f t="array" ref="J50">QUARTILE(_xlfn._xlws.FILTER($I$3:$I$61,$H$3:$H$61=H50),1)</f>
        <v>35.241304721956851</v>
      </c>
      <c r="K50" cm="1">
        <f t="array" ref="K50">QUARTILE(_xlfn._xlws.FILTER($I$3:$I$61,$H$3:$H$61=H50),3)</f>
        <v>110.27168618999586</v>
      </c>
      <c r="L50">
        <f t="shared" si="32"/>
        <v>75.03038146803901</v>
      </c>
      <c r="M50">
        <f t="shared" si="33"/>
        <v>-39.789076746082159</v>
      </c>
      <c r="N50">
        <f t="shared" si="34"/>
        <v>185.30206765803487</v>
      </c>
      <c r="O50" t="b">
        <f t="shared" si="35"/>
        <v>0</v>
      </c>
      <c r="P50">
        <f t="shared" si="30"/>
        <v>30.716431795893168</v>
      </c>
      <c r="Q50" t="e">
        <f>VLOOKUP($B50,'Data availability'!$A$2:$F$91,3,FALSE)</f>
        <v>#N/A</v>
      </c>
      <c r="R50" cm="1">
        <f t="array" ref="R50">IFERROR(QUARTILE(_xlfn._xlws.FILTER($P$3:$P$61, ($H$3:$H$61=$H50) * ($P$3:$P$61&gt;0)), 1), 0)</f>
        <v>22.386081175049085</v>
      </c>
      <c r="S50" cm="1">
        <f t="array" ref="S50">IFERROR(QUARTILE(_xlfn._xlws.FILTER($P$3:$P$61, ($H$3:$H$61=$H50) * ($P$3:$P$61&gt;0)), 3), 0)</f>
        <v>42.853420284849037</v>
      </c>
      <c r="T50">
        <f t="shared" si="6"/>
        <v>20.467339109799951</v>
      </c>
      <c r="U50">
        <f t="shared" si="7"/>
        <v>1.918742065249134</v>
      </c>
      <c r="V50">
        <f t="shared" si="8"/>
        <v>63.320759394648988</v>
      </c>
      <c r="W50" t="b">
        <f t="shared" si="21"/>
        <v>0</v>
      </c>
      <c r="X50" t="b">
        <f t="shared" si="22"/>
        <v>0</v>
      </c>
      <c r="Y50">
        <f t="shared" si="36"/>
        <v>0</v>
      </c>
      <c r="Z50" t="e">
        <f>VLOOKUP($B50,'Data availability'!$A$2:$F$91,4,FALSE)</f>
        <v>#N/A</v>
      </c>
      <c r="AA50" cm="1">
        <f t="array" ref="AA50">IFERROR(QUARTILE(_xlfn._xlws.FILTER($Y$3:$Y$61, ($H$3:$H$61=$H50) * ($Y$3:$Y$61&gt;0)), 1), 0)</f>
        <v>25.288828048792482</v>
      </c>
      <c r="AB50" cm="1">
        <f t="array" ref="AB50">IFERROR(QUARTILE(_xlfn._xlws.FILTER($Y$3:$Y$61, ($H$3:$H$61=$H50) * ($Y$3:$Y$61&gt;0)), 3), 0)</f>
        <v>38.336388047513843</v>
      </c>
      <c r="AC50">
        <f t="shared" si="10"/>
        <v>13.047559998721361</v>
      </c>
      <c r="AD50">
        <f t="shared" si="11"/>
        <v>12.24126805007112</v>
      </c>
      <c r="AE50">
        <f t="shared" si="12"/>
        <v>51.383948046235204</v>
      </c>
      <c r="AF50" t="b">
        <f t="shared" si="23"/>
        <v>1</v>
      </c>
      <c r="AG50" t="b">
        <f t="shared" si="24"/>
        <v>1</v>
      </c>
      <c r="AH50">
        <f t="shared" si="37"/>
        <v>5.8624992524298651</v>
      </c>
      <c r="AI50" t="e">
        <f>VLOOKUP($B50,'Data availability'!$A$2:$F$91,5,FALSE)</f>
        <v>#N/A</v>
      </c>
      <c r="AJ50" cm="1">
        <f t="array" ref="AJ50">IFERROR(QUARTILE(_xlfn._xlws.FILTER($AH$3:$AH$61, ($H$3:$H$61=$H50) * ($AH$3:$AH$61&gt;0)), 1), 0)</f>
        <v>9.9719961163773458</v>
      </c>
      <c r="AK50" cm="1">
        <f t="array" ref="AK50">IFERROR(QUARTILE(_xlfn._xlws.FILTER($AH$3:$AH$61, ($H$3:$H$61=$H50) * ($AH$3:$AH$61&gt;0)), 3), 0)</f>
        <v>92.542374107098553</v>
      </c>
      <c r="AL50">
        <f t="shared" si="14"/>
        <v>82.570377990721212</v>
      </c>
      <c r="AM50">
        <f t="shared" si="15"/>
        <v>-72.598381874343872</v>
      </c>
      <c r="AN50">
        <f t="shared" si="16"/>
        <v>175.11275209781977</v>
      </c>
      <c r="AO50" t="b">
        <f t="shared" si="25"/>
        <v>0</v>
      </c>
      <c r="AP50" t="b">
        <f t="shared" si="26"/>
        <v>0</v>
      </c>
      <c r="AQ50">
        <f t="shared" si="27"/>
        <v>4.9027686751123403</v>
      </c>
      <c r="AR50" t="e">
        <f>VLOOKUP($B50,'Data availability'!$A$2:$F$91,6,FALSE)</f>
        <v>#N/A</v>
      </c>
      <c r="AS50" cm="1">
        <f t="array" ref="AS50">IFERROR(QUARTILE(_xlfn._xlws.FILTER($AQ$3:$AQ$61, ($H$3:$H$61=$H50) * ($AQ$3:$AQ$61&gt;0)), 1), 0)</f>
        <v>8.1385129695793257</v>
      </c>
      <c r="AT50" cm="1">
        <f t="array" ref="AT50">IFERROR(QUARTILE(_xlfn._xlws.FILTER($AQ$3:$AQ$61, ($H$3:$H$61=$H50) * ($AQ$3:$AQ$61&gt;0)), 3), 0)</f>
        <v>25.43708742579112</v>
      </c>
      <c r="AU50">
        <f t="shared" si="17"/>
        <v>17.298574456211796</v>
      </c>
      <c r="AV50">
        <f t="shared" si="18"/>
        <v>-9.1600614866324701</v>
      </c>
      <c r="AW50">
        <f t="shared" si="19"/>
        <v>42.735661882002915</v>
      </c>
      <c r="AX50" t="b">
        <f t="shared" si="28"/>
        <v>0</v>
      </c>
      <c r="AY50" t="b">
        <f t="shared" si="29"/>
        <v>0</v>
      </c>
    </row>
    <row r="51" spans="2:51" x14ac:dyDescent="0.3">
      <c r="B51" t="s">
        <v>431</v>
      </c>
      <c r="C51">
        <f>SUMIF('SkYSPark Data_w Will''s Data'!$C$3:$C$734,Outliers!$B51,'SkYSPark Data_w Will''s Data'!$G$3:$G$734)</f>
        <v>0</v>
      </c>
      <c r="D51">
        <f>SUMIF('SkYSPark Data_w Will''s Data'!$C$3:$C$734,Outliers!$B51,'SkYSPark Data_w Will''s Data'!$I$3:$I$734)</f>
        <v>0</v>
      </c>
      <c r="E51">
        <f>SUMIF('SkYSPark Data_w Will''s Data'!$C$3:$C$734,Outliers!$B51,'SkYSPark Data_w Will''s Data'!$J$3:$J$734)</f>
        <v>13865.370757004306</v>
      </c>
      <c r="F51">
        <f>SUMIF('SkYSPark Data_w Will''s Data'!$C$3:$C$734,Outliers!$B51,'SkYSPark Data_w Will''s Data'!$K$3:$K$734)</f>
        <v>0</v>
      </c>
      <c r="G51">
        <f>INDEX('SkYSPark Data_w Will''s Data'!$E$3:$E$734,MATCH(Outliers!B51,'SkYSPark Data_w Will''s Data'!$C$3:$C$734,0))</f>
        <v>0</v>
      </c>
      <c r="H51" t="str">
        <f>INDEX('SkYSPark Data_w Will''s Data'!$F$3:$F$734,MATCH(Outliers!B51,'SkYSPark Data_w Will''s Data'!$C$3:$C$734,0))</f>
        <v>Athletics</v>
      </c>
      <c r="I51">
        <f t="shared" si="31"/>
        <v>0</v>
      </c>
      <c r="J51" cm="1">
        <f t="array" ref="J51">QUARTILE(_xlfn._xlws.FILTER($I$3:$I$61,$H$3:$H$61=H51),1)</f>
        <v>35.241304721956851</v>
      </c>
      <c r="K51" cm="1">
        <f t="array" ref="K51">QUARTILE(_xlfn._xlws.FILTER($I$3:$I$61,$H$3:$H$61=H51),3)</f>
        <v>110.27168618999586</v>
      </c>
      <c r="L51">
        <f t="shared" si="32"/>
        <v>75.03038146803901</v>
      </c>
      <c r="M51">
        <f t="shared" si="33"/>
        <v>-39.789076746082159</v>
      </c>
      <c r="N51">
        <f t="shared" si="34"/>
        <v>185.30206765803487</v>
      </c>
      <c r="O51" t="b">
        <f t="shared" si="35"/>
        <v>0</v>
      </c>
      <c r="P51">
        <f t="shared" si="30"/>
        <v>0</v>
      </c>
      <c r="Q51" t="e">
        <f>VLOOKUP($B51,'Data availability'!$A$2:$F$91,3,FALSE)</f>
        <v>#N/A</v>
      </c>
      <c r="R51" cm="1">
        <f t="array" ref="R51">IFERROR(QUARTILE(_xlfn._xlws.FILTER($P$3:$P$61, ($H$3:$H$61=$H51) * ($P$3:$P$61&gt;0)), 1), 0)</f>
        <v>22.386081175049085</v>
      </c>
      <c r="S51" cm="1">
        <f t="array" ref="S51">IFERROR(QUARTILE(_xlfn._xlws.FILTER($P$3:$P$61, ($H$3:$H$61=$H51) * ($P$3:$P$61&gt;0)), 3), 0)</f>
        <v>42.853420284849037</v>
      </c>
      <c r="T51">
        <f t="shared" si="6"/>
        <v>20.467339109799951</v>
      </c>
      <c r="U51">
        <f t="shared" si="7"/>
        <v>1.918742065249134</v>
      </c>
      <c r="V51">
        <f t="shared" si="8"/>
        <v>63.320759394648988</v>
      </c>
      <c r="W51" t="b">
        <f t="shared" si="21"/>
        <v>1</v>
      </c>
      <c r="Y51">
        <f t="shared" si="36"/>
        <v>0</v>
      </c>
      <c r="Z51" t="e">
        <f>VLOOKUP($B51,'Data availability'!$A$2:$F$91,4,FALSE)</f>
        <v>#N/A</v>
      </c>
      <c r="AA51" cm="1">
        <f t="array" ref="AA51">IFERROR(QUARTILE(_xlfn._xlws.FILTER($Y$3:$Y$61, ($H$3:$H$61=$H51) * ($Y$3:$Y$61&gt;0)), 1), 0)</f>
        <v>25.288828048792482</v>
      </c>
      <c r="AB51" cm="1">
        <f t="array" ref="AB51">IFERROR(QUARTILE(_xlfn._xlws.FILTER($Y$3:$Y$61, ($H$3:$H$61=$H51) * ($Y$3:$Y$61&gt;0)), 3), 0)</f>
        <v>38.336388047513843</v>
      </c>
      <c r="AC51">
        <f t="shared" si="10"/>
        <v>13.047559998721361</v>
      </c>
      <c r="AD51">
        <f t="shared" si="11"/>
        <v>12.24126805007112</v>
      </c>
      <c r="AE51">
        <f t="shared" si="12"/>
        <v>51.383948046235204</v>
      </c>
      <c r="AF51" t="b">
        <f t="shared" si="23"/>
        <v>1</v>
      </c>
      <c r="AG51" t="b">
        <f t="shared" si="24"/>
        <v>1</v>
      </c>
      <c r="AH51">
        <f t="shared" si="37"/>
        <v>0</v>
      </c>
      <c r="AI51" t="e">
        <f>VLOOKUP($B51,'Data availability'!$A$2:$F$91,5,FALSE)</f>
        <v>#N/A</v>
      </c>
      <c r="AJ51" cm="1">
        <f t="array" ref="AJ51">IFERROR(QUARTILE(_xlfn._xlws.FILTER($AH$3:$AH$61, ($H$3:$H$61=$H51) * ($AH$3:$AH$61&gt;0)), 1), 0)</f>
        <v>9.9719961163773458</v>
      </c>
      <c r="AK51" cm="1">
        <f t="array" ref="AK51">IFERROR(QUARTILE(_xlfn._xlws.FILTER($AH$3:$AH$61, ($H$3:$H$61=$H51) * ($AH$3:$AH$61&gt;0)), 3), 0)</f>
        <v>92.542374107098553</v>
      </c>
      <c r="AL51">
        <f t="shared" si="14"/>
        <v>82.570377990721212</v>
      </c>
      <c r="AM51">
        <f t="shared" si="15"/>
        <v>-72.598381874343872</v>
      </c>
      <c r="AN51">
        <f t="shared" si="16"/>
        <v>175.11275209781977</v>
      </c>
      <c r="AO51" t="b">
        <f t="shared" si="25"/>
        <v>1</v>
      </c>
      <c r="AP51" t="b">
        <f t="shared" si="26"/>
        <v>1</v>
      </c>
      <c r="AQ51">
        <f t="shared" si="27"/>
        <v>0</v>
      </c>
      <c r="AR51" t="e">
        <f>VLOOKUP($B51,'Data availability'!$A$2:$F$91,6,FALSE)</f>
        <v>#N/A</v>
      </c>
      <c r="AS51" cm="1">
        <f t="array" ref="AS51">IFERROR(QUARTILE(_xlfn._xlws.FILTER($AQ$3:$AQ$61, ($H$3:$H$61=$H51) * ($AQ$3:$AQ$61&gt;0)), 1), 0)</f>
        <v>8.1385129695793257</v>
      </c>
      <c r="AT51" cm="1">
        <f t="array" ref="AT51">IFERROR(QUARTILE(_xlfn._xlws.FILTER($AQ$3:$AQ$61, ($H$3:$H$61=$H51) * ($AQ$3:$AQ$61&gt;0)), 3), 0)</f>
        <v>25.43708742579112</v>
      </c>
      <c r="AU51">
        <f t="shared" si="17"/>
        <v>17.298574456211796</v>
      </c>
      <c r="AV51">
        <f t="shared" si="18"/>
        <v>-9.1600614866324701</v>
      </c>
      <c r="AW51">
        <f t="shared" si="19"/>
        <v>42.735661882002915</v>
      </c>
      <c r="AX51" t="b">
        <f t="shared" si="28"/>
        <v>1</v>
      </c>
      <c r="AY51" t="b">
        <f t="shared" si="29"/>
        <v>1</v>
      </c>
    </row>
    <row r="52" spans="2:51" x14ac:dyDescent="0.3">
      <c r="B52" t="s">
        <v>179</v>
      </c>
      <c r="C52">
        <f>SUMIF('SkYSPark Data_w Will''s Data'!$C$3:$C$734,Outliers!$B52,'SkYSPark Data_w Will''s Data'!$G$3:$G$734)</f>
        <v>50304.755499999948</v>
      </c>
      <c r="D52">
        <f>SUMIF('SkYSPark Data_w Will''s Data'!$C$3:$C$734,Outliers!$B52,'SkYSPark Data_w Will''s Data'!$I$3:$I$734)</f>
        <v>0</v>
      </c>
      <c r="E52">
        <f>SUMIF('SkYSPark Data_w Will''s Data'!$C$3:$C$734,Outliers!$B52,'SkYSPark Data_w Will''s Data'!$J$3:$J$734)</f>
        <v>0</v>
      </c>
      <c r="F52">
        <f>SUMIF('SkYSPark Data_w Will''s Data'!$C$3:$C$734,Outliers!$B52,'SkYSPark Data_w Will''s Data'!$K$3:$K$734)</f>
        <v>0</v>
      </c>
      <c r="G52">
        <f>INDEX('SkYSPark Data_w Will''s Data'!$E$3:$E$734,MATCH(Outliers!B52,'SkYSPark Data_w Will''s Data'!$C$3:$C$734,0))</f>
        <v>3135</v>
      </c>
      <c r="H52" t="str">
        <f>INDEX('SkYSPark Data_w Will''s Data'!$F$3:$F$734,MATCH(Outliers!B52,'SkYSPark Data_w Will''s Data'!$C$3:$C$734,0))</f>
        <v>Storage</v>
      </c>
      <c r="I52">
        <f t="shared" si="31"/>
        <v>54.749545698883516</v>
      </c>
      <c r="J52" cm="1">
        <f t="array" ref="J52">QUARTILE(_xlfn._xlws.FILTER($I$3:$I$61,$H$3:$H$61=H52),1)</f>
        <v>3.4305431551831256</v>
      </c>
      <c r="K52" cm="1">
        <f t="array" ref="K52">QUARTILE(_xlfn._xlws.FILTER($I$3:$I$61,$H$3:$H$61=H52),3)</f>
        <v>58.84076585750978</v>
      </c>
      <c r="L52">
        <f t="shared" si="32"/>
        <v>55.410222702326656</v>
      </c>
      <c r="M52">
        <f t="shared" si="33"/>
        <v>-51.979679547143533</v>
      </c>
      <c r="N52">
        <f t="shared" si="34"/>
        <v>114.25098855983643</v>
      </c>
      <c r="O52" t="b">
        <f t="shared" si="35"/>
        <v>0</v>
      </c>
      <c r="P52">
        <f t="shared" si="30"/>
        <v>54.749545698883516</v>
      </c>
      <c r="Q52" t="str">
        <f>VLOOKUP($B52,'Data availability'!$A$2:$F$91,3,FALSE)</f>
        <v>Y</v>
      </c>
      <c r="R52" cm="1">
        <f t="array" ref="R52">IFERROR(QUARTILE(_xlfn._xlws.FILTER($P$3:$P$61, ($H$3:$H$61=$H52) * ($P$3:$P$61&gt;0)), 1), 0)</f>
        <v>14.174440210505276</v>
      </c>
      <c r="S52" cm="1">
        <f t="array" ref="S52">IFERROR(QUARTILE(_xlfn._xlws.FILTER($P$3:$P$61, ($H$3:$H$61=$H52) * ($P$3:$P$61&gt;0)), 3), 0)</f>
        <v>39.262184289824951</v>
      </c>
      <c r="T52">
        <f t="shared" si="6"/>
        <v>25.087744079319677</v>
      </c>
      <c r="U52">
        <f t="shared" si="7"/>
        <v>-10.913303868814401</v>
      </c>
      <c r="V52">
        <f t="shared" si="8"/>
        <v>64.349928369144635</v>
      </c>
      <c r="W52" t="b">
        <f t="shared" si="21"/>
        <v>0</v>
      </c>
      <c r="X52" t="b">
        <f t="shared" ref="X52:X61" si="38">W52</f>
        <v>0</v>
      </c>
      <c r="Y52">
        <f t="shared" si="36"/>
        <v>0</v>
      </c>
      <c r="Z52" t="str">
        <f>VLOOKUP($B52,'Data availability'!$A$2:$F$91,4,FALSE)</f>
        <v>-</v>
      </c>
      <c r="AA52" cm="1">
        <f t="array" ref="AA52">IFERROR(QUARTILE(_xlfn._xlws.FILTER($Y$3:$Y$61, ($H$3:$H$61=$H52) * ($Y$3:$Y$61&gt;0)), 1), 0)</f>
        <v>47.339603452622192</v>
      </c>
      <c r="AB52" cm="1">
        <f t="array" ref="AB52">IFERROR(QUARTILE(_xlfn._xlws.FILTER($Y$3:$Y$61, ($H$3:$H$61=$H52) * ($Y$3:$Y$61&gt;0)), 3), 0)</f>
        <v>47.339603452622192</v>
      </c>
      <c r="AC52">
        <f t="shared" si="10"/>
        <v>0</v>
      </c>
      <c r="AD52">
        <f t="shared" si="11"/>
        <v>47.339603452622192</v>
      </c>
      <c r="AE52">
        <f t="shared" si="12"/>
        <v>47.339603452622192</v>
      </c>
      <c r="AF52" t="b">
        <f t="shared" si="23"/>
        <v>1</v>
      </c>
      <c r="AG52" t="b">
        <f t="shared" si="24"/>
        <v>1</v>
      </c>
      <c r="AH52">
        <f t="shared" si="37"/>
        <v>0</v>
      </c>
      <c r="AI52" t="str">
        <f>VLOOKUP($B52,'Data availability'!$A$2:$F$91,5,FALSE)</f>
        <v>-</v>
      </c>
      <c r="AJ52" cm="1">
        <f t="array" ref="AJ52">IFERROR(QUARTILE(_xlfn._xlws.FILTER($AH$3:$AH$61, ($H$3:$H$61=$H52) * ($AH$3:$AH$61&gt;0)), 1), 0)</f>
        <v>0</v>
      </c>
      <c r="AK52" cm="1">
        <f t="array" ref="AK52">IFERROR(QUARTILE(_xlfn._xlws.FILTER($AH$3:$AH$61, ($H$3:$H$61=$H52) * ($AH$3:$AH$61&gt;0)), 3), 0)</f>
        <v>0</v>
      </c>
      <c r="AL52">
        <f t="shared" si="14"/>
        <v>0</v>
      </c>
      <c r="AM52">
        <f t="shared" si="15"/>
        <v>0</v>
      </c>
      <c r="AN52">
        <f t="shared" si="16"/>
        <v>0</v>
      </c>
      <c r="AO52" t="b">
        <f t="shared" si="25"/>
        <v>1</v>
      </c>
      <c r="AP52" t="b">
        <f t="shared" si="26"/>
        <v>1</v>
      </c>
      <c r="AQ52">
        <f t="shared" si="27"/>
        <v>0</v>
      </c>
      <c r="AR52" t="str">
        <f>VLOOKUP($B52,'Data availability'!$A$2:$F$91,6,FALSE)</f>
        <v>-</v>
      </c>
      <c r="AS52" cm="1">
        <f t="array" ref="AS52">IFERROR(QUARTILE(_xlfn._xlws.FILTER($AQ$3:$AQ$61, ($H$3:$H$61=$H52) * ($AQ$3:$AQ$61&gt;0)), 1), 0)</f>
        <v>0</v>
      </c>
      <c r="AT52" cm="1">
        <f t="array" ref="AT52">IFERROR(QUARTILE(_xlfn._xlws.FILTER($AQ$3:$AQ$61, ($H$3:$H$61=$H52) * ($AQ$3:$AQ$61&gt;0)), 3), 0)</f>
        <v>0</v>
      </c>
      <c r="AU52">
        <f t="shared" si="17"/>
        <v>0</v>
      </c>
      <c r="AV52">
        <f t="shared" si="18"/>
        <v>0</v>
      </c>
      <c r="AW52">
        <f t="shared" si="19"/>
        <v>0</v>
      </c>
      <c r="AX52" t="b">
        <f t="shared" si="28"/>
        <v>1</v>
      </c>
      <c r="AY52" t="b">
        <f t="shared" si="29"/>
        <v>1</v>
      </c>
    </row>
    <row r="53" spans="2:51" x14ac:dyDescent="0.3">
      <c r="B53" t="s">
        <v>180</v>
      </c>
      <c r="C53">
        <f>SUMIF('SkYSPark Data_w Will''s Data'!$C$3:$C$734,Outliers!$B53,'SkYSPark Data_w Will''s Data'!$G$3:$G$734)</f>
        <v>1369777.2570532893</v>
      </c>
      <c r="D53">
        <f>SUMIF('SkYSPark Data_w Will''s Data'!$C$3:$C$734,Outliers!$B53,'SkYSPark Data_w Will''s Data'!$I$3:$I$734)</f>
        <v>17279.070967741951</v>
      </c>
      <c r="E53">
        <f>SUMIF('SkYSPark Data_w Will''s Data'!$C$3:$C$734,Outliers!$B53,'SkYSPark Data_w Will''s Data'!$J$3:$J$734)</f>
        <v>0</v>
      </c>
      <c r="F53">
        <f>SUMIF('SkYSPark Data_w Will''s Data'!$C$3:$C$734,Outliers!$B53,'SkYSPark Data_w Will''s Data'!$K$3:$K$734)</f>
        <v>0</v>
      </c>
      <c r="G53">
        <f>INDEX('SkYSPark Data_w Will''s Data'!$E$3:$E$734,MATCH(Outliers!B53,'SkYSPark Data_w Will''s Data'!$C$3:$C$734,0))</f>
        <v>99853</v>
      </c>
      <c r="H53" t="str">
        <f>INDEX('SkYSPark Data_w Will''s Data'!$F$3:$F$734,MATCH(Outliers!B53,'SkYSPark Data_w Will''s Data'!$C$3:$C$734,0))</f>
        <v>Office</v>
      </c>
      <c r="I53">
        <f t="shared" si="31"/>
        <v>64.110112844281275</v>
      </c>
      <c r="J53" cm="1">
        <f t="array" ref="J53">QUARTILE(_xlfn._xlws.FILTER($I$3:$I$61,$H$3:$H$61=H53),1)</f>
        <v>8.8203385892012705</v>
      </c>
      <c r="K53" cm="1">
        <f t="array" ref="K53">QUARTILE(_xlfn._xlws.FILTER($I$3:$I$61,$H$3:$H$61=H53),3)</f>
        <v>69.275490194408547</v>
      </c>
      <c r="L53">
        <f t="shared" si="32"/>
        <v>60.455151605207277</v>
      </c>
      <c r="M53">
        <f t="shared" si="33"/>
        <v>-51.634813016006007</v>
      </c>
      <c r="N53">
        <f t="shared" si="34"/>
        <v>129.73064179961582</v>
      </c>
      <c r="O53" t="b">
        <f t="shared" si="35"/>
        <v>0</v>
      </c>
      <c r="P53">
        <f t="shared" si="30"/>
        <v>46.805604248904125</v>
      </c>
      <c r="Q53" t="str">
        <f>VLOOKUP($B53,'Data availability'!$A$2:$F$91,3,FALSE)</f>
        <v>Y</v>
      </c>
      <c r="R53" cm="1">
        <f t="array" ref="R53">IFERROR(QUARTILE(_xlfn._xlws.FILTER($P$3:$P$61, ($H$3:$H$61=$H53) * ($P$3:$P$61&gt;0)), 1), 0)</f>
        <v>15.284554956771059</v>
      </c>
      <c r="S53" cm="1">
        <f t="array" ref="S53">IFERROR(QUARTILE(_xlfn._xlws.FILTER($P$3:$P$61, ($H$3:$H$61=$H53) * ($P$3:$P$61&gt;0)), 3), 0)</f>
        <v>46.24076613564857</v>
      </c>
      <c r="T53">
        <f t="shared" si="6"/>
        <v>30.95621117887751</v>
      </c>
      <c r="U53">
        <f t="shared" si="7"/>
        <v>-15.671656222106451</v>
      </c>
      <c r="V53">
        <f t="shared" si="8"/>
        <v>77.19697731452608</v>
      </c>
      <c r="W53" t="b">
        <f t="shared" si="21"/>
        <v>0</v>
      </c>
      <c r="X53" t="b">
        <f t="shared" si="38"/>
        <v>0</v>
      </c>
      <c r="Y53">
        <f t="shared" si="36"/>
        <v>17.304508595377154</v>
      </c>
      <c r="Z53" t="str">
        <f>VLOOKUP($B53,'Data availability'!$A$2:$F$91,4,FALSE)</f>
        <v>Y</v>
      </c>
      <c r="AA53" cm="1">
        <f t="array" ref="AA53">IFERROR(QUARTILE(_xlfn._xlws.FILTER($Y$3:$Y$61, ($H$3:$H$61=$H53) * ($Y$3:$Y$61&gt;0)), 1), 0)</f>
        <v>6.5665650736195023</v>
      </c>
      <c r="AB53" cm="1">
        <f t="array" ref="AB53">IFERROR(QUARTILE(_xlfn._xlws.FILTER($Y$3:$Y$61, ($H$3:$H$61=$H53) * ($Y$3:$Y$61&gt;0)), 3), 0)</f>
        <v>25.940532343422344</v>
      </c>
      <c r="AC53">
        <f t="shared" si="10"/>
        <v>19.37396726980284</v>
      </c>
      <c r="AD53">
        <f t="shared" si="11"/>
        <v>-12.807402196183338</v>
      </c>
      <c r="AE53">
        <f t="shared" si="12"/>
        <v>45.31449961322518</v>
      </c>
      <c r="AF53" t="b">
        <f t="shared" si="23"/>
        <v>0</v>
      </c>
      <c r="AG53" t="b">
        <f t="shared" si="24"/>
        <v>0</v>
      </c>
      <c r="AH53">
        <f t="shared" si="37"/>
        <v>0</v>
      </c>
      <c r="AI53" t="str">
        <f>VLOOKUP($B53,'Data availability'!$A$2:$F$91,5,FALSE)</f>
        <v>-</v>
      </c>
      <c r="AJ53" cm="1">
        <f t="array" ref="AJ53">IFERROR(QUARTILE(_xlfn._xlws.FILTER($AH$3:$AH$61, ($H$3:$H$61=$H53) * ($AH$3:$AH$61&gt;0)), 1), 0)</f>
        <v>16.477362470385007</v>
      </c>
      <c r="AK53" cm="1">
        <f t="array" ref="AK53">IFERROR(QUARTILE(_xlfn._xlws.FILTER($AH$3:$AH$61, ($H$3:$H$61=$H53) * ($AH$3:$AH$61&gt;0)), 3), 0)</f>
        <v>23.950261445766277</v>
      </c>
      <c r="AL53">
        <f t="shared" si="14"/>
        <v>7.4728989753812698</v>
      </c>
      <c r="AM53">
        <f t="shared" si="15"/>
        <v>9.004463495003737</v>
      </c>
      <c r="AN53">
        <f t="shared" si="16"/>
        <v>31.423160421147546</v>
      </c>
      <c r="AO53" t="b">
        <f t="shared" si="25"/>
        <v>1</v>
      </c>
      <c r="AP53" t="b">
        <f t="shared" si="26"/>
        <v>1</v>
      </c>
      <c r="AQ53">
        <f t="shared" si="27"/>
        <v>0</v>
      </c>
      <c r="AR53" t="str">
        <f>VLOOKUP($B53,'Data availability'!$A$2:$F$91,6,FALSE)</f>
        <v>-</v>
      </c>
      <c r="AS53" cm="1">
        <f t="array" ref="AS53">IFERROR(QUARTILE(_xlfn._xlws.FILTER($AQ$3:$AQ$61, ($H$3:$H$61=$H53) * ($AQ$3:$AQ$61&gt;0)), 1), 0)</f>
        <v>11.329125107085785</v>
      </c>
      <c r="AT53" cm="1">
        <f t="array" ref="AT53">IFERROR(QUARTILE(_xlfn._xlws.FILTER($AQ$3:$AQ$61, ($H$3:$H$61=$H53) * ($AQ$3:$AQ$61&gt;0)), 3), 0)</f>
        <v>16.085135960920159</v>
      </c>
      <c r="AU53">
        <f t="shared" si="17"/>
        <v>4.7560108538343737</v>
      </c>
      <c r="AV53">
        <f t="shared" si="18"/>
        <v>6.5731142532514113</v>
      </c>
      <c r="AW53">
        <f t="shared" si="19"/>
        <v>20.841146814754531</v>
      </c>
      <c r="AX53" t="b">
        <f t="shared" si="28"/>
        <v>1</v>
      </c>
      <c r="AY53" t="b">
        <f t="shared" si="29"/>
        <v>1</v>
      </c>
    </row>
    <row r="54" spans="2:51" x14ac:dyDescent="0.3">
      <c r="B54" t="s">
        <v>181</v>
      </c>
      <c r="C54">
        <f>SUMIF('SkYSPark Data_w Will''s Data'!$C$3:$C$734,Outliers!$B54,'SkYSPark Data_w Will''s Data'!$G$3:$G$734)</f>
        <v>231759.55378787973</v>
      </c>
      <c r="D54">
        <f>SUMIF('SkYSPark Data_w Will''s Data'!$C$3:$C$734,Outliers!$B54,'SkYSPark Data_w Will''s Data'!$I$3:$I$734)</f>
        <v>0</v>
      </c>
      <c r="E54">
        <f>SUMIF('SkYSPark Data_w Will''s Data'!$C$3:$C$734,Outliers!$B54,'SkYSPark Data_w Will''s Data'!$J$3:$J$734)</f>
        <v>14590.896661931794</v>
      </c>
      <c r="F54">
        <f>SUMIF('SkYSPark Data_w Will''s Data'!$C$3:$C$734,Outliers!$B54,'SkYSPark Data_w Will''s Data'!$K$3:$K$734)</f>
        <v>39310.333928740423</v>
      </c>
      <c r="G54">
        <f>INDEX('SkYSPark Data_w Will''s Data'!$E$3:$E$734,MATCH(Outliers!B54,'SkYSPark Data_w Will''s Data'!$C$3:$C$734,0))</f>
        <v>52700</v>
      </c>
      <c r="H54" t="str">
        <f>INDEX('SkYSPark Data_w Will''s Data'!$F$3:$F$734,MATCH(Outliers!B54,'SkYSPark Data_w Will''s Data'!$C$3:$C$734,0))</f>
        <v>Office</v>
      </c>
      <c r="I54">
        <f t="shared" si="31"/>
        <v>51.642832464180458</v>
      </c>
      <c r="J54" cm="1">
        <f t="array" ref="J54">QUARTILE(_xlfn._xlws.FILTER($I$3:$I$61,$H$3:$H$61=H54),1)</f>
        <v>8.8203385892012705</v>
      </c>
      <c r="K54" cm="1">
        <f t="array" ref="K54">QUARTILE(_xlfn._xlws.FILTER($I$3:$I$61,$H$3:$H$61=H54),3)</f>
        <v>69.275490194408547</v>
      </c>
      <c r="L54">
        <f t="shared" si="32"/>
        <v>60.455151605207277</v>
      </c>
      <c r="M54">
        <f t="shared" si="33"/>
        <v>-51.634813016006007</v>
      </c>
      <c r="N54">
        <f t="shared" si="34"/>
        <v>129.73064179961582</v>
      </c>
      <c r="O54" t="b">
        <f t="shared" si="35"/>
        <v>0</v>
      </c>
      <c r="P54">
        <f t="shared" si="30"/>
        <v>15.005001850554946</v>
      </c>
      <c r="Q54" t="str">
        <f>VLOOKUP($B54,'Data availability'!$A$2:$F$91,3,FALSE)</f>
        <v>Y</v>
      </c>
      <c r="R54" cm="1">
        <f t="array" ref="R54">IFERROR(QUARTILE(_xlfn._xlws.FILTER($P$3:$P$61, ($H$3:$H$61=$H54) * ($P$3:$P$61&gt;0)), 1), 0)</f>
        <v>15.284554956771059</v>
      </c>
      <c r="S54" cm="1">
        <f t="array" ref="S54">IFERROR(QUARTILE(_xlfn._xlws.FILTER($P$3:$P$61, ($H$3:$H$61=$H54) * ($P$3:$P$61&gt;0)), 3), 0)</f>
        <v>46.24076613564857</v>
      </c>
      <c r="T54">
        <f t="shared" si="6"/>
        <v>30.95621117887751</v>
      </c>
      <c r="U54">
        <f t="shared" si="7"/>
        <v>-15.671656222106451</v>
      </c>
      <c r="V54">
        <f t="shared" si="8"/>
        <v>77.19697731452608</v>
      </c>
      <c r="W54" t="b">
        <f t="shared" si="21"/>
        <v>0</v>
      </c>
      <c r="X54" t="b">
        <f t="shared" si="38"/>
        <v>0</v>
      </c>
      <c r="Y54">
        <f t="shared" si="36"/>
        <v>0</v>
      </c>
      <c r="Z54" t="str">
        <f>VLOOKUP($B54,'Data availability'!$A$2:$F$91,4,FALSE)</f>
        <v>-</v>
      </c>
      <c r="AA54" cm="1">
        <f t="array" ref="AA54">IFERROR(QUARTILE(_xlfn._xlws.FILTER($Y$3:$Y$61, ($H$3:$H$61=$H54) * ($Y$3:$Y$61&gt;0)), 1), 0)</f>
        <v>6.5665650736195023</v>
      </c>
      <c r="AB54" cm="1">
        <f t="array" ref="AB54">IFERROR(QUARTILE(_xlfn._xlws.FILTER($Y$3:$Y$61, ($H$3:$H$61=$H54) * ($Y$3:$Y$61&gt;0)), 3), 0)</f>
        <v>25.940532343422344</v>
      </c>
      <c r="AC54">
        <f t="shared" si="10"/>
        <v>19.37396726980284</v>
      </c>
      <c r="AD54">
        <f t="shared" si="11"/>
        <v>-12.807402196183338</v>
      </c>
      <c r="AE54">
        <f t="shared" si="12"/>
        <v>45.31449961322518</v>
      </c>
      <c r="AF54" t="b">
        <f t="shared" si="23"/>
        <v>1</v>
      </c>
      <c r="AG54" t="b">
        <f t="shared" si="24"/>
        <v>1</v>
      </c>
      <c r="AH54">
        <f t="shared" si="37"/>
        <v>27.686710933456911</v>
      </c>
      <c r="AI54" t="str">
        <f>VLOOKUP($B54,'Data availability'!$A$2:$F$91,5,FALSE)</f>
        <v>Y</v>
      </c>
      <c r="AJ54" cm="1">
        <f t="array" ref="AJ54">IFERROR(QUARTILE(_xlfn._xlws.FILTER($AH$3:$AH$61, ($H$3:$H$61=$H54) * ($AH$3:$AH$61&gt;0)), 1), 0)</f>
        <v>16.477362470385007</v>
      </c>
      <c r="AK54" cm="1">
        <f t="array" ref="AK54">IFERROR(QUARTILE(_xlfn._xlws.FILTER($AH$3:$AH$61, ($H$3:$H$61=$H54) * ($AH$3:$AH$61&gt;0)), 3), 0)</f>
        <v>23.950261445766277</v>
      </c>
      <c r="AL54">
        <f t="shared" si="14"/>
        <v>7.4728989753812698</v>
      </c>
      <c r="AM54">
        <f t="shared" si="15"/>
        <v>9.004463495003737</v>
      </c>
      <c r="AN54">
        <f t="shared" si="16"/>
        <v>31.423160421147546</v>
      </c>
      <c r="AO54" t="b">
        <f t="shared" si="25"/>
        <v>0</v>
      </c>
      <c r="AP54" t="b">
        <f t="shared" si="26"/>
        <v>0</v>
      </c>
      <c r="AQ54">
        <f t="shared" si="27"/>
        <v>8.9511196801685973</v>
      </c>
      <c r="AR54" t="str">
        <f>VLOOKUP($B54,'Data availability'!$A$2:$F$91,6,FALSE)</f>
        <v>Y</v>
      </c>
      <c r="AS54" cm="1">
        <f t="array" ref="AS54">IFERROR(QUARTILE(_xlfn._xlws.FILTER($AQ$3:$AQ$61, ($H$3:$H$61=$H54) * ($AQ$3:$AQ$61&gt;0)), 1), 0)</f>
        <v>11.329125107085785</v>
      </c>
      <c r="AT54" cm="1">
        <f t="array" ref="AT54">IFERROR(QUARTILE(_xlfn._xlws.FILTER($AQ$3:$AQ$61, ($H$3:$H$61=$H54) * ($AQ$3:$AQ$61&gt;0)), 3), 0)</f>
        <v>16.085135960920159</v>
      </c>
      <c r="AU54">
        <f t="shared" si="17"/>
        <v>4.7560108538343737</v>
      </c>
      <c r="AV54">
        <f t="shared" si="18"/>
        <v>6.5731142532514113</v>
      </c>
      <c r="AW54">
        <f t="shared" si="19"/>
        <v>20.841146814754531</v>
      </c>
      <c r="AX54" t="b">
        <f t="shared" si="28"/>
        <v>0</v>
      </c>
      <c r="AY54" t="b">
        <f t="shared" si="29"/>
        <v>0</v>
      </c>
    </row>
    <row r="55" spans="2:51" x14ac:dyDescent="0.3">
      <c r="B55" t="s">
        <v>182</v>
      </c>
      <c r="C55">
        <f>SUMIF('SkYSPark Data_w Will''s Data'!$C$3:$C$734,Outliers!$B55,'SkYSPark Data_w Will''s Data'!$G$3:$G$734)</f>
        <v>427748.46551724139</v>
      </c>
      <c r="D55">
        <f>SUMIF('SkYSPark Data_w Will''s Data'!$C$3:$C$734,Outliers!$B55,'SkYSPark Data_w Will''s Data'!$I$3:$I$734)</f>
        <v>0</v>
      </c>
      <c r="E55">
        <f>SUMIF('SkYSPark Data_w Will''s Data'!$C$3:$C$734,Outliers!$B55,'SkYSPark Data_w Will''s Data'!$J$3:$J$734)</f>
        <v>29.352863917911389</v>
      </c>
      <c r="F55">
        <f>SUMIF('SkYSPark Data_w Will''s Data'!$C$3:$C$734,Outliers!$B55,'SkYSPark Data_w Will''s Data'!$K$3:$K$734)</f>
        <v>54890.353297939379</v>
      </c>
      <c r="G55">
        <f>INDEX('SkYSPark Data_w Will''s Data'!$E$3:$E$734,MATCH(Outliers!B55,'SkYSPark Data_w Will''s Data'!$C$3:$C$734,0))</f>
        <v>101932</v>
      </c>
      <c r="H55" t="str">
        <f>INDEX('SkYSPark Data_w Will''s Data'!$F$3:$F$734,MATCH(Outliers!B55,'SkYSPark Data_w Will''s Data'!$C$3:$C$734,0))</f>
        <v>Academic</v>
      </c>
      <c r="I55">
        <f t="shared" si="31"/>
        <v>20.808944103048024</v>
      </c>
      <c r="J55" cm="1">
        <f t="array" ref="J55">QUARTILE(_xlfn._xlws.FILTER($I$3:$I$61,$H$3:$H$61=H55),1)</f>
        <v>42.21959902044307</v>
      </c>
      <c r="K55" cm="1">
        <f t="array" ref="K55">QUARTILE(_xlfn._xlws.FILTER($I$3:$I$61,$H$3:$H$61=H55),3)</f>
        <v>103.33423599964128</v>
      </c>
      <c r="L55">
        <f t="shared" si="32"/>
        <v>61.11463697919821</v>
      </c>
      <c r="M55">
        <f t="shared" si="33"/>
        <v>-18.89503795875514</v>
      </c>
      <c r="N55">
        <f t="shared" si="34"/>
        <v>164.44887297883949</v>
      </c>
      <c r="O55" t="b">
        <f t="shared" si="35"/>
        <v>0</v>
      </c>
      <c r="P55">
        <f t="shared" si="30"/>
        <v>14.318150966770274</v>
      </c>
      <c r="Q55" t="str">
        <f>VLOOKUP($B55,'Data availability'!$A$2:$F$91,3,FALSE)</f>
        <v>Y</v>
      </c>
      <c r="R55" cm="1">
        <f t="array" ref="R55">IFERROR(QUARTILE(_xlfn._xlws.FILTER($P$3:$P$61, ($H$3:$H$61=$H55) * ($P$3:$P$61&gt;0)), 1), 0)</f>
        <v>14.691000795498219</v>
      </c>
      <c r="S55" cm="1">
        <f t="array" ref="S55">IFERROR(QUARTILE(_xlfn._xlws.FILTER($P$3:$P$61, ($H$3:$H$61=$H55) * ($P$3:$P$61&gt;0)), 3), 0)</f>
        <v>30.985762878217994</v>
      </c>
      <c r="T55">
        <f t="shared" si="6"/>
        <v>16.294762082719775</v>
      </c>
      <c r="U55">
        <f t="shared" si="7"/>
        <v>-1.6037612872215554</v>
      </c>
      <c r="V55">
        <f t="shared" si="8"/>
        <v>47.280524960937768</v>
      </c>
      <c r="W55" t="b">
        <f t="shared" si="21"/>
        <v>0</v>
      </c>
      <c r="X55" t="b">
        <f t="shared" si="38"/>
        <v>0</v>
      </c>
      <c r="Y55">
        <f t="shared" si="36"/>
        <v>0</v>
      </c>
      <c r="Z55" t="str">
        <f>VLOOKUP($B55,'Data availability'!$A$2:$F$91,4,FALSE)</f>
        <v>-</v>
      </c>
      <c r="AA55" cm="1">
        <f t="array" ref="AA55">IFERROR(QUARTILE(_xlfn._xlws.FILTER($Y$3:$Y$61, ($H$3:$H$61=$H55) * ($Y$3:$Y$61&gt;0)), 1), 0)</f>
        <v>2.3207880548899436</v>
      </c>
      <c r="AB55" cm="1">
        <f t="array" ref="AB55">IFERROR(QUARTILE(_xlfn._xlws.FILTER($Y$3:$Y$61, ($H$3:$H$61=$H55) * ($Y$3:$Y$61&gt;0)), 3), 0)</f>
        <v>5.5117751255024281</v>
      </c>
      <c r="AC55">
        <f t="shared" si="10"/>
        <v>3.1909870706124845</v>
      </c>
      <c r="AD55">
        <f t="shared" si="11"/>
        <v>-0.87019901572254099</v>
      </c>
      <c r="AE55">
        <f t="shared" si="12"/>
        <v>8.7027621961149126</v>
      </c>
      <c r="AF55" t="b">
        <f t="shared" si="23"/>
        <v>1</v>
      </c>
      <c r="AG55" t="b">
        <f t="shared" si="24"/>
        <v>1</v>
      </c>
      <c r="AH55">
        <f t="shared" si="37"/>
        <v>2.8796515243408732E-2</v>
      </c>
      <c r="AI55" t="str">
        <f>VLOOKUP($B55,'Data availability'!$A$2:$F$91,5,FALSE)</f>
        <v>Y</v>
      </c>
      <c r="AJ55" cm="1">
        <f t="array" ref="AJ55">IFERROR(QUARTILE(_xlfn._xlws.FILTER($AH$3:$AH$61, ($H$3:$H$61=$H55) * ($AH$3:$AH$61&gt;0)), 1), 0)</f>
        <v>20.962789979692385</v>
      </c>
      <c r="AK55" cm="1">
        <f t="array" ref="AK55">IFERROR(QUARTILE(_xlfn._xlws.FILTER($AH$3:$AH$61, ($H$3:$H$61=$H55) * ($AH$3:$AH$61&gt;0)), 3), 0)</f>
        <v>37.598619727031377</v>
      </c>
      <c r="AL55">
        <f t="shared" si="14"/>
        <v>16.635829747338992</v>
      </c>
      <c r="AM55">
        <f t="shared" si="15"/>
        <v>4.3269602323533931</v>
      </c>
      <c r="AN55">
        <f t="shared" si="16"/>
        <v>54.234449474370365</v>
      </c>
      <c r="AO55" t="b">
        <f t="shared" si="25"/>
        <v>1</v>
      </c>
      <c r="AP55" t="b">
        <f t="shared" si="26"/>
        <v>1</v>
      </c>
      <c r="AQ55">
        <f t="shared" si="27"/>
        <v>6.4619966210343422</v>
      </c>
      <c r="AR55" t="str">
        <f>VLOOKUP($B55,'Data availability'!$A$2:$F$91,6,FALSE)</f>
        <v>Y</v>
      </c>
      <c r="AS55" cm="1">
        <f t="array" ref="AS55">IFERROR(QUARTILE(_xlfn._xlws.FILTER($AQ$3:$AQ$61, ($H$3:$H$61=$H55) * ($AQ$3:$AQ$61&gt;0)), 1), 0)</f>
        <v>7.9248587636469203</v>
      </c>
      <c r="AT55" cm="1">
        <f t="array" ref="AT55">IFERROR(QUARTILE(_xlfn._xlws.FILTER($AQ$3:$AQ$61, ($H$3:$H$61=$H55) * ($AQ$3:$AQ$61&gt;0)), 3), 0)</f>
        <v>35.341609909631828</v>
      </c>
      <c r="AU55">
        <f t="shared" si="17"/>
        <v>27.416751145984907</v>
      </c>
      <c r="AV55">
        <f t="shared" si="18"/>
        <v>-19.491892382337987</v>
      </c>
      <c r="AW55">
        <f t="shared" si="19"/>
        <v>62.758361055616732</v>
      </c>
      <c r="AX55" t="b">
        <f t="shared" si="28"/>
        <v>0</v>
      </c>
      <c r="AY55" t="b">
        <f t="shared" si="29"/>
        <v>0</v>
      </c>
    </row>
    <row r="56" spans="2:51" x14ac:dyDescent="0.3">
      <c r="B56" t="s">
        <v>340</v>
      </c>
      <c r="C56">
        <f>SUMIF('SkYSPark Data_w Will''s Data'!$C$3:$C$734,Outliers!$B56,'SkYSPark Data_w Will''s Data'!$G$3:$G$734)</f>
        <v>239415.08308333324</v>
      </c>
      <c r="D56">
        <f>SUMIF('SkYSPark Data_w Will''s Data'!$C$3:$C$734,Outliers!$B56,'SkYSPark Data_w Will''s Data'!$I$3:$I$734)</f>
        <v>15533.300000000027</v>
      </c>
      <c r="E56">
        <f>SUMIF('SkYSPark Data_w Will''s Data'!$C$3:$C$734,Outliers!$B56,'SkYSPark Data_w Will''s Data'!$J$3:$J$734)</f>
        <v>0</v>
      </c>
      <c r="F56">
        <f>SUMIF('SkYSPark Data_w Will''s Data'!$C$3:$C$734,Outliers!$B56,'SkYSPark Data_w Will''s Data'!$K$3:$K$734)</f>
        <v>0</v>
      </c>
      <c r="G56">
        <f>INDEX('SkYSPark Data_w Will''s Data'!$E$3:$E$734,MATCH(Outliers!B56,'SkYSPark Data_w Will''s Data'!$C$3:$C$734,0))</f>
        <v>39332</v>
      </c>
      <c r="H56" t="str">
        <f>INDEX('SkYSPark Data_w Will''s Data'!$F$3:$F$734,MATCH(Outliers!B56,'SkYSPark Data_w Will''s Data'!$C$3:$C$734,0))</f>
        <v>Residential</v>
      </c>
      <c r="I56">
        <f t="shared" si="31"/>
        <v>60.261727435175821</v>
      </c>
      <c r="J56" cm="1">
        <f t="array" ref="J56">QUARTILE(_xlfn._xlws.FILTER($I$3:$I$61,$H$3:$H$61=H56),1)</f>
        <v>50.081582948721113</v>
      </c>
      <c r="K56" cm="1">
        <f t="array" ref="K56">QUARTILE(_xlfn._xlws.FILTER($I$3:$I$61,$H$3:$H$61=H56),3)</f>
        <v>60.261727435175821</v>
      </c>
      <c r="L56">
        <f t="shared" si="32"/>
        <v>10.180144486454708</v>
      </c>
      <c r="M56">
        <f t="shared" si="33"/>
        <v>39.901438462266405</v>
      </c>
      <c r="N56">
        <f t="shared" si="34"/>
        <v>70.441871921630536</v>
      </c>
      <c r="O56" t="b">
        <f t="shared" si="35"/>
        <v>0</v>
      </c>
      <c r="P56">
        <f t="shared" si="30"/>
        <v>20.768948018924362</v>
      </c>
      <c r="Q56" t="str">
        <f>VLOOKUP($B56,'Data availability'!$A$2:$F$91,3,FALSE)</f>
        <v>Y</v>
      </c>
      <c r="R56" cm="1">
        <f t="array" ref="R56">IFERROR(QUARTILE(_xlfn._xlws.FILTER($P$3:$P$61, ($H$3:$H$61=$H56) * ($P$3:$P$61&gt;0)), 1), 0)</f>
        <v>15.090256370784639</v>
      </c>
      <c r="S56" cm="1">
        <f t="array" ref="S56">IFERROR(QUARTILE(_xlfn._xlws.FILTER($P$3:$P$61, ($H$3:$H$61=$H56) * ($P$3:$P$61&gt;0)), 3), 0)</f>
        <v>20.768948018924362</v>
      </c>
      <c r="T56">
        <f t="shared" si="6"/>
        <v>5.6786916481397238</v>
      </c>
      <c r="U56">
        <f t="shared" si="7"/>
        <v>9.4115647226449148</v>
      </c>
      <c r="V56">
        <f t="shared" si="8"/>
        <v>26.447639667064088</v>
      </c>
      <c r="W56" t="b">
        <f t="shared" si="21"/>
        <v>0</v>
      </c>
      <c r="X56" t="b">
        <f t="shared" si="38"/>
        <v>0</v>
      </c>
      <c r="Y56">
        <f t="shared" si="36"/>
        <v>39.492779416251466</v>
      </c>
      <c r="Z56" t="str">
        <f>VLOOKUP($B56,'Data availability'!$A$2:$F$91,4,FALSE)</f>
        <v>Y</v>
      </c>
      <c r="AA56" cm="1">
        <f t="array" ref="AA56">IFERROR(QUARTILE(_xlfn._xlws.FILTER($Y$3:$Y$61, ($H$3:$H$61=$H56) * ($Y$3:$Y$61&gt;0)), 1), 0)</f>
        <v>32.545551949603954</v>
      </c>
      <c r="AB56" cm="1">
        <f t="array" ref="AB56">IFERROR(QUARTILE(_xlfn._xlws.FILTER($Y$3:$Y$61, ($H$3:$H$61=$H56) * ($Y$3:$Y$61&gt;0)), 3), 0)</f>
        <v>36.468743578583812</v>
      </c>
      <c r="AC56">
        <f t="shared" si="10"/>
        <v>3.9231916289798576</v>
      </c>
      <c r="AD56">
        <f t="shared" si="11"/>
        <v>28.622360320624097</v>
      </c>
      <c r="AE56">
        <f t="shared" si="12"/>
        <v>40.39193520756367</v>
      </c>
      <c r="AF56" t="b">
        <f t="shared" si="23"/>
        <v>0</v>
      </c>
      <c r="AG56" t="b">
        <f t="shared" si="24"/>
        <v>0</v>
      </c>
      <c r="AH56">
        <f t="shared" si="37"/>
        <v>0</v>
      </c>
      <c r="AI56" t="str">
        <f>VLOOKUP($B56,'Data availability'!$A$2:$F$91,5,FALSE)</f>
        <v>-</v>
      </c>
      <c r="AJ56" cm="1">
        <f t="array" ref="AJ56">IFERROR(QUARTILE(_xlfn._xlws.FILTER($AH$3:$AH$61, ($H$3:$H$61=$H56) * ($AH$3:$AH$61&gt;0)), 1), 0)</f>
        <v>28.932049487238903</v>
      </c>
      <c r="AK56" cm="1">
        <f t="array" ref="AK56">IFERROR(QUARTILE(_xlfn._xlws.FILTER($AH$3:$AH$61, ($H$3:$H$61=$H56) * ($AH$3:$AH$61&gt;0)), 3), 0)</f>
        <v>39.018053772845839</v>
      </c>
      <c r="AL56">
        <f t="shared" si="14"/>
        <v>10.086004285606936</v>
      </c>
      <c r="AM56">
        <f t="shared" si="15"/>
        <v>18.846045201631966</v>
      </c>
      <c r="AN56">
        <f t="shared" si="16"/>
        <v>49.104058058452779</v>
      </c>
      <c r="AO56" t="b">
        <f t="shared" si="25"/>
        <v>1</v>
      </c>
      <c r="AP56" t="b">
        <f t="shared" si="26"/>
        <v>1</v>
      </c>
      <c r="AQ56">
        <f t="shared" si="27"/>
        <v>0</v>
      </c>
      <c r="AR56" t="str">
        <f>VLOOKUP($B56,'Data availability'!$A$2:$F$91,6,FALSE)</f>
        <v>-</v>
      </c>
      <c r="AS56" cm="1">
        <f t="array" ref="AS56">IFERROR(QUARTILE(_xlfn._xlws.FILTER($AQ$3:$AQ$61, ($H$3:$H$61=$H56) * ($AQ$3:$AQ$61&gt;0)), 1), 0)</f>
        <v>11.777221395526169</v>
      </c>
      <c r="AT56" cm="1">
        <f t="array" ref="AT56">IFERROR(QUARTILE(_xlfn._xlws.FILTER($AQ$3:$AQ$61, ($H$3:$H$61=$H56) * ($AQ$3:$AQ$61&gt;0)), 3), 0)</f>
        <v>14.543024685900781</v>
      </c>
      <c r="AU56">
        <f t="shared" si="17"/>
        <v>2.7658032903746115</v>
      </c>
      <c r="AV56">
        <f t="shared" si="18"/>
        <v>9.0114181051515576</v>
      </c>
      <c r="AW56">
        <f t="shared" si="19"/>
        <v>17.308827976275392</v>
      </c>
      <c r="AX56" t="b">
        <f t="shared" si="28"/>
        <v>1</v>
      </c>
      <c r="AY56" t="b">
        <f t="shared" si="29"/>
        <v>1</v>
      </c>
    </row>
    <row r="57" spans="2:51" x14ac:dyDescent="0.3">
      <c r="B57" t="s">
        <v>183</v>
      </c>
      <c r="C57">
        <f>SUMIF('SkYSPark Data_w Will''s Data'!$C$3:$C$734,Outliers!$B57,'SkYSPark Data_w Will''s Data'!$G$3:$G$734)</f>
        <v>960582.63449833367</v>
      </c>
      <c r="D57">
        <f>SUMIF('SkYSPark Data_w Will''s Data'!$C$3:$C$734,Outliers!$B57,'SkYSPark Data_w Will''s Data'!$I$3:$I$734)</f>
        <v>0</v>
      </c>
      <c r="E57">
        <f>SUMIF('SkYSPark Data_w Will''s Data'!$C$3:$C$734,Outliers!$B57,'SkYSPark Data_w Will''s Data'!$J$3:$J$734)</f>
        <v>24394.44120689663</v>
      </c>
      <c r="F57">
        <f>SUMIF('SkYSPark Data_w Will''s Data'!$C$3:$C$734,Outliers!$B57,'SkYSPark Data_w Will''s Data'!$K$3:$K$734)</f>
        <v>143283.98459224161</v>
      </c>
      <c r="G57">
        <f>INDEX('SkYSPark Data_w Will''s Data'!$E$3:$E$734,MATCH(Outliers!B57,'SkYSPark Data_w Will''s Data'!$C$3:$C$734,0))</f>
        <v>71857</v>
      </c>
      <c r="H57" t="str">
        <f>INDEX('SkYSPark Data_w Will''s Data'!$F$3:$F$734,MATCH(Outliers!B57,'SkYSPark Data_w Will''s Data'!$C$3:$C$734,0))</f>
        <v>Academic</v>
      </c>
      <c r="I57">
        <f t="shared" si="31"/>
        <v>103.48831546968114</v>
      </c>
      <c r="J57" cm="1">
        <f t="array" ref="J57">QUARTILE(_xlfn._xlws.FILTER($I$3:$I$61,$H$3:$H$61=H57),1)</f>
        <v>42.21959902044307</v>
      </c>
      <c r="K57" cm="1">
        <f t="array" ref="K57">QUARTILE(_xlfn._xlws.FILTER($I$3:$I$61,$H$3:$H$61=H57),3)</f>
        <v>103.33423599964128</v>
      </c>
      <c r="L57">
        <f t="shared" si="32"/>
        <v>61.11463697919821</v>
      </c>
      <c r="M57">
        <f t="shared" si="33"/>
        <v>-18.89503795875514</v>
      </c>
      <c r="N57">
        <f t="shared" si="34"/>
        <v>164.44887297883949</v>
      </c>
      <c r="O57" t="b">
        <f t="shared" si="35"/>
        <v>0</v>
      </c>
      <c r="P57">
        <f t="shared" si="30"/>
        <v>45.61153330793541</v>
      </c>
      <c r="Q57" t="str">
        <f>VLOOKUP($B57,'Data availability'!$A$2:$F$91,3,FALSE)</f>
        <v>Y</v>
      </c>
      <c r="R57" cm="1">
        <f t="array" ref="R57">IFERROR(QUARTILE(_xlfn._xlws.FILTER($P$3:$P$61, ($H$3:$H$61=$H57) * ($P$3:$P$61&gt;0)), 1), 0)</f>
        <v>14.691000795498219</v>
      </c>
      <c r="S57" cm="1">
        <f t="array" ref="S57">IFERROR(QUARTILE(_xlfn._xlws.FILTER($P$3:$P$61, ($H$3:$H$61=$H57) * ($P$3:$P$61&gt;0)), 3), 0)</f>
        <v>30.985762878217994</v>
      </c>
      <c r="T57">
        <f t="shared" si="6"/>
        <v>16.294762082719775</v>
      </c>
      <c r="U57">
        <f t="shared" si="7"/>
        <v>-1.6037612872215554</v>
      </c>
      <c r="V57">
        <f t="shared" si="8"/>
        <v>47.280524960937768</v>
      </c>
      <c r="W57" t="b">
        <f t="shared" si="21"/>
        <v>0</v>
      </c>
      <c r="X57" t="b">
        <f t="shared" si="38"/>
        <v>0</v>
      </c>
      <c r="Y57">
        <f t="shared" si="36"/>
        <v>0</v>
      </c>
      <c r="Z57" t="str">
        <f>VLOOKUP($B57,'Data availability'!$A$2:$F$91,4,FALSE)</f>
        <v>-</v>
      </c>
      <c r="AA57" cm="1">
        <f t="array" ref="AA57">IFERROR(QUARTILE(_xlfn._xlws.FILTER($Y$3:$Y$61, ($H$3:$H$61=$H57) * ($Y$3:$Y$61&gt;0)), 1), 0)</f>
        <v>2.3207880548899436</v>
      </c>
      <c r="AB57" cm="1">
        <f t="array" ref="AB57">IFERROR(QUARTILE(_xlfn._xlws.FILTER($Y$3:$Y$61, ($H$3:$H$61=$H57) * ($Y$3:$Y$61&gt;0)), 3), 0)</f>
        <v>5.5117751255024281</v>
      </c>
      <c r="AC57">
        <f t="shared" si="10"/>
        <v>3.1909870706124845</v>
      </c>
      <c r="AD57">
        <f t="shared" si="11"/>
        <v>-0.87019901572254099</v>
      </c>
      <c r="AE57">
        <f t="shared" si="12"/>
        <v>8.7027621961149126</v>
      </c>
      <c r="AF57" t="b">
        <f t="shared" si="23"/>
        <v>1</v>
      </c>
      <c r="AG57" t="b">
        <f t="shared" si="24"/>
        <v>1</v>
      </c>
      <c r="AH57">
        <f t="shared" si="37"/>
        <v>33.948594022707084</v>
      </c>
      <c r="AI57" t="str">
        <f>VLOOKUP($B57,'Data availability'!$A$2:$F$91,5,FALSE)</f>
        <v>Y</v>
      </c>
      <c r="AJ57" cm="1">
        <f t="array" ref="AJ57">IFERROR(QUARTILE(_xlfn._xlws.FILTER($AH$3:$AH$61, ($H$3:$H$61=$H57) * ($AH$3:$AH$61&gt;0)), 1), 0)</f>
        <v>20.962789979692385</v>
      </c>
      <c r="AK57" cm="1">
        <f t="array" ref="AK57">IFERROR(QUARTILE(_xlfn._xlws.FILTER($AH$3:$AH$61, ($H$3:$H$61=$H57) * ($AH$3:$AH$61&gt;0)), 3), 0)</f>
        <v>37.598619727031377</v>
      </c>
      <c r="AL57">
        <f t="shared" si="14"/>
        <v>16.635829747338992</v>
      </c>
      <c r="AM57">
        <f t="shared" si="15"/>
        <v>4.3269602323533931</v>
      </c>
      <c r="AN57">
        <f t="shared" si="16"/>
        <v>54.234449474370365</v>
      </c>
      <c r="AO57" t="b">
        <f t="shared" si="25"/>
        <v>0</v>
      </c>
      <c r="AP57" t="b">
        <f t="shared" si="26"/>
        <v>0</v>
      </c>
      <c r="AQ57">
        <f t="shared" si="27"/>
        <v>23.928188139038639</v>
      </c>
      <c r="AR57" t="str">
        <f>VLOOKUP($B57,'Data availability'!$A$2:$F$91,6,FALSE)</f>
        <v>Y</v>
      </c>
      <c r="AS57" cm="1">
        <f t="array" ref="AS57">IFERROR(QUARTILE(_xlfn._xlws.FILTER($AQ$3:$AQ$61, ($H$3:$H$61=$H57) * ($AQ$3:$AQ$61&gt;0)), 1), 0)</f>
        <v>7.9248587636469203</v>
      </c>
      <c r="AT57" cm="1">
        <f t="array" ref="AT57">IFERROR(QUARTILE(_xlfn._xlws.FILTER($AQ$3:$AQ$61, ($H$3:$H$61=$H57) * ($AQ$3:$AQ$61&gt;0)), 3), 0)</f>
        <v>35.341609909631828</v>
      </c>
      <c r="AU57">
        <f t="shared" si="17"/>
        <v>27.416751145984907</v>
      </c>
      <c r="AV57">
        <f t="shared" si="18"/>
        <v>-19.491892382337987</v>
      </c>
      <c r="AW57">
        <f t="shared" si="19"/>
        <v>62.758361055616732</v>
      </c>
      <c r="AX57" t="b">
        <f t="shared" si="28"/>
        <v>0</v>
      </c>
      <c r="AY57" t="b">
        <f t="shared" si="29"/>
        <v>0</v>
      </c>
    </row>
    <row r="58" spans="2:51" x14ac:dyDescent="0.3">
      <c r="B58" t="s">
        <v>184</v>
      </c>
      <c r="C58">
        <f>SUMIF('SkYSPark Data_w Will''s Data'!$C$3:$C$734,Outliers!$B58,'SkYSPark Data_w Will''s Data'!$G$3:$G$734)</f>
        <v>398814.45689655119</v>
      </c>
      <c r="D58">
        <f>SUMIF('SkYSPark Data_w Will''s Data'!$C$3:$C$734,Outliers!$B58,'SkYSPark Data_w Will''s Data'!$I$3:$I$734)</f>
        <v>0</v>
      </c>
      <c r="E58">
        <f>SUMIF('SkYSPark Data_w Will''s Data'!$C$3:$C$734,Outliers!$B58,'SkYSPark Data_w Will''s Data'!$J$3:$J$734)</f>
        <v>8718.5769127154526</v>
      </c>
      <c r="F58">
        <f>SUMIF('SkYSPark Data_w Will''s Data'!$C$3:$C$734,Outliers!$B58,'SkYSPark Data_w Will''s Data'!$K$3:$K$734)</f>
        <v>59043.938642043584</v>
      </c>
      <c r="G58">
        <f>INDEX('SkYSPark Data_w Will''s Data'!$E$3:$E$734,MATCH(Outliers!B58,'SkYSPark Data_w Will''s Data'!$C$3:$C$734,0))</f>
        <v>76871</v>
      </c>
      <c r="H58" t="str">
        <f>INDEX('SkYSPark Data_w Will''s Data'!$F$3:$F$734,MATCH(Outliers!B58,'SkYSPark Data_w Will''s Data'!$C$3:$C$734,0))</f>
        <v>Athletics</v>
      </c>
      <c r="I58">
        <f t="shared" si="31"/>
        <v>38.260720972890958</v>
      </c>
      <c r="J58" cm="1">
        <f t="array" ref="J58">QUARTILE(_xlfn._xlws.FILTER($I$3:$I$61,$H$3:$H$61=H58),1)</f>
        <v>35.241304721956851</v>
      </c>
      <c r="K58" cm="1">
        <f t="array" ref="K58">QUARTILE(_xlfn._xlws.FILTER($I$3:$I$61,$H$3:$H$61=H58),3)</f>
        <v>110.27168618999586</v>
      </c>
      <c r="L58">
        <f t="shared" si="32"/>
        <v>75.03038146803901</v>
      </c>
      <c r="M58">
        <f t="shared" si="33"/>
        <v>-39.789076746082159</v>
      </c>
      <c r="N58">
        <f t="shared" si="34"/>
        <v>185.30206765803487</v>
      </c>
      <c r="O58" t="b">
        <f t="shared" si="35"/>
        <v>0</v>
      </c>
      <c r="P58">
        <f t="shared" si="30"/>
        <v>17.701798167462798</v>
      </c>
      <c r="Q58" t="str">
        <f>VLOOKUP($B58,'Data availability'!$A$2:$F$91,3,FALSE)</f>
        <v>Y</v>
      </c>
      <c r="R58" cm="1">
        <f t="array" ref="R58">IFERROR(QUARTILE(_xlfn._xlws.FILTER($P$3:$P$61, ($H$3:$H$61=$H58) * ($P$3:$P$61&gt;0)), 1), 0)</f>
        <v>22.386081175049085</v>
      </c>
      <c r="S58" cm="1">
        <f t="array" ref="S58">IFERROR(QUARTILE(_xlfn._xlws.FILTER($P$3:$P$61, ($H$3:$H$61=$H58) * ($P$3:$P$61&gt;0)), 3), 0)</f>
        <v>42.853420284849037</v>
      </c>
      <c r="T58">
        <f t="shared" si="6"/>
        <v>20.467339109799951</v>
      </c>
      <c r="U58">
        <f t="shared" si="7"/>
        <v>1.918742065249134</v>
      </c>
      <c r="V58">
        <f t="shared" si="8"/>
        <v>63.320759394648988</v>
      </c>
      <c r="W58" t="b">
        <f t="shared" si="21"/>
        <v>0</v>
      </c>
      <c r="X58" t="b">
        <f t="shared" si="38"/>
        <v>0</v>
      </c>
      <c r="Y58">
        <f t="shared" si="36"/>
        <v>0</v>
      </c>
      <c r="Z58" t="str">
        <f>VLOOKUP($B58,'Data availability'!$A$2:$F$91,4,FALSE)</f>
        <v>-</v>
      </c>
      <c r="AA58" cm="1">
        <f t="array" ref="AA58">IFERROR(QUARTILE(_xlfn._xlws.FILTER($Y$3:$Y$61, ($H$3:$H$61=$H58) * ($Y$3:$Y$61&gt;0)), 1), 0)</f>
        <v>25.288828048792482</v>
      </c>
      <c r="AB58" cm="1">
        <f t="array" ref="AB58">IFERROR(QUARTILE(_xlfn._xlws.FILTER($Y$3:$Y$61, ($H$3:$H$61=$H58) * ($Y$3:$Y$61&gt;0)), 3), 0)</f>
        <v>38.336388047513843</v>
      </c>
      <c r="AC58">
        <f t="shared" si="10"/>
        <v>13.047559998721361</v>
      </c>
      <c r="AD58">
        <f t="shared" si="11"/>
        <v>12.24126805007112</v>
      </c>
      <c r="AE58">
        <f t="shared" si="12"/>
        <v>51.383948046235204</v>
      </c>
      <c r="AF58" t="b">
        <f t="shared" si="23"/>
        <v>1</v>
      </c>
      <c r="AG58" t="b">
        <f t="shared" si="24"/>
        <v>1</v>
      </c>
      <c r="AH58">
        <f t="shared" si="37"/>
        <v>11.341828404359839</v>
      </c>
      <c r="AI58" t="str">
        <f>VLOOKUP($B58,'Data availability'!$A$2:$F$91,5,FALSE)</f>
        <v>Y</v>
      </c>
      <c r="AJ58" cm="1">
        <f t="array" ref="AJ58">IFERROR(QUARTILE(_xlfn._xlws.FILTER($AH$3:$AH$61, ($H$3:$H$61=$H58) * ($AH$3:$AH$61&gt;0)), 1), 0)</f>
        <v>9.9719961163773458</v>
      </c>
      <c r="AK58" cm="1">
        <f t="array" ref="AK58">IFERROR(QUARTILE(_xlfn._xlws.FILTER($AH$3:$AH$61, ($H$3:$H$61=$H58) * ($AH$3:$AH$61&gt;0)), 3), 0)</f>
        <v>92.542374107098553</v>
      </c>
      <c r="AL58">
        <f t="shared" si="14"/>
        <v>82.570377990721212</v>
      </c>
      <c r="AM58">
        <f t="shared" si="15"/>
        <v>-72.598381874343872</v>
      </c>
      <c r="AN58">
        <f t="shared" si="16"/>
        <v>175.11275209781977</v>
      </c>
      <c r="AO58" t="b">
        <f t="shared" si="25"/>
        <v>0</v>
      </c>
      <c r="AP58" t="b">
        <f t="shared" si="26"/>
        <v>0</v>
      </c>
      <c r="AQ58">
        <f t="shared" si="27"/>
        <v>9.2170944010683211</v>
      </c>
      <c r="AR58" t="str">
        <f>VLOOKUP($B58,'Data availability'!$A$2:$F$91,6,FALSE)</f>
        <v>Y</v>
      </c>
      <c r="AS58" cm="1">
        <f t="array" ref="AS58">IFERROR(QUARTILE(_xlfn._xlws.FILTER($AQ$3:$AQ$61, ($H$3:$H$61=$H58) * ($AQ$3:$AQ$61&gt;0)), 1), 0)</f>
        <v>8.1385129695793257</v>
      </c>
      <c r="AT58" cm="1">
        <f t="array" ref="AT58">IFERROR(QUARTILE(_xlfn._xlws.FILTER($AQ$3:$AQ$61, ($H$3:$H$61=$H58) * ($AQ$3:$AQ$61&gt;0)), 3), 0)</f>
        <v>25.43708742579112</v>
      </c>
      <c r="AU58">
        <f t="shared" si="17"/>
        <v>17.298574456211796</v>
      </c>
      <c r="AV58">
        <f t="shared" si="18"/>
        <v>-9.1600614866324701</v>
      </c>
      <c r="AW58">
        <f t="shared" si="19"/>
        <v>42.735661882002915</v>
      </c>
      <c r="AX58" t="b">
        <f t="shared" si="28"/>
        <v>0</v>
      </c>
      <c r="AY58" t="b">
        <f t="shared" si="29"/>
        <v>0</v>
      </c>
    </row>
    <row r="59" spans="2:51" x14ac:dyDescent="0.3">
      <c r="B59" t="s">
        <v>451</v>
      </c>
      <c r="C59">
        <f>SUMIF('SkYSPark Data_w Will''s Data'!$C$3:$C$734,Outliers!$B59,'SkYSPark Data_w Will''s Data'!$G$3:$G$734)</f>
        <v>342318.5</v>
      </c>
      <c r="D59">
        <f>SUMIF('SkYSPark Data_w Will''s Data'!$C$3:$C$734,Outliers!$B59,'SkYSPark Data_w Will''s Data'!$I$3:$I$734)</f>
        <v>0</v>
      </c>
      <c r="E59">
        <f>SUMIF('SkYSPark Data_w Will''s Data'!$C$3:$C$734,Outliers!$B59,'SkYSPark Data_w Will''s Data'!$J$3:$J$734)</f>
        <v>17043.150000000005</v>
      </c>
      <c r="F59">
        <f>SUMIF('SkYSPark Data_w Will''s Data'!$C$3:$C$734,Outliers!$B59,'SkYSPark Data_w Will''s Data'!$K$3:$K$734)</f>
        <v>26575.504710507557</v>
      </c>
      <c r="G59">
        <f>INDEX('SkYSPark Data_w Will''s Data'!$E$3:$E$734,MATCH(Outliers!B59,'SkYSPark Data_w Will''s Data'!$C$3:$C$734,0))</f>
        <v>77536</v>
      </c>
      <c r="H59" t="str">
        <f>INDEX('SkYSPark Data_w Will''s Data'!$F$3:$F$734,MATCH(Outliers!B59,'SkYSPark Data_w Will''s Data'!$C$3:$C$734,0))</f>
        <v>Academic</v>
      </c>
      <c r="I59">
        <f>IFERROR((C59*3.412+D59*100+E59*100+F59*12)/G59,0)</f>
        <v>41.15780770901376</v>
      </c>
      <c r="J59" cm="1">
        <f t="array" ref="J59">QUARTILE(_xlfn._xlws.FILTER($I$3:$I$61,$H$3:$H$61=H59),1)</f>
        <v>42.21959902044307</v>
      </c>
      <c r="K59" cm="1">
        <f t="array" ref="K59">QUARTILE(_xlfn._xlws.FILTER($I$3:$I$61,$H$3:$H$61=H59),3)</f>
        <v>103.33423599964128</v>
      </c>
      <c r="L59">
        <f>K59-J59</f>
        <v>61.11463697919821</v>
      </c>
      <c r="M59">
        <f>J59-L59</f>
        <v>-18.89503795875514</v>
      </c>
      <c r="N59">
        <f>K59+L59</f>
        <v>164.44887297883949</v>
      </c>
      <c r="O59" t="b">
        <f>IF(OR(I59&gt;N59,I59&lt;M59),TRUE,FALSE)</f>
        <v>0</v>
      </c>
      <c r="P59">
        <f>IFERROR((C59*3.412)/$G59,0)</f>
        <v>15.063850624226166</v>
      </c>
      <c r="Q59" t="e">
        <f>VLOOKUP($B59,'Data availability'!$A$2:$F$91,3,FALSE)</f>
        <v>#N/A</v>
      </c>
      <c r="R59" cm="1">
        <f t="array" ref="R59">IFERROR(QUARTILE(_xlfn._xlws.FILTER($P$3:$P$61, ($H$3:$H$61=$H59) * ($P$3:$P$61&gt;0)), 1), 0)</f>
        <v>14.691000795498219</v>
      </c>
      <c r="S59" cm="1">
        <f t="array" ref="S59">IFERROR(QUARTILE(_xlfn._xlws.FILTER($P$3:$P$61, ($H$3:$H$61=$H59) * ($P$3:$P$61&gt;0)), 3), 0)</f>
        <v>30.985762878217994</v>
      </c>
      <c r="T59">
        <f>S59-R59</f>
        <v>16.294762082719775</v>
      </c>
      <c r="U59">
        <f>R59-T59</f>
        <v>-1.6037612872215554</v>
      </c>
      <c r="V59">
        <f>S59+T59</f>
        <v>47.280524960937768</v>
      </c>
      <c r="W59" t="b">
        <f>IF(OR(P59&gt;V59,P59&lt;U59,P59=0),TRUE,FALSE)</f>
        <v>0</v>
      </c>
      <c r="X59" t="b">
        <f t="shared" si="38"/>
        <v>0</v>
      </c>
      <c r="Y59">
        <f>IFERROR((D59*100)/$G59,0)</f>
        <v>0</v>
      </c>
      <c r="Z59" t="e">
        <f>VLOOKUP($B59,'Data availability'!$A$2:$F$91,4,FALSE)</f>
        <v>#N/A</v>
      </c>
      <c r="AA59" cm="1">
        <f t="array" ref="AA59">IFERROR(QUARTILE(_xlfn._xlws.FILTER($Y$3:$Y$61, ($H$3:$H$61=$H59) * ($Y$3:$Y$61&gt;0)), 1), 0)</f>
        <v>2.3207880548899436</v>
      </c>
      <c r="AB59" cm="1">
        <f t="array" ref="AB59">IFERROR(QUARTILE(_xlfn._xlws.FILTER($Y$3:$Y$61, ($H$3:$H$61=$H59) * ($Y$3:$Y$61&gt;0)), 3), 0)</f>
        <v>5.5117751255024281</v>
      </c>
      <c r="AC59">
        <f>AB59-AA59</f>
        <v>3.1909870706124845</v>
      </c>
      <c r="AD59">
        <f>AA59-AC59</f>
        <v>-0.87019901572254099</v>
      </c>
      <c r="AE59">
        <f>AB59+AC59</f>
        <v>8.7027621961149126</v>
      </c>
      <c r="AF59" t="b">
        <f>IF(OR(Y59&gt;AE59, Y59&lt;AD59, Y59=0), TRUE, FALSE)</f>
        <v>1</v>
      </c>
      <c r="AG59" t="b">
        <f t="shared" si="24"/>
        <v>1</v>
      </c>
      <c r="AH59">
        <f>IFERROR((E59*100)/$G59,0)</f>
        <v>21.980950784151883</v>
      </c>
      <c r="AI59" t="e">
        <f>VLOOKUP($B59,'Data availability'!$A$2:$F$91,5,FALSE)</f>
        <v>#N/A</v>
      </c>
      <c r="AJ59" cm="1">
        <f t="array" ref="AJ59">IFERROR(QUARTILE(_xlfn._xlws.FILTER($AH$3:$AH$61, ($H$3:$H$61=$H59) * ($AH$3:$AH$61&gt;0)), 1), 0)</f>
        <v>20.962789979692385</v>
      </c>
      <c r="AK59" cm="1">
        <f t="array" ref="AK59">IFERROR(QUARTILE(_xlfn._xlws.FILTER($AH$3:$AH$61, ($H$3:$H$61=$H59) * ($AH$3:$AH$61&gt;0)), 3), 0)</f>
        <v>37.598619727031377</v>
      </c>
      <c r="AL59">
        <f>AK59-AJ59</f>
        <v>16.635829747338992</v>
      </c>
      <c r="AM59">
        <f>AJ59-AL59</f>
        <v>4.3269602323533931</v>
      </c>
      <c r="AN59">
        <f>AK59+AL59</f>
        <v>54.234449474370365</v>
      </c>
      <c r="AO59" t="b">
        <f>IF(OR(AH59&gt;AN59,AH59&lt;AM59,AH59=0),TRUE,FALSE)</f>
        <v>0</v>
      </c>
      <c r="AP59" t="b">
        <f t="shared" si="26"/>
        <v>0</v>
      </c>
      <c r="AQ59">
        <f t="shared" si="27"/>
        <v>4.113006300635714</v>
      </c>
      <c r="AR59" t="e">
        <f>VLOOKUP($B59,'Data availability'!$A$2:$F$91,6,FALSE)</f>
        <v>#N/A</v>
      </c>
      <c r="AS59" cm="1">
        <f t="array" ref="AS59">IFERROR(QUARTILE(_xlfn._xlws.FILTER($AQ$3:$AQ$61, ($H$3:$H$61=$H59) * ($AQ$3:$AQ$61&gt;0)), 1), 0)</f>
        <v>7.9248587636469203</v>
      </c>
      <c r="AT59" cm="1">
        <f t="array" ref="AT59">IFERROR(QUARTILE(_xlfn._xlws.FILTER($AQ$3:$AQ$61, ($H$3:$H$61=$H59) * ($AQ$3:$AQ$61&gt;0)), 3), 0)</f>
        <v>35.341609909631828</v>
      </c>
      <c r="AU59">
        <f>AT59-AS59</f>
        <v>27.416751145984907</v>
      </c>
      <c r="AV59">
        <f>AS59-AU59</f>
        <v>-19.491892382337987</v>
      </c>
      <c r="AW59">
        <f>AT59+AU59</f>
        <v>62.758361055616732</v>
      </c>
      <c r="AX59" t="b">
        <f t="shared" si="28"/>
        <v>0</v>
      </c>
      <c r="AY59" t="b">
        <f t="shared" si="29"/>
        <v>0</v>
      </c>
    </row>
    <row r="60" spans="2:51" s="82" customFormat="1" x14ac:dyDescent="0.3">
      <c r="B60" t="s">
        <v>418</v>
      </c>
      <c r="C60">
        <f>SUMIF('SkYSPark Data_w Will''s Data'!$C$3:$C$734,Outliers!$B60,'SkYSPark Data_w Will''s Data'!$G$3:$G$734)</f>
        <v>3053825.1598484921</v>
      </c>
      <c r="D60">
        <f>SUMIF('SkYSPark Data_w Will''s Data'!$C$3:$C$734,Outliers!$B60,'SkYSPark Data_w Will''s Data'!$I$3:$I$734)</f>
        <v>14395.86666666663</v>
      </c>
      <c r="E60">
        <f>SUMIF('SkYSPark Data_w Will''s Data'!$C$3:$C$734,Outliers!$B60,'SkYSPark Data_w Will''s Data'!$J$3:$J$734)</f>
        <v>28827.080078124982</v>
      </c>
      <c r="F60">
        <f>SUMIF('SkYSPark Data_w Will''s Data'!$C$3:$C$734,Outliers!$B60,'SkYSPark Data_w Will''s Data'!$K$3:$K$734)</f>
        <v>348116.37648721057</v>
      </c>
      <c r="G60">
        <f>INDEX('SkYSPark Data_w Will''s Data'!$E$3:$E$734,MATCH(Outliers!B60,'SkYSPark Data_w Will''s Data'!$C$3:$C$734,0))</f>
        <v>226256</v>
      </c>
      <c r="H60" t="str">
        <f>INDEX('SkYSPark Data_w Will''s Data'!$F$3:$F$734,MATCH(Outliers!B60,'SkYSPark Data_w Will''s Data'!$C$3:$C$734,0))</f>
        <v>Office</v>
      </c>
      <c r="I60">
        <f>IFERROR((C60*3.412+D60*100+E60*100+F60*12)/G60,0)</f>
        <v>83.619186398277805</v>
      </c>
      <c r="J60" cm="1">
        <f t="array" ref="J60">QUARTILE(_xlfn._xlws.FILTER($I$3:$I$61,$H$3:$H$61=H60),1)</f>
        <v>8.8203385892012705</v>
      </c>
      <c r="K60" cm="1">
        <f t="array" ref="K60">QUARTILE(_xlfn._xlws.FILTER($I$3:$I$61,$H$3:$H$61=H60),3)</f>
        <v>69.275490194408547</v>
      </c>
      <c r="L60">
        <f>K60-J60</f>
        <v>60.455151605207277</v>
      </c>
      <c r="M60">
        <f>J60-L60</f>
        <v>-51.634813016006007</v>
      </c>
      <c r="N60">
        <f>K60+L60</f>
        <v>129.73064179961582</v>
      </c>
      <c r="O60" t="b">
        <f>IF(OR(I60&gt;N60,I60&lt;M60),TRUE,FALSE)</f>
        <v>0</v>
      </c>
      <c r="P60">
        <f>IFERROR((C60*3.412)/$G60,0)</f>
        <v>46.05248676456339</v>
      </c>
      <c r="Q60" t="str">
        <f>VLOOKUP($B60,'Data availability'!$A$2:$F$91,3,FALSE)</f>
        <v>Y</v>
      </c>
      <c r="R60" cm="1">
        <f t="array" ref="R60">IFERROR(QUARTILE(_xlfn._xlws.FILTER($P$3:$P$61, ($H$3:$H$61=$H60) * ($P$3:$P$61&gt;0)), 1), 0)</f>
        <v>15.284554956771059</v>
      </c>
      <c r="S60" cm="1">
        <f t="array" ref="S60">IFERROR(QUARTILE(_xlfn._xlws.FILTER($P$3:$P$61, ($H$3:$H$61=$H60) * ($P$3:$P$61&gt;0)), 3), 0)</f>
        <v>46.24076613564857</v>
      </c>
      <c r="T60">
        <f>S60-R60</f>
        <v>30.95621117887751</v>
      </c>
      <c r="U60">
        <f>R60-T60</f>
        <v>-15.671656222106451</v>
      </c>
      <c r="V60">
        <f>S60+T60</f>
        <v>77.19697731452608</v>
      </c>
      <c r="W60" t="b">
        <f>IF(OR(P60&gt;V60,P60&lt;U60,P60=0),TRUE,FALSE)</f>
        <v>0</v>
      </c>
      <c r="X60" t="b">
        <f t="shared" si="38"/>
        <v>0</v>
      </c>
      <c r="Y60">
        <f>IFERROR((D60*100)/$G60,0)</f>
        <v>6.3626452631826913</v>
      </c>
      <c r="Z60" t="str">
        <f>VLOOKUP($B60,'Data availability'!$A$2:$F$91,4,FALSE)</f>
        <v>Y</v>
      </c>
      <c r="AA60" cm="1">
        <f t="array" ref="AA60">IFERROR(QUARTILE(_xlfn._xlws.FILTER($Y$3:$Y$61, ($H$3:$H$61=$H60) * ($Y$3:$Y$61&gt;0)), 1), 0)</f>
        <v>6.5665650736195023</v>
      </c>
      <c r="AB60" cm="1">
        <f t="array" ref="AB60">IFERROR(QUARTILE(_xlfn._xlws.FILTER($Y$3:$Y$61, ($H$3:$H$61=$H60) * ($Y$3:$Y$61&gt;0)), 3), 0)</f>
        <v>25.940532343422344</v>
      </c>
      <c r="AC60">
        <f>AB60-AA60</f>
        <v>19.37396726980284</v>
      </c>
      <c r="AD60">
        <f>AA60-AC60</f>
        <v>-12.807402196183338</v>
      </c>
      <c r="AE60">
        <f>AB60+AC60</f>
        <v>45.31449961322518</v>
      </c>
      <c r="AF60" t="b">
        <f>IF(OR(Y60&gt;AE60, Y60&lt;AD60, Y60=0), TRUE, FALSE)</f>
        <v>0</v>
      </c>
      <c r="AG60" t="b">
        <f t="shared" si="24"/>
        <v>0</v>
      </c>
      <c r="AH60">
        <f>IFERROR((E60*100)/$G60,0)</f>
        <v>12.740912982694374</v>
      </c>
      <c r="AI60" t="str">
        <f>VLOOKUP($B60,'Data availability'!$A$2:$F$91,5,FALSE)</f>
        <v>Y</v>
      </c>
      <c r="AJ60" cm="1">
        <f t="array" ref="AJ60">IFERROR(QUARTILE(_xlfn._xlws.FILTER($AH$3:$AH$61, ($H$3:$H$61=$H60) * ($AH$3:$AH$61&gt;0)), 1), 0)</f>
        <v>16.477362470385007</v>
      </c>
      <c r="AK60" cm="1">
        <f t="array" ref="AK60">IFERROR(QUARTILE(_xlfn._xlws.FILTER($AH$3:$AH$61, ($H$3:$H$61=$H60) * ($AH$3:$AH$61&gt;0)), 3), 0)</f>
        <v>23.950261445766277</v>
      </c>
      <c r="AL60">
        <f>AK60-AJ60</f>
        <v>7.4728989753812698</v>
      </c>
      <c r="AM60">
        <f>AJ60-AL60</f>
        <v>9.004463495003737</v>
      </c>
      <c r="AN60">
        <f>AK60+AL60</f>
        <v>31.423160421147546</v>
      </c>
      <c r="AO60" t="b">
        <f>IF(OR(AH60&gt;AN60,AH60&lt;AM60,AH60=0),TRUE,FALSE)</f>
        <v>0</v>
      </c>
      <c r="AP60" t="b">
        <f t="shared" si="26"/>
        <v>0</v>
      </c>
      <c r="AQ60">
        <f t="shared" si="27"/>
        <v>18.463141387837346</v>
      </c>
      <c r="AR60" t="str">
        <f>VLOOKUP($B60,'Data availability'!$A$2:$F$91,6,FALSE)</f>
        <v>Y</v>
      </c>
      <c r="AS60" cm="1">
        <f t="array" ref="AS60">IFERROR(QUARTILE(_xlfn._xlws.FILTER($AQ$3:$AQ$61, ($H$3:$H$61=$H60) * ($AQ$3:$AQ$61&gt;0)), 1), 0)</f>
        <v>11.329125107085785</v>
      </c>
      <c r="AT60" cm="1">
        <f t="array" ref="AT60">IFERROR(QUARTILE(_xlfn._xlws.FILTER($AQ$3:$AQ$61, ($H$3:$H$61=$H60) * ($AQ$3:$AQ$61&gt;0)), 3), 0)</f>
        <v>16.085135960920159</v>
      </c>
      <c r="AU60">
        <f>AT60-AS60</f>
        <v>4.7560108538343737</v>
      </c>
      <c r="AV60">
        <f>AS60-AU60</f>
        <v>6.5731142532514113</v>
      </c>
      <c r="AW60">
        <f>AT60+AU60</f>
        <v>20.841146814754531</v>
      </c>
      <c r="AX60" t="b">
        <f t="shared" si="28"/>
        <v>0</v>
      </c>
      <c r="AY60" t="b">
        <f t="shared" si="29"/>
        <v>0</v>
      </c>
    </row>
    <row r="61" spans="2:51" x14ac:dyDescent="0.3">
      <c r="B61" t="s">
        <v>384</v>
      </c>
      <c r="C61">
        <f>SUMIF('SkYSPark Data_w Will''s Data'!$C$3:$C$734,Outliers!$B61,'SkYSPark Data_w Will''s Data'!$G$3:$G$734)</f>
        <v>0</v>
      </c>
      <c r="D61">
        <f>SUMIF('SkYSPark Data_w Will''s Data'!$C$3:$C$734,Outliers!$B61,'SkYSPark Data_w Will''s Data'!$I$3:$I$734)</f>
        <v>0</v>
      </c>
      <c r="E61">
        <f>SUMIF('SkYSPark Data_w Will''s Data'!$C$3:$C$734,Outliers!$B61,'SkYSPark Data_w Will''s Data'!$J$3:$J$734)</f>
        <v>0</v>
      </c>
      <c r="F61">
        <f>SUMIF('SkYSPark Data_w Will''s Data'!$C$3:$C$734,Outliers!$B61,'SkYSPark Data_w Will''s Data'!$K$3:$K$734)</f>
        <v>0</v>
      </c>
      <c r="G61">
        <f>INDEX('SkYSPark Data_w Will''s Data'!$E$3:$E$734,MATCH(Outliers!B61,'SkYSPark Data_w Will''s Data'!$C$3:$C$734,0))</f>
        <v>55234</v>
      </c>
      <c r="H61" t="str">
        <f>INDEX('SkYSPark Data_w Will''s Data'!$F$3:$F$734,MATCH(Outliers!B61,'SkYSPark Data_w Will''s Data'!$C$3:$C$734,0))</f>
        <v>Office</v>
      </c>
      <c r="I61">
        <f>IFERROR((C61*3.412+D61*100+E61*100+F61*12)/G61,0)</f>
        <v>0</v>
      </c>
      <c r="J61" cm="1">
        <f t="array" ref="J61">QUARTILE(_xlfn._xlws.FILTER($I$3:$I$61,$H$3:$H$61=H61),1)</f>
        <v>8.8203385892012705</v>
      </c>
      <c r="K61" cm="1">
        <f t="array" ref="K61">QUARTILE(_xlfn._xlws.FILTER($I$3:$I$61,$H$3:$H$61=H61),3)</f>
        <v>69.275490194408547</v>
      </c>
      <c r="L61">
        <f>K61-J61</f>
        <v>60.455151605207277</v>
      </c>
      <c r="M61">
        <f>J61-L61</f>
        <v>-51.634813016006007</v>
      </c>
      <c r="N61">
        <f>K61+L61</f>
        <v>129.73064179961582</v>
      </c>
      <c r="O61" t="b">
        <f>IF(OR(I61&gt;N61,I61&lt;M61),TRUE,FALSE)</f>
        <v>0</v>
      </c>
      <c r="P61">
        <f>IFERROR((C61*3.412)/$G61,0)</f>
        <v>0</v>
      </c>
      <c r="Q61" t="str">
        <f>VLOOKUP($B61,'Data availability'!$A$2:$F$91,3,FALSE)</f>
        <v>N</v>
      </c>
      <c r="R61" cm="1">
        <f t="array" ref="R61">IFERROR(QUARTILE(_xlfn._xlws.FILTER($P$3:$P$61, ($H$3:$H$61=$H61) * ($P$3:$P$61&gt;0)), 1), 0)</f>
        <v>15.284554956771059</v>
      </c>
      <c r="S61" cm="1">
        <f t="array" ref="S61">IFERROR(QUARTILE(_xlfn._xlws.FILTER($P$3:$P$61, ($H$3:$H$61=$H61) * ($P$3:$P$61&gt;0)), 3), 0)</f>
        <v>46.24076613564857</v>
      </c>
      <c r="T61">
        <f>S61-R61</f>
        <v>30.95621117887751</v>
      </c>
      <c r="U61">
        <f>R61-T61</f>
        <v>-15.671656222106451</v>
      </c>
      <c r="V61">
        <f>S61+T61</f>
        <v>77.19697731452608</v>
      </c>
      <c r="W61" t="b">
        <f>IF(OR(P61&gt;V61,P61&lt;U61,P61=0),TRUE,FALSE)</f>
        <v>1</v>
      </c>
      <c r="X61" t="b">
        <f t="shared" si="38"/>
        <v>1</v>
      </c>
      <c r="Y61">
        <f>IFERROR((D61*100)/$G61,0)</f>
        <v>0</v>
      </c>
      <c r="Z61" t="str">
        <f>VLOOKUP($B61,'Data availability'!$A$2:$F$91,4,FALSE)</f>
        <v>-</v>
      </c>
      <c r="AA61" cm="1">
        <f t="array" ref="AA61">IFERROR(QUARTILE(_xlfn._xlws.FILTER($Y$3:$Y$61, ($H$3:$H$61=$H61) * ($Y$3:$Y$61&gt;0)), 1), 0)</f>
        <v>6.5665650736195023</v>
      </c>
      <c r="AB61" cm="1">
        <f t="array" ref="AB61">IFERROR(QUARTILE(_xlfn._xlws.FILTER($Y$3:$Y$61, ($H$3:$H$61=$H61) * ($Y$3:$Y$61&gt;0)), 3), 0)</f>
        <v>25.940532343422344</v>
      </c>
      <c r="AC61">
        <f>AB61-AA61</f>
        <v>19.37396726980284</v>
      </c>
      <c r="AD61">
        <f>AA61-AC61</f>
        <v>-12.807402196183338</v>
      </c>
      <c r="AE61">
        <f>AB61+AC61</f>
        <v>45.31449961322518</v>
      </c>
      <c r="AF61" t="b">
        <f>IF(OR(Y61&gt;AE61, Y61&lt;AD61, Y61=0), TRUE, FALSE)</f>
        <v>1</v>
      </c>
      <c r="AG61" t="b">
        <f t="shared" si="24"/>
        <v>1</v>
      </c>
      <c r="AH61">
        <f>IFERROR((E61*100)/$G61,0)</f>
        <v>0</v>
      </c>
      <c r="AI61" t="str">
        <f>VLOOKUP($B61,'Data availability'!$A$2:$F$91,5,FALSE)</f>
        <v>-</v>
      </c>
      <c r="AJ61" cm="1">
        <f t="array" ref="AJ61">IFERROR(QUARTILE(_xlfn._xlws.FILTER($AH$3:$AH$61, ($H$3:$H$61=$H61) * ($AH$3:$AH$61&gt;0)), 1), 0)</f>
        <v>16.477362470385007</v>
      </c>
      <c r="AK61" cm="1">
        <f t="array" ref="AK61">IFERROR(QUARTILE(_xlfn._xlws.FILTER($AH$3:$AH$61, ($H$3:$H$61=$H61) * ($AH$3:$AH$61&gt;0)), 3), 0)</f>
        <v>23.950261445766277</v>
      </c>
      <c r="AL61">
        <f>AK61-AJ61</f>
        <v>7.4728989753812698</v>
      </c>
      <c r="AM61">
        <f>AJ61-AL61</f>
        <v>9.004463495003737</v>
      </c>
      <c r="AN61">
        <f>AK61+AL61</f>
        <v>31.423160421147546</v>
      </c>
      <c r="AO61" t="b">
        <f>IF(OR(AH61&gt;AN61,AH61&lt;AM61,AH61=0),TRUE,FALSE)</f>
        <v>1</v>
      </c>
      <c r="AP61" t="b">
        <f t="shared" si="26"/>
        <v>1</v>
      </c>
      <c r="AQ61">
        <f t="shared" si="27"/>
        <v>0</v>
      </c>
      <c r="AR61" t="str">
        <f>VLOOKUP($B61,'Data availability'!$A$2:$F$91,6,FALSE)</f>
        <v>-</v>
      </c>
      <c r="AS61" cm="1">
        <f t="array" ref="AS61">IFERROR(QUARTILE(_xlfn._xlws.FILTER($AQ$3:$AQ$61, ($H$3:$H$61=$H61) * ($AQ$3:$AQ$61&gt;0)), 1), 0)</f>
        <v>11.329125107085785</v>
      </c>
      <c r="AT61" cm="1">
        <f t="array" ref="AT61">IFERROR(QUARTILE(_xlfn._xlws.FILTER($AQ$3:$AQ$61, ($H$3:$H$61=$H61) * ($AQ$3:$AQ$61&gt;0)), 3), 0)</f>
        <v>16.085135960920159</v>
      </c>
      <c r="AU61">
        <f>AT61-AS61</f>
        <v>4.7560108538343737</v>
      </c>
      <c r="AV61">
        <f>AS61-AU61</f>
        <v>6.5731142532514113</v>
      </c>
      <c r="AW61">
        <f>AT61+AU61</f>
        <v>20.841146814754531</v>
      </c>
      <c r="AX61" t="b">
        <f t="shared" si="28"/>
        <v>1</v>
      </c>
      <c r="AY61" t="b">
        <f t="shared" si="29"/>
        <v>1</v>
      </c>
    </row>
    <row r="62" spans="2:51" x14ac:dyDescent="0.3">
      <c r="F62" s="51"/>
    </row>
    <row r="63" spans="2:51" x14ac:dyDescent="0.3">
      <c r="F63" s="51"/>
    </row>
    <row r="64" spans="2:51" ht="28.8" x14ac:dyDescent="0.3">
      <c r="F64" s="51"/>
      <c r="G64" s="83" t="s">
        <v>444</v>
      </c>
      <c r="H64" s="83" t="s">
        <v>444</v>
      </c>
      <c r="I64" s="82"/>
      <c r="J64" s="82"/>
      <c r="K64" s="82"/>
      <c r="L64" s="82"/>
      <c r="M64" s="82"/>
      <c r="N64" s="82"/>
      <c r="O64" s="82"/>
      <c r="P64" s="82" t="s">
        <v>348</v>
      </c>
      <c r="Q64" s="82" t="s">
        <v>349</v>
      </c>
      <c r="R64" s="82" t="s">
        <v>372</v>
      </c>
      <c r="S64" s="82"/>
      <c r="T64" s="82"/>
      <c r="U64" s="82"/>
      <c r="V64" s="82"/>
      <c r="W64" s="82"/>
      <c r="X64" s="82"/>
      <c r="Y64" s="82" t="s">
        <v>348</v>
      </c>
      <c r="Z64" s="82" t="s">
        <v>349</v>
      </c>
      <c r="AA64" s="82" t="s">
        <v>372</v>
      </c>
      <c r="AB64" s="82"/>
      <c r="AC64" s="82"/>
      <c r="AD64" s="82"/>
      <c r="AE64" s="82"/>
      <c r="AF64" s="82"/>
      <c r="AG64" s="82"/>
      <c r="AH64" s="82" t="s">
        <v>348</v>
      </c>
      <c r="AI64" s="82" t="s">
        <v>349</v>
      </c>
      <c r="AJ64" s="82" t="s">
        <v>372</v>
      </c>
      <c r="AK64" s="82"/>
      <c r="AL64" s="82"/>
      <c r="AM64" s="82"/>
      <c r="AN64" s="82"/>
      <c r="AO64" s="82"/>
      <c r="AP64" s="82"/>
      <c r="AQ64" s="82" t="s">
        <v>348</v>
      </c>
      <c r="AR64" s="82" t="s">
        <v>349</v>
      </c>
      <c r="AS64" s="82" t="s">
        <v>372</v>
      </c>
    </row>
    <row r="65" spans="6:45" x14ac:dyDescent="0.3">
      <c r="F65" s="51"/>
      <c r="G65" t="str" cm="1">
        <f t="array" ref="G65:G77">_xlfn.UNIQUE(H3:H61)</f>
        <v>Office</v>
      </c>
      <c r="H65" t="str">
        <f>G65</f>
        <v>Office</v>
      </c>
      <c r="P65" cm="1">
        <f t="array" ref="P65">AVERAGE(_xlfn._xlws.FILTER($P$3:$P$61,($H$3:$H$61=$H65)*($X$3:$X$61=FALSE)))</f>
        <v>33.266327409148829</v>
      </c>
      <c r="Q65" cm="1">
        <f t="array" ref="Q65">MEDIAN(_xlfn._xlws.FILTER($P$3:$P$61,($H$3:$H$61=$H65)*($X$3:$X$61=FALSE)))</f>
        <v>35.919636826294649</v>
      </c>
      <c r="R65">
        <f t="shared" ref="R65:R76" si="39">COUNTIFS($H$3:$H$58,H65,$X$3:$X$58,FALSE)</f>
        <v>7</v>
      </c>
      <c r="Y65" cm="1">
        <f t="array" ref="Y65">AVERAGE(_xlfn._xlws.FILTER($Y$3:$Y$61,($H$3:$H$61=$H65)*($AG$3:$AG$61=FALSE)))</f>
        <v>10.100564067441651</v>
      </c>
      <c r="Z65" cm="1">
        <f t="array" ref="Z65">MEDIAN(_xlfn._xlws.FILTER($Y$3:$Y$61,($H$3:$H$61=$H65)*($AG$3:$AG$61=FALSE)))</f>
        <v>6.6345383437651062</v>
      </c>
      <c r="AA65">
        <f>COUNTIFS($H$3:$H$58,H65,$AG$3:$AG$58,FALSE)</f>
        <v>2</v>
      </c>
      <c r="AH65" cm="1">
        <f t="array" ref="AH65">AVERAGE(_xlfn._xlws.FILTER($AH$3:$AH$61,($H$3:$H$61=$H65)*($AP$3:$AP$61=FALSE)))</f>
        <v>20.213811958075642</v>
      </c>
      <c r="AI65" cm="1">
        <f t="array" ref="AI65">MEDIAN(_xlfn._xlws.FILTER($AH$3:$AH$61,($H$3:$H$61=$H65)*($AP$3:$AP$61=FALSE)))</f>
        <v>20.213811958075642</v>
      </c>
      <c r="AJ65">
        <f>COUNTIFS($H$3:$H$58,H65,$AP$3:$AP$58,FALSE)</f>
        <v>1</v>
      </c>
      <c r="AQ65" cm="1">
        <f t="array" ref="AQ65">AVERAGE(_xlfn._xlws.FILTER($AQ$3:$AQ$61,($H$3:$H$61=$H65)*($AY$3:$AY$61=FALSE)))</f>
        <v>13.707130534002971</v>
      </c>
      <c r="AR65" cm="1">
        <f t="array" ref="AR65">MEDIAN(_xlfn._xlws.FILTER($AQ$3:$AQ$61,($H$3:$H$61=$H65)*($AY$3:$AY$61=FALSE)))</f>
        <v>13.707130534002971</v>
      </c>
      <c r="AS65">
        <f>COUNTIFS($H$3:$H$58,H65,$AY$3:$AY$58,FALSE)</f>
        <v>1</v>
      </c>
    </row>
    <row r="66" spans="6:45" x14ac:dyDescent="0.3">
      <c r="F66" s="51"/>
      <c r="G66" t="str">
        <v>Storage</v>
      </c>
      <c r="H66" t="str">
        <f t="shared" ref="H66:H76" si="40">G66</f>
        <v>Storage</v>
      </c>
      <c r="P66" cm="1">
        <f t="array" ref="P66">AVERAGE(_xlfn._xlws.FILTER($P$3:$P$61,($H$3:$H$61=$H66)*($X$3:$X$61=FALSE)))</f>
        <v>27.699475373298025</v>
      </c>
      <c r="Q66" cm="1">
        <f t="array" ref="Q66">MEDIAN(_xlfn._xlws.FILTER($P$3:$P$61,($H$3:$H$61=$H66)*($X$3:$X$61=FALSE)))</f>
        <v>23.774822880766386</v>
      </c>
      <c r="R66">
        <f t="shared" si="39"/>
        <v>3</v>
      </c>
      <c r="Y66" cm="1">
        <f t="array" ref="Y66">AVERAGE(_xlfn._xlws.FILTER($Y$3:$Y$61,($H$3:$H$61=$H66)*($AG$3:$AG$61=FALSE)))</f>
        <v>47.339603452622192</v>
      </c>
      <c r="Z66" cm="1">
        <f t="array" ref="Z66">MEDIAN(_xlfn._xlws.FILTER($Y$3:$Y$61,($H$3:$H$61=$H66)*($AG$3:$AG$61=FALSE)))</f>
        <v>47.339603452622192</v>
      </c>
      <c r="AA66">
        <f t="shared" ref="AA66:AA75" si="41">COUNTIFS($H$3:$H$58,H66,$AG$3:$AG$58,FALSE)</f>
        <v>1</v>
      </c>
      <c r="AH66" t="e" cm="1" vm="1">
        <f t="array" ref="AH66">AVERAGE(_xlfn._xlws.FILTER($AH$3:$AH$61,($H$3:$H$61=$H66)*($AP$3:$AP$61=FALSE)))</f>
        <v>#VALUE!</v>
      </c>
      <c r="AI66" t="e" cm="1" vm="1">
        <f t="array" ref="AI66">MEDIAN(_xlfn._xlws.FILTER($AH$3:$AH$61,($H$3:$H$61=$H66)*($AP$3:$AP$61=FALSE)))</f>
        <v>#VALUE!</v>
      </c>
      <c r="AJ66">
        <f t="shared" ref="AJ66:AJ75" si="42">COUNTIFS($H$3:$H$58,H66,$AP$3:$AP$58,FALSE)</f>
        <v>0</v>
      </c>
      <c r="AQ66" t="e" cm="1" vm="1">
        <f t="array" ref="AQ66">AVERAGE(_xlfn._xlws.FILTER($AQ$3:$AQ$61,($H$3:$H$61=$H66)*($AY$3:$AY$61=FALSE)))</f>
        <v>#VALUE!</v>
      </c>
      <c r="AR66" t="e" cm="1" vm="1">
        <f t="array" ref="AR66">MEDIAN(_xlfn._xlws.FILTER($AQ$3:$AQ$61,($H$3:$H$61=$H66)*($AY$3:$AY$61=FALSE)))</f>
        <v>#VALUE!</v>
      </c>
      <c r="AS66">
        <f t="shared" ref="AS66:AS75" si="43">COUNTIFS($H$3:$H$58,H66,$AY$3:$AY$58,FALSE)</f>
        <v>0</v>
      </c>
    </row>
    <row r="67" spans="6:45" x14ac:dyDescent="0.3">
      <c r="F67" s="51"/>
      <c r="G67" t="str">
        <v xml:space="preserve">Lab </v>
      </c>
      <c r="H67" t="str">
        <f t="shared" si="40"/>
        <v xml:space="preserve">Lab </v>
      </c>
      <c r="P67" cm="1">
        <f t="array" ref="P67">AVERAGE(_xlfn._xlws.FILTER($P$3:$P$61,($H$3:$H$61=$H67)*($X$3:$X$61=FALSE)))</f>
        <v>39.902432097004734</v>
      </c>
      <c r="Q67" cm="1">
        <f t="array" ref="Q67">MEDIAN(_xlfn._xlws.FILTER($P$3:$P$61,($H$3:$H$61=$H67)*($X$3:$X$61=FALSE)))</f>
        <v>41.525395637114023</v>
      </c>
      <c r="R67">
        <f t="shared" si="39"/>
        <v>4</v>
      </c>
      <c r="Y67" cm="1">
        <f t="array" ref="Y67">AVERAGE(_xlfn._xlws.FILTER($Y$3:$Y$61,($H$3:$H$61=$H67)*($AG$3:$AG$61=FALSE)))</f>
        <v>4.187883035701673</v>
      </c>
      <c r="Z67" cm="1">
        <f t="array" ref="Z67">MEDIAN(_xlfn._xlws.FILTER($Y$3:$Y$61,($H$3:$H$61=$H67)*($AG$3:$AG$61=FALSE)))</f>
        <v>7.5595472770094957E-2</v>
      </c>
      <c r="AA67">
        <f t="shared" si="41"/>
        <v>3</v>
      </c>
      <c r="AH67" cm="1">
        <f t="array" ref="AH67">AVERAGE(_xlfn._xlws.FILTER($AH$3:$AH$61,($H$3:$H$61=$H67)*($AP$3:$AP$61=FALSE)))</f>
        <v>56.256734695015552</v>
      </c>
      <c r="AI67" cm="1">
        <f t="array" ref="AI67">MEDIAN(_xlfn._xlws.FILTER($AH$3:$AH$61,($H$3:$H$61=$H67)*($AP$3:$AP$61=FALSE)))</f>
        <v>51.752843603314346</v>
      </c>
      <c r="AJ67">
        <f t="shared" si="42"/>
        <v>3</v>
      </c>
      <c r="AQ67" cm="1">
        <f t="array" ref="AQ67">AVERAGE(_xlfn._xlws.FILTER($AQ$3:$AQ$61,($H$3:$H$61=$H67)*($AY$3:$AY$61=FALSE)))</f>
        <v>35.356273782712016</v>
      </c>
      <c r="AR67" cm="1">
        <f t="array" ref="AR67">MEDIAN(_xlfn._xlws.FILTER($AQ$3:$AQ$61,($H$3:$H$61=$H67)*($AY$3:$AY$61=FALSE)))</f>
        <v>23.730692977996267</v>
      </c>
      <c r="AS67">
        <f t="shared" si="43"/>
        <v>3</v>
      </c>
    </row>
    <row r="68" spans="6:45" x14ac:dyDescent="0.3">
      <c r="F68" s="51"/>
      <c r="G68" t="str">
        <v>Academic</v>
      </c>
      <c r="H68" t="str">
        <f t="shared" si="40"/>
        <v>Academic</v>
      </c>
      <c r="P68" cm="1">
        <f t="array" ref="P68">AVERAGE(_xlfn._xlws.FILTER($P$3:$P$61,($H$3:$H$61=$H68)*($X$3:$X$61=FALSE)))</f>
        <v>23.282505644626042</v>
      </c>
      <c r="Q68" cm="1">
        <f t="array" ref="Q68">MEDIAN(_xlfn._xlws.FILTER($P$3:$P$61,($H$3:$H$61=$H68)*($X$3:$X$61=FALSE)))</f>
        <v>21.851171431919209</v>
      </c>
      <c r="R68">
        <f t="shared" si="39"/>
        <v>14</v>
      </c>
      <c r="Y68" cm="1">
        <f t="array" ref="Y68">AVERAGE(_xlfn._xlws.FILTER($Y$3:$Y$61,($H$3:$H$61=$H68)*($AG$3:$AG$61=FALSE)))</f>
        <v>3.9440365779021085</v>
      </c>
      <c r="Z68" cm="1">
        <f t="array" ref="Z68">MEDIAN(_xlfn._xlws.FILTER($Y$3:$Y$61,($H$3:$H$61=$H68)*($AG$3:$AG$61=FALSE)))</f>
        <v>3.8330166270784183</v>
      </c>
      <c r="AA68">
        <f t="shared" si="41"/>
        <v>3</v>
      </c>
      <c r="AH68" cm="1">
        <f t="array" ref="AH68">AVERAGE(_xlfn._xlws.FILTER($AH$3:$AH$61,($H$3:$H$61=$H68)*($AP$3:$AP$61=FALSE)))</f>
        <v>31.985541141033018</v>
      </c>
      <c r="AI68" cm="1">
        <f t="array" ref="AI68">MEDIAN(_xlfn._xlws.FILTER($AH$3:$AH$61,($H$3:$H$61=$H68)*($AP$3:$AP$61=FALSE)))</f>
        <v>33.696431178207092</v>
      </c>
      <c r="AJ68">
        <f t="shared" si="42"/>
        <v>9</v>
      </c>
      <c r="AQ68" cm="1">
        <f t="array" ref="AQ68">AVERAGE(_xlfn._xlws.FILTER($AQ$3:$AQ$61,($H$3:$H$61=$H68)*($AY$3:$AY$61=FALSE)))</f>
        <v>21.563155199702081</v>
      </c>
      <c r="AR68" cm="1">
        <f t="array" ref="AR68">MEDIAN(_xlfn._xlws.FILTER($AQ$3:$AQ$61,($H$3:$H$61=$H68)*($AY$3:$AY$61=FALSE)))</f>
        <v>18.668832994460651</v>
      </c>
      <c r="AS68">
        <f t="shared" si="43"/>
        <v>11</v>
      </c>
    </row>
    <row r="69" spans="6:45" x14ac:dyDescent="0.3">
      <c r="F69" s="51"/>
      <c r="G69" t="str">
        <v>Food Service</v>
      </c>
      <c r="H69" t="str">
        <f t="shared" si="40"/>
        <v>Food Service</v>
      </c>
      <c r="P69" cm="1">
        <f t="array" ref="P69">AVERAGE(_xlfn._xlws.FILTER($P$3:$P$61,($H$3:$H$61=$H69)*($X$3:$X$61=FALSE)))</f>
        <v>129.82672977722038</v>
      </c>
      <c r="Q69" cm="1">
        <f t="array" ref="Q69">MEDIAN(_xlfn._xlws.FILTER($P$3:$P$61,($H$3:$H$61=$H69)*($X$3:$X$61=FALSE)))</f>
        <v>129.82672977722038</v>
      </c>
      <c r="R69">
        <f t="shared" si="39"/>
        <v>1</v>
      </c>
      <c r="Y69" cm="1">
        <f t="array" ref="Y69">AVERAGE(_xlfn._xlws.FILTER($Y$3:$Y$61,($H$3:$H$61=$H69)*($AG$3:$AG$61=FALSE)))</f>
        <v>155.39993033786095</v>
      </c>
      <c r="Z69" cm="1">
        <f t="array" ref="Z69">MEDIAN(_xlfn._xlws.FILTER($Y$3:$Y$61,($H$3:$H$61=$H69)*($AG$3:$AG$61=FALSE)))</f>
        <v>155.39993033786095</v>
      </c>
      <c r="AA69">
        <f t="shared" si="41"/>
        <v>1</v>
      </c>
      <c r="AH69" t="e" cm="1" vm="1">
        <f t="array" ref="AH69">AVERAGE(_xlfn._xlws.FILTER($AH$3:$AH$61,($H$3:$H$61=$H69)*($AP$3:$AP$61=FALSE)))</f>
        <v>#VALUE!</v>
      </c>
      <c r="AI69" t="e" cm="1" vm="1">
        <f t="array" ref="AI69">MEDIAN(_xlfn._xlws.FILTER($AH$3:$AH$61,($H$3:$H$61=$H69)*($AP$3:$AP$61=FALSE)))</f>
        <v>#VALUE!</v>
      </c>
      <c r="AJ69">
        <f t="shared" si="42"/>
        <v>0</v>
      </c>
      <c r="AQ69" t="e" cm="1" vm="1">
        <f t="array" ref="AQ69">AVERAGE(_xlfn._xlws.FILTER($AQ$3:$AQ$61,($H$3:$H$61=$H69)*($AY$3:$AY$61=FALSE)))</f>
        <v>#VALUE!</v>
      </c>
      <c r="AR69" t="e" cm="1" vm="1">
        <f t="array" ref="AR69">MEDIAN(_xlfn._xlws.FILTER($AQ$3:$AQ$61,($H$3:$H$61=$H69)*($AY$3:$AY$61=FALSE)))</f>
        <v>#VALUE!</v>
      </c>
      <c r="AS69">
        <f t="shared" si="43"/>
        <v>0</v>
      </c>
    </row>
    <row r="70" spans="6:45" x14ac:dyDescent="0.3">
      <c r="F70" s="51"/>
      <c r="G70" t="str">
        <v>Residential</v>
      </c>
      <c r="H70" t="str">
        <f t="shared" si="40"/>
        <v>Residential</v>
      </c>
      <c r="P70" cm="1">
        <f t="array" ref="P70">AVERAGE(_xlfn._xlws.FILTER($P$3:$P$61,($H$3:$H$61=$H70)*($X$3:$X$61=FALSE)))</f>
        <v>17.493981468890539</v>
      </c>
      <c r="Q70" cm="1">
        <f t="array" ref="Q70">MEDIAN(_xlfn._xlws.FILTER($P$3:$P$61,($H$3:$H$61=$H70)*($X$3:$X$61=FALSE)))</f>
        <v>18.699203534006148</v>
      </c>
      <c r="R70">
        <f t="shared" si="39"/>
        <v>5</v>
      </c>
      <c r="Y70" cm="1">
        <f t="array" ref="Y70">AVERAGE(_xlfn._xlws.FILTER($Y$3:$Y$61,($H$3:$H$61=$H70)*($AG$3:$AG$61=FALSE)))</f>
        <v>34.86129443848646</v>
      </c>
      <c r="Z70" cm="1">
        <f t="array" ref="Z70">MEDIAN(_xlfn._xlws.FILTER($Y$3:$Y$61,($H$3:$H$61=$H70)*($AG$3:$AG$61=FALSE)))</f>
        <v>33.444707740916165</v>
      </c>
      <c r="AA70">
        <f t="shared" si="41"/>
        <v>3</v>
      </c>
      <c r="AH70" cm="1">
        <f t="array" ref="AH70">AVERAGE(_xlfn._xlws.FILTER($AH$3:$AH$61,($H$3:$H$61=$H70)*($AP$3:$AP$61=FALSE)))</f>
        <v>33.975051630042373</v>
      </c>
      <c r="AI70" cm="1">
        <f t="array" ref="AI70">MEDIAN(_xlfn._xlws.FILTER($AH$3:$AH$61,($H$3:$H$61=$H70)*($AP$3:$AP$61=FALSE)))</f>
        <v>33.975051630042373</v>
      </c>
      <c r="AJ70">
        <f t="shared" si="42"/>
        <v>2</v>
      </c>
      <c r="AQ70" cm="1">
        <f t="array" ref="AQ70">AVERAGE(_xlfn._xlws.FILTER($AQ$3:$AQ$61,($H$3:$H$61=$H70)*($AY$3:$AY$61=FALSE)))</f>
        <v>13.160123040713476</v>
      </c>
      <c r="AR70" cm="1">
        <f t="array" ref="AR70">MEDIAN(_xlfn._xlws.FILTER($AQ$3:$AQ$61,($H$3:$H$61=$H70)*($AY$3:$AY$61=FALSE)))</f>
        <v>13.160123040713476</v>
      </c>
      <c r="AS70">
        <f t="shared" si="43"/>
        <v>2</v>
      </c>
    </row>
    <row r="71" spans="6:45" x14ac:dyDescent="0.3">
      <c r="F71" s="51"/>
      <c r="G71">
        <v>0</v>
      </c>
      <c r="H71">
        <f t="shared" si="40"/>
        <v>0</v>
      </c>
      <c r="P71" t="e" cm="1" vm="1">
        <f t="array" ref="P71">AVERAGE(_xlfn._xlws.FILTER($P$3:$P$61,($H$3:$H$61=$H71)*($X$3:$X$61=FALSE)))</f>
        <v>#VALUE!</v>
      </c>
      <c r="Q71" t="e" cm="1" vm="1">
        <f t="array" ref="Q71">MEDIAN(_xlfn._xlws.FILTER($P$3:$P$61,($H$3:$H$61=$H71)*($X$3:$X$61=FALSE)))</f>
        <v>#VALUE!</v>
      </c>
      <c r="R71">
        <f t="shared" si="39"/>
        <v>0</v>
      </c>
      <c r="Y71" t="e" cm="1" vm="1">
        <f t="array" ref="Y71">AVERAGE(_xlfn._xlws.FILTER($Y$3:$Y$61,($H$3:$H$61=$H71)*($AG$3:$AG$61=FALSE)))</f>
        <v>#VALUE!</v>
      </c>
      <c r="Z71" t="e" cm="1" vm="1">
        <f t="array" ref="Z71">MEDIAN(_xlfn._xlws.FILTER($Y$3:$Y$61,($H$3:$H$61=$H71)*($AG$3:$AG$61=FALSE)))</f>
        <v>#VALUE!</v>
      </c>
      <c r="AA71">
        <f t="shared" si="41"/>
        <v>0</v>
      </c>
      <c r="AH71" t="e" cm="1" vm="1">
        <f t="array" ref="AH71">AVERAGE(_xlfn._xlws.FILTER($AH$3:$AH$61,($H$3:$H$61=$H71)*($AP$3:$AP$61=FALSE)))</f>
        <v>#VALUE!</v>
      </c>
      <c r="AI71" t="e" cm="1" vm="1">
        <f t="array" ref="AI71">MEDIAN(_xlfn._xlws.FILTER($AH$3:$AH$61,($H$3:$H$61=$H71)*($AP$3:$AP$61=FALSE)))</f>
        <v>#VALUE!</v>
      </c>
      <c r="AJ71">
        <f t="shared" si="42"/>
        <v>0</v>
      </c>
      <c r="AQ71" t="e" cm="1" vm="1">
        <f t="array" ref="AQ71">AVERAGE(_xlfn._xlws.FILTER($AQ$3:$AQ$61,($H$3:$H$61=$H71)*($AY$3:$AY$61=FALSE)))</f>
        <v>#VALUE!</v>
      </c>
      <c r="AR71" t="e" cm="1" vm="1">
        <f t="array" ref="AR71">MEDIAN(_xlfn._xlws.FILTER($AQ$3:$AQ$61,($H$3:$H$61=$H71)*($AY$3:$AY$61=FALSE)))</f>
        <v>#VALUE!</v>
      </c>
      <c r="AS71">
        <f t="shared" si="43"/>
        <v>0</v>
      </c>
    </row>
    <row r="72" spans="6:45" x14ac:dyDescent="0.3">
      <c r="F72" s="51"/>
      <c r="G72" t="str">
        <v>Outdoor Athletics</v>
      </c>
      <c r="H72" t="str">
        <f t="shared" si="40"/>
        <v>Outdoor Athletics</v>
      </c>
      <c r="P72" cm="1">
        <f t="array" ref="P72">AVERAGE(_xlfn._xlws.FILTER($P$3:$P$61,($H$3:$H$61=$H72)*($X$3:$X$61=FALSE)))</f>
        <v>85.670106200971645</v>
      </c>
      <c r="Q72" cm="1">
        <f t="array" ref="Q72">MEDIAN(_xlfn._xlws.FILTER($P$3:$P$61,($H$3:$H$61=$H72)*($X$3:$X$61=FALSE)))</f>
        <v>85.670106200971645</v>
      </c>
      <c r="R72">
        <f t="shared" si="39"/>
        <v>2</v>
      </c>
      <c r="Y72" t="e" cm="1" vm="1">
        <f t="array" ref="Y72">AVERAGE(_xlfn._xlws.FILTER($Y$3:$Y$61,($H$3:$H$61=$H72)*($AG$3:$AG$61=FALSE)))</f>
        <v>#VALUE!</v>
      </c>
      <c r="Z72" t="e" cm="1" vm="1">
        <f t="array" ref="Z72">MEDIAN(_xlfn._xlws.FILTER($Y$3:$Y$61,($H$3:$H$61=$H72)*($AG$3:$AG$61=FALSE)))</f>
        <v>#VALUE!</v>
      </c>
      <c r="AA72">
        <f t="shared" si="41"/>
        <v>0</v>
      </c>
      <c r="AH72" t="e" cm="1" vm="1">
        <f t="array" ref="AH72">AVERAGE(_xlfn._xlws.FILTER($AH$3:$AH$61,($H$3:$H$61=$H72)*($AP$3:$AP$61=FALSE)))</f>
        <v>#VALUE!</v>
      </c>
      <c r="AI72" t="e" cm="1" vm="1">
        <f t="array" ref="AI72">MEDIAN(_xlfn._xlws.FILTER($AH$3:$AH$61,($H$3:$H$61=$H72)*($AP$3:$AP$61=FALSE)))</f>
        <v>#VALUE!</v>
      </c>
      <c r="AJ72">
        <f t="shared" si="42"/>
        <v>0</v>
      </c>
      <c r="AQ72" t="e" cm="1" vm="1">
        <f t="array" ref="AQ72">AVERAGE(_xlfn._xlws.FILTER($AQ$3:$AQ$61,($H$3:$H$61=$H72)*($AY$3:$AY$61=FALSE)))</f>
        <v>#VALUE!</v>
      </c>
      <c r="AR72" t="e" cm="1" vm="1">
        <f t="array" ref="AR72">MEDIAN(_xlfn._xlws.FILTER($AQ$3:$AQ$61,($H$3:$H$61=$H72)*($AY$3:$AY$61=FALSE)))</f>
        <v>#VALUE!</v>
      </c>
      <c r="AS72">
        <f t="shared" si="43"/>
        <v>0</v>
      </c>
    </row>
    <row r="73" spans="6:45" x14ac:dyDescent="0.3">
      <c r="F73" s="51"/>
      <c r="G73" t="str">
        <v>Warehouse</v>
      </c>
      <c r="H73" t="str">
        <f t="shared" si="40"/>
        <v>Warehouse</v>
      </c>
      <c r="P73" t="e" cm="1" vm="1">
        <f t="array" ref="P73">AVERAGE(_xlfn._xlws.FILTER($P$3:$P$61,($H$3:$H$61=$H73)*($X$3:$X$61=FALSE)))</f>
        <v>#VALUE!</v>
      </c>
      <c r="Q73" t="e" cm="1" vm="1">
        <f t="array" ref="Q73">MEDIAN(_xlfn._xlws.FILTER($P$3:$P$61,($H$3:$H$61=$H73)*($X$3:$X$61=FALSE)))</f>
        <v>#VALUE!</v>
      </c>
      <c r="R73">
        <f t="shared" si="39"/>
        <v>0</v>
      </c>
      <c r="Y73" t="e" cm="1" vm="1">
        <f t="array" ref="Y73">AVERAGE(_xlfn._xlws.FILTER($Y$3:$Y$61,($H$3:$H$61=$H73)*($AG$3:$AG$61=FALSE)))</f>
        <v>#VALUE!</v>
      </c>
      <c r="Z73" t="e" cm="1" vm="1">
        <f t="array" ref="Z73">MEDIAN(_xlfn._xlws.FILTER($Y$3:$Y$61,($H$3:$H$61=$H73)*($AG$3:$AG$61=FALSE)))</f>
        <v>#VALUE!</v>
      </c>
      <c r="AA73">
        <f t="shared" si="41"/>
        <v>0</v>
      </c>
      <c r="AH73" t="e" cm="1" vm="1">
        <f t="array" ref="AH73">AVERAGE(_xlfn._xlws.FILTER($AH$3:$AH$61,($H$3:$H$61=$H73)*($AP$3:$AP$61=FALSE)))</f>
        <v>#VALUE!</v>
      </c>
      <c r="AI73" t="e" cm="1" vm="1">
        <f t="array" ref="AI73">MEDIAN(_xlfn._xlws.FILTER($AH$3:$AH$61,($H$3:$H$61=$H73)*($AP$3:$AP$61=FALSE)))</f>
        <v>#VALUE!</v>
      </c>
      <c r="AJ73">
        <f t="shared" si="42"/>
        <v>0</v>
      </c>
      <c r="AQ73" t="e" cm="1" vm="1">
        <f t="array" ref="AQ73">AVERAGE(_xlfn._xlws.FILTER($AQ$3:$AQ$61,($H$3:$H$61=$H73)*($AY$3:$AY$61=FALSE)))</f>
        <v>#VALUE!</v>
      </c>
      <c r="AR73" t="e" cm="1" vm="1">
        <f t="array" ref="AR73">MEDIAN(_xlfn._xlws.FILTER($AQ$3:$AQ$61,($H$3:$H$61=$H73)*($AY$3:$AY$61=FALSE)))</f>
        <v>#VALUE!</v>
      </c>
      <c r="AS73">
        <f t="shared" si="43"/>
        <v>0</v>
      </c>
    </row>
    <row r="74" spans="6:45" x14ac:dyDescent="0.3">
      <c r="F74" s="51"/>
      <c r="G74" t="str">
        <v>Library</v>
      </c>
      <c r="H74" t="str">
        <f t="shared" si="40"/>
        <v>Library</v>
      </c>
      <c r="P74" cm="1">
        <f t="array" ref="P74">AVERAGE(_xlfn._xlws.FILTER($P$3:$P$61,($H$3:$H$61=$H74)*($X$3:$X$61=FALSE)))</f>
        <v>28.609409627020554</v>
      </c>
      <c r="Q74" cm="1">
        <f t="array" ref="Q74">MEDIAN(_xlfn._xlws.FILTER($P$3:$P$61,($H$3:$H$61=$H74)*($X$3:$X$61=FALSE)))</f>
        <v>28.609409627020554</v>
      </c>
      <c r="R74">
        <f t="shared" si="39"/>
        <v>2</v>
      </c>
      <c r="Y74" t="e" cm="1" vm="1">
        <f t="array" ref="Y74">AVERAGE(_xlfn._xlws.FILTER($Y$3:$Y$61,($H$3:$H$61=$H74)*($AG$3:$AG$61=FALSE)))</f>
        <v>#VALUE!</v>
      </c>
      <c r="Z74" t="e" cm="1" vm="1">
        <f t="array" ref="Z74">MEDIAN(_xlfn._xlws.FILTER($Y$3:$Y$61,($H$3:$H$61=$H74)*($AG$3:$AG$61=FALSE)))</f>
        <v>#VALUE!</v>
      </c>
      <c r="AA74">
        <f t="shared" si="41"/>
        <v>0</v>
      </c>
      <c r="AH74" cm="1">
        <f t="array" ref="AH74">AVERAGE(_xlfn._xlws.FILTER($AH$3:$AH$61,($H$3:$H$61=$H74)*($AP$3:$AP$61=FALSE)))</f>
        <v>13.667951673932754</v>
      </c>
      <c r="AI74" cm="1">
        <f t="array" ref="AI74">MEDIAN(_xlfn._xlws.FILTER($AH$3:$AH$61,($H$3:$H$61=$H74)*($AP$3:$AP$61=FALSE)))</f>
        <v>13.667951673932754</v>
      </c>
      <c r="AJ74">
        <f t="shared" si="42"/>
        <v>1</v>
      </c>
      <c r="AQ74" cm="1">
        <f t="array" ref="AQ74">AVERAGE(_xlfn._xlws.FILTER($AQ$3:$AQ$61,($H$3:$H$61=$H74)*($AY$3:$AY$61=FALSE)))</f>
        <v>29.273956811289949</v>
      </c>
      <c r="AR74" cm="1">
        <f t="array" ref="AR74">MEDIAN(_xlfn._xlws.FILTER($AQ$3:$AQ$61,($H$3:$H$61=$H74)*($AY$3:$AY$61=FALSE)))</f>
        <v>29.273956811289949</v>
      </c>
      <c r="AS74">
        <f t="shared" si="43"/>
        <v>1</v>
      </c>
    </row>
    <row r="75" spans="6:45" x14ac:dyDescent="0.3">
      <c r="G75" t="str">
        <v>Athletics</v>
      </c>
      <c r="H75" t="str">
        <f t="shared" si="40"/>
        <v>Athletics</v>
      </c>
      <c r="P75" cm="1">
        <f t="array" ref="P75">AVERAGE(_xlfn._xlws.FILTER($P$3:$P$61,($H$3:$H$61=$H75)*($X$3:$X$61=FALSE)))</f>
        <v>28.803859533043848</v>
      </c>
      <c r="Q75" cm="1">
        <f t="array" ref="Q75">MEDIAN(_xlfn._xlws.FILTER($P$3:$P$61,($H$3:$H$61=$H75)*($X$3:$X$61=FALSE)))</f>
        <v>28.893397989264272</v>
      </c>
      <c r="R75">
        <f t="shared" si="39"/>
        <v>7</v>
      </c>
      <c r="Y75" cm="1">
        <f t="array" ref="Y75">AVERAGE(_xlfn._xlws.FILTER($Y$3:$Y$61,($H$3:$H$61=$H75)*($AG$3:$AG$61=FALSE)))</f>
        <v>31.304493971652978</v>
      </c>
      <c r="Z75" cm="1">
        <f t="array" ref="Z75">MEDIAN(_xlfn._xlws.FILTER($Y$3:$Y$61,($H$3:$H$61=$H75)*($AG$3:$AG$61=FALSE)))</f>
        <v>33.336950277653713</v>
      </c>
      <c r="AA75">
        <f t="shared" si="41"/>
        <v>3</v>
      </c>
      <c r="AH75" cm="1">
        <f t="array" ref="AH75">AVERAGE(_xlfn._xlws.FILTER($AH$3:$AH$61,($H$3:$H$61=$H75)*($AP$3:$AP$61=FALSE)))</f>
        <v>63.560855525564989</v>
      </c>
      <c r="AI75" cm="1">
        <f t="array" ref="AI75">MEDIAN(_xlfn._xlws.FILTER($AH$3:$AH$61,($H$3:$H$61=$H75)*($AP$3:$AP$61=FALSE)))</f>
        <v>38.953514697910919</v>
      </c>
      <c r="AJ75">
        <f t="shared" si="42"/>
        <v>4</v>
      </c>
      <c r="AQ75" cm="1">
        <f t="array" ref="AQ75">AVERAGE(_xlfn._xlws.FILTER($AQ$3:$AQ$61,($H$3:$H$61=$H75)*($AY$3:$AY$61=FALSE)))</f>
        <v>19.076178819738761</v>
      </c>
      <c r="AR75" cm="1">
        <f t="array" ref="AR75">MEDIAN(_xlfn._xlws.FILTER($AQ$3:$AQ$61,($H$3:$H$61=$H75)*($AY$3:$AY$61=FALSE)))</f>
        <v>14.499421575631686</v>
      </c>
      <c r="AS75">
        <f t="shared" si="43"/>
        <v>4</v>
      </c>
    </row>
    <row r="76" spans="6:45" x14ac:dyDescent="0.3">
      <c r="G76" t="str">
        <v>Theater</v>
      </c>
      <c r="H76" t="str">
        <f t="shared" si="40"/>
        <v>Theater</v>
      </c>
      <c r="P76" cm="1">
        <f t="array" ref="P76">AVERAGE(_xlfn._xlws.FILTER($P$3:$P$61,($H$3:$H$61=$H76)*($X$3:$X$61=FALSE)))</f>
        <v>68.143473120970597</v>
      </c>
      <c r="Q76" cm="1">
        <f t="array" ref="Q76">MEDIAN(_xlfn._xlws.FILTER($P$3:$P$61,($H$3:$H$61=$H76)*($X$3:$X$61=FALSE)))</f>
        <v>68.143473120970597</v>
      </c>
      <c r="R76">
        <f t="shared" si="39"/>
        <v>1</v>
      </c>
      <c r="Y76" cm="1">
        <f t="array" ref="Y76">AVERAGE(_xlfn._xlws.FILTER($Y$3:$Y$61,($H$3:$H$61=$H76)*($AG$3:$AG$61=FALSE)))</f>
        <v>18.548314501087454</v>
      </c>
      <c r="Z76" cm="1">
        <f t="array" ref="Z76">MEDIAN(_xlfn._xlws.FILTER($Y$3:$Y$61,($H$3:$H$61=$H76)*($AG$3:$AG$61=FALSE)))</f>
        <v>18.548314501087454</v>
      </c>
      <c r="AA76">
        <f>COUNTIFS($H$3:$H$58,H76,$AG$3:$AG$58,FALSE)</f>
        <v>1</v>
      </c>
      <c r="AH76" t="e" cm="1" vm="1">
        <f t="array" ref="AH76">AVERAGE(_xlfn._xlws.FILTER($AH$3:$AH$61,($H$3:$H$61=$H76)*($AP$3:$AP$61=FALSE)))</f>
        <v>#VALUE!</v>
      </c>
      <c r="AI76" t="e" cm="1" vm="1">
        <f t="array" ref="AI76">MEDIAN(_xlfn._xlws.FILTER($AH$3:$AH$61,($H$3:$H$61=$H76)*($AP$3:$AP$61=FALSE)))</f>
        <v>#VALUE!</v>
      </c>
      <c r="AJ76">
        <f>COUNTIFS($H$3:$H$58,H76,$AP$3:$AP$58,FALSE)</f>
        <v>0</v>
      </c>
      <c r="AQ76" t="e" cm="1" vm="1">
        <f t="array" ref="AQ76">AVERAGE(_xlfn._xlws.FILTER($AQ$3:$AQ$61,($H$3:$H$61=$H76)*($AY$3:$AY$61=FALSE)))</f>
        <v>#VALUE!</v>
      </c>
      <c r="AR76" t="e" cm="1" vm="1">
        <f t="array" ref="AR76">MEDIAN(_xlfn._xlws.FILTER($AQ$3:$AQ$61,($H$3:$H$61=$H76)*($AY$3:$AY$61=FALSE)))</f>
        <v>#VALUE!</v>
      </c>
      <c r="AS76">
        <f>COUNTIFS($H$3:$H$58,H76,$AY$3:$AY$58,FALSE)</f>
        <v>0</v>
      </c>
    </row>
    <row r="77" spans="6:45" x14ac:dyDescent="0.3">
      <c r="G77" t="str">
        <v>Food Sale</v>
      </c>
    </row>
  </sheetData>
  <autoFilter ref="B2:BB61" xr:uid="{88156389-59CB-4CED-87B5-CEDCE021CF64}"/>
  <mergeCells count="5">
    <mergeCell ref="Y1:AF1"/>
    <mergeCell ref="AH1:AO1"/>
    <mergeCell ref="AQ1:AX1"/>
    <mergeCell ref="I1:O1"/>
    <mergeCell ref="P1:X1"/>
  </mergeCells>
  <conditionalFormatting sqref="O3:O61 AO3:AP61">
    <cfRule type="cellIs" dxfId="3" priority="5" operator="equal">
      <formula>TRUE</formula>
    </cfRule>
  </conditionalFormatting>
  <conditionalFormatting sqref="W3:X61">
    <cfRule type="cellIs" dxfId="2" priority="4" operator="equal">
      <formula>TRUE</formula>
    </cfRule>
  </conditionalFormatting>
  <conditionalFormatting sqref="AF3:AG61">
    <cfRule type="cellIs" dxfId="1" priority="3" operator="equal">
      <formula>TRUE</formula>
    </cfRule>
  </conditionalFormatting>
  <conditionalFormatting sqref="AX3:AY61">
    <cfRule type="cellIs" dxfId="0" priority="1" operator="equal">
      <formula>TRUE</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D7848-3DE4-4CA3-A98C-F5E42FC8FBBD}">
  <dimension ref="A1:AD35"/>
  <sheetViews>
    <sheetView workbookViewId="0">
      <selection activeCell="H4" sqref="H4"/>
    </sheetView>
  </sheetViews>
  <sheetFormatPr defaultRowHeight="14.4" x14ac:dyDescent="0.3"/>
  <cols>
    <col min="1" max="1" width="17.6640625" customWidth="1"/>
    <col min="7" max="8" width="10.33203125" customWidth="1"/>
    <col min="9" max="11" width="11.5546875" customWidth="1"/>
    <col min="12" max="12" width="11.21875" customWidth="1"/>
    <col min="13" max="14" width="12.21875" customWidth="1"/>
    <col min="15" max="16" width="10.5546875" bestFit="1" customWidth="1"/>
    <col min="17" max="17" width="10.5546875" customWidth="1"/>
    <col min="18" max="19" width="11.5546875" bestFit="1" customWidth="1"/>
  </cols>
  <sheetData>
    <row r="1" spans="1:30" ht="17.399999999999999" x14ac:dyDescent="0.4">
      <c r="A1" s="47" t="s">
        <v>341</v>
      </c>
      <c r="B1" s="297" t="s">
        <v>342</v>
      </c>
      <c r="C1" s="297"/>
      <c r="D1" s="297"/>
      <c r="E1" s="297"/>
      <c r="F1" s="297"/>
      <c r="G1" s="297"/>
      <c r="H1" s="296" t="s">
        <v>343</v>
      </c>
      <c r="I1" s="296"/>
      <c r="J1" s="296"/>
      <c r="K1" s="296"/>
      <c r="L1" s="296"/>
      <c r="M1" s="296"/>
      <c r="N1" s="296"/>
      <c r="O1" s="296"/>
      <c r="P1" s="296"/>
      <c r="Q1" s="296"/>
      <c r="R1" s="296"/>
      <c r="S1" s="296"/>
    </row>
    <row r="2" spans="1:30" x14ac:dyDescent="0.3">
      <c r="A2" s="47" t="s">
        <v>344</v>
      </c>
      <c r="B2" s="298" t="s">
        <v>186</v>
      </c>
      <c r="C2" s="299"/>
      <c r="D2" s="296" t="s">
        <v>345</v>
      </c>
      <c r="E2" s="299"/>
      <c r="F2" s="297" t="s">
        <v>346</v>
      </c>
      <c r="G2" s="297"/>
      <c r="H2" s="295" t="s">
        <v>345</v>
      </c>
      <c r="I2" s="296"/>
      <c r="J2" s="299"/>
      <c r="K2" s="295" t="s">
        <v>186</v>
      </c>
      <c r="L2" s="296"/>
      <c r="M2" s="299"/>
      <c r="N2" s="295" t="s">
        <v>185</v>
      </c>
      <c r="O2" s="296"/>
      <c r="P2" s="296"/>
      <c r="Q2" s="297" t="s">
        <v>445</v>
      </c>
      <c r="R2" s="297"/>
      <c r="S2" s="297"/>
      <c r="U2" s="300" t="s">
        <v>531</v>
      </c>
      <c r="V2" s="300"/>
      <c r="Y2" s="295" t="s">
        <v>669</v>
      </c>
      <c r="Z2" s="296"/>
      <c r="AA2" s="297" t="s">
        <v>670</v>
      </c>
      <c r="AB2" s="297"/>
      <c r="AC2" s="295" t="s">
        <v>671</v>
      </c>
      <c r="AD2" s="297"/>
    </row>
    <row r="3" spans="1:30" ht="15" thickBot="1" x14ac:dyDescent="0.35">
      <c r="A3" s="47" t="s">
        <v>347</v>
      </c>
      <c r="B3" s="48" t="s">
        <v>348</v>
      </c>
      <c r="C3" s="49" t="s">
        <v>349</v>
      </c>
      <c r="D3" s="50" t="s">
        <v>348</v>
      </c>
      <c r="E3" s="49" t="s">
        <v>349</v>
      </c>
      <c r="F3" s="50" t="s">
        <v>348</v>
      </c>
      <c r="G3" s="50" t="s">
        <v>349</v>
      </c>
      <c r="H3" s="48" t="s">
        <v>372</v>
      </c>
      <c r="I3" s="50" t="s">
        <v>348</v>
      </c>
      <c r="J3" s="49" t="s">
        <v>349</v>
      </c>
      <c r="K3" s="50" t="s">
        <v>372</v>
      </c>
      <c r="L3" s="50" t="s">
        <v>348</v>
      </c>
      <c r="M3" s="49" t="s">
        <v>349</v>
      </c>
      <c r="N3" s="50" t="s">
        <v>372</v>
      </c>
      <c r="O3" s="50" t="s">
        <v>348</v>
      </c>
      <c r="P3" s="49" t="s">
        <v>349</v>
      </c>
      <c r="Q3" s="50" t="s">
        <v>372</v>
      </c>
      <c r="R3" s="50" t="s">
        <v>348</v>
      </c>
      <c r="S3" s="50" t="s">
        <v>349</v>
      </c>
      <c r="U3" s="50" t="s">
        <v>348</v>
      </c>
      <c r="V3" s="50" t="s">
        <v>349</v>
      </c>
      <c r="Y3" s="50" t="s">
        <v>348</v>
      </c>
      <c r="Z3" s="49" t="s">
        <v>349</v>
      </c>
      <c r="AA3" s="50" t="s">
        <v>348</v>
      </c>
      <c r="AB3" s="50" t="s">
        <v>349</v>
      </c>
      <c r="AC3" s="50" t="s">
        <v>348</v>
      </c>
      <c r="AD3" s="49" t="s">
        <v>349</v>
      </c>
    </row>
    <row r="4" spans="1:30" x14ac:dyDescent="0.3">
      <c r="A4" s="51" t="s">
        <v>127</v>
      </c>
      <c r="B4" s="52"/>
      <c r="C4" s="53"/>
      <c r="D4" s="54"/>
      <c r="E4" s="53"/>
      <c r="F4" s="54">
        <v>54</v>
      </c>
      <c r="G4" s="54">
        <v>39</v>
      </c>
      <c r="H4" s="52">
        <f>IFERROR(VLOOKUP($A4,Outliers!$H$65:$S$75,11,FALSE),"")</f>
        <v>14</v>
      </c>
      <c r="I4" s="86">
        <f>IFERROR(VLOOKUP($A4,Outliers!$H$65:$Q$75,9,FALSE),"")</f>
        <v>23.282505644626042</v>
      </c>
      <c r="J4" s="85">
        <f>IFERROR(VLOOKUP($A4,Outliers!$H$65:$Q$75,10,FALSE),"")</f>
        <v>21.851171431919209</v>
      </c>
      <c r="K4" s="86">
        <f>IFERROR(VLOOKUP($A4,Outliers!$H$65:$AA$75,20,FALSE),"")</f>
        <v>3</v>
      </c>
      <c r="L4" s="86">
        <f>IFERROR(VLOOKUP($A4,Outliers!$H$65:$Z$75,18,FALSE),"")</f>
        <v>3.9440365779021085</v>
      </c>
      <c r="M4" s="85">
        <f>IFERROR(VLOOKUP($A4,Outliers!$H$65:$Z$75,19,FALSE),"")</f>
        <v>3.8330166270784183</v>
      </c>
      <c r="N4" s="86">
        <f>IFERROR(VLOOKUP($A4,Outliers!$H$65:$AJ$75,29,FALSE),"")</f>
        <v>9</v>
      </c>
      <c r="O4" s="86">
        <f>IFERROR(VLOOKUP($A4,Outliers!$H$65:$AI$75,27,FALSE),"")</f>
        <v>31.985541141033018</v>
      </c>
      <c r="P4" s="85">
        <f>IFERROR(VLOOKUP($A4,Outliers!$H$65:$AI$75,28,FALSE),"")</f>
        <v>33.696431178207092</v>
      </c>
      <c r="Q4" s="86">
        <f>IFERROR(VLOOKUP($A4,Outliers!$H$65:$AS$75,38,FALSE),"")</f>
        <v>11</v>
      </c>
      <c r="R4" s="86">
        <f>IFERROR(VLOOKUP($A4,Outliers!$H$65:$AR$75,36,FALSE),"")</f>
        <v>21.563155199702081</v>
      </c>
      <c r="S4" s="86">
        <f>IFERROR(VLOOKUP($A4,Outliers!$H$65:$AR$75,37,FALSE),"")</f>
        <v>18.668832994460651</v>
      </c>
      <c r="U4" s="125">
        <f>SUM(I4,L4,O4,R4)</f>
        <v>80.775238563263244</v>
      </c>
      <c r="V4" s="125">
        <f>SUM(J4,M4,P4,S4)</f>
        <v>78.04945223166537</v>
      </c>
      <c r="Y4" s="125">
        <f t="shared" ref="Y4:Y18" si="0">O4</f>
        <v>31.985541141033018</v>
      </c>
      <c r="Z4" s="125">
        <f t="shared" ref="Z4:Z18" si="1">P4</f>
        <v>33.696431178207092</v>
      </c>
      <c r="AA4">
        <f t="shared" ref="AA4:AA18" si="2">F4</f>
        <v>54</v>
      </c>
      <c r="AB4">
        <f t="shared" ref="AB4:AB18" si="3">G4</f>
        <v>39</v>
      </c>
      <c r="AC4" s="210">
        <f t="shared" ref="AC4:AC18" si="4">IFERROR(Y4/AA4,0)</f>
        <v>0.59232483594505592</v>
      </c>
      <c r="AD4" s="210">
        <f t="shared" ref="AD4:AD18" si="5">IFERROR(Z4/AB4,0)</f>
        <v>0.86401105585146387</v>
      </c>
    </row>
    <row r="5" spans="1:30" x14ac:dyDescent="0.3">
      <c r="A5" s="51" t="s">
        <v>153</v>
      </c>
      <c r="B5" s="52">
        <v>160</v>
      </c>
      <c r="C5" s="53">
        <v>138</v>
      </c>
      <c r="D5" s="54"/>
      <c r="E5" s="53"/>
      <c r="F5" s="54">
        <v>102</v>
      </c>
      <c r="G5" s="54">
        <v>69</v>
      </c>
      <c r="H5" s="52">
        <f>IFERROR(VLOOKUP($A5,Outliers!$H$65:$S$75,11,FALSE),"")</f>
        <v>7</v>
      </c>
      <c r="I5" s="86">
        <f>IFERROR(VLOOKUP($A5,Outliers!$H$65:$Q$75,9,FALSE),"")</f>
        <v>28.803859533043848</v>
      </c>
      <c r="J5" s="85">
        <f>IFERROR(VLOOKUP($A5,Outliers!$H$65:$Q$75,10,FALSE),"")</f>
        <v>28.893397989264272</v>
      </c>
      <c r="K5" s="86">
        <f>IFERROR(VLOOKUP($A5,Outliers!$H$65:$AA$75,20,FALSE),"")</f>
        <v>3</v>
      </c>
      <c r="L5" s="86">
        <f>IFERROR(VLOOKUP($A5,Outliers!$H$65:$Z$75,18,FALSE),"")</f>
        <v>31.304493971652978</v>
      </c>
      <c r="M5" s="85">
        <f>IFERROR(VLOOKUP($A5,Outliers!$H$65:$Z$75,19,FALSE),"")</f>
        <v>33.336950277653713</v>
      </c>
      <c r="N5" s="86">
        <f>IFERROR(VLOOKUP($A5,Outliers!$H$65:$AJ$75,29,FALSE),"")</f>
        <v>4</v>
      </c>
      <c r="O5" s="86">
        <f>IFERROR(VLOOKUP($A5,Outliers!$H$65:$AI$75,27,FALSE),"")</f>
        <v>63.560855525564989</v>
      </c>
      <c r="P5" s="85">
        <f>IFERROR(VLOOKUP($A5,Outliers!$H$65:$AI$75,28,FALSE),"")</f>
        <v>38.953514697910919</v>
      </c>
      <c r="Q5" s="86">
        <f>IFERROR(VLOOKUP($A5,Outliers!$H$65:$AS$75,38,FALSE),"")</f>
        <v>4</v>
      </c>
      <c r="R5" s="86">
        <f>IFERROR(VLOOKUP($A5,Outliers!$H$65:$AR$75,36,FALSE),"")</f>
        <v>19.076178819738761</v>
      </c>
      <c r="S5" s="86">
        <f>IFERROR(VLOOKUP($A5,Outliers!$H$65:$AR$75,37,FALSE),"")</f>
        <v>14.499421575631686</v>
      </c>
      <c r="U5" s="125">
        <f t="shared" ref="U5:U17" si="6">SUM(I5,L5,O5,R5)</f>
        <v>142.74538785000058</v>
      </c>
      <c r="V5" s="125">
        <f t="shared" ref="V5:V17" si="7">SUM(J5,M5,P5,S5)</f>
        <v>115.68328454046059</v>
      </c>
      <c r="Y5" s="125">
        <f t="shared" si="0"/>
        <v>63.560855525564989</v>
      </c>
      <c r="Z5" s="125">
        <f t="shared" si="1"/>
        <v>38.953514697910919</v>
      </c>
      <c r="AA5">
        <f t="shared" si="2"/>
        <v>102</v>
      </c>
      <c r="AB5">
        <f t="shared" si="3"/>
        <v>69</v>
      </c>
      <c r="AC5" s="210">
        <f t="shared" si="4"/>
        <v>0.62314564240749992</v>
      </c>
      <c r="AD5" s="210">
        <f t="shared" si="5"/>
        <v>0.56454369127407134</v>
      </c>
    </row>
    <row r="6" spans="1:30" s="9" customFormat="1" x14ac:dyDescent="0.3">
      <c r="A6" s="119" t="s">
        <v>350</v>
      </c>
      <c r="B6" s="120"/>
      <c r="C6" s="121"/>
      <c r="D6" s="122"/>
      <c r="E6" s="121"/>
      <c r="F6" s="122">
        <v>49</v>
      </c>
      <c r="G6" s="122">
        <v>38</v>
      </c>
      <c r="H6" s="120" t="str">
        <f>IFERROR(VLOOKUP($A6,Outliers!$H$65:$S$75,11,FALSE),"")</f>
        <v/>
      </c>
      <c r="I6" s="123" t="str">
        <f>IFERROR(VLOOKUP($A6,Outliers!$H$65:$Q$75,9,FALSE),"")</f>
        <v/>
      </c>
      <c r="J6" s="149">
        <v>34</v>
      </c>
      <c r="K6" s="123" t="str">
        <f>IFERROR(VLOOKUP($A6,Outliers!$H$65:$AA$75,20,FALSE),"")</f>
        <v/>
      </c>
      <c r="L6" s="123" t="str">
        <f>IFERROR(VLOOKUP($A6,Outliers!$H$65:$Z$75,18,FALSE),"")</f>
        <v/>
      </c>
      <c r="M6" s="124" t="str">
        <f>IFERROR(VLOOKUP($A6,Outliers!$H$65:$Z$75,19,FALSE),"")</f>
        <v/>
      </c>
      <c r="N6" s="123" t="str">
        <f>IFERROR(VLOOKUP($A6,Outliers!$H$65:$AJ$75,29,FALSE),"")</f>
        <v/>
      </c>
      <c r="O6" s="123" t="str">
        <f>IFERROR(VLOOKUP($A6,Outliers!$H$65:$AI$75,27,FALSE),"")</f>
        <v/>
      </c>
      <c r="P6" s="242">
        <v>20</v>
      </c>
      <c r="Q6" s="123" t="str">
        <f>IFERROR(VLOOKUP($A6,Outliers!$H$65:$AS$75,38,FALSE),"")</f>
        <v/>
      </c>
      <c r="R6" s="123" t="str">
        <f>IFERROR(VLOOKUP($A6,Outliers!$H$65:$AR$75,36,FALSE),"")</f>
        <v/>
      </c>
      <c r="S6" s="244">
        <v>30</v>
      </c>
      <c r="T6"/>
      <c r="U6" s="125">
        <f t="shared" si="6"/>
        <v>0</v>
      </c>
      <c r="V6" s="125">
        <f t="shared" si="7"/>
        <v>84</v>
      </c>
      <c r="Y6" s="125" t="str">
        <f t="shared" si="0"/>
        <v/>
      </c>
      <c r="Z6" s="125">
        <f t="shared" si="1"/>
        <v>20</v>
      </c>
      <c r="AA6">
        <f t="shared" si="2"/>
        <v>49</v>
      </c>
      <c r="AB6">
        <f t="shared" si="3"/>
        <v>38</v>
      </c>
      <c r="AC6" s="210">
        <f t="shared" si="4"/>
        <v>0</v>
      </c>
      <c r="AD6" s="210">
        <f t="shared" si="5"/>
        <v>0.52631578947368418</v>
      </c>
    </row>
    <row r="7" spans="1:30" x14ac:dyDescent="0.3">
      <c r="A7" s="51" t="s">
        <v>145</v>
      </c>
      <c r="B7" s="52">
        <v>427</v>
      </c>
      <c r="C7" s="53">
        <v>435</v>
      </c>
      <c r="D7" s="54"/>
      <c r="E7" s="53"/>
      <c r="F7" s="54">
        <v>259</v>
      </c>
      <c r="G7" s="54">
        <v>231</v>
      </c>
      <c r="H7" s="52">
        <f>IFERROR(VLOOKUP($A7,Outliers!$H$65:$S$75,11,FALSE),"")</f>
        <v>1</v>
      </c>
      <c r="I7" s="86">
        <f>IFERROR(VLOOKUP($A7,Outliers!$H$65:$Q$75,9,FALSE),"")</f>
        <v>129.82672977722038</v>
      </c>
      <c r="J7" s="85">
        <f>IFERROR(VLOOKUP($A7,Outliers!$H$65:$Q$75,10,FALSE),"")</f>
        <v>129.82672977722038</v>
      </c>
      <c r="K7" s="86">
        <f>IFERROR(VLOOKUP($A7,Outliers!$H$65:$AA$75,20,FALSE),"")</f>
        <v>1</v>
      </c>
      <c r="L7" s="86">
        <f>IFERROR(VLOOKUP($A7,Outliers!$H$65:$Z$75,18,FALSE),"")</f>
        <v>155.39993033786095</v>
      </c>
      <c r="M7" s="85">
        <f>IFERROR(VLOOKUP($A7,Outliers!$H$65:$Z$75,19,FALSE),"")</f>
        <v>155.39993033786095</v>
      </c>
      <c r="N7" s="86">
        <f>IFERROR(VLOOKUP($A7,Outliers!$H$65:$AJ$75,29,FALSE),"")</f>
        <v>0</v>
      </c>
      <c r="O7" s="86" t="str">
        <f>IFERROR(VLOOKUP($A7,Outliers!$H$65:$AI$75,27,FALSE),"")</f>
        <v/>
      </c>
      <c r="P7" s="85" t="str">
        <f>IFERROR(VLOOKUP($A7,Outliers!$H$65:$AI$75,28,FALSE),"")</f>
        <v/>
      </c>
      <c r="Q7" s="86">
        <f>IFERROR(VLOOKUP($A7,Outliers!$H$65:$AS$75,38,FALSE),"")</f>
        <v>0</v>
      </c>
      <c r="R7" s="86" t="str">
        <f>IFERROR(VLOOKUP($A7,Outliers!$H$65:$AR$75,36,FALSE),"")</f>
        <v/>
      </c>
      <c r="S7" s="86" t="str">
        <f>IFERROR(VLOOKUP($A7,Outliers!$H$65:$AR$75,37,FALSE),"")</f>
        <v/>
      </c>
      <c r="U7" s="125">
        <f t="shared" si="6"/>
        <v>285.22666011508136</v>
      </c>
      <c r="V7" s="125">
        <f t="shared" si="7"/>
        <v>285.22666011508136</v>
      </c>
      <c r="Y7" s="125" t="str">
        <f t="shared" si="0"/>
        <v/>
      </c>
      <c r="Z7" s="125" t="str">
        <f t="shared" si="1"/>
        <v/>
      </c>
      <c r="AA7">
        <f t="shared" si="2"/>
        <v>259</v>
      </c>
      <c r="AB7">
        <f t="shared" si="3"/>
        <v>231</v>
      </c>
      <c r="AC7" s="210">
        <f t="shared" si="4"/>
        <v>0</v>
      </c>
      <c r="AD7" s="210">
        <f t="shared" si="5"/>
        <v>0</v>
      </c>
    </row>
    <row r="8" spans="1:30" s="9" customFormat="1" x14ac:dyDescent="0.3">
      <c r="A8" s="119" t="s">
        <v>351</v>
      </c>
      <c r="B8" s="120"/>
      <c r="C8" s="121"/>
      <c r="D8" s="122"/>
      <c r="E8" s="121"/>
      <c r="F8" s="122"/>
      <c r="G8" s="122"/>
      <c r="H8" s="120" t="str">
        <f>IFERROR(VLOOKUP($A8,Outliers!$H$65:$S$75,11,FALSE),"")</f>
        <v/>
      </c>
      <c r="I8" s="123" t="str">
        <f>IFERROR(VLOOKUP($A8,Outliers!$H$65:$Q$75,9,FALSE),"")</f>
        <v/>
      </c>
      <c r="J8" s="124" t="str">
        <f>IFERROR(VLOOKUP($A8,Outliers!$H$65:$Q$75,10,FALSE),"")</f>
        <v/>
      </c>
      <c r="K8" s="123" t="str">
        <f>IFERROR(VLOOKUP($A8,Outliers!$H$65:$AA$75,20,FALSE),"")</f>
        <v/>
      </c>
      <c r="L8" s="123" t="str">
        <f>IFERROR(VLOOKUP($A8,Outliers!$H$65:$Z$75,18,FALSE),"")</f>
        <v/>
      </c>
      <c r="M8" s="124" t="str">
        <f>IFERROR(VLOOKUP($A8,Outliers!$H$65:$Z$75,19,FALSE),"")</f>
        <v/>
      </c>
      <c r="N8" s="123" t="str">
        <f>IFERROR(VLOOKUP($A8,Outliers!$H$65:$AJ$75,29,FALSE),"")</f>
        <v/>
      </c>
      <c r="O8" s="123" t="str">
        <f>IFERROR(VLOOKUP($A8,Outliers!$H$65:$AI$75,27,FALSE),"")</f>
        <v/>
      </c>
      <c r="P8" s="124" t="str">
        <f>IFERROR(VLOOKUP($A8,Outliers!$H$65:$AI$75,28,FALSE),"")</f>
        <v/>
      </c>
      <c r="Q8" s="123" t="str">
        <f>IFERROR(VLOOKUP($A8,Outliers!$H$65:$AS$75,38,FALSE),"")</f>
        <v/>
      </c>
      <c r="R8" s="123" t="str">
        <f>IFERROR(VLOOKUP($A8,Outliers!$H$65:$AR$75,36,FALSE),"")</f>
        <v/>
      </c>
      <c r="S8" s="123" t="str">
        <f>IFERROR(VLOOKUP($A8,Outliers!$H$65:$AR$75,37,FALSE),"")</f>
        <v/>
      </c>
      <c r="T8"/>
      <c r="U8" s="125">
        <f t="shared" si="6"/>
        <v>0</v>
      </c>
      <c r="V8" s="125">
        <f t="shared" si="7"/>
        <v>0</v>
      </c>
      <c r="Y8" s="125" t="str">
        <f t="shared" si="0"/>
        <v/>
      </c>
      <c r="Z8" s="125" t="str">
        <f t="shared" si="1"/>
        <v/>
      </c>
      <c r="AA8">
        <f t="shared" si="2"/>
        <v>0</v>
      </c>
      <c r="AB8">
        <f t="shared" si="3"/>
        <v>0</v>
      </c>
      <c r="AC8" s="210">
        <f t="shared" si="4"/>
        <v>0</v>
      </c>
      <c r="AD8" s="210">
        <f t="shared" si="5"/>
        <v>0</v>
      </c>
    </row>
    <row r="9" spans="1:30" x14ac:dyDescent="0.3">
      <c r="A9" s="51" t="s">
        <v>149</v>
      </c>
      <c r="B9" s="52">
        <v>296</v>
      </c>
      <c r="C9" s="53">
        <v>210</v>
      </c>
      <c r="D9" s="54"/>
      <c r="E9" s="53"/>
      <c r="F9" s="54">
        <v>200</v>
      </c>
      <c r="G9" s="54">
        <v>173</v>
      </c>
      <c r="H9" s="52">
        <f>IFERROR(VLOOKUP($A9,Outliers!$H$65:$S$75,11,FALSE),"")</f>
        <v>4</v>
      </c>
      <c r="I9" s="86">
        <f>IFERROR(VLOOKUP($A9,Outliers!$H$65:$Q$75,9,FALSE),"")</f>
        <v>39.902432097004734</v>
      </c>
      <c r="J9" s="85">
        <f>IFERROR(VLOOKUP($A9,Outliers!$H$65:$Q$75,10,FALSE),"")</f>
        <v>41.525395637114023</v>
      </c>
      <c r="K9" s="86">
        <f>IFERROR(VLOOKUP($A9,Outliers!$H$65:$AA$75,20,FALSE),"")</f>
        <v>3</v>
      </c>
      <c r="L9" s="86">
        <f>IFERROR(VLOOKUP($A9,Outliers!$H$65:$Z$75,18,FALSE),"")</f>
        <v>4.187883035701673</v>
      </c>
      <c r="M9" s="85">
        <f>IFERROR(VLOOKUP($A9,Outliers!$H$65:$Z$75,19,FALSE),"")</f>
        <v>7.5595472770094957E-2</v>
      </c>
      <c r="N9" s="86">
        <f>IFERROR(VLOOKUP($A9,Outliers!$H$65:$AJ$75,29,FALSE),"")</f>
        <v>3</v>
      </c>
      <c r="O9" s="86">
        <f>IFERROR(VLOOKUP($A9,Outliers!$H$65:$AI$75,27,FALSE),"")</f>
        <v>56.256734695015552</v>
      </c>
      <c r="P9" s="85">
        <f>IFERROR(VLOOKUP($A9,Outliers!$H$65:$AI$75,28,FALSE),"")</f>
        <v>51.752843603314346</v>
      </c>
      <c r="Q9" s="86">
        <f>IFERROR(VLOOKUP($A9,Outliers!$H$65:$AS$75,38,FALSE),"")</f>
        <v>3</v>
      </c>
      <c r="R9" s="86">
        <f>IFERROR(VLOOKUP($A9,Outliers!$H$65:$AR$75,36,FALSE),"")</f>
        <v>35.356273782712016</v>
      </c>
      <c r="S9" s="86">
        <f>IFERROR(VLOOKUP($A9,Outliers!$H$65:$AR$75,37,FALSE),"")</f>
        <v>23.730692977996267</v>
      </c>
      <c r="U9" s="125">
        <f t="shared" si="6"/>
        <v>135.70332361043398</v>
      </c>
      <c r="V9" s="125">
        <f t="shared" si="7"/>
        <v>117.08452769119474</v>
      </c>
      <c r="Y9" s="125">
        <f t="shared" si="0"/>
        <v>56.256734695015552</v>
      </c>
      <c r="Z9" s="125">
        <f t="shared" si="1"/>
        <v>51.752843603314346</v>
      </c>
      <c r="AA9">
        <f t="shared" si="2"/>
        <v>200</v>
      </c>
      <c r="AB9">
        <f t="shared" si="3"/>
        <v>173</v>
      </c>
      <c r="AC9" s="210">
        <f t="shared" si="4"/>
        <v>0.28128367347507777</v>
      </c>
      <c r="AD9" s="210">
        <f t="shared" si="5"/>
        <v>0.29914938499025634</v>
      </c>
    </row>
    <row r="10" spans="1:30" x14ac:dyDescent="0.3">
      <c r="A10" s="51" t="s">
        <v>147</v>
      </c>
      <c r="B10" s="52"/>
      <c r="C10" s="53"/>
      <c r="D10" s="54"/>
      <c r="E10" s="53"/>
      <c r="F10" s="54">
        <v>45</v>
      </c>
      <c r="G10" s="54">
        <v>41</v>
      </c>
      <c r="H10" s="52">
        <f>IFERROR(VLOOKUP($A10,Outliers!$H$65:$S$75,11,FALSE),"")</f>
        <v>2</v>
      </c>
      <c r="I10" s="86">
        <f>IFERROR(VLOOKUP($A10,Outliers!$H$65:$Q$75,9,FALSE),"")</f>
        <v>28.609409627020554</v>
      </c>
      <c r="J10" s="85">
        <f>IFERROR(VLOOKUP($A10,Outliers!$H$65:$Q$75,10,FALSE),"")</f>
        <v>28.609409627020554</v>
      </c>
      <c r="K10" s="86">
        <f>IFERROR(VLOOKUP($A10,Outliers!$H$65:$AA$75,20,FALSE),"")</f>
        <v>0</v>
      </c>
      <c r="L10" s="86" t="str">
        <f>IFERROR(VLOOKUP($A10,Outliers!$H$65:$Z$75,18,FALSE),"")</f>
        <v/>
      </c>
      <c r="M10" s="85" t="str">
        <f>IFERROR(VLOOKUP($A10,Outliers!$H$65:$Z$75,19,FALSE),"")</f>
        <v/>
      </c>
      <c r="N10" s="86">
        <f>IFERROR(VLOOKUP($A10,Outliers!$H$65:$AJ$75,29,FALSE),"")</f>
        <v>1</v>
      </c>
      <c r="O10" s="86">
        <f>IFERROR(VLOOKUP($A10,Outliers!$H$65:$AI$75,27,FALSE),"")</f>
        <v>13.667951673932754</v>
      </c>
      <c r="P10" s="85">
        <f>IFERROR(VLOOKUP($A10,Outliers!$H$65:$AI$75,28,FALSE),"")</f>
        <v>13.667951673932754</v>
      </c>
      <c r="Q10" s="86">
        <f>IFERROR(VLOOKUP($A10,Outliers!$H$65:$AS$75,38,FALSE),"")</f>
        <v>1</v>
      </c>
      <c r="R10" s="86">
        <f>IFERROR(VLOOKUP($A10,Outliers!$H$65:$AR$75,36,FALSE),"")</f>
        <v>29.273956811289949</v>
      </c>
      <c r="S10" s="86">
        <f>IFERROR(VLOOKUP($A10,Outliers!$H$65:$AR$75,37,FALSE),"")</f>
        <v>29.273956811289949</v>
      </c>
      <c r="U10" s="125">
        <f t="shared" si="6"/>
        <v>71.551318112243251</v>
      </c>
      <c r="V10" s="125">
        <f t="shared" si="7"/>
        <v>71.551318112243251</v>
      </c>
      <c r="Y10" s="125">
        <f t="shared" si="0"/>
        <v>13.667951673932754</v>
      </c>
      <c r="Z10" s="125">
        <f t="shared" si="1"/>
        <v>13.667951673932754</v>
      </c>
      <c r="AA10">
        <f t="shared" si="2"/>
        <v>45</v>
      </c>
      <c r="AB10">
        <f t="shared" si="3"/>
        <v>41</v>
      </c>
      <c r="AC10" s="210">
        <f t="shared" si="4"/>
        <v>0.30373225942072785</v>
      </c>
      <c r="AD10" s="210">
        <f t="shared" si="5"/>
        <v>0.3333646749739696</v>
      </c>
    </row>
    <row r="11" spans="1:30" x14ac:dyDescent="0.3">
      <c r="A11" s="51" t="s">
        <v>123</v>
      </c>
      <c r="B11" s="52">
        <v>79</v>
      </c>
      <c r="C11" s="53">
        <v>66</v>
      </c>
      <c r="D11" s="54">
        <v>62</v>
      </c>
      <c r="E11" s="53">
        <v>44</v>
      </c>
      <c r="F11" s="54">
        <v>62</v>
      </c>
      <c r="G11" s="54">
        <v>49</v>
      </c>
      <c r="H11" s="52">
        <f>IFERROR(VLOOKUP($A11,Outliers!$H$65:$S$75,11,FALSE),"")</f>
        <v>7</v>
      </c>
      <c r="I11" s="86">
        <f>IFERROR(VLOOKUP($A11,Outliers!$H$65:$Q$75,9,FALSE),"")</f>
        <v>33.266327409148829</v>
      </c>
      <c r="J11" s="85">
        <f>IFERROR(VLOOKUP($A11,Outliers!$H$65:$Q$75,10,FALSE),"")</f>
        <v>35.919636826294649</v>
      </c>
      <c r="K11" s="86">
        <f>IFERROR(VLOOKUP($A11,Outliers!$H$65:$AA$75,20,FALSE),"")</f>
        <v>2</v>
      </c>
      <c r="L11" s="86">
        <f>IFERROR(VLOOKUP($A11,Outliers!$H$65:$Z$75,18,FALSE),"")</f>
        <v>10.100564067441651</v>
      </c>
      <c r="M11" s="85">
        <f>IFERROR(VLOOKUP($A11,Outliers!$H$65:$Z$75,19,FALSE),"")</f>
        <v>6.6345383437651062</v>
      </c>
      <c r="N11" s="86">
        <f>IFERROR(VLOOKUP($A11,Outliers!$H$65:$AJ$75,29,FALSE),"")</f>
        <v>1</v>
      </c>
      <c r="O11" s="86">
        <f>IFERROR(VLOOKUP($A11,Outliers!$H$65:$AI$75,27,FALSE),"")</f>
        <v>20.213811958075642</v>
      </c>
      <c r="P11" s="85">
        <f>IFERROR(VLOOKUP($A11,Outliers!$H$65:$AI$75,28,FALSE),"")</f>
        <v>20.213811958075642</v>
      </c>
      <c r="Q11" s="86">
        <f>IFERROR(VLOOKUP($A11,Outliers!$H$65:$AS$75,38,FALSE),"")</f>
        <v>1</v>
      </c>
      <c r="R11" s="86">
        <f>IFERROR(VLOOKUP($A11,Outliers!$H$65:$AR$75,36,FALSE),"")</f>
        <v>13.707130534002971</v>
      </c>
      <c r="S11" s="86">
        <f>IFERROR(VLOOKUP($A11,Outliers!$H$65:$AR$75,37,FALSE),"")</f>
        <v>13.707130534002971</v>
      </c>
      <c r="U11" s="125">
        <f t="shared" si="6"/>
        <v>77.287833968669091</v>
      </c>
      <c r="V11" s="125">
        <f t="shared" si="7"/>
        <v>76.475117662138373</v>
      </c>
      <c r="Y11" s="125">
        <f t="shared" si="0"/>
        <v>20.213811958075642</v>
      </c>
      <c r="Z11" s="125">
        <f t="shared" si="1"/>
        <v>20.213811958075642</v>
      </c>
      <c r="AA11">
        <f t="shared" si="2"/>
        <v>62</v>
      </c>
      <c r="AB11">
        <f t="shared" si="3"/>
        <v>49</v>
      </c>
      <c r="AC11" s="210">
        <f t="shared" si="4"/>
        <v>0.32602922513025229</v>
      </c>
      <c r="AD11" s="210">
        <f t="shared" si="5"/>
        <v>0.41252677465460491</v>
      </c>
    </row>
    <row r="12" spans="1:30" x14ac:dyDescent="0.3">
      <c r="A12" s="51" t="s">
        <v>136</v>
      </c>
      <c r="B12" s="52"/>
      <c r="C12" s="53"/>
      <c r="D12" s="54"/>
      <c r="E12" s="53"/>
      <c r="F12" s="54"/>
      <c r="G12" s="54"/>
      <c r="H12" s="250">
        <f>IFERROR(VLOOKUP($A12,Outliers!$H$65:$S$75,11,FALSE),"")</f>
        <v>2</v>
      </c>
      <c r="I12" s="251">
        <f>IFERROR(VLOOKUP($A12,Outliers!$H$65:$Q$75,9,FALSE),"")</f>
        <v>85.670106200971645</v>
      </c>
      <c r="J12" s="252">
        <f>IFERROR(VLOOKUP($A12,Outliers!$H$65:$Q$75,10,FALSE),"")</f>
        <v>85.670106200971645</v>
      </c>
      <c r="K12" s="86">
        <f>IFERROR(VLOOKUP($A12,Outliers!$H$65:$AA$75,20,FALSE),"")</f>
        <v>0</v>
      </c>
      <c r="L12" s="86" t="str">
        <f>IFERROR(VLOOKUP($A12,Outliers!$H$65:$Z$75,18,FALSE),"")</f>
        <v/>
      </c>
      <c r="M12" s="85" t="str">
        <f>IFERROR(VLOOKUP($A12,Outliers!$H$65:$Z$75,19,FALSE),"")</f>
        <v/>
      </c>
      <c r="N12" s="86">
        <f>IFERROR(VLOOKUP($A12,Outliers!$H$65:$AJ$75,29,FALSE),"")</f>
        <v>0</v>
      </c>
      <c r="O12" s="86" t="str">
        <f>IFERROR(VLOOKUP($A12,Outliers!$H$65:$AI$75,27,FALSE),"")</f>
        <v/>
      </c>
      <c r="P12" s="85" t="str">
        <f>IFERROR(VLOOKUP($A12,Outliers!$H$65:$AI$75,28,FALSE),"")</f>
        <v/>
      </c>
      <c r="Q12" s="86">
        <f>IFERROR(VLOOKUP($A12,Outliers!$H$65:$AS$75,38,FALSE),"")</f>
        <v>0</v>
      </c>
      <c r="R12" s="86" t="str">
        <f>IFERROR(VLOOKUP($A12,Outliers!$H$65:$AR$75,36,FALSE),"")</f>
        <v/>
      </c>
      <c r="S12" s="86" t="str">
        <f>IFERROR(VLOOKUP($A12,Outliers!$H$65:$AR$75,37,FALSE),"")</f>
        <v/>
      </c>
      <c r="U12" s="125">
        <f t="shared" si="6"/>
        <v>85.670106200971645</v>
      </c>
      <c r="V12" s="125">
        <f t="shared" si="7"/>
        <v>85.670106200971645</v>
      </c>
      <c r="Y12" s="125" t="str">
        <f t="shared" si="0"/>
        <v/>
      </c>
      <c r="Z12" s="125" t="str">
        <f t="shared" si="1"/>
        <v/>
      </c>
      <c r="AA12">
        <f t="shared" si="2"/>
        <v>0</v>
      </c>
      <c r="AB12">
        <f t="shared" si="3"/>
        <v>0</v>
      </c>
      <c r="AC12" s="210">
        <f t="shared" si="4"/>
        <v>0</v>
      </c>
      <c r="AD12" s="210">
        <f t="shared" si="5"/>
        <v>0</v>
      </c>
    </row>
    <row r="13" spans="1:30" s="9" customFormat="1" x14ac:dyDescent="0.3">
      <c r="A13" s="119" t="s">
        <v>352</v>
      </c>
      <c r="B13" s="120"/>
      <c r="C13" s="121"/>
      <c r="D13" s="122"/>
      <c r="E13" s="121"/>
      <c r="F13" s="122"/>
      <c r="G13" s="122"/>
      <c r="H13" s="120" t="str">
        <f>IFERROR(VLOOKUP($A13,Outliers!$H$65:$S$75,11,FALSE),"")</f>
        <v/>
      </c>
      <c r="I13" s="123" t="str">
        <f>IFERROR(VLOOKUP($A13,Outliers!$H$65:$Q$75,9,FALSE),"")</f>
        <v/>
      </c>
      <c r="J13" s="124">
        <f>MEDIAN('SkYSPark Data_w Will''s Data'!Q735:Q759)</f>
        <v>2.2423123735889905</v>
      </c>
      <c r="K13" s="123" t="str">
        <f>IFERROR(VLOOKUP($A13,Outliers!$H$65:$AA$75,20,FALSE),"")</f>
        <v/>
      </c>
      <c r="L13" s="123" t="str">
        <f>IFERROR(VLOOKUP($A13,Outliers!$H$65:$Z$75,18,FALSE),"")</f>
        <v/>
      </c>
      <c r="M13" s="124" t="str">
        <f>IFERROR(VLOOKUP($A13,Outliers!$H$65:$Z$75,19,FALSE),"")</f>
        <v/>
      </c>
      <c r="N13" s="123" t="str">
        <f>IFERROR(VLOOKUP($A13,Outliers!$H$65:$AJ$75,29,FALSE),"")</f>
        <v/>
      </c>
      <c r="O13" s="123" t="str">
        <f>IFERROR(VLOOKUP($A13,Outliers!$H$65:$AI$75,27,FALSE),"")</f>
        <v/>
      </c>
      <c r="P13" s="124" t="str">
        <f>IFERROR(VLOOKUP($A13,Outliers!$H$65:$AI$75,28,FALSE),"")</f>
        <v/>
      </c>
      <c r="Q13" s="123" t="str">
        <f>IFERROR(VLOOKUP($A13,Outliers!$H$65:$AS$75,38,FALSE),"")</f>
        <v/>
      </c>
      <c r="R13" s="123" t="str">
        <f>IFERROR(VLOOKUP($A13,Outliers!$H$65:$AR$75,36,FALSE),"")</f>
        <v/>
      </c>
      <c r="S13" s="123" t="str">
        <f>IFERROR(VLOOKUP($A13,Outliers!$H$65:$AR$75,37,FALSE),"")</f>
        <v/>
      </c>
      <c r="T13"/>
      <c r="U13" s="125">
        <f t="shared" si="6"/>
        <v>0</v>
      </c>
      <c r="V13" s="125">
        <f t="shared" si="7"/>
        <v>2.2423123735889905</v>
      </c>
      <c r="Y13" s="125" t="str">
        <f t="shared" si="0"/>
        <v/>
      </c>
      <c r="Z13" s="125" t="str">
        <f t="shared" si="1"/>
        <v/>
      </c>
      <c r="AA13">
        <f t="shared" si="2"/>
        <v>0</v>
      </c>
      <c r="AB13">
        <f t="shared" si="3"/>
        <v>0</v>
      </c>
      <c r="AC13" s="210">
        <f t="shared" si="4"/>
        <v>0</v>
      </c>
      <c r="AD13" s="210">
        <f t="shared" si="5"/>
        <v>0</v>
      </c>
    </row>
    <row r="14" spans="1:30" x14ac:dyDescent="0.3">
      <c r="A14" s="51" t="s">
        <v>134</v>
      </c>
      <c r="B14" s="52">
        <v>88</v>
      </c>
      <c r="C14" s="53">
        <v>76</v>
      </c>
      <c r="D14" s="54"/>
      <c r="E14" s="53"/>
      <c r="F14" s="54">
        <v>55</v>
      </c>
      <c r="G14" s="54">
        <v>50</v>
      </c>
      <c r="H14" s="52">
        <f>IFERROR(VLOOKUP($A14,Outliers!$H$65:$S$75,11,FALSE),"")</f>
        <v>5</v>
      </c>
      <c r="I14" s="86">
        <f>IFERROR(VLOOKUP($A14,Outliers!$H$65:$Q$75,9,FALSE),"")</f>
        <v>17.493981468890539</v>
      </c>
      <c r="J14" s="246">
        <f>IFERROR(VLOOKUP($A14,Outliers!$H$65:$Q$75,10,FALSE),"")</f>
        <v>18.699203534006148</v>
      </c>
      <c r="K14" s="86">
        <f>IFERROR(VLOOKUP($A14,Outliers!$H$65:$AA$75,20,FALSE),"")</f>
        <v>3</v>
      </c>
      <c r="L14" s="86">
        <f>IFERROR(VLOOKUP($A14,Outliers!$H$65:$Z$75,18,FALSE),"")</f>
        <v>34.86129443848646</v>
      </c>
      <c r="M14" s="85">
        <f>IFERROR(VLOOKUP($A14,Outliers!$H$65:$Z$75,19,FALSE),"")</f>
        <v>33.444707740916165</v>
      </c>
      <c r="N14" s="86">
        <f>IFERROR(VLOOKUP($A14,Outliers!$H$65:$AJ$75,29,FALSE),"")</f>
        <v>2</v>
      </c>
      <c r="O14" s="86">
        <f>IFERROR(VLOOKUP($A14,Outliers!$H$65:$AI$75,27,FALSE),"")</f>
        <v>33.975051630042373</v>
      </c>
      <c r="P14" s="85">
        <f>IFERROR(VLOOKUP($A14,Outliers!$H$65:$AI$75,28,FALSE),"")</f>
        <v>33.975051630042373</v>
      </c>
      <c r="Q14" s="86">
        <f>IFERROR(VLOOKUP($A14,Outliers!$H$65:$AS$75,38,FALSE),"")</f>
        <v>2</v>
      </c>
      <c r="R14" s="86">
        <f>IFERROR(VLOOKUP($A14,Outliers!$H$65:$AR$75,36,FALSE),"")</f>
        <v>13.160123040713476</v>
      </c>
      <c r="S14" s="86">
        <f>IFERROR(VLOOKUP($A14,Outliers!$H$65:$AR$75,37,FALSE),"")</f>
        <v>13.160123040713476</v>
      </c>
      <c r="U14" s="125">
        <f t="shared" si="6"/>
        <v>99.490450578132851</v>
      </c>
      <c r="V14" s="125">
        <f t="shared" si="7"/>
        <v>99.279085945678162</v>
      </c>
      <c r="Y14" s="125">
        <f t="shared" si="0"/>
        <v>33.975051630042373</v>
      </c>
      <c r="Z14" s="125">
        <f t="shared" si="1"/>
        <v>33.975051630042373</v>
      </c>
      <c r="AA14">
        <f t="shared" si="2"/>
        <v>55</v>
      </c>
      <c r="AB14">
        <f t="shared" si="3"/>
        <v>50</v>
      </c>
      <c r="AC14" s="210">
        <f t="shared" si="4"/>
        <v>0.61772821145531587</v>
      </c>
      <c r="AD14" s="210">
        <f t="shared" si="5"/>
        <v>0.67950103260084749</v>
      </c>
    </row>
    <row r="15" spans="1:30" x14ac:dyDescent="0.3">
      <c r="A15" s="51" t="s">
        <v>125</v>
      </c>
      <c r="B15" s="52"/>
      <c r="C15" s="53"/>
      <c r="D15" s="54"/>
      <c r="E15" s="53"/>
      <c r="F15" s="54"/>
      <c r="G15" s="54"/>
      <c r="H15" s="52">
        <f>IFERROR(VLOOKUP($A15,Outliers!$H$65:$S$75,11,FALSE),"")</f>
        <v>3</v>
      </c>
      <c r="I15" s="86">
        <f>IFERROR(VLOOKUP($A15,Outliers!$H$65:$Q$75,9,FALSE),"")</f>
        <v>27.699475373298025</v>
      </c>
      <c r="J15" s="85">
        <f>IFERROR(VLOOKUP($A15,Outliers!$H$65:$Q$75,10,FALSE),"")</f>
        <v>23.774822880766386</v>
      </c>
      <c r="K15" s="86">
        <f>IFERROR(VLOOKUP($A15,Outliers!$H$65:$AA$75,20,FALSE),"")</f>
        <v>1</v>
      </c>
      <c r="L15" s="86">
        <f>IFERROR(VLOOKUP($A15,Outliers!$H$65:$Z$75,18,FALSE),"")</f>
        <v>47.339603452622192</v>
      </c>
      <c r="M15" s="85">
        <f>IFERROR(VLOOKUP($A15,Outliers!$H$65:$Z$75,19,FALSE),"")</f>
        <v>47.339603452622192</v>
      </c>
      <c r="N15" s="86">
        <f>IFERROR(VLOOKUP($A15,Outliers!$H$65:$AJ$75,29,FALSE),"")</f>
        <v>0</v>
      </c>
      <c r="O15" s="86" t="str">
        <f>IFERROR(VLOOKUP($A15,Outliers!$H$65:$AI$75,27,FALSE),"")</f>
        <v/>
      </c>
      <c r="P15" s="85" t="str">
        <f>IFERROR(VLOOKUP($A15,Outliers!$H$65:$AI$75,28,FALSE),"")</f>
        <v/>
      </c>
      <c r="Q15" s="86">
        <f>IFERROR(VLOOKUP($A15,Outliers!$H$65:$AS$75,38,FALSE),"")</f>
        <v>0</v>
      </c>
      <c r="R15" s="86" t="str">
        <f>IFERROR(VLOOKUP($A15,Outliers!$H$65:$AR$75,36,FALSE),"")</f>
        <v/>
      </c>
      <c r="S15" s="86" t="str">
        <f>IFERROR(VLOOKUP($A15,Outliers!$H$65:$AR$75,37,FALSE),"")</f>
        <v/>
      </c>
      <c r="U15" s="125">
        <f t="shared" si="6"/>
        <v>75.039078825920214</v>
      </c>
      <c r="V15" s="125">
        <f t="shared" si="7"/>
        <v>71.114426333388579</v>
      </c>
      <c r="Y15" s="125" t="str">
        <f t="shared" si="0"/>
        <v/>
      </c>
      <c r="Z15" s="125" t="str">
        <f t="shared" si="1"/>
        <v/>
      </c>
      <c r="AA15">
        <f t="shared" si="2"/>
        <v>0</v>
      </c>
      <c r="AB15">
        <f t="shared" si="3"/>
        <v>0</v>
      </c>
      <c r="AC15" s="210">
        <f t="shared" si="4"/>
        <v>0</v>
      </c>
      <c r="AD15" s="210">
        <f t="shared" si="5"/>
        <v>0</v>
      </c>
    </row>
    <row r="16" spans="1:30" s="9" customFormat="1" x14ac:dyDescent="0.3">
      <c r="A16" s="119" t="s">
        <v>156</v>
      </c>
      <c r="B16" s="120"/>
      <c r="C16" s="121"/>
      <c r="D16" s="122"/>
      <c r="E16" s="121"/>
      <c r="F16" s="122">
        <v>59</v>
      </c>
      <c r="G16" s="122">
        <v>58</v>
      </c>
      <c r="H16" s="120" t="str">
        <f>IFERROR(VLOOKUP($A16,Outliers!$H$65:$S$75,11,FALSE),"")</f>
        <v/>
      </c>
      <c r="I16" s="123" t="str">
        <f>IFERROR(VLOOKUP($A16,Outliers!$H$65:$Q$75,9,FALSE),"")</f>
        <v/>
      </c>
      <c r="J16" s="124" t="str">
        <f>IFERROR(VLOOKUP($A16,Outliers!$H$65:$Q$75,10,FALSE),"")</f>
        <v/>
      </c>
      <c r="K16" s="123" t="str">
        <f>IFERROR(VLOOKUP($A16,Outliers!$H$65:$AA$75,20,FALSE),"")</f>
        <v/>
      </c>
      <c r="L16" s="123" t="str">
        <f>IFERROR(VLOOKUP($A16,Outliers!$H$65:$Z$75,18,FALSE),"")</f>
        <v/>
      </c>
      <c r="M16" s="124" t="str">
        <f>IFERROR(VLOOKUP($A16,Outliers!$H$65:$Z$75,19,FALSE),"")</f>
        <v/>
      </c>
      <c r="N16" s="123" t="str">
        <f>IFERROR(VLOOKUP($A16,Outliers!$H$65:$AJ$75,29,FALSE),"")</f>
        <v/>
      </c>
      <c r="O16" s="123" t="str">
        <f>IFERROR(VLOOKUP($A16,Outliers!$H$65:$AI$75,27,FALSE),"")</f>
        <v/>
      </c>
      <c r="P16" s="124" t="str">
        <f>IFERROR(VLOOKUP($A16,Outliers!$H$65:$AI$75,28,FALSE),"")</f>
        <v/>
      </c>
      <c r="Q16" s="123" t="str">
        <f>IFERROR(VLOOKUP($A16,Outliers!$H$65:$AS$75,38,FALSE),"")</f>
        <v/>
      </c>
      <c r="R16" s="123" t="str">
        <f>IFERROR(VLOOKUP($A16,Outliers!$H$65:$AR$75,36,FALSE),"")</f>
        <v/>
      </c>
      <c r="S16" s="123" t="str">
        <f>IFERROR(VLOOKUP($A16,Outliers!$H$65:$AR$75,37,FALSE),"")</f>
        <v/>
      </c>
      <c r="T16"/>
      <c r="U16" s="125">
        <f t="shared" si="6"/>
        <v>0</v>
      </c>
      <c r="V16" s="125">
        <f t="shared" si="7"/>
        <v>0</v>
      </c>
      <c r="Y16" s="125" t="str">
        <f t="shared" si="0"/>
        <v/>
      </c>
      <c r="Z16" s="125" t="str">
        <f t="shared" si="1"/>
        <v/>
      </c>
      <c r="AA16">
        <f t="shared" si="2"/>
        <v>59</v>
      </c>
      <c r="AB16">
        <f t="shared" si="3"/>
        <v>58</v>
      </c>
      <c r="AC16" s="210">
        <f t="shared" si="4"/>
        <v>0</v>
      </c>
      <c r="AD16" s="210">
        <f t="shared" si="5"/>
        <v>0</v>
      </c>
    </row>
    <row r="17" spans="1:30" s="9" customFormat="1" x14ac:dyDescent="0.3">
      <c r="A17" s="119" t="s">
        <v>143</v>
      </c>
      <c r="B17" s="120"/>
      <c r="C17" s="121"/>
      <c r="D17" s="122"/>
      <c r="E17" s="121"/>
      <c r="F17" s="122">
        <v>29</v>
      </c>
      <c r="G17" s="122">
        <v>12</v>
      </c>
      <c r="H17" s="120">
        <f>IFERROR(VLOOKUP($A17,Outliers!$H$65:$S$75,11,FALSE),"")</f>
        <v>0</v>
      </c>
      <c r="I17" s="123" t="str">
        <f>IFERROR(VLOOKUP($A17,Outliers!$H$65:$Q$75,9,FALSE),"")</f>
        <v/>
      </c>
      <c r="J17" s="149">
        <v>9</v>
      </c>
      <c r="K17" s="123">
        <f>IFERROR(VLOOKUP($A17,Outliers!$H$65:$AA$75,20,FALSE),"")</f>
        <v>0</v>
      </c>
      <c r="L17" s="123" t="str">
        <f>IFERROR(VLOOKUP($A17,Outliers!$H$65:$Z$75,18,FALSE),"")</f>
        <v/>
      </c>
      <c r="M17" s="124" t="str">
        <f>IFERROR(VLOOKUP($A17,Outliers!$H$65:$Z$75,19,FALSE),"")</f>
        <v/>
      </c>
      <c r="N17" s="123">
        <f>IFERROR(VLOOKUP($A17,Outliers!$H$65:$AJ$75,29,FALSE),"")</f>
        <v>0</v>
      </c>
      <c r="O17" s="123" t="str">
        <f>IFERROR(VLOOKUP($A17,Outliers!$H$65:$AI$75,27,FALSE),"")</f>
        <v/>
      </c>
      <c r="P17" s="124" t="str">
        <f>IFERROR(VLOOKUP($A17,Outliers!$H$65:$AI$75,28,FALSE),"")</f>
        <v/>
      </c>
      <c r="Q17" s="123">
        <f>IFERROR(VLOOKUP($A17,Outliers!$H$65:$AS$75,38,FALSE),"")</f>
        <v>0</v>
      </c>
      <c r="R17" s="123" t="str">
        <f>IFERROR(VLOOKUP($A17,Outliers!$H$65:$AR$75,36,FALSE),"")</f>
        <v/>
      </c>
      <c r="S17" s="123" t="str">
        <f>IFERROR(VLOOKUP($A17,Outliers!$H$65:$AR$75,37,FALSE),"")</f>
        <v/>
      </c>
      <c r="T17"/>
      <c r="U17" s="125">
        <f t="shared" si="6"/>
        <v>0</v>
      </c>
      <c r="V17" s="125">
        <f t="shared" si="7"/>
        <v>9</v>
      </c>
      <c r="Y17" s="125" t="str">
        <f t="shared" si="0"/>
        <v/>
      </c>
      <c r="Z17" s="125" t="str">
        <f t="shared" si="1"/>
        <v/>
      </c>
      <c r="AA17">
        <f t="shared" si="2"/>
        <v>29</v>
      </c>
      <c r="AB17">
        <f t="shared" si="3"/>
        <v>12</v>
      </c>
      <c r="AC17" s="210">
        <f t="shared" si="4"/>
        <v>0</v>
      </c>
      <c r="AD17" s="210">
        <f t="shared" si="5"/>
        <v>0</v>
      </c>
    </row>
    <row r="18" spans="1:30" x14ac:dyDescent="0.3">
      <c r="A18" s="119" t="s">
        <v>599</v>
      </c>
      <c r="B18" s="9"/>
      <c r="C18" s="9"/>
      <c r="D18" s="9"/>
      <c r="E18" s="9"/>
      <c r="F18" s="9"/>
      <c r="G18" s="9"/>
      <c r="H18" s="9"/>
      <c r="I18" s="9"/>
      <c r="J18" s="242">
        <v>32</v>
      </c>
      <c r="K18" s="9"/>
      <c r="L18" s="9"/>
      <c r="M18" s="9"/>
      <c r="N18" s="9"/>
      <c r="O18" s="9"/>
      <c r="P18" s="9"/>
      <c r="Q18" s="9"/>
      <c r="R18" s="9"/>
      <c r="S18" s="72">
        <v>200</v>
      </c>
      <c r="Y18" s="125">
        <f t="shared" si="0"/>
        <v>0</v>
      </c>
      <c r="Z18" s="125">
        <f t="shared" si="1"/>
        <v>0</v>
      </c>
      <c r="AA18">
        <f t="shared" si="2"/>
        <v>0</v>
      </c>
      <c r="AB18">
        <f t="shared" si="3"/>
        <v>0</v>
      </c>
      <c r="AC18" s="210">
        <f t="shared" si="4"/>
        <v>0</v>
      </c>
      <c r="AD18" s="210">
        <f t="shared" si="5"/>
        <v>0</v>
      </c>
    </row>
    <row r="20" spans="1:30" x14ac:dyDescent="0.3">
      <c r="A20" s="150"/>
      <c r="B20" t="s">
        <v>583</v>
      </c>
    </row>
    <row r="21" spans="1:30" x14ac:dyDescent="0.3">
      <c r="A21" s="9"/>
      <c r="B21" t="s">
        <v>584</v>
      </c>
    </row>
    <row r="22" spans="1:30" x14ac:dyDescent="0.3">
      <c r="A22" s="243"/>
      <c r="B22" t="s">
        <v>691</v>
      </c>
      <c r="D22" s="76"/>
    </row>
    <row r="23" spans="1:30" x14ac:dyDescent="0.3">
      <c r="A23" s="51"/>
    </row>
    <row r="24" spans="1:30" x14ac:dyDescent="0.3">
      <c r="A24" s="51"/>
    </row>
    <row r="25" spans="1:30" x14ac:dyDescent="0.3">
      <c r="A25" s="51"/>
    </row>
    <row r="26" spans="1:30" x14ac:dyDescent="0.3">
      <c r="A26" s="51"/>
    </row>
    <row r="27" spans="1:30" x14ac:dyDescent="0.3">
      <c r="A27" s="51"/>
    </row>
    <row r="28" spans="1:30" x14ac:dyDescent="0.3">
      <c r="A28" s="51"/>
    </row>
    <row r="29" spans="1:30" x14ac:dyDescent="0.3">
      <c r="A29" s="51"/>
    </row>
    <row r="30" spans="1:30" x14ac:dyDescent="0.3">
      <c r="A30" s="51"/>
    </row>
    <row r="31" spans="1:30" x14ac:dyDescent="0.3">
      <c r="A31" s="51"/>
    </row>
    <row r="32" spans="1:30" x14ac:dyDescent="0.3">
      <c r="A32" s="51"/>
    </row>
    <row r="33" spans="1:1" x14ac:dyDescent="0.3">
      <c r="A33" s="51"/>
    </row>
    <row r="34" spans="1:1" x14ac:dyDescent="0.3">
      <c r="A34" s="51"/>
    </row>
    <row r="35" spans="1:1" x14ac:dyDescent="0.3">
      <c r="A35" s="51"/>
    </row>
  </sheetData>
  <mergeCells count="13">
    <mergeCell ref="Y2:Z2"/>
    <mergeCell ref="AA2:AB2"/>
    <mergeCell ref="AC2:AD2"/>
    <mergeCell ref="B1:G1"/>
    <mergeCell ref="B2:C2"/>
    <mergeCell ref="D2:E2"/>
    <mergeCell ref="F2:G2"/>
    <mergeCell ref="H1:S1"/>
    <mergeCell ref="U2:V2"/>
    <mergeCell ref="N2:P2"/>
    <mergeCell ref="K2:M2"/>
    <mergeCell ref="H2:J2"/>
    <mergeCell ref="Q2:S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7A23D-3ACF-44EA-8525-87572D2F79BC}">
  <dimension ref="A1:P142"/>
  <sheetViews>
    <sheetView workbookViewId="0">
      <selection activeCell="B55" sqref="B55"/>
    </sheetView>
  </sheetViews>
  <sheetFormatPr defaultRowHeight="14.4" x14ac:dyDescent="0.3"/>
  <cols>
    <col min="1" max="1" width="22.109375" customWidth="1"/>
    <col min="2" max="2" width="15" customWidth="1"/>
    <col min="4" max="4" width="11.6640625" customWidth="1"/>
    <col min="7" max="7" width="10.109375" customWidth="1"/>
    <col min="8" max="8" width="11.5546875" customWidth="1"/>
    <col min="9" max="9" width="11.6640625" bestFit="1" customWidth="1"/>
  </cols>
  <sheetData>
    <row r="1" spans="1:16" x14ac:dyDescent="0.3">
      <c r="A1" t="s">
        <v>601</v>
      </c>
      <c r="B1" t="s">
        <v>602</v>
      </c>
      <c r="C1" t="s">
        <v>603</v>
      </c>
      <c r="D1" t="s">
        <v>604</v>
      </c>
      <c r="E1" t="s">
        <v>605</v>
      </c>
      <c r="F1" t="s">
        <v>606</v>
      </c>
      <c r="G1" t="s">
        <v>607</v>
      </c>
      <c r="H1" t="s">
        <v>608</v>
      </c>
      <c r="I1" t="s">
        <v>609</v>
      </c>
      <c r="J1" t="s">
        <v>610</v>
      </c>
      <c r="K1" t="s">
        <v>611</v>
      </c>
      <c r="L1" t="s">
        <v>612</v>
      </c>
      <c r="M1" t="s">
        <v>613</v>
      </c>
      <c r="N1" t="s">
        <v>602</v>
      </c>
    </row>
    <row r="2" spans="1:16" x14ac:dyDescent="0.3">
      <c r="A2" t="s">
        <v>617</v>
      </c>
      <c r="B2">
        <v>329955.49520997494</v>
      </c>
      <c r="C2">
        <v>318945.96191161085</v>
      </c>
      <c r="D2">
        <v>364757.74717156775</v>
      </c>
      <c r="E2">
        <v>612730.91127086163</v>
      </c>
      <c r="F2">
        <v>723291.25393626024</v>
      </c>
      <c r="G2">
        <v>788639.91707808024</v>
      </c>
      <c r="H2">
        <v>1234690.712425234</v>
      </c>
      <c r="I2">
        <v>1273257.660446032</v>
      </c>
      <c r="J2">
        <v>1107860.6619843328</v>
      </c>
      <c r="K2">
        <v>1004117.854148556</v>
      </c>
      <c r="L2">
        <v>566473.9801600856</v>
      </c>
      <c r="M2">
        <v>443989.71784779179</v>
      </c>
    </row>
    <row r="3" spans="1:16" x14ac:dyDescent="0.3">
      <c r="A3" t="s">
        <v>618</v>
      </c>
      <c r="B3">
        <v>2971360.0421920558</v>
      </c>
      <c r="C3">
        <v>2965075.4797924915</v>
      </c>
      <c r="D3">
        <v>3267940.746249577</v>
      </c>
      <c r="E3">
        <v>3247047.2536529573</v>
      </c>
      <c r="F3">
        <v>3160843.9461339894</v>
      </c>
      <c r="G3">
        <v>2742364.8549075788</v>
      </c>
      <c r="H3">
        <v>3025186.2538499539</v>
      </c>
      <c r="I3">
        <v>3172396.2184068845</v>
      </c>
      <c r="J3">
        <v>3397666.0948515432</v>
      </c>
      <c r="K3">
        <v>3554832.9590682443</v>
      </c>
      <c r="L3">
        <v>3300110.7697462966</v>
      </c>
      <c r="M3">
        <v>3193494.6722309403</v>
      </c>
    </row>
    <row r="5" spans="1:16" x14ac:dyDescent="0.3">
      <c r="A5" s="174">
        <v>2017</v>
      </c>
      <c r="B5" s="174">
        <v>0</v>
      </c>
      <c r="C5" s="174">
        <v>0</v>
      </c>
      <c r="D5" s="174">
        <v>2</v>
      </c>
      <c r="E5" s="174">
        <v>1</v>
      </c>
      <c r="F5" s="174">
        <v>69</v>
      </c>
      <c r="G5" s="174">
        <v>137</v>
      </c>
      <c r="H5" s="174">
        <v>210</v>
      </c>
      <c r="I5" s="174">
        <v>221</v>
      </c>
      <c r="J5" s="174">
        <v>264</v>
      </c>
      <c r="K5" s="174">
        <v>81</v>
      </c>
      <c r="L5" s="174">
        <v>2</v>
      </c>
      <c r="M5" s="174">
        <v>0</v>
      </c>
      <c r="N5" s="174">
        <v>987</v>
      </c>
      <c r="P5" t="s">
        <v>614</v>
      </c>
    </row>
    <row r="6" spans="1:16" x14ac:dyDescent="0.3">
      <c r="A6" s="178">
        <v>2018</v>
      </c>
      <c r="B6" s="178">
        <v>0</v>
      </c>
      <c r="C6" s="178">
        <v>0</v>
      </c>
      <c r="D6" s="178">
        <v>5</v>
      </c>
      <c r="E6" s="178">
        <v>6</v>
      </c>
      <c r="F6" s="178">
        <v>22</v>
      </c>
      <c r="G6" s="178">
        <v>120</v>
      </c>
      <c r="H6" s="178">
        <v>227</v>
      </c>
      <c r="I6" s="179">
        <f>AVERAGE(I16,I26)</f>
        <v>3</v>
      </c>
      <c r="J6" s="178">
        <v>91</v>
      </c>
      <c r="K6" s="178">
        <v>48</v>
      </c>
      <c r="L6" s="178">
        <v>8</v>
      </c>
      <c r="M6" s="178">
        <v>0</v>
      </c>
      <c r="N6" s="179">
        <f>SUM(B6:M6)</f>
        <v>530</v>
      </c>
      <c r="P6">
        <f>$N$11-N6</f>
        <v>280</v>
      </c>
    </row>
    <row r="7" spans="1:16" x14ac:dyDescent="0.3">
      <c r="A7" s="174">
        <v>2019</v>
      </c>
      <c r="B7" s="174">
        <v>0</v>
      </c>
      <c r="C7" s="174">
        <v>0</v>
      </c>
      <c r="D7" s="174">
        <v>0</v>
      </c>
      <c r="E7" s="174">
        <v>19</v>
      </c>
      <c r="F7" s="174">
        <v>3</v>
      </c>
      <c r="G7" s="174">
        <v>130</v>
      </c>
      <c r="H7" s="174">
        <v>157</v>
      </c>
      <c r="I7" s="174">
        <v>248</v>
      </c>
      <c r="J7" s="174">
        <v>159</v>
      </c>
      <c r="K7" s="174">
        <v>50</v>
      </c>
      <c r="L7" s="174">
        <v>0</v>
      </c>
      <c r="M7" s="174">
        <v>0</v>
      </c>
      <c r="N7" s="174">
        <v>766</v>
      </c>
    </row>
    <row r="8" spans="1:16" x14ac:dyDescent="0.3">
      <c r="A8" s="174">
        <v>2020</v>
      </c>
      <c r="B8" s="174">
        <v>0</v>
      </c>
      <c r="C8" s="174">
        <v>0</v>
      </c>
      <c r="D8" s="174">
        <v>0</v>
      </c>
      <c r="E8" s="174">
        <v>17</v>
      </c>
      <c r="F8" s="174">
        <v>81</v>
      </c>
      <c r="G8" s="174">
        <v>165</v>
      </c>
      <c r="H8" s="174">
        <v>152</v>
      </c>
      <c r="I8" s="174">
        <v>278</v>
      </c>
      <c r="J8" s="174">
        <v>219</v>
      </c>
      <c r="K8" s="174">
        <v>157</v>
      </c>
      <c r="L8" s="174">
        <v>1</v>
      </c>
      <c r="M8" s="174">
        <v>0</v>
      </c>
      <c r="N8" s="174">
        <v>1070</v>
      </c>
    </row>
    <row r="9" spans="1:16" x14ac:dyDescent="0.3">
      <c r="A9" s="174">
        <v>2021</v>
      </c>
      <c r="B9" s="174">
        <v>0</v>
      </c>
      <c r="C9" s="174">
        <v>0</v>
      </c>
      <c r="D9" s="174">
        <v>0</v>
      </c>
      <c r="E9" s="174">
        <v>2</v>
      </c>
      <c r="F9" s="174">
        <v>31</v>
      </c>
      <c r="G9" s="174">
        <v>99</v>
      </c>
      <c r="H9" s="174">
        <v>121</v>
      </c>
      <c r="I9" s="174">
        <v>175</v>
      </c>
      <c r="J9" s="174">
        <v>157</v>
      </c>
      <c r="K9" s="174">
        <v>49</v>
      </c>
      <c r="L9" s="174">
        <v>0</v>
      </c>
      <c r="M9" s="174">
        <v>0</v>
      </c>
      <c r="N9" s="174">
        <v>634</v>
      </c>
    </row>
    <row r="10" spans="1:16" x14ac:dyDescent="0.3">
      <c r="A10" s="174">
        <v>2022</v>
      </c>
      <c r="B10" s="174">
        <v>0</v>
      </c>
      <c r="C10" s="174">
        <v>0</v>
      </c>
      <c r="D10" s="174">
        <v>2</v>
      </c>
      <c r="E10" s="174">
        <v>14</v>
      </c>
      <c r="F10" s="174">
        <v>48</v>
      </c>
      <c r="G10" s="174">
        <v>170</v>
      </c>
      <c r="H10" s="174">
        <v>145</v>
      </c>
      <c r="I10" s="174">
        <v>227</v>
      </c>
      <c r="J10" s="174">
        <v>241</v>
      </c>
      <c r="K10" s="174">
        <v>45</v>
      </c>
      <c r="L10" s="174">
        <v>0</v>
      </c>
      <c r="M10" s="174" t="s">
        <v>600</v>
      </c>
      <c r="N10" s="174" t="s">
        <v>600</v>
      </c>
    </row>
    <row r="11" spans="1:16" x14ac:dyDescent="0.3">
      <c r="A11" s="178">
        <v>2023</v>
      </c>
      <c r="B11" s="178">
        <v>0</v>
      </c>
      <c r="C11" s="178">
        <v>0</v>
      </c>
      <c r="D11" s="178">
        <v>0</v>
      </c>
      <c r="E11" s="178">
        <v>13</v>
      </c>
      <c r="F11" s="178">
        <v>23</v>
      </c>
      <c r="G11" s="178">
        <v>32</v>
      </c>
      <c r="H11" s="178">
        <v>172</v>
      </c>
      <c r="I11" s="178">
        <v>276</v>
      </c>
      <c r="J11" s="178">
        <v>142</v>
      </c>
      <c r="K11" s="178">
        <v>142</v>
      </c>
      <c r="L11" s="178">
        <v>10</v>
      </c>
      <c r="M11" s="178">
        <v>0</v>
      </c>
      <c r="N11" s="178">
        <v>810</v>
      </c>
      <c r="P11">
        <f>$N$11-N11</f>
        <v>0</v>
      </c>
    </row>
    <row r="12" spans="1:16" x14ac:dyDescent="0.3">
      <c r="A12" s="174">
        <v>2024</v>
      </c>
      <c r="B12" s="174">
        <v>0</v>
      </c>
      <c r="C12" s="174">
        <v>0</v>
      </c>
      <c r="D12" s="174">
        <v>0</v>
      </c>
      <c r="E12" s="174">
        <v>15</v>
      </c>
      <c r="F12" s="174">
        <v>55</v>
      </c>
      <c r="G12" s="174">
        <v>168</v>
      </c>
      <c r="H12" s="174">
        <v>335</v>
      </c>
      <c r="I12" s="174" t="s">
        <v>600</v>
      </c>
      <c r="J12" s="174" t="s">
        <v>600</v>
      </c>
      <c r="K12" s="174" t="s">
        <v>600</v>
      </c>
      <c r="L12" s="174" t="s">
        <v>600</v>
      </c>
      <c r="M12" s="174" t="s">
        <v>600</v>
      </c>
      <c r="N12" s="174" t="s">
        <v>600</v>
      </c>
    </row>
    <row r="13" spans="1:16" x14ac:dyDescent="0.3">
      <c r="A13" s="175" t="s">
        <v>348</v>
      </c>
      <c r="B13" s="176">
        <v>0</v>
      </c>
      <c r="C13" s="176">
        <v>0</v>
      </c>
      <c r="D13" s="176">
        <v>1</v>
      </c>
      <c r="E13" s="176">
        <v>11</v>
      </c>
      <c r="F13" s="176">
        <v>42</v>
      </c>
      <c r="G13" s="176">
        <v>128</v>
      </c>
      <c r="H13" s="176">
        <v>190</v>
      </c>
      <c r="I13" s="176">
        <v>238</v>
      </c>
      <c r="J13" s="176">
        <v>182</v>
      </c>
      <c r="K13" s="176">
        <v>82</v>
      </c>
      <c r="L13" s="176">
        <v>3</v>
      </c>
      <c r="M13" s="176">
        <v>0</v>
      </c>
      <c r="N13" s="174">
        <v>853</v>
      </c>
    </row>
    <row r="15" spans="1:16" x14ac:dyDescent="0.3">
      <c r="A15" s="174">
        <v>2017</v>
      </c>
      <c r="B15" s="174">
        <v>0</v>
      </c>
      <c r="C15" s="174">
        <v>0</v>
      </c>
      <c r="D15" s="174">
        <v>0</v>
      </c>
      <c r="E15" s="174">
        <v>2</v>
      </c>
      <c r="F15" s="174">
        <v>21</v>
      </c>
      <c r="G15" s="174">
        <v>27</v>
      </c>
      <c r="H15" s="174">
        <v>30</v>
      </c>
      <c r="I15" s="174">
        <v>48</v>
      </c>
      <c r="J15" s="174">
        <v>159</v>
      </c>
      <c r="K15" s="174">
        <v>55</v>
      </c>
      <c r="L15" s="174">
        <v>0</v>
      </c>
      <c r="M15" s="174">
        <v>0</v>
      </c>
      <c r="N15" s="174">
        <v>342</v>
      </c>
      <c r="P15" t="s">
        <v>615</v>
      </c>
    </row>
    <row r="16" spans="1:16" x14ac:dyDescent="0.3">
      <c r="A16" s="174">
        <v>2018</v>
      </c>
      <c r="B16" s="174">
        <v>0</v>
      </c>
      <c r="C16" s="174">
        <v>0</v>
      </c>
      <c r="D16" s="174">
        <v>4</v>
      </c>
      <c r="E16" s="174">
        <v>0</v>
      </c>
      <c r="F16" s="174">
        <v>7</v>
      </c>
      <c r="G16" s="174" t="s">
        <v>600</v>
      </c>
      <c r="H16" s="174" t="s">
        <v>600</v>
      </c>
      <c r="I16" s="174">
        <v>6</v>
      </c>
      <c r="J16" s="174">
        <v>7</v>
      </c>
      <c r="K16" s="174">
        <v>20</v>
      </c>
      <c r="L16" s="174">
        <v>5</v>
      </c>
      <c r="M16" s="174">
        <v>0</v>
      </c>
      <c r="N16" s="174" t="s">
        <v>600</v>
      </c>
    </row>
    <row r="17" spans="1:16" x14ac:dyDescent="0.3">
      <c r="A17" s="174">
        <v>2019</v>
      </c>
      <c r="B17" s="174">
        <v>0</v>
      </c>
      <c r="C17" s="174">
        <v>0</v>
      </c>
      <c r="D17" s="174">
        <v>0</v>
      </c>
      <c r="E17" s="174">
        <v>9</v>
      </c>
      <c r="F17" s="174">
        <v>0</v>
      </c>
      <c r="G17" s="174">
        <v>65</v>
      </c>
      <c r="H17" s="174">
        <v>29</v>
      </c>
      <c r="I17" s="174">
        <v>114</v>
      </c>
      <c r="J17" s="174">
        <v>116</v>
      </c>
      <c r="K17" s="174">
        <v>51</v>
      </c>
      <c r="L17" s="174">
        <v>0</v>
      </c>
      <c r="M17" s="174">
        <v>0</v>
      </c>
      <c r="N17" s="174">
        <v>384</v>
      </c>
    </row>
    <row r="18" spans="1:16" x14ac:dyDescent="0.3">
      <c r="A18" s="174">
        <v>2020</v>
      </c>
      <c r="B18" s="174">
        <v>0</v>
      </c>
      <c r="C18" s="174">
        <v>0</v>
      </c>
      <c r="D18" s="174">
        <v>0</v>
      </c>
      <c r="E18" s="174">
        <v>0</v>
      </c>
      <c r="F18" s="174">
        <v>23</v>
      </c>
      <c r="G18" s="174">
        <v>38</v>
      </c>
      <c r="H18" s="174">
        <v>9</v>
      </c>
      <c r="I18" s="174">
        <v>95</v>
      </c>
      <c r="J18" s="174">
        <v>131</v>
      </c>
      <c r="K18" s="174">
        <v>100</v>
      </c>
      <c r="L18" s="174">
        <v>3</v>
      </c>
      <c r="M18" s="174">
        <v>0</v>
      </c>
      <c r="N18" s="174">
        <v>399</v>
      </c>
    </row>
    <row r="19" spans="1:16" x14ac:dyDescent="0.3">
      <c r="A19" s="174">
        <v>2021</v>
      </c>
      <c r="B19" s="174">
        <v>0</v>
      </c>
      <c r="C19" s="174">
        <v>0</v>
      </c>
      <c r="D19" s="174">
        <v>3</v>
      </c>
      <c r="E19" s="174">
        <v>6</v>
      </c>
      <c r="F19" s="174">
        <v>3</v>
      </c>
      <c r="G19" s="174">
        <v>57</v>
      </c>
      <c r="H19" s="174">
        <v>27</v>
      </c>
      <c r="I19" s="174">
        <v>40</v>
      </c>
      <c r="J19" s="174">
        <v>36</v>
      </c>
      <c r="K19" s="174">
        <v>23</v>
      </c>
      <c r="L19" s="174">
        <v>0</v>
      </c>
      <c r="M19" s="174">
        <v>0</v>
      </c>
      <c r="N19" s="174">
        <v>195</v>
      </c>
    </row>
    <row r="20" spans="1:16" x14ac:dyDescent="0.3">
      <c r="A20" s="174">
        <v>2022</v>
      </c>
      <c r="B20" s="174">
        <v>0</v>
      </c>
      <c r="C20" s="174">
        <v>0</v>
      </c>
      <c r="D20" s="174">
        <v>2</v>
      </c>
      <c r="E20" s="174">
        <v>9</v>
      </c>
      <c r="F20" s="174">
        <v>9</v>
      </c>
      <c r="G20" s="174">
        <v>45</v>
      </c>
      <c r="H20" s="174">
        <v>19</v>
      </c>
      <c r="I20" s="174">
        <v>69</v>
      </c>
      <c r="J20" s="174">
        <v>114</v>
      </c>
      <c r="K20" s="174">
        <v>13</v>
      </c>
      <c r="L20" s="174">
        <v>0</v>
      </c>
      <c r="M20" s="174">
        <v>0</v>
      </c>
      <c r="N20" s="174">
        <v>280</v>
      </c>
    </row>
    <row r="21" spans="1:16" x14ac:dyDescent="0.3">
      <c r="A21" s="174">
        <v>2023</v>
      </c>
      <c r="B21" s="174">
        <v>0</v>
      </c>
      <c r="C21" s="174">
        <v>0</v>
      </c>
      <c r="D21" s="174">
        <v>0</v>
      </c>
      <c r="E21" s="174">
        <v>2</v>
      </c>
      <c r="F21" s="174">
        <v>3</v>
      </c>
      <c r="G21" s="174">
        <v>1</v>
      </c>
      <c r="H21" s="174">
        <v>22</v>
      </c>
      <c r="I21" s="174">
        <v>111</v>
      </c>
      <c r="J21" s="174">
        <v>48</v>
      </c>
      <c r="K21" s="174">
        <v>86</v>
      </c>
      <c r="L21" s="174">
        <v>7</v>
      </c>
      <c r="M21" s="174">
        <v>0</v>
      </c>
      <c r="N21" s="174">
        <v>280</v>
      </c>
    </row>
    <row r="22" spans="1:16" x14ac:dyDescent="0.3">
      <c r="A22" s="174">
        <v>2024</v>
      </c>
      <c r="B22" s="174">
        <v>0</v>
      </c>
      <c r="C22" s="174">
        <v>0</v>
      </c>
      <c r="D22" s="174">
        <v>1</v>
      </c>
      <c r="E22" s="174">
        <v>0</v>
      </c>
      <c r="F22" s="174">
        <v>10</v>
      </c>
      <c r="G22" s="174">
        <v>6</v>
      </c>
      <c r="H22" s="174">
        <v>43</v>
      </c>
      <c r="I22" s="174" t="s">
        <v>600</v>
      </c>
      <c r="J22" s="174" t="s">
        <v>600</v>
      </c>
      <c r="K22" s="174" t="s">
        <v>600</v>
      </c>
      <c r="L22" s="174" t="s">
        <v>600</v>
      </c>
      <c r="M22" s="174" t="s">
        <v>600</v>
      </c>
      <c r="N22" s="174" t="s">
        <v>600</v>
      </c>
    </row>
    <row r="23" spans="1:16" x14ac:dyDescent="0.3">
      <c r="A23" s="175" t="s">
        <v>348</v>
      </c>
      <c r="B23" s="176">
        <v>0</v>
      </c>
      <c r="C23" s="176">
        <v>0</v>
      </c>
      <c r="D23" s="176">
        <v>1</v>
      </c>
      <c r="E23" s="176">
        <v>4</v>
      </c>
      <c r="F23" s="176">
        <v>10</v>
      </c>
      <c r="G23" s="176">
        <v>34</v>
      </c>
      <c r="H23" s="176">
        <v>26</v>
      </c>
      <c r="I23" s="176">
        <v>69</v>
      </c>
      <c r="J23" s="176">
        <v>87</v>
      </c>
      <c r="K23" s="176">
        <v>50</v>
      </c>
      <c r="L23" s="176">
        <v>2</v>
      </c>
      <c r="M23" s="176">
        <v>0</v>
      </c>
      <c r="N23" s="174">
        <v>313</v>
      </c>
    </row>
    <row r="25" spans="1:16" x14ac:dyDescent="0.3">
      <c r="A25" s="174">
        <v>2017</v>
      </c>
      <c r="B25" s="174">
        <v>0</v>
      </c>
      <c r="C25" s="174">
        <v>0</v>
      </c>
      <c r="D25" s="174">
        <v>1</v>
      </c>
      <c r="E25" s="174">
        <v>0</v>
      </c>
      <c r="F25" s="174">
        <v>11</v>
      </c>
      <c r="G25" s="174">
        <v>16</v>
      </c>
      <c r="H25" s="174">
        <v>4</v>
      </c>
      <c r="I25" s="174">
        <v>12</v>
      </c>
      <c r="J25" s="174">
        <v>126</v>
      </c>
      <c r="K25" s="174">
        <v>61</v>
      </c>
      <c r="L25" s="174">
        <v>0</v>
      </c>
      <c r="M25" s="174">
        <v>0</v>
      </c>
      <c r="N25" s="174">
        <v>231</v>
      </c>
      <c r="P25" t="s">
        <v>616</v>
      </c>
    </row>
    <row r="26" spans="1:16" x14ac:dyDescent="0.3">
      <c r="A26" s="174">
        <v>2018</v>
      </c>
      <c r="B26" s="174">
        <v>0</v>
      </c>
      <c r="C26" s="174">
        <v>2</v>
      </c>
      <c r="D26" s="174">
        <v>6</v>
      </c>
      <c r="E26" s="174">
        <v>0</v>
      </c>
      <c r="F26" s="174">
        <v>1</v>
      </c>
      <c r="G26" s="174">
        <v>4</v>
      </c>
      <c r="H26" s="174">
        <v>2</v>
      </c>
      <c r="I26" s="174">
        <v>0</v>
      </c>
      <c r="J26" s="174">
        <v>6</v>
      </c>
      <c r="K26" s="174">
        <v>22</v>
      </c>
      <c r="L26" s="174">
        <v>6</v>
      </c>
      <c r="M26" s="174">
        <v>0</v>
      </c>
      <c r="N26" s="174">
        <v>49</v>
      </c>
    </row>
    <row r="27" spans="1:16" x14ac:dyDescent="0.3">
      <c r="A27" s="174">
        <v>2019</v>
      </c>
      <c r="B27" s="174">
        <v>0</v>
      </c>
      <c r="C27" s="174">
        <v>0</v>
      </c>
      <c r="D27" s="174">
        <v>0</v>
      </c>
      <c r="E27" s="174">
        <v>3</v>
      </c>
      <c r="F27" s="174">
        <v>0</v>
      </c>
      <c r="G27" s="174">
        <v>53</v>
      </c>
      <c r="H27" s="174">
        <v>1</v>
      </c>
      <c r="I27" s="174">
        <v>30</v>
      </c>
      <c r="J27" s="174">
        <v>69</v>
      </c>
      <c r="K27" s="174">
        <v>55</v>
      </c>
      <c r="L27" s="174">
        <v>0</v>
      </c>
      <c r="M27" s="174">
        <v>0</v>
      </c>
      <c r="N27" s="174">
        <v>211</v>
      </c>
    </row>
    <row r="28" spans="1:16" x14ac:dyDescent="0.3">
      <c r="A28" s="174">
        <v>2020</v>
      </c>
      <c r="B28" s="174">
        <v>0</v>
      </c>
      <c r="C28" s="174">
        <v>0</v>
      </c>
      <c r="D28" s="174">
        <v>0</v>
      </c>
      <c r="E28" s="174">
        <v>0</v>
      </c>
      <c r="F28" s="174">
        <v>7</v>
      </c>
      <c r="G28" s="174">
        <v>13</v>
      </c>
      <c r="H28" s="174">
        <v>0</v>
      </c>
      <c r="I28" s="174">
        <v>39</v>
      </c>
      <c r="J28" s="174">
        <v>79</v>
      </c>
      <c r="K28" s="174">
        <v>91</v>
      </c>
      <c r="L28" s="174">
        <v>2</v>
      </c>
      <c r="M28" s="174">
        <v>0</v>
      </c>
      <c r="N28" s="174">
        <v>231</v>
      </c>
    </row>
    <row r="29" spans="1:16" x14ac:dyDescent="0.3">
      <c r="A29" s="174">
        <v>2021</v>
      </c>
      <c r="B29" s="174">
        <v>0</v>
      </c>
      <c r="C29" s="174">
        <v>0</v>
      </c>
      <c r="D29" s="174">
        <v>2</v>
      </c>
      <c r="E29" s="174">
        <v>2</v>
      </c>
      <c r="F29" s="174">
        <v>0</v>
      </c>
      <c r="G29" s="174">
        <v>6</v>
      </c>
      <c r="H29" s="174">
        <v>0</v>
      </c>
      <c r="I29" s="174">
        <v>11</v>
      </c>
      <c r="J29" s="174">
        <v>20</v>
      </c>
      <c r="K29" s="174">
        <v>22</v>
      </c>
      <c r="L29" s="174">
        <v>0</v>
      </c>
      <c r="M29" s="174">
        <v>0</v>
      </c>
      <c r="N29" s="174">
        <v>63</v>
      </c>
    </row>
    <row r="30" spans="1:16" x14ac:dyDescent="0.3">
      <c r="A30" s="174">
        <v>2022</v>
      </c>
      <c r="B30" s="174">
        <v>0</v>
      </c>
      <c r="C30" s="174">
        <v>1</v>
      </c>
      <c r="D30" s="174">
        <v>0</v>
      </c>
      <c r="E30" s="174">
        <v>7</v>
      </c>
      <c r="F30" s="174">
        <v>1</v>
      </c>
      <c r="G30" s="174">
        <v>24</v>
      </c>
      <c r="H30" s="174">
        <v>1</v>
      </c>
      <c r="I30" s="174">
        <v>1</v>
      </c>
      <c r="J30" s="174">
        <v>61</v>
      </c>
      <c r="K30" s="174">
        <v>14</v>
      </c>
      <c r="L30" s="174">
        <v>0</v>
      </c>
      <c r="M30" s="174">
        <v>0</v>
      </c>
      <c r="N30" s="174">
        <v>110</v>
      </c>
    </row>
    <row r="31" spans="1:16" x14ac:dyDescent="0.3">
      <c r="A31" s="174">
        <v>2023</v>
      </c>
      <c r="B31" s="174">
        <v>0</v>
      </c>
      <c r="C31" s="174">
        <v>0</v>
      </c>
      <c r="D31" s="174">
        <v>0</v>
      </c>
      <c r="E31" s="174">
        <v>0</v>
      </c>
      <c r="F31" s="174">
        <v>0</v>
      </c>
      <c r="G31" s="174">
        <v>0</v>
      </c>
      <c r="H31" s="174">
        <v>1</v>
      </c>
      <c r="I31" s="174">
        <v>38</v>
      </c>
      <c r="J31" s="174">
        <v>2</v>
      </c>
      <c r="K31" s="174" t="s">
        <v>600</v>
      </c>
      <c r="L31" s="174" t="s">
        <v>600</v>
      </c>
      <c r="M31" s="174">
        <v>0</v>
      </c>
      <c r="N31" s="174" t="s">
        <v>600</v>
      </c>
    </row>
    <row r="32" spans="1:16" x14ac:dyDescent="0.3">
      <c r="A32" s="174">
        <v>2024</v>
      </c>
      <c r="B32" s="174">
        <v>0</v>
      </c>
      <c r="C32" s="174">
        <v>0</v>
      </c>
      <c r="D32" s="174">
        <v>2</v>
      </c>
      <c r="E32" s="174">
        <v>0</v>
      </c>
      <c r="F32" s="174">
        <v>4</v>
      </c>
      <c r="G32" s="174" t="s">
        <v>600</v>
      </c>
      <c r="H32" s="174">
        <v>12</v>
      </c>
      <c r="I32" s="174" t="s">
        <v>600</v>
      </c>
      <c r="J32" s="174" t="s">
        <v>600</v>
      </c>
      <c r="K32" s="174" t="s">
        <v>600</v>
      </c>
      <c r="L32" s="174" t="s">
        <v>600</v>
      </c>
      <c r="M32" s="174" t="s">
        <v>600</v>
      </c>
      <c r="N32" s="174" t="s">
        <v>600</v>
      </c>
    </row>
    <row r="33" spans="1:14" x14ac:dyDescent="0.3">
      <c r="A33" s="175" t="s">
        <v>348</v>
      </c>
      <c r="B33" s="176">
        <v>0</v>
      </c>
      <c r="C33" s="176">
        <v>0</v>
      </c>
      <c r="D33" s="176">
        <v>1</v>
      </c>
      <c r="E33" s="176">
        <v>2</v>
      </c>
      <c r="F33" s="176">
        <v>3</v>
      </c>
      <c r="G33" s="176">
        <v>17</v>
      </c>
      <c r="H33" s="176">
        <v>3</v>
      </c>
      <c r="I33" s="176">
        <v>19</v>
      </c>
      <c r="J33" s="176">
        <v>52</v>
      </c>
      <c r="K33" s="176">
        <v>44</v>
      </c>
      <c r="L33" s="176">
        <v>1</v>
      </c>
      <c r="M33" s="176">
        <v>0</v>
      </c>
      <c r="N33" s="174">
        <v>149</v>
      </c>
    </row>
    <row r="37" spans="1:14" s="180" customFormat="1" ht="28.8" x14ac:dyDescent="0.3">
      <c r="A37" s="181" t="s">
        <v>530</v>
      </c>
      <c r="B37" s="181" t="s">
        <v>620</v>
      </c>
      <c r="C37" s="181" t="s">
        <v>621</v>
      </c>
      <c r="D37" s="83"/>
      <c r="F37" s="83"/>
      <c r="G37" s="83"/>
      <c r="H37" s="83"/>
    </row>
    <row r="38" spans="1:14" x14ac:dyDescent="0.3">
      <c r="A38">
        <v>1</v>
      </c>
      <c r="B38" s="125">
        <v>0</v>
      </c>
      <c r="C38" s="125">
        <v>0</v>
      </c>
      <c r="D38" s="125"/>
      <c r="F38" s="125"/>
      <c r="G38" s="125"/>
      <c r="H38" s="125"/>
    </row>
    <row r="39" spans="1:14" x14ac:dyDescent="0.3">
      <c r="A39">
        <v>2</v>
      </c>
      <c r="B39" s="125">
        <v>0</v>
      </c>
      <c r="C39" s="125">
        <v>0</v>
      </c>
      <c r="D39" s="125"/>
      <c r="F39" s="125"/>
      <c r="G39" s="125"/>
      <c r="H39" s="125"/>
    </row>
    <row r="40" spans="1:14" x14ac:dyDescent="0.3">
      <c r="A40">
        <v>3</v>
      </c>
      <c r="B40" s="125">
        <v>5</v>
      </c>
      <c r="C40" s="125">
        <v>0</v>
      </c>
      <c r="D40" s="125"/>
      <c r="F40" s="125"/>
      <c r="G40" s="125"/>
      <c r="H40" s="125"/>
    </row>
    <row r="41" spans="1:14" x14ac:dyDescent="0.3">
      <c r="A41">
        <v>4</v>
      </c>
      <c r="B41" s="125">
        <v>6</v>
      </c>
      <c r="C41" s="125">
        <v>13</v>
      </c>
      <c r="D41" s="125"/>
      <c r="F41" s="125"/>
      <c r="G41" s="125"/>
      <c r="H41" s="125"/>
    </row>
    <row r="42" spans="1:14" x14ac:dyDescent="0.3">
      <c r="A42">
        <v>5</v>
      </c>
      <c r="B42" s="125">
        <v>22</v>
      </c>
      <c r="C42" s="125">
        <v>23</v>
      </c>
      <c r="D42" s="125"/>
      <c r="F42" s="125"/>
      <c r="G42" s="125"/>
      <c r="H42" s="125"/>
    </row>
    <row r="43" spans="1:14" x14ac:dyDescent="0.3">
      <c r="A43">
        <v>6</v>
      </c>
      <c r="B43" s="125">
        <v>120</v>
      </c>
      <c r="C43" s="125">
        <v>32</v>
      </c>
      <c r="D43" s="125"/>
      <c r="F43" s="125"/>
      <c r="G43" s="125"/>
      <c r="H43" s="125"/>
    </row>
    <row r="44" spans="1:14" x14ac:dyDescent="0.3">
      <c r="A44">
        <v>7</v>
      </c>
      <c r="B44" s="125">
        <v>227</v>
      </c>
      <c r="C44" s="125">
        <v>172</v>
      </c>
      <c r="D44" s="125"/>
      <c r="F44" s="125"/>
      <c r="G44" s="125"/>
      <c r="H44" s="125"/>
    </row>
    <row r="45" spans="1:14" x14ac:dyDescent="0.3">
      <c r="A45">
        <v>8</v>
      </c>
      <c r="B45" s="125">
        <v>3</v>
      </c>
      <c r="C45" s="125">
        <v>276</v>
      </c>
      <c r="D45" s="125"/>
      <c r="F45" s="125"/>
      <c r="G45" s="125"/>
      <c r="H45" s="125"/>
    </row>
    <row r="46" spans="1:14" x14ac:dyDescent="0.3">
      <c r="A46">
        <v>9</v>
      </c>
      <c r="B46" s="125">
        <v>91</v>
      </c>
      <c r="C46" s="125">
        <v>142</v>
      </c>
      <c r="D46" s="125"/>
      <c r="F46" s="125"/>
      <c r="G46" s="125"/>
      <c r="H46" s="125"/>
    </row>
    <row r="47" spans="1:14" x14ac:dyDescent="0.3">
      <c r="A47">
        <v>10</v>
      </c>
      <c r="B47" s="125">
        <v>48</v>
      </c>
      <c r="C47" s="125">
        <v>142</v>
      </c>
      <c r="D47" s="125"/>
      <c r="F47" s="125"/>
      <c r="G47" s="125"/>
      <c r="H47" s="125"/>
    </row>
    <row r="48" spans="1:14" x14ac:dyDescent="0.3">
      <c r="A48">
        <v>11</v>
      </c>
      <c r="B48" s="125">
        <v>8</v>
      </c>
      <c r="C48" s="125">
        <v>10</v>
      </c>
      <c r="D48" s="125"/>
      <c r="F48" s="125"/>
      <c r="G48" s="125"/>
      <c r="H48" s="125"/>
    </row>
    <row r="49" spans="1:8" x14ac:dyDescent="0.3">
      <c r="A49" s="69">
        <v>12</v>
      </c>
      <c r="B49" s="183">
        <v>0</v>
      </c>
      <c r="C49" s="183">
        <v>0</v>
      </c>
      <c r="D49" s="125"/>
      <c r="F49" s="125"/>
      <c r="G49" s="125"/>
      <c r="H49" s="125"/>
    </row>
    <row r="50" spans="1:8" s="82" customFormat="1" x14ac:dyDescent="0.3">
      <c r="A50" s="82" t="s">
        <v>623</v>
      </c>
      <c r="B50" s="182">
        <f>SUM(B38:B49)</f>
        <v>530</v>
      </c>
      <c r="C50" s="182">
        <f>SUM(C38:C49)</f>
        <v>810</v>
      </c>
      <c r="D50" s="182"/>
      <c r="F50" s="182"/>
      <c r="G50" s="182"/>
      <c r="H50" s="182"/>
    </row>
    <row r="54" spans="1:8" ht="43.2" x14ac:dyDescent="0.3">
      <c r="A54" s="181" t="s">
        <v>530</v>
      </c>
      <c r="B54" s="181" t="s">
        <v>626</v>
      </c>
      <c r="C54" s="181" t="s">
        <v>622</v>
      </c>
      <c r="D54" s="181" t="s">
        <v>629</v>
      </c>
    </row>
    <row r="55" spans="1:8" x14ac:dyDescent="0.3">
      <c r="A55">
        <v>1</v>
      </c>
      <c r="B55" s="125">
        <v>7866.6352000000461</v>
      </c>
      <c r="C55" s="125">
        <f>SLOPE($B$55:$B$66,$B$38:$B$49)</f>
        <v>95.016549369030628</v>
      </c>
      <c r="D55" s="125">
        <f>B55+($C$38-$B$38)*C55</f>
        <v>7866.6352000000461</v>
      </c>
    </row>
    <row r="56" spans="1:8" x14ac:dyDescent="0.3">
      <c r="A56">
        <v>2</v>
      </c>
      <c r="B56" s="125">
        <v>10766.62360000011</v>
      </c>
      <c r="C56" s="125">
        <f t="shared" ref="C56:C66" si="0">SLOPE($B$55:$B$66,$B$38:$B$49)</f>
        <v>95.016549369030628</v>
      </c>
      <c r="D56" s="125">
        <f>B56+($C$39-$B$39)*C56</f>
        <v>10766.62360000011</v>
      </c>
    </row>
    <row r="57" spans="1:8" x14ac:dyDescent="0.3">
      <c r="A57">
        <v>3</v>
      </c>
      <c r="B57" s="125">
        <v>11466.620800000181</v>
      </c>
      <c r="C57" s="125">
        <f t="shared" si="0"/>
        <v>95.016549369030628</v>
      </c>
      <c r="D57" s="125">
        <f>B57+($C$40-$B$40)*C57</f>
        <v>10991.538053155027</v>
      </c>
    </row>
    <row r="58" spans="1:8" x14ac:dyDescent="0.3">
      <c r="A58">
        <v>4</v>
      </c>
      <c r="B58" s="125">
        <v>13249.94700000008</v>
      </c>
      <c r="C58" s="125">
        <f t="shared" si="0"/>
        <v>95.016549369030628</v>
      </c>
      <c r="D58" s="125">
        <f>B58+($C$41-$B$41)*C58</f>
        <v>13915.062845583294</v>
      </c>
    </row>
    <row r="59" spans="1:8" x14ac:dyDescent="0.3">
      <c r="A59">
        <v>5</v>
      </c>
      <c r="B59" s="125">
        <v>12074.95170000008</v>
      </c>
      <c r="C59" s="125">
        <f t="shared" si="0"/>
        <v>95.016549369030628</v>
      </c>
      <c r="D59" s="125">
        <f>B59+($C$42-$B$42)*C59</f>
        <v>12169.968249369111</v>
      </c>
    </row>
    <row r="60" spans="1:8" x14ac:dyDescent="0.3">
      <c r="A60">
        <v>6</v>
      </c>
      <c r="B60" s="125">
        <v>24849.900599999761</v>
      </c>
      <c r="C60" s="125">
        <f t="shared" si="0"/>
        <v>95.016549369030628</v>
      </c>
      <c r="D60" s="125">
        <f>B60+($C$43-$B$43)*C60</f>
        <v>16488.444255525064</v>
      </c>
    </row>
    <row r="61" spans="1:8" x14ac:dyDescent="0.3">
      <c r="A61">
        <v>7</v>
      </c>
      <c r="B61" s="125">
        <v>33241.53370000024</v>
      </c>
      <c r="C61" s="125">
        <f t="shared" si="0"/>
        <v>95.016549369030628</v>
      </c>
      <c r="D61" s="125">
        <f>B61+($C$44-$B$44)*C61</f>
        <v>28015.623484703556</v>
      </c>
    </row>
    <row r="62" spans="1:8" x14ac:dyDescent="0.3">
      <c r="A62">
        <v>8</v>
      </c>
      <c r="B62" s="125">
        <v>29858.213900000079</v>
      </c>
      <c r="C62" s="125">
        <f t="shared" si="0"/>
        <v>95.016549369030628</v>
      </c>
      <c r="D62" s="125">
        <f>B62+($C$45-$B$45)*C62</f>
        <v>55797.731877745442</v>
      </c>
    </row>
    <row r="63" spans="1:8" x14ac:dyDescent="0.3">
      <c r="A63">
        <v>9</v>
      </c>
      <c r="B63" s="125">
        <v>22574.90970000024</v>
      </c>
      <c r="C63" s="125">
        <f t="shared" si="0"/>
        <v>95.016549369030628</v>
      </c>
      <c r="D63" s="125">
        <f>B63+($C$46-$B$46)*C63</f>
        <v>27420.7537178208</v>
      </c>
    </row>
    <row r="64" spans="1:8" x14ac:dyDescent="0.3">
      <c r="A64">
        <v>10</v>
      </c>
      <c r="B64" s="125">
        <v>20333.25199999976</v>
      </c>
      <c r="C64" s="125">
        <f t="shared" si="0"/>
        <v>95.016549369030628</v>
      </c>
      <c r="D64" s="125">
        <f>B64+($C$47-$B$47)*C64</f>
        <v>29264.807640688639</v>
      </c>
    </row>
    <row r="65" spans="1:4" x14ac:dyDescent="0.3">
      <c r="A65">
        <v>11</v>
      </c>
      <c r="B65" s="125">
        <v>12424.95030000013</v>
      </c>
      <c r="C65" s="125">
        <f t="shared" si="0"/>
        <v>95.016549369030628</v>
      </c>
      <c r="D65" s="125">
        <f>B65+($C$48-$B$48)*C65</f>
        <v>12614.983398738192</v>
      </c>
    </row>
    <row r="66" spans="1:4" x14ac:dyDescent="0.3">
      <c r="A66" s="69">
        <v>12</v>
      </c>
      <c r="B66" s="183">
        <v>6083.728865615014</v>
      </c>
      <c r="C66" s="183">
        <f t="shared" si="0"/>
        <v>95.016549369030628</v>
      </c>
      <c r="D66" s="183">
        <f>B66+($C$49-$B$49)*C66</f>
        <v>6083.728865615014</v>
      </c>
    </row>
    <row r="67" spans="1:4" x14ac:dyDescent="0.3">
      <c r="A67" s="82" t="s">
        <v>623</v>
      </c>
      <c r="B67" s="182">
        <f>SUM(B55:B66)</f>
        <v>204791.26736561573</v>
      </c>
      <c r="C67" s="182"/>
      <c r="D67" s="182">
        <f>SUM(D55:D66)</f>
        <v>231395.90118894429</v>
      </c>
    </row>
    <row r="69" spans="1:4" ht="57.6" x14ac:dyDescent="0.3">
      <c r="A69" s="181" t="s">
        <v>530</v>
      </c>
      <c r="B69" s="181" t="s">
        <v>627</v>
      </c>
      <c r="C69" s="181" t="s">
        <v>622</v>
      </c>
      <c r="D69" s="181" t="s">
        <v>628</v>
      </c>
    </row>
    <row r="70" spans="1:4" x14ac:dyDescent="0.3">
      <c r="A70">
        <v>1</v>
      </c>
      <c r="B70" s="125">
        <v>51.645593261719142</v>
      </c>
      <c r="C70" s="125">
        <f>SLOPE($B$70:$B$81,$B$38:$B$49)</f>
        <v>8.0986632208615905</v>
      </c>
      <c r="D70" s="125">
        <f>B70+($C$38-$B$38)*C70</f>
        <v>51.645593261719142</v>
      </c>
    </row>
    <row r="71" spans="1:4" x14ac:dyDescent="0.3">
      <c r="A71">
        <v>2</v>
      </c>
      <c r="B71" s="125">
        <v>201.58966064452974</v>
      </c>
      <c r="C71" s="125">
        <f t="shared" ref="C71:C81" si="1">SLOPE($B$70:$B$81,$B$38:$B$49)</f>
        <v>8.0986632208615905</v>
      </c>
      <c r="D71" s="125">
        <f>B71+($C$39-$B$39)*C71</f>
        <v>201.58966064452974</v>
      </c>
    </row>
    <row r="72" spans="1:4" x14ac:dyDescent="0.3">
      <c r="A72">
        <v>3</v>
      </c>
      <c r="B72" s="125">
        <v>154.93677978515547</v>
      </c>
      <c r="C72" s="125">
        <f t="shared" si="1"/>
        <v>8.0986632208615905</v>
      </c>
      <c r="D72" s="125">
        <f>B72+($C$40-$B$40)*C72</f>
        <v>114.44346368084751</v>
      </c>
    </row>
    <row r="73" spans="1:4" x14ac:dyDescent="0.3">
      <c r="A73">
        <v>4</v>
      </c>
      <c r="B73" s="125">
        <v>376.50745849609143</v>
      </c>
      <c r="C73" s="125">
        <f t="shared" si="1"/>
        <v>8.0986632208615905</v>
      </c>
      <c r="D73" s="125">
        <f>B73+($C$41-$B$41)*C73</f>
        <v>433.19810104212257</v>
      </c>
    </row>
    <row r="74" spans="1:4" x14ac:dyDescent="0.3">
      <c r="A74">
        <v>5</v>
      </c>
      <c r="B74" s="125">
        <v>432.33228759765177</v>
      </c>
      <c r="C74" s="125">
        <f t="shared" si="1"/>
        <v>8.0986632208615905</v>
      </c>
      <c r="D74" s="125">
        <f>B74+($C$42-$B$42)*C74</f>
        <v>440.43095081851334</v>
      </c>
    </row>
    <row r="75" spans="1:4" x14ac:dyDescent="0.3">
      <c r="A75">
        <v>6</v>
      </c>
      <c r="B75" s="125">
        <v>1363.6205932617199</v>
      </c>
      <c r="C75" s="125">
        <f t="shared" si="1"/>
        <v>8.0986632208615905</v>
      </c>
      <c r="D75" s="125">
        <f>B75+($C$43-$B$43)*C75</f>
        <v>650.93822982589995</v>
      </c>
    </row>
    <row r="76" spans="1:4" x14ac:dyDescent="0.3">
      <c r="A76">
        <v>7</v>
      </c>
      <c r="B76" s="125">
        <v>2082.5000000000055</v>
      </c>
      <c r="C76" s="125">
        <f t="shared" si="1"/>
        <v>8.0986632208615905</v>
      </c>
      <c r="D76" s="125">
        <f>B76+($C$44-$B$44)*C76</f>
        <v>1637.073522852618</v>
      </c>
    </row>
    <row r="77" spans="1:4" x14ac:dyDescent="0.3">
      <c r="A77">
        <v>8</v>
      </c>
      <c r="B77" s="125">
        <v>1999.20000000001</v>
      </c>
      <c r="C77" s="125">
        <f t="shared" si="1"/>
        <v>8.0986632208615905</v>
      </c>
      <c r="D77" s="125">
        <f>B77+($C$45-$B$45)*C77</f>
        <v>4210.135059295224</v>
      </c>
    </row>
    <row r="78" spans="1:4" x14ac:dyDescent="0.3">
      <c r="A78">
        <v>9</v>
      </c>
      <c r="B78" s="125">
        <v>1749.2999999999877</v>
      </c>
      <c r="C78" s="125">
        <f t="shared" si="1"/>
        <v>8.0986632208615905</v>
      </c>
      <c r="D78" s="125">
        <f>B78+($C$46-$B$46)*C78</f>
        <v>2162.3318242639289</v>
      </c>
    </row>
    <row r="79" spans="1:4" x14ac:dyDescent="0.3">
      <c r="A79">
        <v>10</v>
      </c>
      <c r="B79" s="125">
        <v>999.60000000000502</v>
      </c>
      <c r="C79" s="125">
        <f t="shared" si="1"/>
        <v>8.0986632208615905</v>
      </c>
      <c r="D79" s="125">
        <f>B79+($C$47-$B$47)*C79</f>
        <v>1760.8743427609945</v>
      </c>
    </row>
    <row r="80" spans="1:4" x14ac:dyDescent="0.3">
      <c r="A80">
        <v>11</v>
      </c>
      <c r="B80" s="125">
        <v>249.8999999999983</v>
      </c>
      <c r="C80" s="125">
        <f t="shared" si="1"/>
        <v>8.0986632208615905</v>
      </c>
      <c r="D80" s="125">
        <f>B80+($C$48-$B$48)*C80</f>
        <v>266.09732644172146</v>
      </c>
    </row>
    <row r="81" spans="1:5" x14ac:dyDescent="0.3">
      <c r="A81" s="69">
        <v>12</v>
      </c>
      <c r="B81" s="184">
        <f>B70</f>
        <v>51.645593261719142</v>
      </c>
      <c r="C81" s="183">
        <f t="shared" si="1"/>
        <v>8.0986632208615905</v>
      </c>
      <c r="D81" s="184">
        <f>B81+($C$49-$B$49)*C81</f>
        <v>51.645593261719142</v>
      </c>
      <c r="E81" t="s">
        <v>639</v>
      </c>
    </row>
    <row r="82" spans="1:5" x14ac:dyDescent="0.3">
      <c r="A82" s="82" t="s">
        <v>623</v>
      </c>
      <c r="B82" s="182">
        <f>SUM(B70:B81)</f>
        <v>9712.777966308593</v>
      </c>
      <c r="C82" s="182"/>
      <c r="D82" s="182">
        <f>SUM(D70:D81)</f>
        <v>11980.403668149838</v>
      </c>
    </row>
    <row r="84" spans="1:5" ht="57.6" x14ac:dyDescent="0.3">
      <c r="A84" s="181" t="s">
        <v>530</v>
      </c>
      <c r="B84" s="181" t="s">
        <v>630</v>
      </c>
      <c r="C84" s="181" t="s">
        <v>622</v>
      </c>
      <c r="D84" s="181" t="s">
        <v>631</v>
      </c>
    </row>
    <row r="85" spans="1:5" x14ac:dyDescent="0.3">
      <c r="A85">
        <v>1</v>
      </c>
      <c r="B85" s="125">
        <v>8472.5210937500724</v>
      </c>
      <c r="C85" s="125">
        <f>SLOPE($B$85:$B$96,$B$38:$B$49)</f>
        <v>151.4149435787655</v>
      </c>
      <c r="D85" s="125">
        <f>B85+($C$38-$B$38)*C85</f>
        <v>8472.5210937500724</v>
      </c>
    </row>
    <row r="86" spans="1:5" x14ac:dyDescent="0.3">
      <c r="A86">
        <v>2</v>
      </c>
      <c r="B86" s="125">
        <v>8204.0738281251342</v>
      </c>
      <c r="C86" s="125">
        <f t="shared" ref="C86:C96" si="2">SLOPE($B$85:$B$96,$B$38:$B$49)</f>
        <v>151.4149435787655</v>
      </c>
      <c r="D86" s="125">
        <f>B86+($C$39-$B$39)*C86</f>
        <v>8204.0738281251342</v>
      </c>
    </row>
    <row r="87" spans="1:5" x14ac:dyDescent="0.3">
      <c r="A87">
        <v>3</v>
      </c>
      <c r="B87" s="125">
        <v>10681.028613281322</v>
      </c>
      <c r="C87" s="125">
        <f t="shared" si="2"/>
        <v>151.4149435787655</v>
      </c>
      <c r="D87" s="125">
        <f>B87+($C$40-$B$40)*C87</f>
        <v>9923.9538953874944</v>
      </c>
    </row>
    <row r="88" spans="1:5" x14ac:dyDescent="0.3">
      <c r="A88">
        <v>4</v>
      </c>
      <c r="B88" s="125">
        <v>18370.903906250081</v>
      </c>
      <c r="C88" s="125">
        <f t="shared" si="2"/>
        <v>151.4149435787655</v>
      </c>
      <c r="D88" s="125">
        <f>B88+($C$41-$B$41)*C88</f>
        <v>19430.808511301439</v>
      </c>
    </row>
    <row r="89" spans="1:5" x14ac:dyDescent="0.3">
      <c r="A89">
        <v>5</v>
      </c>
      <c r="B89" s="125">
        <v>30951.807031249711</v>
      </c>
      <c r="C89" s="125">
        <f t="shared" si="2"/>
        <v>151.4149435787655</v>
      </c>
      <c r="D89" s="125">
        <f>B89+($C$42-$B$42)*C89</f>
        <v>31103.221974828477</v>
      </c>
    </row>
    <row r="90" spans="1:5" x14ac:dyDescent="0.3">
      <c r="A90">
        <v>6</v>
      </c>
      <c r="B90" s="125">
        <v>36486.538867187352</v>
      </c>
      <c r="C90" s="125">
        <f t="shared" si="2"/>
        <v>151.4149435787655</v>
      </c>
      <c r="D90" s="125">
        <f>B90+($C$43-$B$43)*C90</f>
        <v>23162.023832255989</v>
      </c>
    </row>
    <row r="91" spans="1:5" x14ac:dyDescent="0.3">
      <c r="A91">
        <v>7</v>
      </c>
      <c r="B91" s="125">
        <v>47928.086718750215</v>
      </c>
      <c r="C91" s="125">
        <f t="shared" si="2"/>
        <v>151.4149435787655</v>
      </c>
      <c r="D91" s="125">
        <f>B91+($C$44-$B$44)*C91</f>
        <v>39600.264821918114</v>
      </c>
    </row>
    <row r="92" spans="1:5" x14ac:dyDescent="0.3">
      <c r="A92">
        <v>8</v>
      </c>
      <c r="B92" s="125">
        <v>50471.99062500026</v>
      </c>
      <c r="C92" s="125">
        <f t="shared" si="2"/>
        <v>151.4149435787655</v>
      </c>
      <c r="D92" s="125">
        <f>B92+($C$45-$B$45)*C92</f>
        <v>91808.270222003252</v>
      </c>
    </row>
    <row r="93" spans="1:5" x14ac:dyDescent="0.3">
      <c r="A93">
        <v>9</v>
      </c>
      <c r="B93" s="125">
        <v>37596.120898437403</v>
      </c>
      <c r="C93" s="125">
        <f t="shared" si="2"/>
        <v>151.4149435787655</v>
      </c>
      <c r="D93" s="125">
        <f>B93+($C$46-$B$46)*C93</f>
        <v>45318.283020954441</v>
      </c>
    </row>
    <row r="94" spans="1:5" x14ac:dyDescent="0.3">
      <c r="A94">
        <v>10</v>
      </c>
      <c r="B94" s="125">
        <v>38401.299999999726</v>
      </c>
      <c r="C94" s="125">
        <f t="shared" si="2"/>
        <v>151.4149435787655</v>
      </c>
      <c r="D94" s="125">
        <f>B94+($C$47-$B$47)*C94</f>
        <v>52634.304696403684</v>
      </c>
    </row>
    <row r="95" spans="1:5" x14ac:dyDescent="0.3">
      <c r="A95">
        <v>11</v>
      </c>
      <c r="B95" s="125">
        <v>14831.467382812421</v>
      </c>
      <c r="C95" s="125">
        <f t="shared" si="2"/>
        <v>151.4149435787655</v>
      </c>
      <c r="D95" s="125">
        <f>B95+($C$48-$B$48)*C95</f>
        <v>15134.297269969953</v>
      </c>
    </row>
    <row r="96" spans="1:5" x14ac:dyDescent="0.3">
      <c r="A96" s="69">
        <v>12</v>
      </c>
      <c r="B96" s="183">
        <v>3324.353320312528</v>
      </c>
      <c r="C96" s="125">
        <f t="shared" si="2"/>
        <v>151.4149435787655</v>
      </c>
      <c r="D96" s="183">
        <f>B96+($C$49-$B$49)*C96</f>
        <v>3324.353320312528</v>
      </c>
    </row>
    <row r="97" spans="1:4" x14ac:dyDescent="0.3">
      <c r="A97" s="82" t="s">
        <v>623</v>
      </c>
      <c r="B97" s="182">
        <f>SUM(B85:B96)</f>
        <v>305720.19228515617</v>
      </c>
      <c r="C97" s="182"/>
      <c r="D97" s="182">
        <f>SUM(D85:D96)</f>
        <v>348116.37648721057</v>
      </c>
    </row>
    <row r="99" spans="1:4" ht="43.2" x14ac:dyDescent="0.3">
      <c r="A99" s="181" t="s">
        <v>530</v>
      </c>
      <c r="B99" s="181" t="s">
        <v>619</v>
      </c>
      <c r="C99" s="181" t="s">
        <v>622</v>
      </c>
      <c r="D99" s="181" t="s">
        <v>624</v>
      </c>
    </row>
    <row r="100" spans="1:4" x14ac:dyDescent="0.3">
      <c r="A100">
        <v>1</v>
      </c>
      <c r="B100" s="125">
        <v>911.89617202946079</v>
      </c>
      <c r="C100" s="125">
        <f>SLOPE($B$100:$B$111,$B$38:$B$49)</f>
        <v>31.912657833349453</v>
      </c>
      <c r="D100" s="125">
        <f>B100+($C$38-$B$38)*C100</f>
        <v>911.89617202946079</v>
      </c>
    </row>
    <row r="101" spans="1:4" x14ac:dyDescent="0.3">
      <c r="A101">
        <v>2</v>
      </c>
      <c r="B101" s="125">
        <v>1209.517626953118</v>
      </c>
      <c r="C101" s="125">
        <f t="shared" ref="C101:C111" si="3">SLOPE($B$100:$B$111,$B$38:$B$49)</f>
        <v>31.912657833349453</v>
      </c>
      <c r="D101" s="125">
        <f>B101+($C$39-$B$39)*C101</f>
        <v>1209.517626953118</v>
      </c>
    </row>
    <row r="102" spans="1:4" x14ac:dyDescent="0.3">
      <c r="A102">
        <v>3</v>
      </c>
      <c r="B102" s="125">
        <v>1958.3838134765542</v>
      </c>
      <c r="C102" s="125">
        <f t="shared" si="3"/>
        <v>31.912657833349453</v>
      </c>
      <c r="D102" s="125">
        <f>B102+($C$40-$B$40)*C102</f>
        <v>1798.8205243098068</v>
      </c>
    </row>
    <row r="103" spans="1:4" x14ac:dyDescent="0.3">
      <c r="A103">
        <v>4</v>
      </c>
      <c r="B103" s="125">
        <v>2748.0661865234583</v>
      </c>
      <c r="C103" s="125">
        <f t="shared" si="3"/>
        <v>31.912657833349453</v>
      </c>
      <c r="D103" s="125">
        <f>B103+($C$41-$B$41)*C103</f>
        <v>2971.4547913569045</v>
      </c>
    </row>
    <row r="104" spans="1:4" x14ac:dyDescent="0.3">
      <c r="A104">
        <v>5</v>
      </c>
      <c r="B104" s="125">
        <v>4181.6559326172155</v>
      </c>
      <c r="C104" s="125">
        <f t="shared" si="3"/>
        <v>31.912657833349453</v>
      </c>
      <c r="D104" s="125">
        <f>B104+($C$42-$B$42)*C104</f>
        <v>4213.5685904505654</v>
      </c>
    </row>
    <row r="105" spans="1:4" x14ac:dyDescent="0.3">
      <c r="A105">
        <v>6</v>
      </c>
      <c r="B105" s="125">
        <v>5997.5999999999594</v>
      </c>
      <c r="C105" s="125">
        <f t="shared" si="3"/>
        <v>31.912657833349453</v>
      </c>
      <c r="D105" s="125">
        <f>B105+($C$43-$B$43)*C105</f>
        <v>3189.2861106652076</v>
      </c>
    </row>
    <row r="106" spans="1:4" x14ac:dyDescent="0.3">
      <c r="A106">
        <v>7</v>
      </c>
      <c r="B106" s="125">
        <v>9162.9999999999218</v>
      </c>
      <c r="C106" s="125">
        <f t="shared" si="3"/>
        <v>31.912657833349453</v>
      </c>
      <c r="D106" s="125">
        <f>B106+($C$44-$B$44)*C106</f>
        <v>7407.8038191657015</v>
      </c>
    </row>
    <row r="107" spans="1:4" x14ac:dyDescent="0.3">
      <c r="A107">
        <v>8</v>
      </c>
      <c r="B107" s="125">
        <v>7830.2000000000935</v>
      </c>
      <c r="C107" s="125">
        <f t="shared" si="3"/>
        <v>31.912657833349453</v>
      </c>
      <c r="D107" s="125">
        <f>B107+($C$45-$B$45)*C107</f>
        <v>16542.355588504492</v>
      </c>
    </row>
    <row r="108" spans="1:4" x14ac:dyDescent="0.3">
      <c r="A108">
        <v>9</v>
      </c>
      <c r="B108" s="125">
        <v>7497.0000000000937</v>
      </c>
      <c r="C108" s="125">
        <f t="shared" si="3"/>
        <v>31.912657833349453</v>
      </c>
      <c r="D108" s="125">
        <f>B108+($C$46-$B$46)*C108</f>
        <v>9124.5455495009155</v>
      </c>
    </row>
    <row r="109" spans="1:4" x14ac:dyDescent="0.3">
      <c r="A109">
        <v>10</v>
      </c>
      <c r="B109" s="125">
        <v>5997.6000000000695</v>
      </c>
      <c r="C109" s="125">
        <f t="shared" si="3"/>
        <v>31.912657833349453</v>
      </c>
      <c r="D109" s="125">
        <f>B109+($C$47-$B$47)*C109</f>
        <v>8997.3898363349181</v>
      </c>
    </row>
    <row r="110" spans="1:4" x14ac:dyDescent="0.3">
      <c r="A110">
        <v>11</v>
      </c>
      <c r="B110" s="125">
        <v>1999.1999999999864</v>
      </c>
      <c r="C110" s="125">
        <f t="shared" si="3"/>
        <v>31.912657833349453</v>
      </c>
      <c r="D110" s="125">
        <f>B110+($C$48-$B$48)*C110</f>
        <v>2063.0253156666854</v>
      </c>
    </row>
    <row r="111" spans="1:4" x14ac:dyDescent="0.3">
      <c r="A111" s="69">
        <v>12</v>
      </c>
      <c r="B111" s="183">
        <v>614.27471710580369</v>
      </c>
      <c r="C111" s="125">
        <f t="shared" si="3"/>
        <v>31.912657833349453</v>
      </c>
      <c r="D111" s="183">
        <f>B111+($C$49-$B$49)*C111</f>
        <v>614.27471710580369</v>
      </c>
    </row>
    <row r="112" spans="1:4" x14ac:dyDescent="0.3">
      <c r="A112" s="82" t="s">
        <v>623</v>
      </c>
      <c r="B112" s="182">
        <f>SUM(B100:B111)</f>
        <v>50108.394448705745</v>
      </c>
      <c r="C112" s="182"/>
      <c r="D112" s="182">
        <f>SUM(D100:D111)</f>
        <v>59043.938642043584</v>
      </c>
    </row>
    <row r="114" spans="1:4" ht="43.2" x14ac:dyDescent="0.3">
      <c r="A114" s="181" t="s">
        <v>530</v>
      </c>
      <c r="B114" s="181" t="s">
        <v>637</v>
      </c>
      <c r="C114" s="181" t="s">
        <v>622</v>
      </c>
      <c r="D114" s="181" t="s">
        <v>638</v>
      </c>
    </row>
    <row r="115" spans="1:4" x14ac:dyDescent="0.3">
      <c r="A115">
        <v>1</v>
      </c>
      <c r="B115" s="125">
        <v>9734.426611328161</v>
      </c>
      <c r="C115" s="125">
        <f>SLOPE($B$115:$B$126,$B$38:$B$49)</f>
        <v>89.115386184521086</v>
      </c>
      <c r="D115" s="125">
        <f>B115+($C$38-$B$38)*C115</f>
        <v>9734.426611328161</v>
      </c>
    </row>
    <row r="116" spans="1:4" x14ac:dyDescent="0.3">
      <c r="A116">
        <v>2</v>
      </c>
      <c r="B116" s="125">
        <v>11382.12338867188</v>
      </c>
      <c r="C116" s="125">
        <f t="shared" ref="C116:C126" si="4">SLOPE($B$115:$B$126,$B$38:$B$49)</f>
        <v>89.115386184521086</v>
      </c>
      <c r="D116" s="125">
        <f>B116+($C$39-$B$39)*C116</f>
        <v>11382.12338867188</v>
      </c>
    </row>
    <row r="117" spans="1:4" x14ac:dyDescent="0.3">
      <c r="A117">
        <v>3</v>
      </c>
      <c r="B117" s="125">
        <v>14230.958984374887</v>
      </c>
      <c r="C117" s="125">
        <f t="shared" si="4"/>
        <v>89.115386184521086</v>
      </c>
      <c r="D117" s="125">
        <f>B117+($C$40-$B$40)*C117</f>
        <v>13785.382053452282</v>
      </c>
    </row>
    <row r="118" spans="1:4" x14ac:dyDescent="0.3">
      <c r="A118">
        <v>4</v>
      </c>
      <c r="B118" s="125">
        <v>19137.320849609074</v>
      </c>
      <c r="C118" s="125">
        <f t="shared" si="4"/>
        <v>89.115386184521086</v>
      </c>
      <c r="D118" s="125">
        <f>B118+($C$41-$B$41)*C118</f>
        <v>19761.128552900722</v>
      </c>
    </row>
    <row r="119" spans="1:4" x14ac:dyDescent="0.3">
      <c r="A119">
        <v>5</v>
      </c>
      <c r="B119" s="125">
        <v>22442.720166015624</v>
      </c>
      <c r="C119" s="125">
        <f t="shared" si="4"/>
        <v>89.115386184521086</v>
      </c>
      <c r="D119" s="125">
        <f>B119+($C$42-$B$42)*C119</f>
        <v>22531.835552200144</v>
      </c>
    </row>
    <row r="120" spans="1:4" x14ac:dyDescent="0.3">
      <c r="A120">
        <v>6</v>
      </c>
      <c r="B120" s="125">
        <v>29489.013476561959</v>
      </c>
      <c r="C120" s="125">
        <f t="shared" si="4"/>
        <v>89.115386184521086</v>
      </c>
      <c r="D120" s="125">
        <f>B120+($C$43-$B$43)*C120</f>
        <v>21646.859492324103</v>
      </c>
    </row>
    <row r="121" spans="1:4" x14ac:dyDescent="0.3">
      <c r="A121">
        <v>7</v>
      </c>
      <c r="B121" s="125">
        <v>32153.799999999781</v>
      </c>
      <c r="C121" s="125">
        <f t="shared" si="4"/>
        <v>89.115386184521086</v>
      </c>
      <c r="D121" s="125">
        <f>B121+($C$44-$B$44)*C121</f>
        <v>27252.453759851123</v>
      </c>
    </row>
    <row r="122" spans="1:4" x14ac:dyDescent="0.3">
      <c r="A122">
        <v>8</v>
      </c>
      <c r="B122" s="125">
        <v>26656.000000000106</v>
      </c>
      <c r="C122" s="125">
        <f t="shared" si="4"/>
        <v>89.115386184521086</v>
      </c>
      <c r="D122" s="125">
        <f>B122+($C$45-$B$45)*C122</f>
        <v>50984.500428374362</v>
      </c>
    </row>
    <row r="123" spans="1:4" x14ac:dyDescent="0.3">
      <c r="A123">
        <v>9</v>
      </c>
      <c r="B123" s="125">
        <v>23573.89999999983</v>
      </c>
      <c r="C123" s="125">
        <f t="shared" si="4"/>
        <v>89.115386184521086</v>
      </c>
      <c r="D123" s="125">
        <f>B123+($C$46-$B$46)*C123</f>
        <v>28118.784695410406</v>
      </c>
    </row>
    <row r="124" spans="1:4" x14ac:dyDescent="0.3">
      <c r="A124">
        <v>10</v>
      </c>
      <c r="B124" s="125">
        <v>17992.799999999905</v>
      </c>
      <c r="C124" s="125">
        <f t="shared" si="4"/>
        <v>89.115386184521086</v>
      </c>
      <c r="D124" s="125">
        <f>B124+($C$47-$B$47)*C124</f>
        <v>26369.646301344888</v>
      </c>
    </row>
    <row r="125" spans="1:4" x14ac:dyDescent="0.3">
      <c r="A125">
        <v>11</v>
      </c>
      <c r="B125" s="125">
        <v>10412.500000000056</v>
      </c>
      <c r="C125" s="125">
        <f t="shared" si="4"/>
        <v>89.115386184521086</v>
      </c>
      <c r="D125" s="125">
        <f>B125+($C$48-$B$48)*C125</f>
        <v>10590.730772369099</v>
      </c>
    </row>
    <row r="126" spans="1:4" x14ac:dyDescent="0.3">
      <c r="A126" s="69">
        <v>12</v>
      </c>
      <c r="B126" s="183">
        <v>6987.3749070784797</v>
      </c>
      <c r="C126" s="125">
        <f t="shared" si="4"/>
        <v>89.115386184521086</v>
      </c>
      <c r="D126" s="183">
        <f>B126+($C$49-$B$49)*C126</f>
        <v>6987.3749070784797</v>
      </c>
    </row>
    <row r="127" spans="1:4" x14ac:dyDescent="0.3">
      <c r="A127" s="82" t="s">
        <v>623</v>
      </c>
      <c r="B127" s="182">
        <f>SUM(B115:B126)</f>
        <v>224192.93838363973</v>
      </c>
      <c r="C127" s="182"/>
      <c r="D127" s="182">
        <f>SUM(D115:D126)</f>
        <v>249145.24651530565</v>
      </c>
    </row>
    <row r="129" spans="1:6" ht="72" x14ac:dyDescent="0.3">
      <c r="A129" s="181" t="s">
        <v>530</v>
      </c>
      <c r="B129" s="181" t="s">
        <v>640</v>
      </c>
      <c r="C129" s="181" t="s">
        <v>622</v>
      </c>
      <c r="D129" s="181" t="s">
        <v>641</v>
      </c>
    </row>
    <row r="130" spans="1:6" x14ac:dyDescent="0.3">
      <c r="A130">
        <v>1</v>
      </c>
      <c r="B130" s="125">
        <v>0</v>
      </c>
      <c r="C130" s="125">
        <f>SLOPE($B$130:$B$141,$B$38:$B$49)</f>
        <v>20.489915733763862</v>
      </c>
      <c r="D130" s="125">
        <f>B130+($C$38-$B$38)*C130</f>
        <v>0</v>
      </c>
      <c r="F130" s="22" t="s">
        <v>451</v>
      </c>
    </row>
    <row r="131" spans="1:6" x14ac:dyDescent="0.3">
      <c r="A131">
        <v>2</v>
      </c>
      <c r="B131" s="125">
        <v>352.35991516112847</v>
      </c>
      <c r="C131" s="125">
        <f t="shared" ref="C131:C141" si="5">SLOPE($B$130:$B$141,$B$38:$B$49)</f>
        <v>20.489915733763862</v>
      </c>
      <c r="D131" s="125">
        <f>B131+($C$39-$B$39)*C131</f>
        <v>352.35991516112847</v>
      </c>
    </row>
    <row r="132" spans="1:6" x14ac:dyDescent="0.3">
      <c r="A132">
        <v>3</v>
      </c>
      <c r="B132" s="125">
        <v>148.27389831542817</v>
      </c>
      <c r="C132" s="125">
        <f t="shared" si="5"/>
        <v>20.489915733763862</v>
      </c>
      <c r="D132" s="125">
        <f>B132+($C$40-$B$40)*C132</f>
        <v>45.824319646608856</v>
      </c>
    </row>
    <row r="133" spans="1:6" x14ac:dyDescent="0.3">
      <c r="A133">
        <v>4</v>
      </c>
      <c r="B133" s="125">
        <v>659.7345764160184</v>
      </c>
      <c r="C133" s="125">
        <f t="shared" si="5"/>
        <v>20.489915733763862</v>
      </c>
      <c r="D133" s="125">
        <f>B133+($C$41-$B$41)*C133</f>
        <v>803.16398655236549</v>
      </c>
    </row>
    <row r="134" spans="1:6" x14ac:dyDescent="0.3">
      <c r="A134">
        <v>5</v>
      </c>
      <c r="B134" s="125">
        <v>1271.1588134765673</v>
      </c>
      <c r="C134" s="125">
        <f t="shared" si="5"/>
        <v>20.489915733763862</v>
      </c>
      <c r="D134" s="125">
        <f>B134+($C$42-$B$42)*C134</f>
        <v>1291.6487292103311</v>
      </c>
    </row>
    <row r="135" spans="1:6" x14ac:dyDescent="0.3">
      <c r="A135">
        <v>6</v>
      </c>
      <c r="B135" s="125">
        <v>3579.4011016845284</v>
      </c>
      <c r="C135" s="125">
        <f t="shared" si="5"/>
        <v>20.489915733763862</v>
      </c>
      <c r="D135" s="125">
        <f>B135+($C$43-$B$43)*C135</f>
        <v>1776.2885171133084</v>
      </c>
    </row>
    <row r="136" spans="1:6" x14ac:dyDescent="0.3">
      <c r="A136">
        <v>7</v>
      </c>
      <c r="B136" s="125">
        <v>5247.8999999999378</v>
      </c>
      <c r="C136" s="125">
        <f t="shared" si="5"/>
        <v>20.489915733763862</v>
      </c>
      <c r="D136" s="125">
        <f>B136+($C$44-$B$44)*C136</f>
        <v>4120.9546346429252</v>
      </c>
    </row>
    <row r="137" spans="1:6" x14ac:dyDescent="0.3">
      <c r="A137">
        <v>8</v>
      </c>
      <c r="B137" s="125">
        <v>4081.7000000000353</v>
      </c>
      <c r="C137" s="125">
        <f t="shared" si="5"/>
        <v>20.489915733763862</v>
      </c>
      <c r="D137" s="125">
        <f>B137+($C$45-$B$45)*C137</f>
        <v>9675.4469953175685</v>
      </c>
    </row>
    <row r="138" spans="1:6" x14ac:dyDescent="0.3">
      <c r="A138">
        <v>9</v>
      </c>
      <c r="B138" s="125">
        <v>2748.9000000000237</v>
      </c>
      <c r="C138" s="125">
        <f t="shared" si="5"/>
        <v>20.489915733763862</v>
      </c>
      <c r="D138" s="125">
        <f>B138+($C$46-$B$46)*C138</f>
        <v>3793.8857024219806</v>
      </c>
    </row>
    <row r="139" spans="1:6" x14ac:dyDescent="0.3">
      <c r="A139">
        <v>10</v>
      </c>
      <c r="B139" s="125">
        <v>2082.5000000000055</v>
      </c>
      <c r="C139" s="125">
        <f t="shared" si="5"/>
        <v>20.489915733763862</v>
      </c>
      <c r="D139" s="125">
        <f>B139+($C$47-$B$47)*C139</f>
        <v>4008.5520789738084</v>
      </c>
    </row>
    <row r="140" spans="1:6" x14ac:dyDescent="0.3">
      <c r="A140">
        <v>11</v>
      </c>
      <c r="B140" s="125">
        <v>666.40000000000623</v>
      </c>
      <c r="C140" s="125">
        <f t="shared" si="5"/>
        <v>20.489915733763862</v>
      </c>
      <c r="D140" s="125">
        <f>B140+($C$48-$B$48)*C140</f>
        <v>707.3798314675339</v>
      </c>
    </row>
    <row r="141" spans="1:6" x14ac:dyDescent="0.3">
      <c r="A141" s="69">
        <v>12</v>
      </c>
      <c r="B141" s="183">
        <v>0</v>
      </c>
      <c r="C141" s="125">
        <f t="shared" si="5"/>
        <v>20.489915733763862</v>
      </c>
      <c r="D141" s="183">
        <f>B141+($C$49-$B$49)*C141</f>
        <v>0</v>
      </c>
    </row>
    <row r="142" spans="1:6" x14ac:dyDescent="0.3">
      <c r="A142" s="82" t="s">
        <v>623</v>
      </c>
      <c r="B142" s="182">
        <f>SUM(B130:B141)</f>
        <v>20838.328305053681</v>
      </c>
      <c r="C142" s="182"/>
      <c r="D142" s="182">
        <f>SUM(D130:D141)</f>
        <v>26575.504710507557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2A02-B4CA-4694-813F-DE686360E94E}">
  <dimension ref="A1:W146"/>
  <sheetViews>
    <sheetView workbookViewId="0">
      <pane xSplit="2" ySplit="2" topLeftCell="J3" activePane="bottomRight" state="frozen"/>
      <selection pane="topRight" activeCell="C1" sqref="C1"/>
      <selection pane="bottomLeft" activeCell="A3" sqref="A3"/>
      <selection pane="bottomRight" sqref="A1:U26"/>
    </sheetView>
  </sheetViews>
  <sheetFormatPr defaultRowHeight="14.4" x14ac:dyDescent="0.3"/>
  <cols>
    <col min="1" max="1" width="15.77734375" customWidth="1"/>
    <col min="2" max="2" width="32.33203125" customWidth="1"/>
    <col min="3" max="5" width="15.77734375" customWidth="1"/>
    <col min="6" max="6" width="18.109375" customWidth="1"/>
    <col min="7" max="7" width="15.77734375" customWidth="1"/>
    <col min="8" max="8" width="17.5546875" customWidth="1"/>
    <col min="9" max="9" width="18.5546875" customWidth="1"/>
    <col min="10" max="12" width="15.77734375" customWidth="1"/>
    <col min="13" max="13" width="21.21875" customWidth="1"/>
    <col min="14" max="18" width="15.77734375" customWidth="1"/>
    <col min="19" max="19" width="9.77734375" customWidth="1"/>
    <col min="20" max="20" width="9" customWidth="1"/>
  </cols>
  <sheetData>
    <row r="1" spans="1:23" s="150" customFormat="1" ht="26.4" thickBot="1" x14ac:dyDescent="0.55000000000000004">
      <c r="A1" s="226"/>
      <c r="B1" s="226"/>
      <c r="C1" s="226"/>
      <c r="D1" s="226"/>
      <c r="E1" s="226"/>
      <c r="F1" s="301" t="s">
        <v>579</v>
      </c>
      <c r="G1" s="301"/>
      <c r="H1" s="301"/>
      <c r="I1" s="301"/>
      <c r="J1" s="301" t="s">
        <v>578</v>
      </c>
      <c r="K1" s="301"/>
      <c r="L1" s="301"/>
      <c r="M1" s="301"/>
      <c r="N1" s="301" t="s">
        <v>580</v>
      </c>
      <c r="O1" s="301"/>
      <c r="P1" s="301"/>
      <c r="Q1" s="301"/>
      <c r="R1" s="302" t="s">
        <v>625</v>
      </c>
      <c r="S1" s="303"/>
      <c r="T1" s="303"/>
      <c r="U1" s="304"/>
      <c r="W1" s="227">
        <f>SUM(W3:W146)</f>
        <v>-278050.72925913282</v>
      </c>
    </row>
    <row r="2" spans="1:23" s="150" customFormat="1" ht="28.2" customHeight="1" x14ac:dyDescent="0.3">
      <c r="A2" s="228" t="s">
        <v>530</v>
      </c>
      <c r="B2" s="228" t="s">
        <v>1</v>
      </c>
      <c r="C2" s="229" t="s">
        <v>520</v>
      </c>
      <c r="D2" s="229" t="s">
        <v>2</v>
      </c>
      <c r="E2" s="228" t="s">
        <v>3</v>
      </c>
      <c r="F2" s="228" t="s">
        <v>4</v>
      </c>
      <c r="G2" s="228" t="s">
        <v>6</v>
      </c>
      <c r="H2" s="228" t="s">
        <v>7</v>
      </c>
      <c r="I2" s="228" t="s">
        <v>8</v>
      </c>
      <c r="J2" s="228" t="s">
        <v>588</v>
      </c>
      <c r="K2" s="228" t="s">
        <v>587</v>
      </c>
      <c r="L2" s="228" t="s">
        <v>586</v>
      </c>
      <c r="M2" s="228" t="s">
        <v>589</v>
      </c>
      <c r="N2" s="228" t="s">
        <v>590</v>
      </c>
      <c r="O2" s="228" t="s">
        <v>591</v>
      </c>
      <c r="P2" s="228" t="s">
        <v>592</v>
      </c>
      <c r="Q2" s="228" t="s">
        <v>187</v>
      </c>
      <c r="R2" s="230" t="s">
        <v>437</v>
      </c>
      <c r="S2" s="230" t="s">
        <v>439</v>
      </c>
      <c r="T2" s="230" t="s">
        <v>441</v>
      </c>
      <c r="U2" s="230" t="s">
        <v>442</v>
      </c>
      <c r="W2" s="150" t="s">
        <v>667</v>
      </c>
    </row>
    <row r="3" spans="1:23" x14ac:dyDescent="0.3">
      <c r="A3" s="3">
        <v>1</v>
      </c>
      <c r="B3" s="3" t="s">
        <v>122</v>
      </c>
      <c r="C3" s="3" t="str">
        <f>VLOOKUP(B3,'Data availability'!$A$2:$B$91,2,FALSE)</f>
        <v>Main campus</v>
      </c>
      <c r="D3" s="3">
        <f>VLOOKUP(B3,'Data availability'!$A$2:$G$91,7,FALSE)</f>
        <v>39323</v>
      </c>
      <c r="E3" s="3" t="str">
        <f>VLOOKUP(B3,'Data availability'!$A$2:$H$91,8,FALSE)</f>
        <v>Office</v>
      </c>
      <c r="F3" s="165"/>
      <c r="G3" s="165"/>
      <c r="H3" s="206">
        <f>P$3*VLOOKUP($A3,'Campus Totals'!$A$36:$D$47,4,FALSE)</f>
        <v>46.946575770141038</v>
      </c>
      <c r="I3" s="170">
        <f>Q$3*VLOOKUP($A3,'Campus Totals'!$A$36:$E$47,5,FALSE)</f>
        <v>10570.97913626399</v>
      </c>
      <c r="J3" s="165"/>
      <c r="K3" s="165"/>
      <c r="L3" s="165">
        <f>INDEX('BPD vs SJSU EUIs'!$P$4:$P$17, MATCH($E3, 'BPD vs SJSU EUIs'!$A$4:$A$17, 0))*$D3</f>
        <v>794867.72762740846</v>
      </c>
      <c r="M3" s="165">
        <f>INDEX('BPD vs SJSU EUIs'!$S$4:$S$17, MATCH($E3, 'BPD vs SJSU EUIs'!$A$4:$A$17, 0))*$D3</f>
        <v>539005.49398859881</v>
      </c>
      <c r="N3" s="1"/>
      <c r="O3" s="1"/>
      <c r="P3" s="1">
        <f>$L3/SUM($L$3:$L$135)</f>
        <v>0.15817788474805347</v>
      </c>
      <c r="Q3" s="1">
        <f>$M3/SUM($M$3:$M$123)</f>
        <v>0.12655299642872228</v>
      </c>
      <c r="R3" s="1"/>
      <c r="S3" s="195">
        <f>(SUM(H3:H14)*100)/D3</f>
        <v>132.06050780239912</v>
      </c>
      <c r="T3" s="1">
        <f>SUM(I3:I14)*12/D3</f>
        <v>49.940121009590172</v>
      </c>
      <c r="U3" s="1"/>
      <c r="W3" s="194">
        <f>L3/100-SUM(H3:H14)</f>
        <v>-43981.476206863321</v>
      </c>
    </row>
    <row r="4" spans="1:23" x14ac:dyDescent="0.3">
      <c r="A4" s="3">
        <v>2</v>
      </c>
      <c r="B4" s="3" t="s">
        <v>122</v>
      </c>
      <c r="C4" s="3" t="str">
        <f>VLOOKUP(B4,'Data availability'!$A$2:$B$91,2,FALSE)</f>
        <v>Main campus</v>
      </c>
      <c r="D4" s="3">
        <f>VLOOKUP(B4,'Data availability'!$A$2:$G$91,7,FALSE)</f>
        <v>39323</v>
      </c>
      <c r="E4" s="3" t="str">
        <f>VLOOKUP(B4,'Data availability'!$A$2:$H$91,8,FALSE)</f>
        <v>Office</v>
      </c>
      <c r="F4" s="165"/>
      <c r="G4" s="165"/>
      <c r="H4" s="206">
        <f>P$3*VLOOKUP(A4,'Campus Totals'!$A$36:$D$47,4,FALSE)</f>
        <v>3104.9260773795181</v>
      </c>
      <c r="I4" s="170">
        <f>Q$3*VLOOKUP($A4,'Campus Totals'!$A$36:$E$47,5,FALSE)</f>
        <v>6715.5940873023774</v>
      </c>
      <c r="J4" s="165"/>
      <c r="K4" s="165"/>
      <c r="L4" s="165"/>
      <c r="M4" s="165"/>
      <c r="N4" s="1"/>
      <c r="O4" s="1"/>
      <c r="P4" s="1"/>
      <c r="Q4" s="1"/>
      <c r="R4" s="1"/>
      <c r="S4" s="1"/>
      <c r="T4" s="1"/>
      <c r="U4" s="1"/>
    </row>
    <row r="5" spans="1:23" x14ac:dyDescent="0.3">
      <c r="A5" s="3">
        <v>3</v>
      </c>
      <c r="B5" s="3" t="s">
        <v>122</v>
      </c>
      <c r="C5" s="3" t="str">
        <f>VLOOKUP(B5,'Data availability'!$A$2:$B$91,2,FALSE)</f>
        <v>Main campus</v>
      </c>
      <c r="D5" s="3">
        <f>VLOOKUP(B5,'Data availability'!$A$2:$G$91,7,FALSE)</f>
        <v>39323</v>
      </c>
      <c r="E5" s="3" t="str">
        <f>VLOOKUP(B5,'Data availability'!$A$2:$H$91,8,FALSE)</f>
        <v>Office</v>
      </c>
      <c r="F5" s="165"/>
      <c r="G5" s="165"/>
      <c r="H5" s="206">
        <f>P$3*VLOOKUP(A5,'Campus Totals'!$A$36:$D$47,4,FALSE)</f>
        <v>5746.7074982940148</v>
      </c>
      <c r="I5" s="170">
        <f>Q$3*VLOOKUP($A5,'Campus Totals'!$A$36:$E$47,5,FALSE)</f>
        <v>8023.0943344572179</v>
      </c>
      <c r="J5" s="165"/>
      <c r="K5" s="165"/>
      <c r="L5" s="165"/>
      <c r="M5" s="165"/>
      <c r="N5" s="1"/>
      <c r="O5" s="1"/>
      <c r="P5" s="1"/>
      <c r="Q5" s="1"/>
      <c r="R5" s="1"/>
      <c r="S5" s="1"/>
      <c r="T5" s="1"/>
      <c r="U5" s="1"/>
    </row>
    <row r="6" spans="1:23" x14ac:dyDescent="0.3">
      <c r="A6" s="3">
        <v>4</v>
      </c>
      <c r="B6" s="3" t="s">
        <v>122</v>
      </c>
      <c r="C6" s="3" t="str">
        <f>VLOOKUP(B6,'Data availability'!$A$2:$B$91,2,FALSE)</f>
        <v>Main campus</v>
      </c>
      <c r="D6" s="3">
        <f>VLOOKUP(B6,'Data availability'!$A$2:$G$91,7,FALSE)</f>
        <v>39323</v>
      </c>
      <c r="E6" s="3" t="str">
        <f>VLOOKUP(B6,'Data availability'!$A$2:$H$91,8,FALSE)</f>
        <v>Office</v>
      </c>
      <c r="F6" s="165"/>
      <c r="G6" s="165"/>
      <c r="H6" s="206">
        <f>P$3*VLOOKUP(A6,'Campus Totals'!$A$36:$D$47,4,FALSE)</f>
        <v>4282.518835289482</v>
      </c>
      <c r="I6" s="170">
        <f>Q$3*VLOOKUP($A6,'Campus Totals'!$A$36:$E$47,5,FALSE)</f>
        <v>20006.28074262922</v>
      </c>
      <c r="J6" s="165"/>
      <c r="K6" s="165"/>
      <c r="L6" s="165"/>
      <c r="M6" s="165"/>
      <c r="N6" s="1"/>
      <c r="O6" s="1"/>
      <c r="P6" s="1"/>
      <c r="Q6" s="1"/>
      <c r="R6" s="1"/>
      <c r="S6" s="1"/>
      <c r="T6" s="1"/>
      <c r="U6" s="1"/>
    </row>
    <row r="7" spans="1:23" x14ac:dyDescent="0.3">
      <c r="A7" s="3">
        <v>5</v>
      </c>
      <c r="B7" s="3" t="s">
        <v>122</v>
      </c>
      <c r="C7" s="3" t="str">
        <f>VLOOKUP(B7,'Data availability'!$A$2:$B$91,2,FALSE)</f>
        <v>Main campus</v>
      </c>
      <c r="D7" s="3">
        <f>VLOOKUP(B7,'Data availability'!$A$2:$G$91,7,FALSE)</f>
        <v>39323</v>
      </c>
      <c r="E7" s="3" t="str">
        <f>VLOOKUP(B7,'Data availability'!$A$2:$H$91,8,FALSE)</f>
        <v>Office</v>
      </c>
      <c r="F7" s="165"/>
      <c r="G7" s="165"/>
      <c r="H7" s="206">
        <f>P$3*VLOOKUP(A7,'Campus Totals'!$A$36:$D$47,4,FALSE)</f>
        <v>8735.6524336606144</v>
      </c>
      <c r="I7" s="170">
        <f>Q$3*VLOOKUP($A7,'Campus Totals'!$A$36:$E$47,5,FALSE)</f>
        <v>15501.925589715551</v>
      </c>
      <c r="J7" s="165"/>
      <c r="K7" s="165"/>
      <c r="L7" s="165"/>
      <c r="M7" s="165"/>
      <c r="N7" s="1"/>
      <c r="O7" s="1"/>
      <c r="P7" s="1"/>
      <c r="Q7" s="1"/>
      <c r="R7" s="1"/>
      <c r="S7" s="1"/>
      <c r="T7" s="1"/>
      <c r="U7" s="1"/>
    </row>
    <row r="8" spans="1:23" x14ac:dyDescent="0.3">
      <c r="A8" s="3">
        <v>6</v>
      </c>
      <c r="B8" s="3" t="s">
        <v>122</v>
      </c>
      <c r="C8" s="3" t="str">
        <f>VLOOKUP(B8,'Data availability'!$A$2:$B$91,2,FALSE)</f>
        <v>Main campus</v>
      </c>
      <c r="D8" s="3">
        <f>VLOOKUP(B8,'Data availability'!$A$2:$G$91,7,FALSE)</f>
        <v>39323</v>
      </c>
      <c r="E8" s="3" t="str">
        <f>VLOOKUP(B8,'Data availability'!$A$2:$H$91,8,FALSE)</f>
        <v>Office</v>
      </c>
      <c r="F8" s="165"/>
      <c r="G8" s="165"/>
      <c r="H8" s="206">
        <f>P$3*VLOOKUP(A8,'Campus Totals'!$A$36:$D$47,4,FALSE)</f>
        <v>6981.2953489399688</v>
      </c>
      <c r="I8" s="170">
        <f>Q$3*VLOOKUP($A8,'Campus Totals'!$A$36:$E$47,5,FALSE)</f>
        <v>8743.5412663624356</v>
      </c>
      <c r="J8" s="165"/>
      <c r="K8" s="165"/>
      <c r="L8" s="165"/>
      <c r="M8" s="165"/>
      <c r="N8" s="1"/>
      <c r="O8" s="1"/>
      <c r="P8" s="1"/>
      <c r="Q8" s="1"/>
      <c r="R8" s="1"/>
      <c r="S8" s="1"/>
      <c r="T8" s="1"/>
      <c r="U8" s="1"/>
    </row>
    <row r="9" spans="1:23" x14ac:dyDescent="0.3">
      <c r="A9" s="3">
        <v>7</v>
      </c>
      <c r="B9" s="3" t="s">
        <v>122</v>
      </c>
      <c r="C9" s="3" t="str">
        <f>VLOOKUP(B9,'Data availability'!$A$2:$B$91,2,FALSE)</f>
        <v>Main campus</v>
      </c>
      <c r="D9" s="3">
        <f>VLOOKUP(B9,'Data availability'!$A$2:$G$91,7,FALSE)</f>
        <v>39323</v>
      </c>
      <c r="E9" s="3" t="str">
        <f>VLOOKUP(B9,'Data availability'!$A$2:$H$91,8,FALSE)</f>
        <v>Office</v>
      </c>
      <c r="F9" s="165"/>
      <c r="G9" s="165"/>
      <c r="H9" s="206">
        <f>P$3*VLOOKUP(A9,'Campus Totals'!$A$36:$D$47,4,FALSE)</f>
        <v>5399.981630197447</v>
      </c>
      <c r="I9" s="170">
        <f>Q$3*VLOOKUP($A9,'Campus Totals'!$A$36:$E$47,5,FALSE)</f>
        <v>25476.865864686097</v>
      </c>
      <c r="J9" s="165"/>
      <c r="K9" s="165"/>
      <c r="L9" s="165"/>
      <c r="M9" s="165"/>
      <c r="N9" s="1"/>
      <c r="O9" s="1"/>
      <c r="P9" s="1"/>
      <c r="Q9" s="1"/>
      <c r="R9" s="1"/>
      <c r="S9" s="1"/>
      <c r="T9" s="1"/>
      <c r="U9" s="1"/>
    </row>
    <row r="10" spans="1:23" x14ac:dyDescent="0.3">
      <c r="A10" s="3">
        <v>8</v>
      </c>
      <c r="B10" s="3" t="s">
        <v>122</v>
      </c>
      <c r="C10" s="3" t="str">
        <f>VLOOKUP(B10,'Data availability'!$A$2:$B$91,2,FALSE)</f>
        <v>Main campus</v>
      </c>
      <c r="D10" s="3">
        <f>VLOOKUP(B10,'Data availability'!$A$2:$G$91,7,FALSE)</f>
        <v>39323</v>
      </c>
      <c r="E10" s="3" t="str">
        <f>VLOOKUP(B10,'Data availability'!$A$2:$H$91,8,FALSE)</f>
        <v>Office</v>
      </c>
      <c r="F10" s="165"/>
      <c r="G10" s="165"/>
      <c r="H10" s="206">
        <f>P$3*VLOOKUP(A10,'Campus Totals'!$A$36:$D$47,4,FALSE)</f>
        <v>6666.4095077635166</v>
      </c>
      <c r="I10" s="170">
        <f>Q$3*VLOOKUP($A10,'Campus Totals'!$A$36:$E$47,5,FALSE)</f>
        <v>-2546.5113673168321</v>
      </c>
      <c r="J10" s="165"/>
      <c r="K10" s="165"/>
      <c r="L10" s="165"/>
      <c r="M10" s="165"/>
      <c r="N10" s="1"/>
      <c r="O10" s="1"/>
      <c r="P10" s="1"/>
      <c r="Q10" s="1"/>
      <c r="R10" s="1"/>
      <c r="S10" s="1"/>
      <c r="T10" s="1"/>
      <c r="U10" s="1"/>
    </row>
    <row r="11" spans="1:23" x14ac:dyDescent="0.3">
      <c r="A11" s="3">
        <v>9</v>
      </c>
      <c r="B11" s="3" t="s">
        <v>122</v>
      </c>
      <c r="C11" s="3" t="str">
        <f>VLOOKUP(B11,'Data availability'!$A$2:$B$91,2,FALSE)</f>
        <v>Main campus</v>
      </c>
      <c r="D11" s="3">
        <f>VLOOKUP(B11,'Data availability'!$A$2:$G$91,7,FALSE)</f>
        <v>39323</v>
      </c>
      <c r="E11" s="3" t="str">
        <f>VLOOKUP(B11,'Data availability'!$A$2:$H$91,8,FALSE)</f>
        <v>Office</v>
      </c>
      <c r="F11" s="165"/>
      <c r="G11" s="165"/>
      <c r="H11" s="206">
        <f>P$3*VLOOKUP(A11,'Campus Totals'!$A$36:$D$47,4,FALSE)</f>
        <v>4571.7249337328385</v>
      </c>
      <c r="I11" s="170">
        <f>Q$3*VLOOKUP($A11,'Campus Totals'!$A$36:$E$47,5,FALSE)</f>
        <v>18778.779929949171</v>
      </c>
      <c r="J11" s="165"/>
      <c r="K11" s="165"/>
      <c r="L11" s="165"/>
      <c r="M11" s="165"/>
      <c r="N11" s="1"/>
      <c r="O11" s="1"/>
      <c r="P11" s="1"/>
      <c r="Q11" s="1"/>
      <c r="R11" s="1"/>
      <c r="S11" s="1"/>
      <c r="T11" s="1"/>
      <c r="U11" s="1"/>
    </row>
    <row r="12" spans="1:23" x14ac:dyDescent="0.3">
      <c r="A12" s="3">
        <v>10</v>
      </c>
      <c r="B12" s="3" t="s">
        <v>122</v>
      </c>
      <c r="C12" s="3" t="str">
        <f>VLOOKUP(B12,'Data availability'!$A$2:$B$91,2,FALSE)</f>
        <v>Main campus</v>
      </c>
      <c r="D12" s="3">
        <f>VLOOKUP(B12,'Data availability'!$A$2:$G$91,7,FALSE)</f>
        <v>39323</v>
      </c>
      <c r="E12" s="3" t="str">
        <f>VLOOKUP(B12,'Data availability'!$A$2:$H$91,8,FALSE)</f>
        <v>Office</v>
      </c>
      <c r="F12" s="165"/>
      <c r="G12" s="165"/>
      <c r="H12" s="206">
        <f>P$3*VLOOKUP(A12,'Campus Totals'!$A$36:$D$47,4,FALSE)</f>
        <v>2429.3942872972334</v>
      </c>
      <c r="I12" s="170">
        <f>Q$3*VLOOKUP($A12,'Campus Totals'!$A$36:$E$47,5,FALSE)</f>
        <v>19348.453934914694</v>
      </c>
      <c r="J12" s="165"/>
      <c r="K12" s="165"/>
      <c r="L12" s="165"/>
      <c r="M12" s="165"/>
      <c r="N12" s="1"/>
      <c r="O12" s="1"/>
      <c r="P12" s="1"/>
      <c r="Q12" s="1"/>
      <c r="R12" s="1"/>
      <c r="S12" s="1"/>
      <c r="T12" s="1"/>
      <c r="U12" s="1"/>
    </row>
    <row r="13" spans="1:23" x14ac:dyDescent="0.3">
      <c r="A13" s="3">
        <v>11</v>
      </c>
      <c r="B13" s="3" t="s">
        <v>122</v>
      </c>
      <c r="C13" s="3" t="str">
        <f>VLOOKUP(B13,'Data availability'!$A$2:$B$91,2,FALSE)</f>
        <v>Main campus</v>
      </c>
      <c r="D13" s="3">
        <f>VLOOKUP(B13,'Data availability'!$A$2:$G$91,7,FALSE)</f>
        <v>39323</v>
      </c>
      <c r="E13" s="3" t="str">
        <f>VLOOKUP(B13,'Data availability'!$A$2:$H$91,8,FALSE)</f>
        <v>Office</v>
      </c>
      <c r="F13" s="165"/>
      <c r="G13" s="165"/>
      <c r="H13" s="206">
        <f>P$3*VLOOKUP(A13,'Campus Totals'!$A$36:$D$47,4,FALSE)</f>
        <v>1943.0581397958349</v>
      </c>
      <c r="I13" s="170">
        <f>Q$3*VLOOKUP($A13,'Campus Totals'!$A$36:$E$47,5,FALSE)</f>
        <v>18416.428696761272</v>
      </c>
      <c r="J13" s="165"/>
      <c r="K13" s="165"/>
      <c r="L13" s="165"/>
      <c r="M13" s="165"/>
      <c r="N13" s="1"/>
      <c r="O13" s="1"/>
      <c r="P13" s="1"/>
      <c r="Q13" s="1"/>
      <c r="R13" s="1"/>
      <c r="S13" s="1"/>
      <c r="T13" s="1"/>
      <c r="U13" s="1"/>
    </row>
    <row r="14" spans="1:23" s="69" customFormat="1" x14ac:dyDescent="0.3">
      <c r="A14" s="64">
        <v>12</v>
      </c>
      <c r="B14" s="64" t="s">
        <v>122</v>
      </c>
      <c r="C14" s="64" t="str">
        <f>VLOOKUP(B14,'Data availability'!$A$2:$B$91,2,FALSE)</f>
        <v>Main campus</v>
      </c>
      <c r="D14" s="64">
        <f>VLOOKUP(B14,'Data availability'!$A$2:$G$91,7,FALSE)</f>
        <v>39323</v>
      </c>
      <c r="E14" s="64" t="str">
        <f>VLOOKUP(B14,'Data availability'!$A$2:$H$91,8,FALSE)</f>
        <v>Office</v>
      </c>
      <c r="F14" s="166"/>
      <c r="G14" s="166"/>
      <c r="H14" s="207">
        <f>P$3*VLOOKUP(A14,'Campus Totals'!$A$36:$D$47,4,FALSE)</f>
        <v>2021.5382150168</v>
      </c>
      <c r="I14" s="171">
        <f>Q$3*VLOOKUP($A14,'Campus Totals'!$A$36:$E$47,5,FALSE)</f>
        <v>14614.182655951023</v>
      </c>
      <c r="J14" s="166"/>
      <c r="K14" s="166"/>
      <c r="L14" s="166"/>
      <c r="M14" s="166"/>
      <c r="N14" s="66"/>
      <c r="O14" s="66"/>
      <c r="P14" s="66"/>
      <c r="Q14" s="66"/>
      <c r="R14" s="66"/>
      <c r="S14" s="66"/>
      <c r="T14" s="66"/>
      <c r="U14" s="66"/>
    </row>
    <row r="15" spans="1:23" x14ac:dyDescent="0.3">
      <c r="A15" s="3">
        <v>1</v>
      </c>
      <c r="B15" s="3" t="s">
        <v>138</v>
      </c>
      <c r="C15" s="3" t="str">
        <f>VLOOKUP(B15,'Data availability'!$A$2:$B$91,2,FALSE)</f>
        <v xml:space="preserve">Main campus </v>
      </c>
      <c r="D15" s="3">
        <f>VLOOKUP(B15,'Data availability'!$A$2:$G$91,7,FALSE)</f>
        <v>12889</v>
      </c>
      <c r="E15" s="3" t="str">
        <f>VLOOKUP(B15,'Data availability'!$A$2:$H$91,8,FALSE)</f>
        <v>Academic</v>
      </c>
      <c r="F15" s="165"/>
      <c r="G15" s="165"/>
      <c r="H15" s="170">
        <f>P$15*VLOOKUP(A15,'Campus Totals'!$A$36:$D$47,4,FALSE)</f>
        <v>25.651465779898363</v>
      </c>
      <c r="I15" s="170">
        <f>Q$15*VLOOKUP($A15,'Campus Totals'!$A$36:$E$47,5,FALSE)</f>
        <v>4719.091717528082</v>
      </c>
      <c r="J15" s="165"/>
      <c r="K15" s="165"/>
      <c r="L15" s="165">
        <f>INDEX('BPD vs SJSU EUIs'!$P$4:$P$17, MATCH($E15, 'BPD vs SJSU EUIs'!$A$4:$A$17, 0))*D15</f>
        <v>434313.30145591119</v>
      </c>
      <c r="M15" s="165">
        <f>INDEX('BPD vs SJSU EUIs'!$S$4:$S$17, MATCH($E15, 'BPD vs SJSU EUIs'!$A$4:$A$17, 0))*$D15</f>
        <v>240622.58846560333</v>
      </c>
      <c r="N15" s="1"/>
      <c r="O15" s="1"/>
      <c r="P15" s="1">
        <f>$L15/SUM($L$3:$L$135)</f>
        <v>8.6427913669734541E-2</v>
      </c>
      <c r="Q15" s="1">
        <f>$M15/SUM($M$3:$M$123)</f>
        <v>5.6495731339245917E-2</v>
      </c>
      <c r="R15" s="1"/>
      <c r="S15" s="1">
        <f>SUM(H15:H26)*100/D15</f>
        <v>220.14490991367973</v>
      </c>
      <c r="T15" s="1">
        <f>SUM(I15:I26)*12/D15</f>
        <v>68.017429070103347</v>
      </c>
      <c r="U15" s="1"/>
      <c r="W15" s="194">
        <f>L15/100-SUM(H15:H26)</f>
        <v>-24031.344424215065</v>
      </c>
    </row>
    <row r="16" spans="1:23" x14ac:dyDescent="0.3">
      <c r="A16" s="3">
        <v>2</v>
      </c>
      <c r="B16" s="3" t="s">
        <v>138</v>
      </c>
      <c r="C16" s="3" t="str">
        <f>VLOOKUP(B16,'Data availability'!$A$2:$B$91,2,FALSE)</f>
        <v xml:space="preserve">Main campus </v>
      </c>
      <c r="D16" s="3">
        <f>VLOOKUP(B16,'Data availability'!$A$2:$G$91,7,FALSE)</f>
        <v>12889</v>
      </c>
      <c r="E16" s="3" t="str">
        <f>VLOOKUP(B16,'Data availability'!$A$2:$H$91,8,FALSE)</f>
        <v>Academic</v>
      </c>
      <c r="F16" s="165"/>
      <c r="G16" s="165"/>
      <c r="H16" s="170">
        <f>P$15*VLOOKUP(A16,'Campus Totals'!$A$36:$D$47,4,FALSE)</f>
        <v>1696.5221364168408</v>
      </c>
      <c r="I16" s="170">
        <f>Q$15*VLOOKUP($A16,'Campus Totals'!$A$36:$E$47,5,FALSE)</f>
        <v>2997.9724703978236</v>
      </c>
      <c r="J16" s="165"/>
      <c r="K16" s="165"/>
      <c r="L16" s="165"/>
      <c r="M16" s="165"/>
      <c r="N16" s="1"/>
      <c r="O16" s="1"/>
      <c r="P16" s="1"/>
      <c r="Q16" s="1"/>
      <c r="R16" s="1"/>
      <c r="S16" s="1"/>
      <c r="T16" s="1"/>
      <c r="U16" s="1"/>
    </row>
    <row r="17" spans="1:23" x14ac:dyDescent="0.3">
      <c r="A17" s="3">
        <v>3</v>
      </c>
      <c r="B17" s="3" t="s">
        <v>138</v>
      </c>
      <c r="C17" s="3" t="str">
        <f>VLOOKUP(B17,'Data availability'!$A$2:$B$91,2,FALSE)</f>
        <v xml:space="preserve">Main campus </v>
      </c>
      <c r="D17" s="3">
        <f>VLOOKUP(B17,'Data availability'!$A$2:$G$91,7,FALSE)</f>
        <v>12889</v>
      </c>
      <c r="E17" s="3" t="str">
        <f>VLOOKUP(B17,'Data availability'!$A$2:$H$91,8,FALSE)</f>
        <v>Academic</v>
      </c>
      <c r="F17" s="165"/>
      <c r="G17" s="165"/>
      <c r="H17" s="170">
        <f>P$15*VLOOKUP(A17,'Campus Totals'!$A$36:$D$47,4,FALSE)</f>
        <v>3139.9834454663446</v>
      </c>
      <c r="I17" s="170">
        <f>Q$15*VLOOKUP($A17,'Campus Totals'!$A$36:$E$47,5,FALSE)</f>
        <v>3581.6661384561844</v>
      </c>
      <c r="J17" s="165"/>
      <c r="K17" s="165"/>
      <c r="L17" s="165"/>
      <c r="M17" s="165"/>
      <c r="N17" s="1"/>
      <c r="O17" s="1"/>
      <c r="P17" s="1"/>
      <c r="Q17" s="1"/>
      <c r="R17" s="1"/>
      <c r="S17" s="1"/>
      <c r="T17" s="1"/>
      <c r="U17" s="1"/>
    </row>
    <row r="18" spans="1:23" x14ac:dyDescent="0.3">
      <c r="A18" s="3">
        <v>4</v>
      </c>
      <c r="B18" s="3" t="s">
        <v>138</v>
      </c>
      <c r="C18" s="3" t="str">
        <f>VLOOKUP(B18,'Data availability'!$A$2:$B$91,2,FALSE)</f>
        <v xml:space="preserve">Main campus </v>
      </c>
      <c r="D18" s="3">
        <f>VLOOKUP(B18,'Data availability'!$A$2:$G$91,7,FALSE)</f>
        <v>12889</v>
      </c>
      <c r="E18" s="3" t="str">
        <f>VLOOKUP(B18,'Data availability'!$A$2:$H$91,8,FALSE)</f>
        <v>Academic</v>
      </c>
      <c r="F18" s="165"/>
      <c r="G18" s="165"/>
      <c r="H18" s="170">
        <f>P$15*VLOOKUP(A18,'Campus Totals'!$A$36:$D$47,4,FALSE)</f>
        <v>2339.9552268318362</v>
      </c>
      <c r="I18" s="170">
        <f>Q$15*VLOOKUP($A18,'Campus Totals'!$A$36:$E$47,5,FALSE)</f>
        <v>8931.1947866023456</v>
      </c>
      <c r="J18" s="165"/>
      <c r="K18" s="165"/>
      <c r="L18" s="165"/>
      <c r="M18" s="165"/>
      <c r="N18" s="1"/>
      <c r="O18" s="1"/>
      <c r="P18" s="1"/>
      <c r="Q18" s="1"/>
      <c r="R18" s="1"/>
      <c r="S18" s="1"/>
      <c r="T18" s="1"/>
      <c r="U18" s="1"/>
    </row>
    <row r="19" spans="1:23" x14ac:dyDescent="0.3">
      <c r="A19" s="3">
        <v>5</v>
      </c>
      <c r="B19" s="3" t="s">
        <v>138</v>
      </c>
      <c r="C19" s="3" t="str">
        <f>VLOOKUP(B19,'Data availability'!$A$2:$B$91,2,FALSE)</f>
        <v xml:space="preserve">Main campus </v>
      </c>
      <c r="D19" s="3">
        <f>VLOOKUP(B19,'Data availability'!$A$2:$G$91,7,FALSE)</f>
        <v>12889</v>
      </c>
      <c r="E19" s="3" t="str">
        <f>VLOOKUP(B19,'Data availability'!$A$2:$H$91,8,FALSE)</f>
        <v>Academic</v>
      </c>
      <c r="F19" s="165"/>
      <c r="G19" s="165"/>
      <c r="H19" s="170">
        <f>P$15*VLOOKUP(A19,'Campus Totals'!$A$36:$D$47,4,FALSE)</f>
        <v>4773.1338397134377</v>
      </c>
      <c r="I19" s="170">
        <f>Q$15*VLOOKUP($A19,'Campus Totals'!$A$36:$E$47,5,FALSE)</f>
        <v>6920.36259963879</v>
      </c>
      <c r="J19" s="165"/>
      <c r="K19" s="165"/>
      <c r="L19" s="165"/>
      <c r="M19" s="165"/>
      <c r="N19" s="1"/>
      <c r="O19" s="1"/>
      <c r="P19" s="1"/>
      <c r="Q19" s="1"/>
      <c r="R19" s="1"/>
      <c r="S19" s="1"/>
      <c r="T19" s="1"/>
      <c r="U19" s="1"/>
    </row>
    <row r="20" spans="1:23" x14ac:dyDescent="0.3">
      <c r="A20" s="3">
        <v>6</v>
      </c>
      <c r="B20" s="3" t="s">
        <v>138</v>
      </c>
      <c r="C20" s="3" t="str">
        <f>VLOOKUP(B20,'Data availability'!$A$2:$B$91,2,FALSE)</f>
        <v xml:space="preserve">Main campus </v>
      </c>
      <c r="D20" s="3">
        <f>VLOOKUP(B20,'Data availability'!$A$2:$G$91,7,FALSE)</f>
        <v>12889</v>
      </c>
      <c r="E20" s="3" t="str">
        <f>VLOOKUP(B20,'Data availability'!$A$2:$H$91,8,FALSE)</f>
        <v>Academic</v>
      </c>
      <c r="F20" s="165"/>
      <c r="G20" s="165"/>
      <c r="H20" s="170">
        <f>P$15*VLOOKUP(A20,'Campus Totals'!$A$36:$D$47,4,FALSE)</f>
        <v>3814.5584806761558</v>
      </c>
      <c r="I20" s="170">
        <f>Q$15*VLOOKUP($A20,'Campus Totals'!$A$36:$E$47,5,FALSE)</f>
        <v>3903.2877314464827</v>
      </c>
      <c r="J20" s="165"/>
      <c r="K20" s="165"/>
      <c r="L20" s="165"/>
      <c r="M20" s="165"/>
      <c r="N20" s="1"/>
      <c r="O20" s="1"/>
      <c r="P20" s="1"/>
      <c r="Q20" s="1"/>
      <c r="R20" s="1"/>
      <c r="S20" s="1"/>
      <c r="T20" s="1"/>
      <c r="U20" s="1"/>
    </row>
    <row r="21" spans="1:23" x14ac:dyDescent="0.3">
      <c r="A21" s="3">
        <v>7</v>
      </c>
      <c r="B21" s="3" t="s">
        <v>138</v>
      </c>
      <c r="C21" s="3" t="str">
        <f>VLOOKUP(B21,'Data availability'!$A$2:$B$91,2,FALSE)</f>
        <v xml:space="preserve">Main campus </v>
      </c>
      <c r="D21" s="3">
        <f>VLOOKUP(B21,'Data availability'!$A$2:$G$91,7,FALSE)</f>
        <v>12889</v>
      </c>
      <c r="E21" s="3" t="str">
        <f>VLOOKUP(B21,'Data availability'!$A$2:$H$91,8,FALSE)</f>
        <v>Academic</v>
      </c>
      <c r="F21" s="165"/>
      <c r="G21" s="165"/>
      <c r="H21" s="170">
        <f>P$15*VLOOKUP(A21,'Campus Totals'!$A$36:$D$47,4,FALSE)</f>
        <v>2950.5334889022824</v>
      </c>
      <c r="I21" s="170">
        <f>Q$15*VLOOKUP($A21,'Campus Totals'!$A$36:$E$47,5,FALSE)</f>
        <v>11373.370918704235</v>
      </c>
      <c r="J21" s="165"/>
      <c r="K21" s="165"/>
      <c r="L21" s="165"/>
      <c r="M21" s="165"/>
      <c r="N21" s="1"/>
      <c r="O21" s="1"/>
      <c r="P21" s="1"/>
      <c r="Q21" s="1"/>
      <c r="R21" s="1"/>
      <c r="S21" s="1"/>
      <c r="T21" s="1"/>
      <c r="U21" s="1"/>
    </row>
    <row r="22" spans="1:23" x14ac:dyDescent="0.3">
      <c r="A22" s="3">
        <v>8</v>
      </c>
      <c r="B22" s="3" t="s">
        <v>138</v>
      </c>
      <c r="C22" s="3" t="str">
        <f>VLOOKUP(B22,'Data availability'!$A$2:$B$91,2,FALSE)</f>
        <v xml:space="preserve">Main campus </v>
      </c>
      <c r="D22" s="3">
        <f>VLOOKUP(B22,'Data availability'!$A$2:$G$91,7,FALSE)</f>
        <v>12889</v>
      </c>
      <c r="E22" s="3" t="str">
        <f>VLOOKUP(B22,'Data availability'!$A$2:$H$91,8,FALSE)</f>
        <v>Academic</v>
      </c>
      <c r="F22" s="165"/>
      <c r="G22" s="165"/>
      <c r="H22" s="170">
        <f>P$15*VLOOKUP(A22,'Campus Totals'!$A$36:$D$47,4,FALSE)</f>
        <v>3642.5058176862049</v>
      </c>
      <c r="I22" s="170">
        <f>Q$15*VLOOKUP($A22,'Campus Totals'!$A$36:$E$47,5,FALSE)</f>
        <v>-1136.8124510690423</v>
      </c>
      <c r="J22" s="165"/>
      <c r="K22" s="165"/>
      <c r="L22" s="165"/>
      <c r="M22" s="165"/>
      <c r="N22" s="1"/>
      <c r="O22" s="1"/>
      <c r="P22" s="1"/>
      <c r="Q22" s="1"/>
      <c r="R22" s="1"/>
      <c r="S22" s="1"/>
      <c r="T22" s="1"/>
      <c r="U22" s="1"/>
    </row>
    <row r="23" spans="1:23" x14ac:dyDescent="0.3">
      <c r="A23" s="3">
        <v>9</v>
      </c>
      <c r="B23" s="3" t="s">
        <v>138</v>
      </c>
      <c r="C23" s="3" t="str">
        <f>VLOOKUP(B23,'Data availability'!$A$2:$B$91,2,FALSE)</f>
        <v xml:space="preserve">Main campus </v>
      </c>
      <c r="D23" s="3">
        <f>VLOOKUP(B23,'Data availability'!$A$2:$G$91,7,FALSE)</f>
        <v>12889</v>
      </c>
      <c r="E23" s="3" t="str">
        <f>VLOOKUP(B23,'Data availability'!$A$2:$H$91,8,FALSE)</f>
        <v>Academic</v>
      </c>
      <c r="F23" s="165"/>
      <c r="G23" s="165"/>
      <c r="H23" s="170">
        <f>P$15*VLOOKUP(A23,'Campus Totals'!$A$36:$D$47,4,FALSE)</f>
        <v>2497.9765567341551</v>
      </c>
      <c r="I23" s="170">
        <f>Q$15*VLOOKUP($A23,'Campus Totals'!$A$36:$E$47,5,FALSE)</f>
        <v>8383.2144298437688</v>
      </c>
      <c r="J23" s="165"/>
      <c r="K23" s="165"/>
      <c r="L23" s="165"/>
      <c r="M23" s="165"/>
      <c r="N23" s="1"/>
      <c r="O23" s="1"/>
      <c r="P23" s="1"/>
      <c r="Q23" s="1"/>
      <c r="R23" s="1"/>
      <c r="S23" s="1"/>
      <c r="T23" s="1"/>
      <c r="U23" s="1"/>
    </row>
    <row r="24" spans="1:23" x14ac:dyDescent="0.3">
      <c r="A24" s="3">
        <v>10</v>
      </c>
      <c r="B24" s="3" t="s">
        <v>138</v>
      </c>
      <c r="C24" s="3" t="str">
        <f>VLOOKUP(B24,'Data availability'!$A$2:$B$91,2,FALSE)</f>
        <v xml:space="preserve">Main campus </v>
      </c>
      <c r="D24" s="3">
        <f>VLOOKUP(B24,'Data availability'!$A$2:$G$91,7,FALSE)</f>
        <v>12889</v>
      </c>
      <c r="E24" s="3" t="str">
        <f>VLOOKUP(B24,'Data availability'!$A$2:$H$91,8,FALSE)</f>
        <v>Academic</v>
      </c>
      <c r="F24" s="165"/>
      <c r="G24" s="165"/>
      <c r="H24" s="170">
        <f>P$15*VLOOKUP(A24,'Campus Totals'!$A$36:$D$47,4,FALSE)</f>
        <v>1327.4136271749289</v>
      </c>
      <c r="I24" s="170">
        <f>Q$15*VLOOKUP($A24,'Campus Totals'!$A$36:$E$47,5,FALSE)</f>
        <v>8637.5280410873511</v>
      </c>
      <c r="J24" s="165"/>
      <c r="K24" s="165"/>
      <c r="L24" s="165"/>
      <c r="M24" s="165"/>
      <c r="N24" s="1"/>
      <c r="O24" s="1"/>
      <c r="P24" s="1"/>
      <c r="Q24" s="1"/>
      <c r="R24" s="1"/>
      <c r="S24" s="1"/>
      <c r="T24" s="1"/>
      <c r="U24" s="1"/>
    </row>
    <row r="25" spans="1:23" x14ac:dyDescent="0.3">
      <c r="A25" s="3">
        <v>11</v>
      </c>
      <c r="B25" s="3" t="s">
        <v>138</v>
      </c>
      <c r="C25" s="3" t="str">
        <f>VLOOKUP(B25,'Data availability'!$A$2:$B$91,2,FALSE)</f>
        <v xml:space="preserve">Main campus </v>
      </c>
      <c r="D25" s="3">
        <f>VLOOKUP(B25,'Data availability'!$A$2:$G$91,7,FALSE)</f>
        <v>12889</v>
      </c>
      <c r="E25" s="3" t="str">
        <f>VLOOKUP(B25,'Data availability'!$A$2:$H$91,8,FALSE)</f>
        <v>Academic</v>
      </c>
      <c r="F25" s="165"/>
      <c r="G25" s="165"/>
      <c r="H25" s="170">
        <f>P$15*VLOOKUP(A25,'Campus Totals'!$A$36:$D$47,4,FALSE)</f>
        <v>1061.6810398560851</v>
      </c>
      <c r="I25" s="170">
        <f>Q$15*VLOOKUP($A25,'Campus Totals'!$A$36:$E$47,5,FALSE)</f>
        <v>8221.4537564632865</v>
      </c>
      <c r="J25" s="165"/>
      <c r="K25" s="165"/>
      <c r="L25" s="165"/>
      <c r="M25" s="165"/>
      <c r="N25" s="1"/>
      <c r="O25" s="1"/>
      <c r="P25" s="1"/>
      <c r="Q25" s="1"/>
      <c r="R25" s="1"/>
      <c r="S25" s="1"/>
      <c r="T25" s="1"/>
      <c r="U25" s="1"/>
    </row>
    <row r="26" spans="1:23" s="69" customFormat="1" x14ac:dyDescent="0.3">
      <c r="A26" s="64">
        <v>12</v>
      </c>
      <c r="B26" s="64" t="s">
        <v>138</v>
      </c>
      <c r="C26" s="64" t="str">
        <f>VLOOKUP(B26,'Data availability'!$A$2:$B$91,2,FALSE)</f>
        <v xml:space="preserve">Main campus </v>
      </c>
      <c r="D26" s="64">
        <f>VLOOKUP(B26,'Data availability'!$A$2:$G$91,7,FALSE)</f>
        <v>12889</v>
      </c>
      <c r="E26" s="64" t="str">
        <f>VLOOKUP(B26,'Data availability'!$A$2:$H$91,8,FALSE)</f>
        <v>Academic</v>
      </c>
      <c r="F26" s="166"/>
      <c r="G26" s="166"/>
      <c r="H26" s="171">
        <f>P$15*VLOOKUP(A26,'Campus Totals'!$A$36:$D$47,4,FALSE)</f>
        <v>1104.5623135360033</v>
      </c>
      <c r="I26" s="171">
        <f>Q$15*VLOOKUP($A26,'Campus Totals'!$A$36:$E$47,5,FALSE)</f>
        <v>6524.0568012808471</v>
      </c>
      <c r="J26" s="166"/>
      <c r="K26" s="166"/>
      <c r="L26" s="166"/>
      <c r="M26" s="166"/>
      <c r="N26" s="66"/>
      <c r="O26" s="66"/>
      <c r="P26" s="66"/>
      <c r="Q26" s="66"/>
      <c r="R26" s="66"/>
      <c r="S26" s="66"/>
      <c r="T26" s="66"/>
      <c r="U26" s="66"/>
    </row>
    <row r="27" spans="1:23" x14ac:dyDescent="0.3">
      <c r="A27" s="3">
        <v>1</v>
      </c>
      <c r="B27" s="3" t="s">
        <v>405</v>
      </c>
      <c r="C27" s="3" t="str">
        <f>VLOOKUP(B27,'Data availability'!$A$2:$B$91,2,FALSE)</f>
        <v>Main campus</v>
      </c>
      <c r="D27" s="3">
        <f>VLOOKUP(B27,'Data availability'!$A$2:$G$91,7,FALSE)</f>
        <v>12900</v>
      </c>
      <c r="E27" s="119" t="s">
        <v>599</v>
      </c>
      <c r="F27" s="165">
        <f>N$27*VLOOKUP($A27,'Campus Totals'!$A$36:$B$47,2,FALSE)</f>
        <v>26186.861230072594</v>
      </c>
      <c r="G27" s="165"/>
      <c r="H27" s="165"/>
      <c r="I27" s="170">
        <f>Q$27*VLOOKUP($A27,'Campus Totals'!$A$36:$E$47,5,FALSE)</f>
        <v>50598.976217741452</v>
      </c>
      <c r="J27" s="165">
        <f>INDEX('BPD vs SJSU EUIs'!$J$4:$J$18, MATCH($E27, 'BPD vs SJSU EUIs'!$A$4:$A$18, 0))*D27</f>
        <v>412800</v>
      </c>
      <c r="K27" s="165"/>
      <c r="L27" s="165"/>
      <c r="M27" s="165">
        <f>INDEX('BPD vs SJSU EUIs'!$S$4:$S$18, MATCH($E27, 'BPD vs SJSU EUIs'!$A$4:$A$18, 0))*$D27</f>
        <v>2580000</v>
      </c>
      <c r="N27" s="1">
        <f>$J27/SUM($J$4:$J$124)</f>
        <v>0.11947561991758202</v>
      </c>
      <c r="O27" s="1"/>
      <c r="P27" s="1"/>
      <c r="Q27" s="1">
        <f>$M27/SUM($M$3:$M$123)</f>
        <v>0.60575770456434319</v>
      </c>
      <c r="R27" s="1">
        <f>SUM(F27:F38)*3.412/D27</f>
        <v>54.142471550950113</v>
      </c>
      <c r="S27" s="1"/>
      <c r="T27" s="1">
        <f>SUM(I27:I38)*12/D27</f>
        <v>728.6736036503753</v>
      </c>
      <c r="U27" s="1"/>
      <c r="W27" s="194">
        <f>L27/100-SUM(H27:H38)</f>
        <v>0</v>
      </c>
    </row>
    <row r="28" spans="1:23" x14ac:dyDescent="0.3">
      <c r="A28" s="3">
        <v>2</v>
      </c>
      <c r="B28" s="3" t="s">
        <v>405</v>
      </c>
      <c r="C28" s="3" t="str">
        <f>VLOOKUP(B28,'Data availability'!$A$2:$B$91,2,FALSE)</f>
        <v>Main campus</v>
      </c>
      <c r="D28" s="3">
        <f>VLOOKUP(B28,'Data availability'!$A$2:$G$91,7,FALSE)</f>
        <v>12900</v>
      </c>
      <c r="E28" s="119" t="s">
        <v>599</v>
      </c>
      <c r="F28" s="165">
        <f>N$27*VLOOKUP($A28,'Campus Totals'!$A$36:$B$47,2,FALSE)</f>
        <v>40608.931233688854</v>
      </c>
      <c r="G28" s="165"/>
      <c r="H28" s="165"/>
      <c r="I28" s="170">
        <f>Q$27*VLOOKUP($A28,'Campus Totals'!$A$36:$E$47,5,FALSE)</f>
        <v>32144.816589952279</v>
      </c>
      <c r="J28" s="165"/>
      <c r="K28" s="165"/>
      <c r="L28" s="165"/>
      <c r="M28" s="165"/>
      <c r="N28" s="1"/>
      <c r="O28" s="1"/>
      <c r="P28" s="1"/>
      <c r="Q28" s="1"/>
      <c r="R28" s="1"/>
      <c r="S28" s="1"/>
      <c r="T28" s="1"/>
      <c r="U28" s="1"/>
    </row>
    <row r="29" spans="1:23" x14ac:dyDescent="0.3">
      <c r="A29" s="3">
        <v>3</v>
      </c>
      <c r="B29" s="3" t="s">
        <v>405</v>
      </c>
      <c r="C29" s="3" t="str">
        <f>VLOOKUP(B29,'Data availability'!$A$2:$B$91,2,FALSE)</f>
        <v>Main campus</v>
      </c>
      <c r="D29" s="3">
        <f>VLOOKUP(B29,'Data availability'!$A$2:$G$91,7,FALSE)</f>
        <v>12900</v>
      </c>
      <c r="E29" s="119" t="s">
        <v>599</v>
      </c>
      <c r="F29" s="165">
        <f>N$27*VLOOKUP($A29,'Campus Totals'!$A$36:$B$47,2,FALSE)</f>
        <v>31871.017427177354</v>
      </c>
      <c r="G29" s="165"/>
      <c r="H29" s="165"/>
      <c r="I29" s="170">
        <f>Q$27*VLOOKUP($A29,'Campus Totals'!$A$36:$E$47,5,FALSE)</f>
        <v>38403.288303657748</v>
      </c>
      <c r="J29" s="165"/>
      <c r="K29" s="165"/>
      <c r="L29" s="165"/>
      <c r="M29" s="165"/>
      <c r="N29" s="1"/>
      <c r="O29" s="1"/>
      <c r="P29" s="1"/>
      <c r="Q29" s="1"/>
      <c r="R29" s="1"/>
      <c r="S29" s="1"/>
      <c r="T29" s="1"/>
      <c r="U29" s="1"/>
    </row>
    <row r="30" spans="1:23" x14ac:dyDescent="0.3">
      <c r="A30" s="3">
        <v>4</v>
      </c>
      <c r="B30" s="3" t="s">
        <v>405</v>
      </c>
      <c r="C30" s="3" t="str">
        <f>VLOOKUP(B30,'Data availability'!$A$2:$B$91,2,FALSE)</f>
        <v>Main campus</v>
      </c>
      <c r="D30" s="3">
        <f>VLOOKUP(B30,'Data availability'!$A$2:$G$91,7,FALSE)</f>
        <v>12900</v>
      </c>
      <c r="E30" s="119" t="s">
        <v>599</v>
      </c>
      <c r="F30" s="165">
        <f>N$27*VLOOKUP($A30,'Campus Totals'!$A$36:$B$47,2,FALSE)</f>
        <v>12274.345395952005</v>
      </c>
      <c r="G30" s="165"/>
      <c r="H30" s="165"/>
      <c r="I30" s="170">
        <f>Q$27*VLOOKUP($A30,'Campus Totals'!$A$36:$E$47,5,FALSE)</f>
        <v>95761.92616150809</v>
      </c>
      <c r="J30" s="165"/>
      <c r="K30" s="165"/>
      <c r="L30" s="165"/>
      <c r="M30" s="165"/>
      <c r="N30" s="1"/>
      <c r="O30" s="1"/>
      <c r="P30" s="1"/>
      <c r="Q30" s="1"/>
      <c r="R30" s="1"/>
      <c r="S30" s="1"/>
      <c r="T30" s="1"/>
      <c r="U30" s="1"/>
    </row>
    <row r="31" spans="1:23" x14ac:dyDescent="0.3">
      <c r="A31" s="3">
        <v>5</v>
      </c>
      <c r="B31" s="3" t="s">
        <v>405</v>
      </c>
      <c r="C31" s="3" t="str">
        <f>VLOOKUP(B31,'Data availability'!$A$2:$B$91,2,FALSE)</f>
        <v>Main campus</v>
      </c>
      <c r="D31" s="3">
        <f>VLOOKUP(B31,'Data availability'!$A$2:$G$91,7,FALSE)</f>
        <v>12900</v>
      </c>
      <c r="E31" s="119" t="s">
        <v>599</v>
      </c>
      <c r="F31" s="165">
        <f>N$27*VLOOKUP($A31,'Campus Totals'!$A$36:$B$47,2,FALSE)</f>
        <v>22136.12610293577</v>
      </c>
      <c r="G31" s="167"/>
      <c r="H31" s="167"/>
      <c r="I31" s="170">
        <f>Q$27*VLOOKUP($A31,'Campus Totals'!$A$36:$E$47,5,FALSE)</f>
        <v>74201.410686014468</v>
      </c>
      <c r="J31" s="167"/>
      <c r="K31" s="167"/>
      <c r="L31" s="165"/>
      <c r="M31" s="165"/>
      <c r="N31" s="1"/>
      <c r="O31" s="1"/>
      <c r="P31" s="1"/>
      <c r="Q31" s="1"/>
      <c r="R31" s="1"/>
      <c r="S31" s="1"/>
      <c r="T31" s="1"/>
      <c r="U31" s="1"/>
    </row>
    <row r="32" spans="1:23" x14ac:dyDescent="0.3">
      <c r="A32" s="3">
        <v>6</v>
      </c>
      <c r="B32" s="3" t="s">
        <v>405</v>
      </c>
      <c r="C32" s="3" t="str">
        <f>VLOOKUP(B32,'Data availability'!$A$2:$B$91,2,FALSE)</f>
        <v>Main campus</v>
      </c>
      <c r="D32" s="3">
        <f>VLOOKUP(B32,'Data availability'!$A$2:$G$91,7,FALSE)</f>
        <v>12900</v>
      </c>
      <c r="E32" s="119" t="s">
        <v>599</v>
      </c>
      <c r="F32" s="165">
        <f>N$27*VLOOKUP($A32,'Campus Totals'!$A$36:$B$47,2,FALSE)</f>
        <v>17527.599056082159</v>
      </c>
      <c r="G32" s="167"/>
      <c r="H32" s="167"/>
      <c r="I32" s="170">
        <f>Q$27*VLOOKUP($A32,'Campus Totals'!$A$36:$E$47,5,FALSE)</f>
        <v>41851.774645718629</v>
      </c>
      <c r="J32" s="167"/>
      <c r="K32" s="167"/>
      <c r="L32" s="165"/>
      <c r="M32" s="165"/>
      <c r="N32" s="1"/>
      <c r="O32" s="1"/>
      <c r="P32" s="1"/>
      <c r="Q32" s="1"/>
      <c r="R32" s="1"/>
      <c r="S32" s="1"/>
      <c r="T32" s="1"/>
      <c r="U32" s="1"/>
    </row>
    <row r="33" spans="1:23" x14ac:dyDescent="0.3">
      <c r="A33" s="3">
        <v>7</v>
      </c>
      <c r="B33" s="3" t="s">
        <v>405</v>
      </c>
      <c r="C33" s="3" t="str">
        <f>VLOOKUP(B33,'Data availability'!$A$2:$B$91,2,FALSE)</f>
        <v>Main campus</v>
      </c>
      <c r="D33" s="3">
        <f>VLOOKUP(B33,'Data availability'!$A$2:$G$91,7,FALSE)</f>
        <v>12900</v>
      </c>
      <c r="E33" s="119" t="s">
        <v>599</v>
      </c>
      <c r="F33" s="165">
        <f>N$27*VLOOKUP($A33,'Campus Totals'!$A$36:$B$47,2,FALSE)</f>
        <v>5917.6435670231522</v>
      </c>
      <c r="G33" s="167"/>
      <c r="H33" s="167"/>
      <c r="I33" s="170">
        <f>Q$27*VLOOKUP($A33,'Campus Totals'!$A$36:$E$47,5,FALSE)</f>
        <v>121947.39137905795</v>
      </c>
      <c r="J33" s="167"/>
      <c r="K33" s="167"/>
      <c r="L33" s="165"/>
      <c r="M33" s="165"/>
      <c r="N33" s="1"/>
      <c r="O33" s="1"/>
      <c r="P33" s="1"/>
      <c r="Q33" s="1"/>
      <c r="R33" s="1"/>
      <c r="S33" s="1"/>
      <c r="T33" s="1"/>
      <c r="U33" s="1"/>
    </row>
    <row r="34" spans="1:23" x14ac:dyDescent="0.3">
      <c r="A34" s="3">
        <v>8</v>
      </c>
      <c r="B34" s="3" t="s">
        <v>405</v>
      </c>
      <c r="C34" s="3" t="str">
        <f>VLOOKUP(B34,'Data availability'!$A$2:$B$91,2,FALSE)</f>
        <v>Main campus</v>
      </c>
      <c r="D34" s="3">
        <f>VLOOKUP(B34,'Data availability'!$A$2:$G$91,7,FALSE)</f>
        <v>12900</v>
      </c>
      <c r="E34" s="119" t="s">
        <v>599</v>
      </c>
      <c r="F34" s="165">
        <f>N$27*VLOOKUP($A34,'Campus Totals'!$A$36:$B$47,2,FALSE)</f>
        <v>16235.214646762381</v>
      </c>
      <c r="G34" s="167"/>
      <c r="H34" s="167"/>
      <c r="I34" s="170">
        <f>Q$27*VLOOKUP($A34,'Campus Totals'!$A$36:$E$47,5,FALSE)</f>
        <v>-12189.113841975788</v>
      </c>
      <c r="J34" s="167"/>
      <c r="K34" s="167"/>
      <c r="L34" s="165"/>
      <c r="M34" s="165"/>
      <c r="N34" s="1"/>
      <c r="O34" s="1"/>
      <c r="P34" s="1"/>
      <c r="Q34" s="1"/>
      <c r="R34" s="1"/>
      <c r="S34" s="1"/>
      <c r="T34" s="1"/>
      <c r="U34" s="1"/>
    </row>
    <row r="35" spans="1:23" x14ac:dyDescent="0.3">
      <c r="A35" s="3">
        <v>9</v>
      </c>
      <c r="B35" s="3" t="s">
        <v>405</v>
      </c>
      <c r="C35" s="3" t="str">
        <f>VLOOKUP(B35,'Data availability'!$A$2:$B$91,2,FALSE)</f>
        <v>Main campus</v>
      </c>
      <c r="D35" s="3">
        <f>VLOOKUP(B35,'Data availability'!$A$2:$G$91,7,FALSE)</f>
        <v>12900</v>
      </c>
      <c r="E35" s="119" t="s">
        <v>599</v>
      </c>
      <c r="F35" s="165">
        <f>N$27*VLOOKUP($A35,'Campus Totals'!$A$36:$B$47,2,FALSE)</f>
        <v>4755.5358115306499</v>
      </c>
      <c r="G35" s="167"/>
      <c r="H35" s="167"/>
      <c r="I35" s="170">
        <f>Q$27*VLOOKUP($A35,'Campus Totals'!$A$36:$E$47,5,FALSE)</f>
        <v>89886.379192071225</v>
      </c>
      <c r="J35" s="167"/>
      <c r="K35" s="167"/>
      <c r="L35" s="165"/>
      <c r="M35" s="165"/>
      <c r="N35" s="1"/>
      <c r="O35" s="1"/>
      <c r="P35" s="1"/>
      <c r="Q35" s="1"/>
      <c r="R35" s="1"/>
      <c r="S35" s="1"/>
      <c r="T35" s="1"/>
      <c r="U35" s="1"/>
    </row>
    <row r="36" spans="1:23" x14ac:dyDescent="0.3">
      <c r="A36" s="3">
        <v>10</v>
      </c>
      <c r="B36" s="3" t="s">
        <v>405</v>
      </c>
      <c r="C36" s="3" t="str">
        <f>VLOOKUP(B36,'Data availability'!$A$2:$B$91,2,FALSE)</f>
        <v>Main campus</v>
      </c>
      <c r="D36" s="3">
        <f>VLOOKUP(B36,'Data availability'!$A$2:$G$91,7,FALSE)</f>
        <v>12900</v>
      </c>
      <c r="E36" s="119" t="s">
        <v>599</v>
      </c>
      <c r="F36" s="165">
        <f>N$27*VLOOKUP($A36,'Campus Totals'!$A$36:$B$47,2,FALSE)</f>
        <v>7134.7878595554794</v>
      </c>
      <c r="G36" s="167"/>
      <c r="H36" s="167"/>
      <c r="I36" s="170">
        <f>Q$27*VLOOKUP($A36,'Campus Totals'!$A$36:$E$47,5,FALSE)</f>
        <v>92613.176876330355</v>
      </c>
      <c r="J36" s="167"/>
      <c r="K36" s="167"/>
      <c r="L36" s="165"/>
      <c r="M36" s="165"/>
      <c r="N36" s="1"/>
      <c r="O36" s="1"/>
      <c r="P36" s="1"/>
      <c r="Q36" s="1"/>
      <c r="R36" s="1"/>
      <c r="S36" s="1"/>
      <c r="T36" s="1"/>
      <c r="U36" s="1"/>
    </row>
    <row r="37" spans="1:23" x14ac:dyDescent="0.3">
      <c r="A37" s="3">
        <v>11</v>
      </c>
      <c r="B37" s="3" t="s">
        <v>405</v>
      </c>
      <c r="C37" s="3" t="str">
        <f>VLOOKUP(B37,'Data availability'!$A$2:$B$91,2,FALSE)</f>
        <v>Main campus</v>
      </c>
      <c r="D37" s="3">
        <f>VLOOKUP(B37,'Data availability'!$A$2:$G$91,7,FALSE)</f>
        <v>12900</v>
      </c>
      <c r="E37" s="119" t="s">
        <v>599</v>
      </c>
      <c r="F37" s="165">
        <f>N$27*VLOOKUP($A37,'Campus Totals'!$A$36:$B$47,2,FALSE)</f>
        <v>11663.455413198246</v>
      </c>
      <c r="G37" s="167"/>
      <c r="H37" s="167"/>
      <c r="I37" s="170">
        <f>Q$27*VLOOKUP($A37,'Campus Totals'!$A$36:$E$47,5,FALSE)</f>
        <v>88151.951264988631</v>
      </c>
      <c r="J37" s="167"/>
      <c r="K37" s="167"/>
      <c r="L37" s="165"/>
      <c r="M37" s="165"/>
      <c r="N37" s="1"/>
      <c r="O37" s="1"/>
      <c r="P37" s="1"/>
      <c r="Q37" s="1"/>
      <c r="R37" s="1"/>
      <c r="S37" s="1"/>
      <c r="T37" s="1"/>
      <c r="U37" s="1"/>
    </row>
    <row r="38" spans="1:23" s="69" customFormat="1" x14ac:dyDescent="0.3">
      <c r="A38" s="64">
        <v>12</v>
      </c>
      <c r="B38" s="64" t="s">
        <v>405</v>
      </c>
      <c r="C38" s="64" t="str">
        <f>VLOOKUP(B38,'Data availability'!$A$2:$B$91,2,FALSE)</f>
        <v>Main campus</v>
      </c>
      <c r="D38" s="64">
        <f>VLOOKUP(B38,'Data availability'!$A$2:$G$91,7,FALSE)</f>
        <v>12900</v>
      </c>
      <c r="E38" s="119" t="s">
        <v>599</v>
      </c>
      <c r="F38" s="165">
        <f>N$27*VLOOKUP($A38,'Campus Totals'!$A$36:$B$47,2,FALSE)</f>
        <v>8388.9169005865315</v>
      </c>
      <c r="G38" s="168"/>
      <c r="H38" s="168"/>
      <c r="I38" s="171">
        <f>Q$27*VLOOKUP($A38,'Campus Totals'!$A$36:$E$47,5,FALSE)</f>
        <v>69952.146449088294</v>
      </c>
      <c r="J38" s="168"/>
      <c r="K38" s="168"/>
      <c r="L38" s="166"/>
      <c r="M38" s="166"/>
      <c r="N38" s="66"/>
      <c r="O38" s="66"/>
      <c r="P38" s="66"/>
      <c r="Q38" s="66"/>
      <c r="R38" s="66"/>
      <c r="S38" s="66"/>
      <c r="T38" s="66"/>
      <c r="U38" s="66"/>
    </row>
    <row r="39" spans="1:23" x14ac:dyDescent="0.3">
      <c r="A39" s="3">
        <v>1</v>
      </c>
      <c r="B39" s="3" t="s">
        <v>141</v>
      </c>
      <c r="C39" s="3" t="str">
        <f>VLOOKUP(B39,'Data availability'!$A$2:$B$91,2,FALSE)</f>
        <v>Main campus</v>
      </c>
      <c r="D39" s="3">
        <f>VLOOKUP(B39,'Data availability'!$A$2:$G$91,7,FALSE)</f>
        <v>12837</v>
      </c>
      <c r="E39" s="3" t="str">
        <f>VLOOKUP(B39,'Data availability'!$A$2:$H$91,8,FALSE)</f>
        <v>Office</v>
      </c>
      <c r="F39" s="165">
        <f>N$39*VLOOKUP($A39,'Campus Totals'!$A$36:$B$47,2,FALSE)</f>
        <v>29250.900218571707</v>
      </c>
      <c r="G39" s="167"/>
      <c r="H39" s="167"/>
      <c r="I39" s="167"/>
      <c r="J39" s="165">
        <f>INDEX('BPD vs SJSU EUIs'!$J$4:$J$17, MATCH($E39, 'BPD vs SJSU EUIs'!$A$4:$A$17, 0))*D39</f>
        <v>461100.37793914444</v>
      </c>
      <c r="K39" s="167"/>
      <c r="L39" s="165"/>
      <c r="M39" s="165"/>
      <c r="N39" s="1">
        <f>$J39/SUM($J$4:$J$124)</f>
        <v>0.13345507145957033</v>
      </c>
      <c r="O39" s="1"/>
      <c r="P39" s="1"/>
      <c r="Q39" s="1"/>
      <c r="R39" s="1">
        <f>SUM(F39:F50)*3.412/D39</f>
        <v>60.774309843378688</v>
      </c>
      <c r="S39" s="1"/>
      <c r="T39" s="1"/>
      <c r="U39" s="1"/>
      <c r="W39" s="194">
        <f>L39/100-SUM(H39:H50)</f>
        <v>0</v>
      </c>
    </row>
    <row r="40" spans="1:23" x14ac:dyDescent="0.3">
      <c r="A40" s="3">
        <v>2</v>
      </c>
      <c r="B40" s="3" t="s">
        <v>141</v>
      </c>
      <c r="C40" s="3" t="str">
        <f>VLOOKUP(B40,'Data availability'!$A$2:$B$91,2,FALSE)</f>
        <v>Main campus</v>
      </c>
      <c r="D40" s="3">
        <f>VLOOKUP(B40,'Data availability'!$A$2:$G$91,7,FALSE)</f>
        <v>12837</v>
      </c>
      <c r="E40" s="3" t="str">
        <f>VLOOKUP(B40,'Data availability'!$A$2:$H$91,8,FALSE)</f>
        <v>Office</v>
      </c>
      <c r="F40" s="165">
        <f>N$39*VLOOKUP($A40,'Campus Totals'!$A$36:$B$47,2,FALSE)</f>
        <v>45360.449465985119</v>
      </c>
      <c r="G40" s="167"/>
      <c r="H40" s="167"/>
      <c r="I40" s="167"/>
      <c r="J40" s="167"/>
      <c r="K40" s="167"/>
      <c r="L40" s="165"/>
      <c r="M40" s="165"/>
      <c r="N40" s="1"/>
      <c r="O40" s="1"/>
      <c r="P40" s="1"/>
      <c r="Q40" s="1"/>
      <c r="R40" s="1"/>
      <c r="S40" s="1"/>
      <c r="T40" s="1"/>
      <c r="U40" s="1"/>
    </row>
    <row r="41" spans="1:23" x14ac:dyDescent="0.3">
      <c r="A41" s="3">
        <v>3</v>
      </c>
      <c r="B41" s="3" t="s">
        <v>141</v>
      </c>
      <c r="C41" s="3" t="str">
        <f>VLOOKUP(B41,'Data availability'!$A$2:$B$91,2,FALSE)</f>
        <v>Main campus</v>
      </c>
      <c r="D41" s="3">
        <f>VLOOKUP(B41,'Data availability'!$A$2:$G$91,7,FALSE)</f>
        <v>12837</v>
      </c>
      <c r="E41" s="3" t="str">
        <f>VLOOKUP(B41,'Data availability'!$A$2:$H$91,8,FALSE)</f>
        <v>Office</v>
      </c>
      <c r="F41" s="165">
        <f>N$39*VLOOKUP($A41,'Campus Totals'!$A$36:$B$47,2,FALSE)</f>
        <v>35600.140942288119</v>
      </c>
      <c r="G41" s="167"/>
      <c r="H41" s="167"/>
      <c r="I41" s="167"/>
      <c r="J41" s="167"/>
      <c r="K41" s="167"/>
      <c r="L41" s="165"/>
      <c r="M41" s="165"/>
      <c r="N41" s="1"/>
      <c r="O41" s="1"/>
      <c r="P41" s="1"/>
      <c r="Q41" s="1"/>
      <c r="R41" s="1"/>
      <c r="S41" s="1"/>
      <c r="T41" s="1"/>
      <c r="U41" s="1"/>
    </row>
    <row r="42" spans="1:23" x14ac:dyDescent="0.3">
      <c r="A42" s="3">
        <v>4</v>
      </c>
      <c r="B42" s="3" t="s">
        <v>141</v>
      </c>
      <c r="C42" s="3" t="str">
        <f>VLOOKUP(B42,'Data availability'!$A$2:$B$91,2,FALSE)</f>
        <v>Main campus</v>
      </c>
      <c r="D42" s="3">
        <f>VLOOKUP(B42,'Data availability'!$A$2:$G$91,7,FALSE)</f>
        <v>12837</v>
      </c>
      <c r="E42" s="3" t="str">
        <f>VLOOKUP(B42,'Data availability'!$A$2:$H$91,8,FALSE)</f>
        <v>Office</v>
      </c>
      <c r="F42" s="165">
        <f>N$39*VLOOKUP($A42,'Campus Totals'!$A$36:$B$47,2,FALSE)</f>
        <v>13710.526407531654</v>
      </c>
      <c r="G42" s="167"/>
      <c r="H42" s="167"/>
      <c r="I42" s="167"/>
      <c r="J42" s="167"/>
      <c r="K42" s="167"/>
      <c r="L42" s="165"/>
      <c r="M42" s="165"/>
      <c r="N42" s="1"/>
      <c r="O42" s="1"/>
      <c r="P42" s="1"/>
      <c r="Q42" s="1"/>
      <c r="R42" s="1"/>
      <c r="S42" s="1"/>
      <c r="T42" s="1"/>
      <c r="U42" s="1"/>
    </row>
    <row r="43" spans="1:23" x14ac:dyDescent="0.3">
      <c r="A43" s="3">
        <v>5</v>
      </c>
      <c r="B43" s="3" t="s">
        <v>141</v>
      </c>
      <c r="C43" s="3" t="str">
        <f>VLOOKUP(B43,'Data availability'!$A$2:$B$91,2,FALSE)</f>
        <v>Main campus</v>
      </c>
      <c r="D43" s="3">
        <f>VLOOKUP(B43,'Data availability'!$A$2:$G$91,7,FALSE)</f>
        <v>12837</v>
      </c>
      <c r="E43" s="3" t="str">
        <f>VLOOKUP(B43,'Data availability'!$A$2:$H$91,8,FALSE)</f>
        <v>Office</v>
      </c>
      <c r="F43" s="165">
        <f>N$39*VLOOKUP($A43,'Campus Totals'!$A$36:$B$47,2,FALSE)</f>
        <v>24726.201822122683</v>
      </c>
      <c r="G43" s="167"/>
      <c r="H43" s="167"/>
      <c r="I43" s="167"/>
      <c r="J43" s="167"/>
      <c r="K43" s="167"/>
      <c r="L43" s="165"/>
      <c r="M43" s="165"/>
      <c r="N43" s="1"/>
      <c r="O43" s="1"/>
      <c r="P43" s="1"/>
      <c r="Q43" s="1"/>
      <c r="R43" s="1"/>
      <c r="S43" s="1"/>
      <c r="T43" s="1"/>
      <c r="U43" s="1"/>
    </row>
    <row r="44" spans="1:23" x14ac:dyDescent="0.3">
      <c r="A44" s="3">
        <v>6</v>
      </c>
      <c r="B44" s="3" t="s">
        <v>141</v>
      </c>
      <c r="C44" s="3" t="str">
        <f>VLOOKUP(B44,'Data availability'!$A$2:$B$91,2,FALSE)</f>
        <v>Main campus</v>
      </c>
      <c r="D44" s="3">
        <f>VLOOKUP(B44,'Data availability'!$A$2:$G$91,7,FALSE)</f>
        <v>12837</v>
      </c>
      <c r="E44" s="3" t="str">
        <f>VLOOKUP(B44,'Data availability'!$A$2:$H$91,8,FALSE)</f>
        <v>Office</v>
      </c>
      <c r="F44" s="165">
        <f>N$39*VLOOKUP($A44,'Campus Totals'!$A$36:$B$47,2,FALSE)</f>
        <v>19578.446097687196</v>
      </c>
      <c r="G44" s="167"/>
      <c r="H44" s="167"/>
      <c r="I44" s="167"/>
      <c r="J44" s="167"/>
      <c r="K44" s="167"/>
      <c r="L44" s="165"/>
      <c r="M44" s="165"/>
      <c r="N44" s="1"/>
      <c r="O44" s="1"/>
      <c r="P44" s="1"/>
      <c r="Q44" s="1"/>
      <c r="R44" s="1"/>
      <c r="S44" s="1"/>
      <c r="T44" s="1"/>
      <c r="U44" s="1"/>
    </row>
    <row r="45" spans="1:23" x14ac:dyDescent="0.3">
      <c r="A45" s="3">
        <v>7</v>
      </c>
      <c r="B45" s="3" t="s">
        <v>141</v>
      </c>
      <c r="C45" s="3" t="str">
        <f>VLOOKUP(B45,'Data availability'!$A$2:$B$91,2,FALSE)</f>
        <v>Main campus</v>
      </c>
      <c r="D45" s="3">
        <f>VLOOKUP(B45,'Data availability'!$A$2:$G$91,7,FALSE)</f>
        <v>12837</v>
      </c>
      <c r="E45" s="3" t="str">
        <f>VLOOKUP(B45,'Data availability'!$A$2:$H$91,8,FALSE)</f>
        <v>Office</v>
      </c>
      <c r="F45" s="165">
        <f>N$39*VLOOKUP($A45,'Campus Totals'!$A$36:$B$47,2,FALSE)</f>
        <v>6610.0476871693845</v>
      </c>
      <c r="G45" s="167"/>
      <c r="H45" s="167"/>
      <c r="I45" s="167"/>
      <c r="J45" s="167"/>
      <c r="K45" s="167"/>
      <c r="L45" s="165"/>
      <c r="M45" s="165"/>
      <c r="N45" s="1"/>
      <c r="O45" s="1"/>
      <c r="P45" s="1"/>
      <c r="Q45" s="1"/>
      <c r="R45" s="1"/>
      <c r="S45" s="1"/>
      <c r="T45" s="1"/>
      <c r="U45" s="1"/>
    </row>
    <row r="46" spans="1:23" x14ac:dyDescent="0.3">
      <c r="A46" s="3">
        <v>8</v>
      </c>
      <c r="B46" s="3" t="s">
        <v>141</v>
      </c>
      <c r="C46" s="3" t="str">
        <f>VLOOKUP(B46,'Data availability'!$A$2:$B$91,2,FALSE)</f>
        <v>Main campus</v>
      </c>
      <c r="D46" s="3">
        <f>VLOOKUP(B46,'Data availability'!$A$2:$G$91,7,FALSE)</f>
        <v>12837</v>
      </c>
      <c r="E46" s="3" t="str">
        <f>VLOOKUP(B46,'Data availability'!$A$2:$H$91,8,FALSE)</f>
        <v>Office</v>
      </c>
      <c r="F46" s="165">
        <f>N$39*VLOOKUP($A46,'Campus Totals'!$A$36:$B$47,2,FALSE)</f>
        <v>18134.844015371284</v>
      </c>
      <c r="G46" s="167"/>
      <c r="H46" s="167"/>
      <c r="I46" s="167"/>
      <c r="J46" s="167"/>
      <c r="K46" s="167"/>
      <c r="L46" s="165"/>
      <c r="M46" s="165"/>
      <c r="N46" s="1"/>
      <c r="O46" s="1"/>
      <c r="P46" s="1"/>
      <c r="Q46" s="1"/>
      <c r="R46" s="1"/>
      <c r="S46" s="1"/>
      <c r="T46" s="1"/>
      <c r="U46" s="1"/>
    </row>
    <row r="47" spans="1:23" x14ac:dyDescent="0.3">
      <c r="A47" s="3">
        <v>9</v>
      </c>
      <c r="B47" s="3" t="s">
        <v>141</v>
      </c>
      <c r="C47" s="3" t="str">
        <f>VLOOKUP(B47,'Data availability'!$A$2:$B$91,2,FALSE)</f>
        <v>Main campus</v>
      </c>
      <c r="D47" s="3">
        <f>VLOOKUP(B47,'Data availability'!$A$2:$G$91,7,FALSE)</f>
        <v>12837</v>
      </c>
      <c r="E47" s="3" t="str">
        <f>VLOOKUP(B47,'Data availability'!$A$2:$H$91,8,FALSE)</f>
        <v>Office</v>
      </c>
      <c r="F47" s="165">
        <f>N$39*VLOOKUP($A47,'Campus Totals'!$A$36:$B$47,2,FALSE)</f>
        <v>5311.9655038757719</v>
      </c>
      <c r="G47" s="167"/>
      <c r="H47" s="167"/>
      <c r="I47" s="167"/>
      <c r="J47" s="167"/>
      <c r="K47" s="167"/>
      <c r="L47" s="165"/>
      <c r="M47" s="165"/>
      <c r="N47" s="1"/>
      <c r="O47" s="1"/>
      <c r="P47" s="1"/>
      <c r="Q47" s="1"/>
      <c r="R47" s="1"/>
      <c r="S47" s="1"/>
      <c r="T47" s="1"/>
      <c r="U47" s="1"/>
    </row>
    <row r="48" spans="1:23" x14ac:dyDescent="0.3">
      <c r="A48" s="3">
        <v>10</v>
      </c>
      <c r="B48" s="3" t="s">
        <v>141</v>
      </c>
      <c r="C48" s="3" t="str">
        <f>VLOOKUP(B48,'Data availability'!$A$2:$B$91,2,FALSE)</f>
        <v>Main campus</v>
      </c>
      <c r="D48" s="3">
        <f>VLOOKUP(B48,'Data availability'!$A$2:$G$91,7,FALSE)</f>
        <v>12837</v>
      </c>
      <c r="E48" s="3" t="str">
        <f>VLOOKUP(B48,'Data availability'!$A$2:$H$91,8,FALSE)</f>
        <v>Office</v>
      </c>
      <c r="F48" s="165">
        <f>N$39*VLOOKUP($A48,'Campus Totals'!$A$36:$B$47,2,FALSE)</f>
        <v>7969.6060527050649</v>
      </c>
      <c r="G48" s="167"/>
      <c r="H48" s="167"/>
      <c r="I48" s="167"/>
      <c r="J48" s="167"/>
      <c r="K48" s="167"/>
      <c r="L48" s="165"/>
      <c r="M48" s="165"/>
      <c r="N48" s="1"/>
      <c r="O48" s="1"/>
      <c r="P48" s="1"/>
      <c r="Q48" s="1"/>
      <c r="R48" s="1"/>
      <c r="S48" s="1"/>
      <c r="T48" s="1"/>
      <c r="U48" s="1"/>
    </row>
    <row r="49" spans="1:23" x14ac:dyDescent="0.3">
      <c r="A49" s="3">
        <v>11</v>
      </c>
      <c r="B49" s="3" t="s">
        <v>141</v>
      </c>
      <c r="C49" s="3" t="str">
        <f>VLOOKUP(B49,'Data availability'!$A$2:$B$91,2,FALSE)</f>
        <v>Main campus</v>
      </c>
      <c r="D49" s="3">
        <f>VLOOKUP(B49,'Data availability'!$A$2:$G$91,7,FALSE)</f>
        <v>12837</v>
      </c>
      <c r="E49" s="3" t="str">
        <f>VLOOKUP(B49,'Data availability'!$A$2:$H$91,8,FALSE)</f>
        <v>Office</v>
      </c>
      <c r="F49" s="165">
        <f>N$39*VLOOKUP($A49,'Campus Totals'!$A$36:$B$47,2,FALSE)</f>
        <v>13028.15818580928</v>
      </c>
      <c r="G49" s="167"/>
      <c r="H49" s="167"/>
      <c r="I49" s="167"/>
      <c r="J49" s="167"/>
      <c r="K49" s="167"/>
      <c r="L49" s="165"/>
      <c r="M49" s="165"/>
      <c r="N49" s="1"/>
      <c r="O49" s="1"/>
      <c r="P49" s="1"/>
      <c r="Q49" s="1"/>
      <c r="R49" s="1"/>
      <c r="S49" s="1"/>
      <c r="T49" s="1"/>
      <c r="U49" s="1"/>
    </row>
    <row r="50" spans="1:23" s="69" customFormat="1" x14ac:dyDescent="0.3">
      <c r="A50" s="64">
        <v>12</v>
      </c>
      <c r="B50" s="64" t="s">
        <v>141</v>
      </c>
      <c r="C50" s="64" t="str">
        <f>VLOOKUP(B50,'Data availability'!$A$2:$B$91,2,FALSE)</f>
        <v>Main campus</v>
      </c>
      <c r="D50" s="64">
        <f>VLOOKUP(B50,'Data availability'!$A$2:$G$91,7,FALSE)</f>
        <v>12837</v>
      </c>
      <c r="E50" s="64" t="str">
        <f>VLOOKUP(B50,'Data availability'!$A$2:$H$91,8,FALSE)</f>
        <v>Office</v>
      </c>
      <c r="F50" s="165">
        <f>N$39*VLOOKUP($A50,'Campus Totals'!$A$36:$B$47,2,FALSE)</f>
        <v>9370.4766312028241</v>
      </c>
      <c r="G50" s="168"/>
      <c r="H50" s="168"/>
      <c r="I50" s="168"/>
      <c r="J50" s="168"/>
      <c r="K50" s="168"/>
      <c r="L50" s="166"/>
      <c r="M50" s="166"/>
      <c r="N50" s="66"/>
      <c r="O50" s="66"/>
      <c r="P50" s="66"/>
      <c r="Q50" s="66"/>
      <c r="R50" s="66"/>
      <c r="S50" s="66"/>
      <c r="T50" s="66"/>
      <c r="U50" s="66"/>
    </row>
    <row r="51" spans="1:23" x14ac:dyDescent="0.3">
      <c r="A51" s="3">
        <v>1</v>
      </c>
      <c r="B51" s="3" t="s">
        <v>142</v>
      </c>
      <c r="C51" s="3" t="str">
        <f>VLOOKUP(B51,'Data availability'!$A$2:$B$91,2,FALSE)</f>
        <v>Main campus</v>
      </c>
      <c r="D51" s="3">
        <f>VLOOKUP(B51,'Data availability'!$A$2:$G$91,7,FALSE)</f>
        <v>29182</v>
      </c>
      <c r="E51" s="3" t="str">
        <f>VLOOKUP(B51,'Data availability'!$A$2:$H$91,8,FALSE)</f>
        <v>Warehouse</v>
      </c>
      <c r="F51" s="165">
        <f>N$51*VLOOKUP($A51,'Campus Totals'!$A$36:$B$47,2,FALSE)</f>
        <v>16661.009834650693</v>
      </c>
      <c r="G51" s="167"/>
      <c r="H51" s="167"/>
      <c r="I51" s="167"/>
      <c r="J51" s="165">
        <f>INDEX('BPD vs SJSU EUIs'!$J$4:$J$17, MATCH($E51, 'BPD vs SJSU EUIs'!$A$4:$A$17, 0))*D51</f>
        <v>262638</v>
      </c>
      <c r="K51" s="167"/>
      <c r="L51" s="165"/>
      <c r="M51" s="165"/>
      <c r="N51" s="1">
        <f>$J51/SUM($J$4:$J$124)</f>
        <v>7.6014626608318564E-2</v>
      </c>
      <c r="O51" s="1"/>
      <c r="P51" s="1"/>
      <c r="Q51" s="1"/>
      <c r="R51" s="1">
        <f>SUM(F51:F62)*3.412/D51</f>
        <v>15.227570123704716</v>
      </c>
      <c r="S51" s="1"/>
      <c r="T51" s="1"/>
      <c r="U51" s="1"/>
      <c r="W51" s="194">
        <f>L51/100-SUM(H51:H62)</f>
        <v>0</v>
      </c>
    </row>
    <row r="52" spans="1:23" x14ac:dyDescent="0.3">
      <c r="A52" s="3">
        <v>2</v>
      </c>
      <c r="B52" s="3" t="s">
        <v>142</v>
      </c>
      <c r="C52" s="3" t="str">
        <f>VLOOKUP(B52,'Data availability'!$A$2:$B$91,2,FALSE)</f>
        <v>Main campus</v>
      </c>
      <c r="D52" s="3">
        <f>VLOOKUP(B52,'Data availability'!$A$2:$G$91,7,FALSE)</f>
        <v>29182</v>
      </c>
      <c r="E52" s="3" t="str">
        <f>VLOOKUP(B52,'Data availability'!$A$2:$H$91,8,FALSE)</f>
        <v>Warehouse</v>
      </c>
      <c r="F52" s="165">
        <f>N$51*VLOOKUP($A52,'Campus Totals'!$A$36:$B$47,2,FALSE)</f>
        <v>25836.842251341022</v>
      </c>
      <c r="G52" s="167"/>
      <c r="H52" s="167"/>
      <c r="I52" s="167"/>
      <c r="J52" s="167"/>
      <c r="K52" s="167"/>
      <c r="L52" s="165"/>
      <c r="M52" s="165"/>
      <c r="N52" s="1"/>
      <c r="O52" s="1"/>
      <c r="P52" s="1"/>
      <c r="Q52" s="1"/>
      <c r="R52" s="1"/>
      <c r="S52" s="1"/>
      <c r="T52" s="1"/>
      <c r="U52" s="1"/>
    </row>
    <row r="53" spans="1:23" x14ac:dyDescent="0.3">
      <c r="A53" s="3">
        <v>3</v>
      </c>
      <c r="B53" s="3" t="s">
        <v>142</v>
      </c>
      <c r="C53" s="3" t="str">
        <f>VLOOKUP(B53,'Data availability'!$A$2:$B$91,2,FALSE)</f>
        <v>Main campus</v>
      </c>
      <c r="D53" s="3">
        <f>VLOOKUP(B53,'Data availability'!$A$2:$G$91,7,FALSE)</f>
        <v>29182</v>
      </c>
      <c r="E53" s="3" t="str">
        <f>VLOOKUP(B53,'Data availability'!$A$2:$H$91,8,FALSE)</f>
        <v>Warehouse</v>
      </c>
      <c r="F53" s="165">
        <f>N$51*VLOOKUP($A53,'Campus Totals'!$A$36:$B$47,2,FALSE)</f>
        <v>20277.471596509218</v>
      </c>
      <c r="G53" s="167"/>
      <c r="H53" s="167"/>
      <c r="I53" s="167"/>
      <c r="J53" s="167"/>
      <c r="K53" s="167"/>
      <c r="L53" s="165"/>
      <c r="M53" s="165"/>
      <c r="N53" s="1"/>
      <c r="O53" s="1"/>
      <c r="P53" s="1"/>
      <c r="Q53" s="1"/>
      <c r="R53" s="1"/>
      <c r="S53" s="1"/>
      <c r="T53" s="1"/>
      <c r="U53" s="1"/>
    </row>
    <row r="54" spans="1:23" x14ac:dyDescent="0.3">
      <c r="A54" s="3">
        <v>4</v>
      </c>
      <c r="B54" s="3" t="s">
        <v>142</v>
      </c>
      <c r="C54" s="3" t="str">
        <f>VLOOKUP(B54,'Data availability'!$A$2:$B$91,2,FALSE)</f>
        <v>Main campus</v>
      </c>
      <c r="D54" s="3">
        <f>VLOOKUP(B54,'Data availability'!$A$2:$G$91,7,FALSE)</f>
        <v>29182</v>
      </c>
      <c r="E54" s="3" t="str">
        <f>VLOOKUP(B54,'Data availability'!$A$2:$H$91,8,FALSE)</f>
        <v>Warehouse</v>
      </c>
      <c r="F54" s="165">
        <f>N$51*VLOOKUP($A54,'Campus Totals'!$A$36:$B$47,2,FALSE)</f>
        <v>7809.3738519913823</v>
      </c>
      <c r="G54" s="167"/>
      <c r="H54" s="167"/>
      <c r="I54" s="167"/>
      <c r="J54" s="167"/>
      <c r="K54" s="167"/>
      <c r="L54" s="165"/>
      <c r="M54" s="165"/>
      <c r="N54" s="1"/>
      <c r="O54" s="1"/>
      <c r="P54" s="1"/>
      <c r="Q54" s="1"/>
      <c r="R54" s="1"/>
      <c r="S54" s="1"/>
      <c r="T54" s="1"/>
      <c r="U54" s="1"/>
    </row>
    <row r="55" spans="1:23" x14ac:dyDescent="0.3">
      <c r="A55" s="3">
        <v>5</v>
      </c>
      <c r="B55" s="3" t="s">
        <v>142</v>
      </c>
      <c r="C55" s="3" t="str">
        <f>VLOOKUP(B55,'Data availability'!$A$2:$B$91,2,FALSE)</f>
        <v>Main campus</v>
      </c>
      <c r="D55" s="3">
        <f>VLOOKUP(B55,'Data availability'!$A$2:$G$91,7,FALSE)</f>
        <v>29182</v>
      </c>
      <c r="E55" s="3" t="str">
        <f>VLOOKUP(B55,'Data availability'!$A$2:$H$91,8,FALSE)</f>
        <v>Warehouse</v>
      </c>
      <c r="F55" s="165">
        <f>N$51*VLOOKUP($A55,'Campus Totals'!$A$36:$B$47,2,FALSE)</f>
        <v>14083.788486973945</v>
      </c>
      <c r="G55" s="167"/>
      <c r="H55" s="167"/>
      <c r="I55" s="167"/>
      <c r="J55" s="167"/>
      <c r="K55" s="167"/>
      <c r="L55" s="165"/>
      <c r="M55" s="165"/>
      <c r="N55" s="1"/>
      <c r="O55" s="1"/>
      <c r="P55" s="1"/>
      <c r="Q55" s="1"/>
      <c r="R55" s="1"/>
      <c r="S55" s="1"/>
      <c r="T55" s="1"/>
      <c r="U55" s="1"/>
    </row>
    <row r="56" spans="1:23" x14ac:dyDescent="0.3">
      <c r="A56" s="3">
        <v>6</v>
      </c>
      <c r="B56" s="3" t="s">
        <v>142</v>
      </c>
      <c r="C56" s="3" t="str">
        <f>VLOOKUP(B56,'Data availability'!$A$2:$B$91,2,FALSE)</f>
        <v>Main campus</v>
      </c>
      <c r="D56" s="3">
        <f>VLOOKUP(B56,'Data availability'!$A$2:$G$91,7,FALSE)</f>
        <v>29182</v>
      </c>
      <c r="E56" s="3" t="str">
        <f>VLOOKUP(B56,'Data availability'!$A$2:$H$91,8,FALSE)</f>
        <v>Warehouse</v>
      </c>
      <c r="F56" s="165">
        <f>N$51*VLOOKUP($A56,'Campus Totals'!$A$36:$B$47,2,FALSE)</f>
        <v>11151.680137818086</v>
      </c>
      <c r="G56" s="167"/>
      <c r="H56" s="167"/>
      <c r="I56" s="167"/>
      <c r="J56" s="167"/>
      <c r="K56" s="167"/>
      <c r="L56" s="165"/>
      <c r="M56" s="165"/>
      <c r="N56" s="1"/>
      <c r="O56" s="1"/>
      <c r="P56" s="1"/>
      <c r="Q56" s="1"/>
      <c r="R56" s="1"/>
      <c r="S56" s="1"/>
      <c r="T56" s="1"/>
      <c r="U56" s="1"/>
    </row>
    <row r="57" spans="1:23" x14ac:dyDescent="0.3">
      <c r="A57" s="3">
        <v>7</v>
      </c>
      <c r="B57" s="3" t="s">
        <v>142</v>
      </c>
      <c r="C57" s="3" t="str">
        <f>VLOOKUP(B57,'Data availability'!$A$2:$B$91,2,FALSE)</f>
        <v>Main campus</v>
      </c>
      <c r="D57" s="3">
        <f>VLOOKUP(B57,'Data availability'!$A$2:$G$91,7,FALSE)</f>
        <v>29182</v>
      </c>
      <c r="E57" s="3" t="str">
        <f>VLOOKUP(B57,'Data availability'!$A$2:$H$91,8,FALSE)</f>
        <v>Warehouse</v>
      </c>
      <c r="F57" s="165">
        <f>N$51*VLOOKUP($A57,'Campus Totals'!$A$36:$B$47,2,FALSE)</f>
        <v>3765.0147072573318</v>
      </c>
      <c r="G57" s="167"/>
      <c r="H57" s="167"/>
      <c r="I57" s="167"/>
      <c r="J57" s="167"/>
      <c r="K57" s="167"/>
      <c r="L57" s="165"/>
      <c r="M57" s="165"/>
      <c r="N57" s="1"/>
      <c r="O57" s="1"/>
      <c r="P57" s="1"/>
      <c r="Q57" s="1"/>
      <c r="R57" s="1"/>
      <c r="S57" s="1"/>
      <c r="T57" s="1"/>
      <c r="U57" s="1"/>
    </row>
    <row r="58" spans="1:23" x14ac:dyDescent="0.3">
      <c r="A58" s="3">
        <v>8</v>
      </c>
      <c r="B58" s="3" t="s">
        <v>142</v>
      </c>
      <c r="C58" s="3" t="str">
        <f>VLOOKUP(B58,'Data availability'!$A$2:$B$91,2,FALSE)</f>
        <v>Main campus</v>
      </c>
      <c r="D58" s="3">
        <f>VLOOKUP(B58,'Data availability'!$A$2:$G$91,7,FALSE)</f>
        <v>29182</v>
      </c>
      <c r="E58" s="3" t="str">
        <f>VLOOKUP(B58,'Data availability'!$A$2:$H$91,8,FALSE)</f>
        <v>Warehouse</v>
      </c>
      <c r="F58" s="165">
        <f>N$51*VLOOKUP($A58,'Campus Totals'!$A$36:$B$47,2,FALSE)</f>
        <v>10329.419342045489</v>
      </c>
      <c r="G58" s="167"/>
      <c r="H58" s="167"/>
      <c r="I58" s="167"/>
      <c r="J58" s="167"/>
      <c r="K58" s="167"/>
      <c r="L58" s="165"/>
      <c r="M58" s="165"/>
      <c r="N58" s="1"/>
      <c r="O58" s="1"/>
      <c r="P58" s="1"/>
      <c r="Q58" s="1"/>
      <c r="R58" s="1"/>
      <c r="S58" s="1"/>
      <c r="T58" s="1"/>
      <c r="U58" s="1"/>
    </row>
    <row r="59" spans="1:23" x14ac:dyDescent="0.3">
      <c r="A59" s="3">
        <v>9</v>
      </c>
      <c r="B59" s="3" t="s">
        <v>142</v>
      </c>
      <c r="C59" s="3" t="str">
        <f>VLOOKUP(B59,'Data availability'!$A$2:$B$91,2,FALSE)</f>
        <v>Main campus</v>
      </c>
      <c r="D59" s="3">
        <f>VLOOKUP(B59,'Data availability'!$A$2:$G$91,7,FALSE)</f>
        <v>29182</v>
      </c>
      <c r="E59" s="3" t="str">
        <f>VLOOKUP(B59,'Data availability'!$A$2:$H$91,8,FALSE)</f>
        <v>Warehouse</v>
      </c>
      <c r="F59" s="165">
        <f>N$51*VLOOKUP($A59,'Campus Totals'!$A$36:$B$47,2,FALSE)</f>
        <v>3025.6405389263246</v>
      </c>
      <c r="G59" s="167"/>
      <c r="H59" s="167"/>
      <c r="I59" s="167"/>
      <c r="J59" s="167"/>
      <c r="K59" s="167"/>
      <c r="L59" s="165"/>
      <c r="M59" s="165"/>
      <c r="N59" s="1"/>
      <c r="O59" s="1"/>
      <c r="P59" s="1"/>
      <c r="Q59" s="1"/>
      <c r="R59" s="1"/>
      <c r="S59" s="1"/>
      <c r="T59" s="1"/>
      <c r="U59" s="1"/>
    </row>
    <row r="60" spans="1:23" x14ac:dyDescent="0.3">
      <c r="A60" s="3">
        <v>10</v>
      </c>
      <c r="B60" s="3" t="s">
        <v>142</v>
      </c>
      <c r="C60" s="3" t="str">
        <f>VLOOKUP(B60,'Data availability'!$A$2:$B$91,2,FALSE)</f>
        <v>Main campus</v>
      </c>
      <c r="D60" s="3">
        <f>VLOOKUP(B60,'Data availability'!$A$2:$G$91,7,FALSE)</f>
        <v>29182</v>
      </c>
      <c r="E60" s="3" t="str">
        <f>VLOOKUP(B60,'Data availability'!$A$2:$H$91,8,FALSE)</f>
        <v>Warehouse</v>
      </c>
      <c r="F60" s="165">
        <f>N$51*VLOOKUP($A60,'Campus Totals'!$A$36:$B$47,2,FALSE)</f>
        <v>4539.4050723302616</v>
      </c>
      <c r="G60" s="167"/>
      <c r="H60" s="167"/>
      <c r="I60" s="167"/>
      <c r="J60" s="167"/>
      <c r="K60" s="167"/>
      <c r="L60" s="165"/>
      <c r="M60" s="165"/>
      <c r="N60" s="1"/>
      <c r="O60" s="1"/>
      <c r="P60" s="1"/>
      <c r="Q60" s="1"/>
      <c r="R60" s="1"/>
      <c r="S60" s="1"/>
      <c r="T60" s="1"/>
      <c r="U60" s="1"/>
    </row>
    <row r="61" spans="1:23" x14ac:dyDescent="0.3">
      <c r="A61" s="3">
        <v>11</v>
      </c>
      <c r="B61" s="3" t="s">
        <v>142</v>
      </c>
      <c r="C61" s="3" t="str">
        <f>VLOOKUP(B61,'Data availability'!$A$2:$B$91,2,FALSE)</f>
        <v>Main campus</v>
      </c>
      <c r="D61" s="3">
        <f>VLOOKUP(B61,'Data availability'!$A$2:$G$91,7,FALSE)</f>
        <v>29182</v>
      </c>
      <c r="E61" s="3" t="str">
        <f>VLOOKUP(B61,'Data availability'!$A$2:$H$91,8,FALSE)</f>
        <v>Warehouse</v>
      </c>
      <c r="F61" s="165">
        <f>N$51*VLOOKUP($A61,'Campus Totals'!$A$36:$B$47,2,FALSE)</f>
        <v>7420.7039796791678</v>
      </c>
      <c r="G61" s="167"/>
      <c r="H61" s="167"/>
      <c r="I61" s="167"/>
      <c r="J61" s="167"/>
      <c r="K61" s="167"/>
      <c r="L61" s="165"/>
      <c r="M61" s="165"/>
      <c r="N61" s="1"/>
      <c r="O61" s="1"/>
      <c r="P61" s="1"/>
      <c r="Q61" s="1"/>
      <c r="R61" s="1"/>
      <c r="S61" s="1"/>
      <c r="T61" s="1"/>
      <c r="U61" s="1"/>
    </row>
    <row r="62" spans="1:23" s="69" customFormat="1" x14ac:dyDescent="0.3">
      <c r="A62" s="64">
        <v>12</v>
      </c>
      <c r="B62" s="64" t="s">
        <v>142</v>
      </c>
      <c r="C62" s="64" t="str">
        <f>VLOOKUP(B62,'Data availability'!$A$2:$B$91,2,FALSE)</f>
        <v>Main campus</v>
      </c>
      <c r="D62" s="64">
        <f>VLOOKUP(B62,'Data availability'!$A$2:$G$91,7,FALSE)</f>
        <v>29182</v>
      </c>
      <c r="E62" s="64" t="str">
        <f>VLOOKUP(B62,'Data availability'!$A$2:$H$91,8,FALSE)</f>
        <v>Warehouse</v>
      </c>
      <c r="F62" s="165">
        <f>N$51*VLOOKUP($A62,'Campus Totals'!$A$36:$B$47,2,FALSE)</f>
        <v>5337.3264460664859</v>
      </c>
      <c r="G62" s="168"/>
      <c r="H62" s="168"/>
      <c r="I62" s="168"/>
      <c r="J62" s="168"/>
      <c r="K62" s="168"/>
      <c r="L62" s="166"/>
      <c r="M62" s="166"/>
      <c r="N62" s="66"/>
      <c r="O62" s="66"/>
      <c r="P62" s="66"/>
      <c r="Q62" s="66"/>
      <c r="R62" s="66"/>
      <c r="S62" s="66"/>
      <c r="T62" s="66"/>
      <c r="U62" s="66"/>
    </row>
    <row r="63" spans="1:23" x14ac:dyDescent="0.3">
      <c r="A63" s="3">
        <v>1</v>
      </c>
      <c r="B63" s="3" t="s">
        <v>407</v>
      </c>
      <c r="C63" s="3" t="str">
        <f>VLOOKUP(B63,'Data availability'!$A$2:$B$91,2,FALSE)</f>
        <v>Main campus</v>
      </c>
      <c r="D63" s="3">
        <f>VLOOKUP(B63,'Data availability'!$A$2:$G$91,7,FALSE)</f>
        <v>16496</v>
      </c>
      <c r="E63" s="3" t="str">
        <f>VLOOKUP(B63,'Data availability'!$A$2:$H$91,8,FALSE)</f>
        <v>Office</v>
      </c>
      <c r="F63" s="165">
        <f>N$63*VLOOKUP($A63,'Campus Totals'!$A$36:$B$47,2,FALSE)</f>
        <v>37588.44356201285</v>
      </c>
      <c r="G63" s="167"/>
      <c r="H63" s="170">
        <f>P$63*VLOOKUP(A63,'Campus Totals'!$A$36:$D$47,4,FALSE)</f>
        <v>19.694090326380149</v>
      </c>
      <c r="I63" s="170">
        <f>Q$63*VLOOKUP($A63,'Campus Totals'!$A$36:$E$47,5,FALSE)</f>
        <v>4434.5261508992389</v>
      </c>
      <c r="J63" s="165">
        <f>INDEX('BPD vs SJSU EUIs'!$J$4:$J$17, MATCH($E63, 'BPD vs SJSU EUIs'!$A$4:$A$17, 0))*D63</f>
        <v>592530.32908655657</v>
      </c>
      <c r="K63" s="167"/>
      <c r="L63" s="165">
        <f>INDEX('BPD vs SJSU EUIs'!$P$4:$P$17, MATCH($E63, 'BPD vs SJSU EUIs'!$A$4:$A$17, 0))*D63</f>
        <v>333447.04206041578</v>
      </c>
      <c r="M63" s="165">
        <f>INDEX('BPD vs SJSU EUIs'!$S$4:$S$17, MATCH($E63, 'BPD vs SJSU EUIs'!$A$4:$A$17, 0))*$D63</f>
        <v>226112.82528891301</v>
      </c>
      <c r="N63" s="1">
        <f>$J63/SUM($J$4:$J$124)</f>
        <v>0.1714944970629487</v>
      </c>
      <c r="O63" s="1"/>
      <c r="P63" s="1">
        <f>$L63/SUM($L$3:$L$135)</f>
        <v>6.6355628685601048E-2</v>
      </c>
      <c r="Q63" s="1">
        <f>$M63/SUM($M$3:$M$123)</f>
        <v>5.3088986829290814E-2</v>
      </c>
      <c r="R63" s="1">
        <f>SUM(F63:F74)*3.412/D63</f>
        <v>60.774309843378695</v>
      </c>
      <c r="S63" s="1">
        <f>SUM(H63:H74)*100/D63</f>
        <v>132.06050780239912</v>
      </c>
      <c r="T63" s="1">
        <f>SUM(I63:I74)*12/D63</f>
        <v>49.940121009590179</v>
      </c>
      <c r="U63" s="1">
        <f>SUM(R63:T63)</f>
        <v>242.77493865536798</v>
      </c>
      <c r="W63" s="194">
        <f>L63/100-SUM(H63:H74)</f>
        <v>-18450.230946479605</v>
      </c>
    </row>
    <row r="64" spans="1:23" x14ac:dyDescent="0.3">
      <c r="A64" s="3">
        <v>2</v>
      </c>
      <c r="B64" s="3" t="s">
        <v>407</v>
      </c>
      <c r="C64" s="3" t="str">
        <f>VLOOKUP(B64,'Data availability'!$A$2:$B$91,2,FALSE)</f>
        <v>Main campus</v>
      </c>
      <c r="D64" s="3">
        <f>VLOOKUP(B64,'Data availability'!$A$2:$G$91,7,FALSE)</f>
        <v>16496</v>
      </c>
      <c r="E64" s="3" t="str">
        <f>VLOOKUP(B64,'Data availability'!$A$2:$H$91,8,FALSE)</f>
        <v>Office</v>
      </c>
      <c r="F64" s="165">
        <f>N$63*VLOOKUP($A64,'Campus Totals'!$A$36:$B$47,2,FALSE)</f>
        <v>58289.785338544098</v>
      </c>
      <c r="G64" s="167"/>
      <c r="H64" s="170">
        <f>P$63*VLOOKUP(A64,'Campus Totals'!$A$36:$D$47,4,FALSE)</f>
        <v>1302.5166079000212</v>
      </c>
      <c r="I64" s="170">
        <f>Q$63*VLOOKUP($A64,'Campus Totals'!$A$36:$E$47,5,FALSE)</f>
        <v>2817.1919757938103</v>
      </c>
      <c r="J64" s="167"/>
      <c r="K64" s="167"/>
      <c r="L64" s="165"/>
      <c r="M64" s="165"/>
      <c r="N64" s="1"/>
      <c r="O64" s="1"/>
      <c r="P64" s="1"/>
      <c r="Q64" s="1"/>
      <c r="R64" s="1"/>
      <c r="S64" s="1"/>
      <c r="T64" s="1"/>
      <c r="U64" s="1"/>
    </row>
    <row r="65" spans="1:23" x14ac:dyDescent="0.3">
      <c r="A65" s="3">
        <v>3</v>
      </c>
      <c r="B65" s="3" t="s">
        <v>407</v>
      </c>
      <c r="C65" s="3" t="str">
        <f>VLOOKUP(B65,'Data availability'!$A$2:$B$91,2,FALSE)</f>
        <v>Main campus</v>
      </c>
      <c r="D65" s="3">
        <f>VLOOKUP(B65,'Data availability'!$A$2:$G$91,7,FALSE)</f>
        <v>16496</v>
      </c>
      <c r="E65" s="3" t="str">
        <f>VLOOKUP(B65,'Data availability'!$A$2:$H$91,8,FALSE)</f>
        <v>Office</v>
      </c>
      <c r="F65" s="165">
        <f>N$63*VLOOKUP($A65,'Campus Totals'!$A$36:$B$47,2,FALSE)</f>
        <v>45747.442937133666</v>
      </c>
      <c r="G65" s="167"/>
      <c r="H65" s="170">
        <f>P$63*VLOOKUP(A65,'Campus Totals'!$A$36:$D$47,4,FALSE)</f>
        <v>2410.7440147460284</v>
      </c>
      <c r="I65" s="170">
        <f>Q$63*VLOOKUP($A65,'Campus Totals'!$A$36:$E$47,5,FALSE)</f>
        <v>3365.6883793506668</v>
      </c>
      <c r="J65" s="167"/>
      <c r="K65" s="167"/>
      <c r="L65" s="165"/>
      <c r="M65" s="165"/>
      <c r="N65" s="1"/>
      <c r="O65" s="1"/>
      <c r="P65" s="1"/>
      <c r="Q65" s="1"/>
      <c r="R65" s="1"/>
      <c r="S65" s="1"/>
      <c r="T65" s="1"/>
      <c r="U65" s="1"/>
    </row>
    <row r="66" spans="1:23" x14ac:dyDescent="0.3">
      <c r="A66" s="3">
        <v>4</v>
      </c>
      <c r="B66" s="3" t="s">
        <v>407</v>
      </c>
      <c r="C66" s="3" t="str">
        <f>VLOOKUP(B66,'Data availability'!$A$2:$B$91,2,FALSE)</f>
        <v>Main campus</v>
      </c>
      <c r="D66" s="3">
        <f>VLOOKUP(B66,'Data availability'!$A$2:$G$91,7,FALSE)</f>
        <v>16496</v>
      </c>
      <c r="E66" s="3" t="str">
        <f>VLOOKUP(B66,'Data availability'!$A$2:$H$91,8,FALSE)</f>
        <v>Office</v>
      </c>
      <c r="F66" s="165">
        <f>N$63*VLOOKUP($A66,'Campus Totals'!$A$36:$B$47,2,FALSE)</f>
        <v>17618.512395313715</v>
      </c>
      <c r="G66" s="167"/>
      <c r="H66" s="170">
        <f>P$63*VLOOKUP(A66,'Campus Totals'!$A$36:$D$47,4,FALSE)</f>
        <v>1796.5168147632503</v>
      </c>
      <c r="I66" s="170">
        <f>Q$63*VLOOKUP($A66,'Campus Totals'!$A$36:$E$47,5,FALSE)</f>
        <v>8392.6355346848304</v>
      </c>
      <c r="J66" s="167"/>
      <c r="K66" s="167"/>
      <c r="L66" s="165"/>
      <c r="M66" s="165"/>
      <c r="N66" s="1"/>
      <c r="O66" s="1"/>
      <c r="P66" s="1"/>
      <c r="Q66" s="1"/>
      <c r="R66" s="1"/>
      <c r="S66" s="1"/>
      <c r="T66" s="1"/>
      <c r="U66" s="1"/>
    </row>
    <row r="67" spans="1:23" x14ac:dyDescent="0.3">
      <c r="A67" s="3">
        <v>5</v>
      </c>
      <c r="B67" s="3" t="s">
        <v>407</v>
      </c>
      <c r="C67" s="3" t="str">
        <f>VLOOKUP(B67,'Data availability'!$A$2:$B$91,2,FALSE)</f>
        <v>Main campus</v>
      </c>
      <c r="D67" s="3">
        <f>VLOOKUP(B67,'Data availability'!$A$2:$G$91,7,FALSE)</f>
        <v>16496</v>
      </c>
      <c r="E67" s="3" t="str">
        <f>VLOOKUP(B67,'Data availability'!$A$2:$H$91,8,FALSE)</f>
        <v>Office</v>
      </c>
      <c r="F67" s="165">
        <f>N$63*VLOOKUP($A67,'Campus Totals'!$A$36:$B$47,2,FALSE)</f>
        <v>31774.045747272397</v>
      </c>
      <c r="G67" s="167"/>
      <c r="H67" s="170">
        <f>P$63*VLOOKUP(A67,'Campus Totals'!$A$36:$D$47,4,FALSE)</f>
        <v>3664.6065291474583</v>
      </c>
      <c r="I67" s="170">
        <f>Q$63*VLOOKUP($A67,'Campus Totals'!$A$36:$E$47,5,FALSE)</f>
        <v>6503.0583762161514</v>
      </c>
      <c r="J67" s="167"/>
      <c r="K67" s="167"/>
      <c r="L67" s="165"/>
      <c r="M67" s="165"/>
      <c r="N67" s="1"/>
      <c r="O67" s="1"/>
      <c r="P67" s="1"/>
      <c r="Q67" s="1"/>
      <c r="R67" s="1"/>
      <c r="S67" s="1"/>
      <c r="T67" s="1"/>
      <c r="U67" s="1"/>
    </row>
    <row r="68" spans="1:23" x14ac:dyDescent="0.3">
      <c r="A68" s="3">
        <v>6</v>
      </c>
      <c r="B68" s="3" t="s">
        <v>407</v>
      </c>
      <c r="C68" s="3" t="str">
        <f>VLOOKUP(B68,'Data availability'!$A$2:$B$91,2,FALSE)</f>
        <v>Main campus</v>
      </c>
      <c r="D68" s="3">
        <f>VLOOKUP(B68,'Data availability'!$A$2:$G$91,7,FALSE)</f>
        <v>16496</v>
      </c>
      <c r="E68" s="3" t="str">
        <f>VLOOKUP(B68,'Data availability'!$A$2:$H$91,8,FALSE)</f>
        <v>Office</v>
      </c>
      <c r="F68" s="165">
        <f>N$63*VLOOKUP($A68,'Campus Totals'!$A$36:$B$47,2,FALSE)</f>
        <v>25158.997182164683</v>
      </c>
      <c r="G68" s="167"/>
      <c r="H68" s="170">
        <f>P$63*VLOOKUP(A68,'Campus Totals'!$A$36:$D$47,4,FALSE)</f>
        <v>2928.6536651861184</v>
      </c>
      <c r="I68" s="170">
        <f>Q$63*VLOOKUP($A68,'Campus Totals'!$A$36:$E$47,5,FALSE)</f>
        <v>3667.9158947667966</v>
      </c>
      <c r="J68" s="167"/>
      <c r="K68" s="167"/>
      <c r="L68" s="165"/>
      <c r="M68" s="165"/>
      <c r="N68" s="1"/>
      <c r="O68" s="1"/>
      <c r="P68" s="1"/>
      <c r="Q68" s="1"/>
      <c r="R68" s="1"/>
      <c r="S68" s="1"/>
      <c r="T68" s="1"/>
      <c r="U68" s="1"/>
    </row>
    <row r="69" spans="1:23" x14ac:dyDescent="0.3">
      <c r="A69" s="3">
        <v>7</v>
      </c>
      <c r="B69" s="3" t="s">
        <v>407</v>
      </c>
      <c r="C69" s="3" t="str">
        <f>VLOOKUP(B69,'Data availability'!$A$2:$B$91,2,FALSE)</f>
        <v>Main campus</v>
      </c>
      <c r="D69" s="3">
        <f>VLOOKUP(B69,'Data availability'!$A$2:$G$91,7,FALSE)</f>
        <v>16496</v>
      </c>
      <c r="E69" s="3" t="str">
        <f>VLOOKUP(B69,'Data availability'!$A$2:$H$91,8,FALSE)</f>
        <v>Office</v>
      </c>
      <c r="F69" s="165">
        <f>N$63*VLOOKUP($A69,'Campus Totals'!$A$36:$B$47,2,FALSE)</f>
        <v>8494.1455673090422</v>
      </c>
      <c r="G69" s="167"/>
      <c r="H69" s="170">
        <f>P$63*VLOOKUP(A69,'Campus Totals'!$A$36:$D$47,4,FALSE)</f>
        <v>2265.2924998534468</v>
      </c>
      <c r="I69" s="170">
        <f>Q$63*VLOOKUP($A69,'Campus Totals'!$A$36:$E$47,5,FALSE)</f>
        <v>10687.546202066522</v>
      </c>
      <c r="J69" s="167"/>
      <c r="K69" s="167"/>
      <c r="L69" s="165"/>
      <c r="M69" s="165"/>
      <c r="N69" s="1"/>
      <c r="O69" s="1"/>
      <c r="P69" s="1"/>
      <c r="Q69" s="1"/>
      <c r="R69" s="1"/>
      <c r="S69" s="1"/>
      <c r="T69" s="1"/>
      <c r="U69" s="1"/>
    </row>
    <row r="70" spans="1:23" x14ac:dyDescent="0.3">
      <c r="A70" s="3">
        <v>8</v>
      </c>
      <c r="B70" s="3" t="s">
        <v>407</v>
      </c>
      <c r="C70" s="3" t="str">
        <f>VLOOKUP(B70,'Data availability'!$A$2:$B$91,2,FALSE)</f>
        <v>Main campus</v>
      </c>
      <c r="D70" s="3">
        <f>VLOOKUP(B70,'Data availability'!$A$2:$G$91,7,FALSE)</f>
        <v>16496</v>
      </c>
      <c r="E70" s="3" t="str">
        <f>VLOOKUP(B70,'Data availability'!$A$2:$H$91,8,FALSE)</f>
        <v>Office</v>
      </c>
      <c r="F70" s="165">
        <f>N$63*VLOOKUP($A70,'Campus Totals'!$A$36:$B$47,2,FALSE)</f>
        <v>23303.917338752413</v>
      </c>
      <c r="G70" s="167"/>
      <c r="H70" s="170">
        <f>P$63*VLOOKUP(A70,'Campus Totals'!$A$36:$D$47,4,FALSE)</f>
        <v>2796.5590428010828</v>
      </c>
      <c r="I70" s="170">
        <f>Q$63*VLOOKUP($A70,'Campus Totals'!$A$36:$E$47,5,FALSE)</f>
        <v>-1068.261615727652</v>
      </c>
      <c r="J70" s="167"/>
      <c r="K70" s="167"/>
      <c r="L70" s="165"/>
      <c r="M70" s="165"/>
      <c r="N70" s="1"/>
      <c r="O70" s="1"/>
      <c r="P70" s="1"/>
      <c r="Q70" s="1"/>
      <c r="R70" s="1"/>
      <c r="S70" s="1"/>
      <c r="T70" s="1"/>
      <c r="U70" s="1"/>
    </row>
    <row r="71" spans="1:23" x14ac:dyDescent="0.3">
      <c r="A71" s="3">
        <v>9</v>
      </c>
      <c r="B71" s="3" t="s">
        <v>407</v>
      </c>
      <c r="C71" s="3" t="str">
        <f>VLOOKUP(B71,'Data availability'!$A$2:$B$91,2,FALSE)</f>
        <v>Main campus</v>
      </c>
      <c r="D71" s="3">
        <f>VLOOKUP(B71,'Data availability'!$A$2:$G$91,7,FALSE)</f>
        <v>16496</v>
      </c>
      <c r="E71" s="3" t="str">
        <f>VLOOKUP(B71,'Data availability'!$A$2:$H$91,8,FALSE)</f>
        <v>Office</v>
      </c>
      <c r="F71" s="165">
        <f>N$63*VLOOKUP($A71,'Campus Totals'!$A$36:$B$47,2,FALSE)</f>
        <v>6826.0639520086261</v>
      </c>
      <c r="G71" s="167"/>
      <c r="H71" s="170">
        <f>P$63*VLOOKUP(A71,'Campus Totals'!$A$36:$D$47,4,FALSE)</f>
        <v>1917.8387840921826</v>
      </c>
      <c r="I71" s="170">
        <f>Q$63*VLOOKUP($A71,'Campus Totals'!$A$36:$E$47,5,FALSE)</f>
        <v>7877.6988969417771</v>
      </c>
      <c r="J71" s="167"/>
      <c r="K71" s="167"/>
      <c r="L71" s="165"/>
      <c r="M71" s="165"/>
      <c r="N71" s="1"/>
      <c r="O71" s="1"/>
      <c r="P71" s="1"/>
      <c r="Q71" s="1"/>
      <c r="R71" s="1"/>
      <c r="S71" s="1"/>
      <c r="T71" s="1"/>
      <c r="U71" s="1"/>
    </row>
    <row r="72" spans="1:23" x14ac:dyDescent="0.3">
      <c r="A72" s="3">
        <v>10</v>
      </c>
      <c r="B72" s="3" t="s">
        <v>407</v>
      </c>
      <c r="C72" s="3" t="str">
        <f>VLOOKUP(B72,'Data availability'!$A$2:$B$91,2,FALSE)</f>
        <v>Main campus</v>
      </c>
      <c r="D72" s="3">
        <f>VLOOKUP(B72,'Data availability'!$A$2:$G$91,7,FALSE)</f>
        <v>16496</v>
      </c>
      <c r="E72" s="3" t="str">
        <f>VLOOKUP(B72,'Data availability'!$A$2:$H$91,8,FALSE)</f>
        <v>Office</v>
      </c>
      <c r="F72" s="165">
        <f>N$63*VLOOKUP($A72,'Campus Totals'!$A$36:$B$47,2,FALSE)</f>
        <v>10241.226255778045</v>
      </c>
      <c r="G72" s="167"/>
      <c r="H72" s="170">
        <f>P$63*VLOOKUP(A72,'Campus Totals'!$A$36:$D$47,4,FALSE)</f>
        <v>1019.1309961919274</v>
      </c>
      <c r="I72" s="170">
        <f>Q$63*VLOOKUP($A72,'Campus Totals'!$A$36:$E$47,5,FALSE)</f>
        <v>8116.6771637553802</v>
      </c>
      <c r="J72" s="167"/>
      <c r="K72" s="167"/>
      <c r="L72" s="165"/>
      <c r="M72" s="165"/>
      <c r="N72" s="1"/>
      <c r="O72" s="1"/>
      <c r="P72" s="1"/>
      <c r="Q72" s="1"/>
      <c r="R72" s="1"/>
      <c r="S72" s="1"/>
      <c r="T72" s="1"/>
      <c r="U72" s="1"/>
    </row>
    <row r="73" spans="1:23" x14ac:dyDescent="0.3">
      <c r="A73" s="3">
        <v>11</v>
      </c>
      <c r="B73" s="3" t="s">
        <v>407</v>
      </c>
      <c r="C73" s="3" t="str">
        <f>VLOOKUP(B73,'Data availability'!$A$2:$B$91,2,FALSE)</f>
        <v>Main campus</v>
      </c>
      <c r="D73" s="3">
        <f>VLOOKUP(B73,'Data availability'!$A$2:$G$91,7,FALSE)</f>
        <v>16496</v>
      </c>
      <c r="E73" s="3" t="str">
        <f>VLOOKUP(B73,'Data availability'!$A$2:$H$91,8,FALSE)</f>
        <v>Office</v>
      </c>
      <c r="F73" s="165">
        <f>N$63*VLOOKUP($A73,'Campus Totals'!$A$36:$B$47,2,FALSE)</f>
        <v>16741.64504425566</v>
      </c>
      <c r="G73" s="167"/>
      <c r="H73" s="170">
        <f>P$63*VLOOKUP(A73,'Campus Totals'!$A$36:$D$47,4,FALSE)</f>
        <v>815.11296376349947</v>
      </c>
      <c r="I73" s="170">
        <f>Q$63*VLOOKUP($A73,'Campus Totals'!$A$36:$E$47,5,FALSE)</f>
        <v>7725.6925407973431</v>
      </c>
      <c r="J73" s="167"/>
      <c r="K73" s="167"/>
      <c r="L73" s="165"/>
      <c r="M73" s="165"/>
      <c r="N73" s="1"/>
      <c r="O73" s="1"/>
      <c r="P73" s="1"/>
      <c r="Q73" s="1"/>
      <c r="R73" s="1"/>
      <c r="S73" s="1"/>
      <c r="T73" s="1"/>
      <c r="U73" s="1"/>
    </row>
    <row r="74" spans="1:23" s="69" customFormat="1" x14ac:dyDescent="0.3">
      <c r="A74" s="64">
        <v>12</v>
      </c>
      <c r="B74" s="64" t="s">
        <v>407</v>
      </c>
      <c r="C74" s="64" t="str">
        <f>VLOOKUP(B74,'Data availability'!$A$2:$B$91,2,FALSE)</f>
        <v>Main campus</v>
      </c>
      <c r="D74" s="64">
        <f>VLOOKUP(B74,'Data availability'!$A$2:$G$91,7,FALSE)</f>
        <v>16496</v>
      </c>
      <c r="E74" s="64" t="str">
        <f>VLOOKUP(B74,'Data availability'!$A$2:$H$91,8,FALSE)</f>
        <v>Office</v>
      </c>
      <c r="F74" s="165">
        <f>N$63*VLOOKUP($A74,'Campus Totals'!$A$36:$B$47,2,FALSE)</f>
        <v>12041.394602190683</v>
      </c>
      <c r="G74" s="168"/>
      <c r="H74" s="170">
        <f>P$63*VLOOKUP(A74,'Campus Totals'!$A$36:$D$47,4,FALSE)</f>
        <v>848.03535831236502</v>
      </c>
      <c r="I74" s="170">
        <f>Q$63*VLOOKUP($A74,'Campus Totals'!$A$36:$E$47,5,FALSE)</f>
        <v>6130.6501816384325</v>
      </c>
      <c r="J74" s="168"/>
      <c r="K74" s="168"/>
      <c r="L74" s="166"/>
      <c r="M74" s="165"/>
      <c r="N74" s="66"/>
      <c r="O74" s="66"/>
      <c r="P74" s="66"/>
      <c r="Q74" s="66"/>
      <c r="R74" s="66"/>
      <c r="S74" s="66"/>
      <c r="T74" s="66"/>
      <c r="U74" s="66"/>
    </row>
    <row r="75" spans="1:23" x14ac:dyDescent="0.3">
      <c r="A75" s="3">
        <v>1</v>
      </c>
      <c r="B75" s="3" t="s">
        <v>412</v>
      </c>
      <c r="C75" s="3" t="str">
        <f>VLOOKUP(B75,'Data availability'!$A$2:$B$91,2,FALSE)</f>
        <v>Main campus</v>
      </c>
      <c r="D75" s="3">
        <f>VLOOKUP(B75,'Data availability'!$A$2:$G$91,7,FALSE)</f>
        <v>8545</v>
      </c>
      <c r="E75" s="3" t="str">
        <f>VLOOKUP(B75,'Data availability'!$A$2:$H$91,8,FALSE)</f>
        <v>Auditorium</v>
      </c>
      <c r="F75" s="165">
        <f>N$75*VLOOKUP($A75,'Campus Totals'!$A$36:$B$47,2,FALSE)</f>
        <v>18430.399208267903</v>
      </c>
      <c r="G75" s="167"/>
      <c r="H75" s="170">
        <f>P$75*VLOOKUP(A75,'Campus Totals'!$A$36:$D$47,4,FALSE)</f>
        <v>10.093716879241494</v>
      </c>
      <c r="I75" s="170">
        <f>Q$75*VLOOKUP($A75,'Campus Totals'!$A$36:$E$47,5,FALSE)</f>
        <v>5027.5378114023342</v>
      </c>
      <c r="J75" s="165">
        <f>INDEX('BPD vs SJSU EUIs'!$J$4:$J$17, MATCH($E75, 'BPD vs SJSU EUIs'!$A$4:$A$17, 0))*D75</f>
        <v>290530</v>
      </c>
      <c r="K75" s="167"/>
      <c r="L75" s="165">
        <f>INDEX('BPD vs SJSU EUIs'!$P$4:$P$17, MATCH($E75, 'BPD vs SJSU EUIs'!$A$4:$A$17, 0))*D75</f>
        <v>170900</v>
      </c>
      <c r="M75" s="165">
        <f>INDEX('BPD vs SJSU EUIs'!$S$4:$S$17, MATCH($E75, 'BPD vs SJSU EUIs'!$A$4:$A$17, 0))*$D75</f>
        <v>256350</v>
      </c>
      <c r="N75" s="1">
        <f>$J75/SUM($J$4:$J$124)</f>
        <v>8.4087334919222628E-2</v>
      </c>
      <c r="O75" s="1"/>
      <c r="P75" s="1">
        <f>$L75/SUM($L$3:$L$135)</f>
        <v>3.4008929490862129E-2</v>
      </c>
      <c r="Q75" s="1">
        <f>$M75/SUM($M$3:$M$123)</f>
        <v>6.0188367273282702E-2</v>
      </c>
      <c r="R75" s="1">
        <f>SUM(F75:F86)*3.412/D75</f>
        <v>57.526376022884477</v>
      </c>
      <c r="S75" s="1">
        <f>SUM(H75:H86)*100/D75</f>
        <v>130.66363541552533</v>
      </c>
      <c r="T75" s="1">
        <f>SUM(I75:I86)*12/D75</f>
        <v>109.30104054755627</v>
      </c>
      <c r="U75" s="1">
        <f>SUM(R75:T75)</f>
        <v>297.49105198596607</v>
      </c>
      <c r="W75" s="194">
        <f>L75/100-SUM(H75:H86)</f>
        <v>-9456.2076462566401</v>
      </c>
    </row>
    <row r="76" spans="1:23" x14ac:dyDescent="0.3">
      <c r="A76" s="3">
        <v>2</v>
      </c>
      <c r="B76" s="3" t="s">
        <v>412</v>
      </c>
      <c r="C76" s="3" t="str">
        <f>VLOOKUP(B76,'Data availability'!$A$2:$B$91,2,FALSE)</f>
        <v>Main campus</v>
      </c>
      <c r="D76" s="3">
        <f>VLOOKUP(B76,'Data availability'!$A$2:$G$91,7,FALSE)</f>
        <v>8545</v>
      </c>
      <c r="E76" s="3" t="str">
        <f>VLOOKUP(B76,'Data availability'!$A$2:$H$91,8,FALSE)</f>
        <v>Auditorium</v>
      </c>
      <c r="F76" s="165">
        <f>N$75*VLOOKUP($A76,'Campus Totals'!$A$36:$B$47,2,FALSE)</f>
        <v>28580.699591384746</v>
      </c>
      <c r="G76" s="167"/>
      <c r="H76" s="170">
        <f>P$75*VLOOKUP(A76,'Campus Totals'!$A$36:$D$47,4,FALSE)</f>
        <v>667.57253839961095</v>
      </c>
      <c r="I76" s="170">
        <f>Q$75*VLOOKUP($A76,'Campus Totals'!$A$36:$E$47,5,FALSE)</f>
        <v>3193.9239274551419</v>
      </c>
      <c r="J76" s="167"/>
      <c r="K76" s="167"/>
      <c r="L76" s="165"/>
      <c r="M76" s="165"/>
      <c r="N76" s="1"/>
      <c r="O76" s="1"/>
      <c r="P76" s="1"/>
      <c r="Q76" s="1"/>
      <c r="R76" s="1"/>
      <c r="S76" s="1"/>
      <c r="T76" s="1"/>
      <c r="U76" s="1"/>
    </row>
    <row r="77" spans="1:23" x14ac:dyDescent="0.3">
      <c r="A77" s="3">
        <v>3</v>
      </c>
      <c r="B77" s="3" t="s">
        <v>412</v>
      </c>
      <c r="C77" s="3" t="str">
        <f>VLOOKUP(B77,'Data availability'!$A$2:$B$91,2,FALSE)</f>
        <v>Main campus</v>
      </c>
      <c r="D77" s="3">
        <f>VLOOKUP(B77,'Data availability'!$A$2:$G$91,7,FALSE)</f>
        <v>8545</v>
      </c>
      <c r="E77" s="3" t="str">
        <f>VLOOKUP(B77,'Data availability'!$A$2:$H$91,8,FALSE)</f>
        <v>Auditorium</v>
      </c>
      <c r="F77" s="165">
        <f>N$75*VLOOKUP($A77,'Campus Totals'!$A$36:$B$47,2,FALSE)</f>
        <v>22430.927066661425</v>
      </c>
      <c r="G77" s="167"/>
      <c r="H77" s="170">
        <f>P$75*VLOOKUP(A77,'Campus Totals'!$A$36:$D$47,4,FALSE)</f>
        <v>1235.5669721174149</v>
      </c>
      <c r="I77" s="170">
        <f>Q$75*VLOOKUP($A77,'Campus Totals'!$A$36:$E$47,5,FALSE)</f>
        <v>3815.7685878459938</v>
      </c>
      <c r="J77" s="167"/>
      <c r="K77" s="167"/>
      <c r="L77" s="165"/>
      <c r="M77" s="165"/>
      <c r="N77" s="1"/>
      <c r="O77" s="1"/>
      <c r="P77" s="1"/>
      <c r="Q77" s="1"/>
      <c r="R77" s="1"/>
      <c r="S77" s="1"/>
      <c r="T77" s="1"/>
      <c r="U77" s="1"/>
    </row>
    <row r="78" spans="1:23" x14ac:dyDescent="0.3">
      <c r="A78" s="3">
        <v>4</v>
      </c>
      <c r="B78" s="3" t="s">
        <v>412</v>
      </c>
      <c r="C78" s="3" t="str">
        <f>VLOOKUP(B78,'Data availability'!$A$2:$B$91,2,FALSE)</f>
        <v>Main campus</v>
      </c>
      <c r="D78" s="3">
        <f>VLOOKUP(B78,'Data availability'!$A$2:$G$91,7,FALSE)</f>
        <v>8545</v>
      </c>
      <c r="E78" s="3" t="str">
        <f>VLOOKUP(B78,'Data availability'!$A$2:$H$91,8,FALSE)</f>
        <v>Auditorium</v>
      </c>
      <c r="F78" s="165">
        <f>N$75*VLOOKUP($A78,'Campus Totals'!$A$36:$B$47,2,FALSE)</f>
        <v>8638.7247284058521</v>
      </c>
      <c r="G78" s="167"/>
      <c r="H78" s="170">
        <f>P$75*VLOOKUP(A78,'Campus Totals'!$A$36:$D$47,4,FALSE)</f>
        <v>920.76007556069737</v>
      </c>
      <c r="I78" s="170">
        <f>Q$75*VLOOKUP($A78,'Campus Totals'!$A$36:$E$47,5,FALSE)</f>
        <v>9514.9495238382151</v>
      </c>
      <c r="J78" s="167"/>
      <c r="K78" s="167"/>
      <c r="L78" s="165"/>
      <c r="M78" s="165"/>
      <c r="N78" s="1"/>
      <c r="O78" s="1"/>
      <c r="P78" s="1"/>
      <c r="Q78" s="1"/>
      <c r="R78" s="1"/>
      <c r="S78" s="1"/>
      <c r="T78" s="1"/>
      <c r="U78" s="1"/>
    </row>
    <row r="79" spans="1:23" x14ac:dyDescent="0.3">
      <c r="A79" s="3">
        <v>5</v>
      </c>
      <c r="B79" s="3" t="s">
        <v>412</v>
      </c>
      <c r="C79" s="3" t="str">
        <f>VLOOKUP(B79,'Data availability'!$A$2:$B$91,2,FALSE)</f>
        <v>Main campus</v>
      </c>
      <c r="D79" s="3">
        <f>VLOOKUP(B79,'Data availability'!$A$2:$G$91,7,FALSE)</f>
        <v>8545</v>
      </c>
      <c r="E79" s="3" t="str">
        <f>VLOOKUP(B79,'Data availability'!$A$2:$H$91,8,FALSE)</f>
        <v>Auditorium</v>
      </c>
      <c r="F79" s="165">
        <f>N$75*VLOOKUP($A79,'Campus Totals'!$A$36:$B$47,2,FALSE)</f>
        <v>15579.47848034382</v>
      </c>
      <c r="G79" s="167"/>
      <c r="H79" s="170">
        <f>P$75*VLOOKUP(A79,'Campus Totals'!$A$36:$D$47,4,FALSE)</f>
        <v>1878.2030632553265</v>
      </c>
      <c r="I79" s="170">
        <f>Q$75*VLOOKUP($A79,'Campus Totals'!$A$36:$E$47,5,FALSE)</f>
        <v>7372.686678046437</v>
      </c>
      <c r="J79" s="167"/>
      <c r="K79" s="167"/>
      <c r="L79" s="165"/>
      <c r="M79" s="165"/>
      <c r="N79" s="1"/>
      <c r="O79" s="1"/>
      <c r="P79" s="1"/>
      <c r="Q79" s="1"/>
      <c r="R79" s="1"/>
      <c r="S79" s="1"/>
      <c r="T79" s="1"/>
      <c r="U79" s="1"/>
    </row>
    <row r="80" spans="1:23" x14ac:dyDescent="0.3">
      <c r="A80" s="3">
        <v>6</v>
      </c>
      <c r="B80" s="3" t="s">
        <v>412</v>
      </c>
      <c r="C80" s="3" t="str">
        <f>VLOOKUP(B80,'Data availability'!$A$2:$B$91,2,FALSE)</f>
        <v>Main campus</v>
      </c>
      <c r="D80" s="3">
        <f>VLOOKUP(B80,'Data availability'!$A$2:$G$91,7,FALSE)</f>
        <v>8545</v>
      </c>
      <c r="E80" s="3" t="str">
        <f>VLOOKUP(B80,'Data availability'!$A$2:$H$91,8,FALSE)</f>
        <v>Auditorium</v>
      </c>
      <c r="F80" s="165">
        <f>N$75*VLOOKUP($A80,'Campus Totals'!$A$36:$B$47,2,FALSE)</f>
        <v>12335.981961636506</v>
      </c>
      <c r="G80" s="167"/>
      <c r="H80" s="170">
        <f>P$75*VLOOKUP(A80,'Campus Totals'!$A$36:$D$47,4,FALSE)</f>
        <v>1501.0087007748084</v>
      </c>
      <c r="I80" s="170">
        <f>Q$75*VLOOKUP($A80,'Campus Totals'!$A$36:$E$47,5,FALSE)</f>
        <v>4158.4117947402983</v>
      </c>
      <c r="J80" s="167"/>
      <c r="K80" s="167"/>
      <c r="L80" s="165"/>
      <c r="M80" s="165"/>
      <c r="N80" s="1"/>
      <c r="O80" s="1"/>
      <c r="P80" s="1"/>
      <c r="Q80" s="1"/>
      <c r="R80" s="1"/>
      <c r="S80" s="1"/>
      <c r="T80" s="1"/>
      <c r="U80" s="1"/>
    </row>
    <row r="81" spans="1:23" x14ac:dyDescent="0.3">
      <c r="A81" s="3">
        <v>7</v>
      </c>
      <c r="B81" s="3" t="s">
        <v>412</v>
      </c>
      <c r="C81" s="3" t="str">
        <f>VLOOKUP(B81,'Data availability'!$A$2:$B$91,2,FALSE)</f>
        <v>Main campus</v>
      </c>
      <c r="D81" s="3">
        <f>VLOOKUP(B81,'Data availability'!$A$2:$G$91,7,FALSE)</f>
        <v>8545</v>
      </c>
      <c r="E81" s="3" t="str">
        <f>VLOOKUP(B81,'Data availability'!$A$2:$H$91,8,FALSE)</f>
        <v>Auditorium</v>
      </c>
      <c r="F81" s="165">
        <f>N$75*VLOOKUP($A81,'Campus Totals'!$A$36:$B$47,2,FALSE)</f>
        <v>4164.8570385834209</v>
      </c>
      <c r="G81" s="167"/>
      <c r="H81" s="170">
        <f>P$75*VLOOKUP(A81,'Campus Totals'!$A$36:$D$47,4,FALSE)</f>
        <v>1161.0194105569847</v>
      </c>
      <c r="I81" s="170">
        <f>Q$75*VLOOKUP($A81,'Campus Totals'!$A$36:$E$47,5,FALSE)</f>
        <v>12116.749527140119</v>
      </c>
      <c r="J81" s="167"/>
      <c r="K81" s="167"/>
      <c r="L81" s="165"/>
      <c r="M81" s="165"/>
      <c r="N81" s="1"/>
      <c r="O81" s="1"/>
      <c r="P81" s="1"/>
      <c r="Q81" s="1"/>
      <c r="R81" s="1"/>
      <c r="S81" s="1"/>
      <c r="T81" s="1"/>
      <c r="U81" s="1"/>
    </row>
    <row r="82" spans="1:23" x14ac:dyDescent="0.3">
      <c r="A82" s="3">
        <v>8</v>
      </c>
      <c r="B82" s="3" t="s">
        <v>412</v>
      </c>
      <c r="C82" s="3" t="str">
        <f>VLOOKUP(B82,'Data availability'!$A$2:$B$91,2,FALSE)</f>
        <v>Main campus</v>
      </c>
      <c r="D82" s="3">
        <f>VLOOKUP(B82,'Data availability'!$A$2:$G$91,7,FALSE)</f>
        <v>8545</v>
      </c>
      <c r="E82" s="3" t="str">
        <f>VLOOKUP(B82,'Data availability'!$A$2:$H$91,8,FALSE)</f>
        <v>Auditorium</v>
      </c>
      <c r="F82" s="165">
        <f>N$75*VLOOKUP($A82,'Campus Totals'!$A$36:$B$47,2,FALSE)</f>
        <v>11426.397556501634</v>
      </c>
      <c r="G82" s="167"/>
      <c r="H82" s="170">
        <f>P$75*VLOOKUP(A82,'Campus Totals'!$A$36:$D$47,4,FALSE)</f>
        <v>1433.3068827406503</v>
      </c>
      <c r="I82" s="170">
        <f>Q$75*VLOOKUP($A82,'Campus Totals'!$A$36:$E$47,5,FALSE)</f>
        <v>-1211.1160206939896</v>
      </c>
      <c r="J82" s="167"/>
      <c r="K82" s="167"/>
      <c r="L82" s="165"/>
      <c r="M82" s="165"/>
      <c r="N82" s="1"/>
      <c r="O82" s="1"/>
      <c r="P82" s="1"/>
      <c r="Q82" s="1"/>
      <c r="R82" s="1"/>
      <c r="S82" s="1"/>
      <c r="T82" s="1"/>
      <c r="U82" s="1"/>
    </row>
    <row r="83" spans="1:23" x14ac:dyDescent="0.3">
      <c r="A83" s="3">
        <v>9</v>
      </c>
      <c r="B83" s="3" t="s">
        <v>412</v>
      </c>
      <c r="C83" s="3" t="str">
        <f>VLOOKUP(B83,'Data availability'!$A$2:$B$91,2,FALSE)</f>
        <v>Main campus</v>
      </c>
      <c r="D83" s="3">
        <f>VLOOKUP(B83,'Data availability'!$A$2:$G$91,7,FALSE)</f>
        <v>8545</v>
      </c>
      <c r="E83" s="3" t="str">
        <f>VLOOKUP(B83,'Data availability'!$A$2:$H$91,8,FALSE)</f>
        <v>Auditorium</v>
      </c>
      <c r="F83" s="165">
        <f>N$75*VLOOKUP($A83,'Campus Totals'!$A$36:$B$47,2,FALSE)</f>
        <v>3346.9617716182165</v>
      </c>
      <c r="G83" s="167"/>
      <c r="H83" s="170">
        <f>P$75*VLOOKUP(A83,'Campus Totals'!$A$36:$D$47,4,FALSE)</f>
        <v>982.94063781789043</v>
      </c>
      <c r="I83" s="170">
        <f>Q$75*VLOOKUP($A83,'Campus Totals'!$A$36:$E$47,5,FALSE)</f>
        <v>8931.1524441424262</v>
      </c>
      <c r="J83" s="167"/>
      <c r="K83" s="167"/>
      <c r="L83" s="165"/>
      <c r="M83" s="165"/>
      <c r="N83" s="1"/>
      <c r="O83" s="1"/>
      <c r="P83" s="1"/>
      <c r="Q83" s="1"/>
      <c r="R83" s="1"/>
      <c r="S83" s="1"/>
      <c r="T83" s="1"/>
      <c r="U83" s="1"/>
    </row>
    <row r="84" spans="1:23" x14ac:dyDescent="0.3">
      <c r="A84" s="3">
        <v>10</v>
      </c>
      <c r="B84" s="3" t="s">
        <v>412</v>
      </c>
      <c r="C84" s="3" t="str">
        <f>VLOOKUP(B84,'Data availability'!$A$2:$B$91,2,FALSE)</f>
        <v>Main campus</v>
      </c>
      <c r="D84" s="3">
        <f>VLOOKUP(B84,'Data availability'!$A$2:$G$91,7,FALSE)</f>
        <v>8545</v>
      </c>
      <c r="E84" s="3" t="str">
        <f>VLOOKUP(B84,'Data availability'!$A$2:$H$91,8,FALSE)</f>
        <v>Auditorium</v>
      </c>
      <c r="F84" s="165">
        <f>N$75*VLOOKUP($A84,'Campus Totals'!$A$36:$B$47,2,FALSE)</f>
        <v>5021.4872016391801</v>
      </c>
      <c r="G84" s="167"/>
      <c r="H84" s="170">
        <f>P$75*VLOOKUP(A84,'Campus Totals'!$A$36:$D$47,4,FALSE)</f>
        <v>522.3302812134209</v>
      </c>
      <c r="I84" s="170">
        <f>Q$75*VLOOKUP($A84,'Campus Totals'!$A$36:$E$47,5,FALSE)</f>
        <v>9202.0883303284045</v>
      </c>
      <c r="J84" s="167"/>
      <c r="K84" s="167"/>
      <c r="L84" s="165"/>
      <c r="M84" s="165"/>
      <c r="N84" s="1"/>
      <c r="O84" s="1"/>
      <c r="P84" s="1"/>
      <c r="Q84" s="1"/>
      <c r="R84" s="1"/>
      <c r="S84" s="1"/>
      <c r="T84" s="1"/>
      <c r="U84" s="1"/>
    </row>
    <row r="85" spans="1:23" x14ac:dyDescent="0.3">
      <c r="A85" s="3">
        <v>11</v>
      </c>
      <c r="B85" s="3" t="s">
        <v>412</v>
      </c>
      <c r="C85" s="3" t="str">
        <f>VLOOKUP(B85,'Data availability'!$A$2:$B$91,2,FALSE)</f>
        <v>Main campus</v>
      </c>
      <c r="D85" s="3">
        <f>VLOOKUP(B85,'Data availability'!$A$2:$G$91,7,FALSE)</f>
        <v>8545</v>
      </c>
      <c r="E85" s="3" t="str">
        <f>VLOOKUP(B85,'Data availability'!$A$2:$H$91,8,FALSE)</f>
        <v>Auditorium</v>
      </c>
      <c r="F85" s="165">
        <f>N$75*VLOOKUP($A85,'Campus Totals'!$A$36:$B$47,2,FALSE)</f>
        <v>8208.7783459217208</v>
      </c>
      <c r="G85" s="167"/>
      <c r="H85" s="170">
        <f>P$75*VLOOKUP(A85,'Campus Totals'!$A$36:$D$47,4,FALSE)</f>
        <v>417.76590563350209</v>
      </c>
      <c r="I85" s="170">
        <f>Q$75*VLOOKUP($A85,'Campus Totals'!$A$36:$E$47,5,FALSE)</f>
        <v>8758.8188785968341</v>
      </c>
      <c r="J85" s="167"/>
      <c r="K85" s="167"/>
      <c r="L85" s="165"/>
      <c r="M85" s="165"/>
      <c r="N85" s="1"/>
      <c r="O85" s="1"/>
      <c r="P85" s="1"/>
      <c r="Q85" s="1"/>
      <c r="R85" s="1"/>
      <c r="S85" s="1"/>
      <c r="T85" s="1"/>
      <c r="U85" s="1"/>
    </row>
    <row r="86" spans="1:23" s="69" customFormat="1" x14ac:dyDescent="0.3">
      <c r="A86" s="64">
        <v>12</v>
      </c>
      <c r="B86" s="64" t="s">
        <v>412</v>
      </c>
      <c r="C86" s="64" t="str">
        <f>VLOOKUP(B86,'Data availability'!$A$2:$B$91,2,FALSE)</f>
        <v>Main campus</v>
      </c>
      <c r="D86" s="64">
        <f>VLOOKUP(B86,'Data availability'!$A$2:$G$91,7,FALSE)</f>
        <v>8545</v>
      </c>
      <c r="E86" s="64" t="str">
        <f>VLOOKUP(B86,'Data availability'!$A$2:$H$91,8,FALSE)</f>
        <v>Auditorium</v>
      </c>
      <c r="F86" s="165">
        <f>N$75*VLOOKUP($A86,'Campus Totals'!$A$36:$B$47,2,FALSE)</f>
        <v>5904.1473525373185</v>
      </c>
      <c r="G86" s="168"/>
      <c r="H86" s="170">
        <f>P$75*VLOOKUP(A86,'Campus Totals'!$A$36:$D$47,4,FALSE)</f>
        <v>434.63946130709445</v>
      </c>
      <c r="I86" s="170">
        <f>Q$75*VLOOKUP($A86,'Campus Totals'!$A$36:$E$47,5,FALSE)</f>
        <v>6950.4778070634811</v>
      </c>
      <c r="J86" s="168"/>
      <c r="K86" s="168"/>
      <c r="L86" s="166"/>
      <c r="M86" s="165"/>
      <c r="N86" s="66"/>
      <c r="O86" s="66"/>
      <c r="P86" s="66"/>
      <c r="Q86" s="66"/>
      <c r="R86" s="66"/>
      <c r="S86" s="66"/>
      <c r="T86" s="66"/>
      <c r="U86" s="66"/>
    </row>
    <row r="87" spans="1:23" x14ac:dyDescent="0.3">
      <c r="A87" s="3">
        <v>1</v>
      </c>
      <c r="B87" s="3" t="s">
        <v>167</v>
      </c>
      <c r="C87" s="3" t="str">
        <f>VLOOKUP(B87,'Data availability'!$A$2:$B$91,2,FALSE)</f>
        <v>Main campus</v>
      </c>
      <c r="D87" s="3">
        <f>VLOOKUP(B87,'Data availability'!$A$2:$G$91,7,FALSE)</f>
        <v>64072</v>
      </c>
      <c r="E87" s="3" t="str">
        <f>VLOOKUP(B87,'Data availability'!$A$2:$H$91,8,FALSE)</f>
        <v>Academic</v>
      </c>
      <c r="F87" s="167"/>
      <c r="G87" s="167"/>
      <c r="H87" s="167"/>
      <c r="I87" s="172"/>
      <c r="J87" s="165"/>
      <c r="K87" s="167"/>
      <c r="L87" s="165"/>
      <c r="M87" s="165"/>
      <c r="N87" s="1"/>
      <c r="O87" s="1"/>
      <c r="P87" s="1"/>
      <c r="Q87" s="1"/>
      <c r="R87" s="1"/>
      <c r="S87" s="1"/>
      <c r="T87" s="1"/>
      <c r="U87" s="1"/>
      <c r="W87" s="194">
        <f>L87/100-SUM(H87:H98)</f>
        <v>0</v>
      </c>
    </row>
    <row r="88" spans="1:23" x14ac:dyDescent="0.3">
      <c r="A88" s="3">
        <v>2</v>
      </c>
      <c r="B88" s="3" t="s">
        <v>167</v>
      </c>
      <c r="C88" s="3" t="str">
        <f>VLOOKUP(B88,'Data availability'!$A$2:$B$91,2,FALSE)</f>
        <v>Main campus</v>
      </c>
      <c r="D88" s="3">
        <f>VLOOKUP(B88,'Data availability'!$A$2:$G$91,7,FALSE)</f>
        <v>64072</v>
      </c>
      <c r="E88" s="3" t="str">
        <f>VLOOKUP(B88,'Data availability'!$A$2:$H$91,8,FALSE)</f>
        <v>Academic</v>
      </c>
      <c r="F88" s="167"/>
      <c r="G88" s="167"/>
      <c r="H88" s="167"/>
      <c r="I88" s="172"/>
      <c r="J88" s="167"/>
      <c r="K88" s="167"/>
      <c r="L88" s="165"/>
      <c r="M88" s="165"/>
      <c r="N88" s="1"/>
      <c r="O88" s="1"/>
      <c r="P88" s="1"/>
      <c r="Q88" s="1"/>
      <c r="R88" s="1"/>
      <c r="S88" s="1"/>
      <c r="T88" s="1"/>
      <c r="U88" s="1"/>
    </row>
    <row r="89" spans="1:23" x14ac:dyDescent="0.3">
      <c r="A89" s="3">
        <v>3</v>
      </c>
      <c r="B89" s="3" t="s">
        <v>167</v>
      </c>
      <c r="C89" s="3" t="str">
        <f>VLOOKUP(B89,'Data availability'!$A$2:$B$91,2,FALSE)</f>
        <v>Main campus</v>
      </c>
      <c r="D89" s="3">
        <f>VLOOKUP(B89,'Data availability'!$A$2:$G$91,7,FALSE)</f>
        <v>64072</v>
      </c>
      <c r="E89" s="3" t="str">
        <f>VLOOKUP(B89,'Data availability'!$A$2:$H$91,8,FALSE)</f>
        <v>Academic</v>
      </c>
      <c r="F89" s="167"/>
      <c r="G89" s="167"/>
      <c r="H89" s="167"/>
      <c r="I89" s="172"/>
      <c r="J89" s="167"/>
      <c r="K89" s="167"/>
      <c r="L89" s="165"/>
      <c r="M89" s="165"/>
      <c r="N89" s="1"/>
      <c r="O89" s="1"/>
      <c r="P89" s="1"/>
      <c r="Q89" s="1"/>
      <c r="R89" s="1"/>
      <c r="S89" s="1"/>
      <c r="T89" s="1"/>
      <c r="U89" s="1"/>
    </row>
    <row r="90" spans="1:23" x14ac:dyDescent="0.3">
      <c r="A90" s="3">
        <v>4</v>
      </c>
      <c r="B90" s="3" t="s">
        <v>167</v>
      </c>
      <c r="C90" s="3" t="str">
        <f>VLOOKUP(B90,'Data availability'!$A$2:$B$91,2,FALSE)</f>
        <v>Main campus</v>
      </c>
      <c r="D90" s="3">
        <f>VLOOKUP(B90,'Data availability'!$A$2:$G$91,7,FALSE)</f>
        <v>64072</v>
      </c>
      <c r="E90" s="3" t="str">
        <f>VLOOKUP(B90,'Data availability'!$A$2:$H$91,8,FALSE)</f>
        <v>Academic</v>
      </c>
      <c r="F90" s="167"/>
      <c r="G90" s="167"/>
      <c r="H90" s="167"/>
      <c r="I90" s="172"/>
      <c r="J90" s="167"/>
      <c r="K90" s="167"/>
      <c r="L90" s="165"/>
      <c r="M90" s="165"/>
      <c r="N90" s="1"/>
      <c r="O90" s="1"/>
      <c r="P90" s="1"/>
      <c r="Q90" s="1"/>
      <c r="R90" s="1"/>
      <c r="S90" s="1"/>
      <c r="T90" s="1"/>
      <c r="U90" s="1"/>
    </row>
    <row r="91" spans="1:23" x14ac:dyDescent="0.3">
      <c r="A91" s="3">
        <v>5</v>
      </c>
      <c r="B91" s="3" t="s">
        <v>167</v>
      </c>
      <c r="C91" s="3" t="str">
        <f>VLOOKUP(B91,'Data availability'!$A$2:$B$91,2,FALSE)</f>
        <v>Main campus</v>
      </c>
      <c r="D91" s="3">
        <f>VLOOKUP(B91,'Data availability'!$A$2:$G$91,7,FALSE)</f>
        <v>64072</v>
      </c>
      <c r="E91" s="3" t="str">
        <f>VLOOKUP(B91,'Data availability'!$A$2:$H$91,8,FALSE)</f>
        <v>Academic</v>
      </c>
      <c r="F91" s="167"/>
      <c r="G91" s="167"/>
      <c r="H91" s="167"/>
      <c r="I91" s="172"/>
      <c r="J91" s="167"/>
      <c r="K91" s="167"/>
      <c r="L91" s="165"/>
      <c r="M91" s="165"/>
      <c r="N91" s="1"/>
      <c r="O91" s="1"/>
      <c r="P91" s="1"/>
      <c r="Q91" s="1"/>
      <c r="R91" s="1"/>
      <c r="S91" s="1"/>
      <c r="T91" s="1"/>
      <c r="U91" s="1"/>
    </row>
    <row r="92" spans="1:23" x14ac:dyDescent="0.3">
      <c r="A92" s="3">
        <v>6</v>
      </c>
      <c r="B92" s="3" t="s">
        <v>167</v>
      </c>
      <c r="C92" s="3" t="str">
        <f>VLOOKUP(B92,'Data availability'!$A$2:$B$91,2,FALSE)</f>
        <v>Main campus</v>
      </c>
      <c r="D92" s="3">
        <f>VLOOKUP(B92,'Data availability'!$A$2:$G$91,7,FALSE)</f>
        <v>64072</v>
      </c>
      <c r="E92" s="3" t="str">
        <f>VLOOKUP(B92,'Data availability'!$A$2:$H$91,8,FALSE)</f>
        <v>Academic</v>
      </c>
      <c r="F92" s="167"/>
      <c r="G92" s="167"/>
      <c r="H92" s="167"/>
      <c r="I92" s="172"/>
      <c r="J92" s="167"/>
      <c r="K92" s="167"/>
      <c r="L92" s="165"/>
      <c r="M92" s="165"/>
      <c r="N92" s="1"/>
      <c r="O92" s="1"/>
      <c r="P92" s="1"/>
      <c r="Q92" s="1"/>
      <c r="R92" s="1"/>
      <c r="S92" s="1"/>
      <c r="T92" s="1"/>
      <c r="U92" s="1"/>
    </row>
    <row r="93" spans="1:23" x14ac:dyDescent="0.3">
      <c r="A93" s="3">
        <v>7</v>
      </c>
      <c r="B93" s="3" t="s">
        <v>167</v>
      </c>
      <c r="C93" s="3" t="str">
        <f>VLOOKUP(B93,'Data availability'!$A$2:$B$91,2,FALSE)</f>
        <v>Main campus</v>
      </c>
      <c r="D93" s="3">
        <f>VLOOKUP(B93,'Data availability'!$A$2:$G$91,7,FALSE)</f>
        <v>64072</v>
      </c>
      <c r="E93" s="3" t="str">
        <f>VLOOKUP(B93,'Data availability'!$A$2:$H$91,8,FALSE)</f>
        <v>Academic</v>
      </c>
      <c r="F93" s="167"/>
      <c r="G93" s="167"/>
      <c r="H93" s="167"/>
      <c r="I93" s="172"/>
      <c r="J93" s="167"/>
      <c r="K93" s="167"/>
      <c r="L93" s="165"/>
      <c r="M93" s="165"/>
      <c r="N93" s="1"/>
      <c r="O93" s="1"/>
      <c r="P93" s="1"/>
      <c r="Q93" s="1"/>
      <c r="R93" s="1"/>
      <c r="S93" s="1"/>
      <c r="T93" s="1"/>
      <c r="U93" s="1"/>
    </row>
    <row r="94" spans="1:23" x14ac:dyDescent="0.3">
      <c r="A94" s="3">
        <v>8</v>
      </c>
      <c r="B94" s="3" t="s">
        <v>167</v>
      </c>
      <c r="C94" s="3" t="str">
        <f>VLOOKUP(B94,'Data availability'!$A$2:$B$91,2,FALSE)</f>
        <v>Main campus</v>
      </c>
      <c r="D94" s="3">
        <f>VLOOKUP(B94,'Data availability'!$A$2:$G$91,7,FALSE)</f>
        <v>64072</v>
      </c>
      <c r="E94" s="3" t="str">
        <f>VLOOKUP(B94,'Data availability'!$A$2:$H$91,8,FALSE)</f>
        <v>Academic</v>
      </c>
      <c r="F94" s="167"/>
      <c r="G94" s="167"/>
      <c r="H94" s="167"/>
      <c r="I94" s="172"/>
      <c r="J94" s="167"/>
      <c r="K94" s="167"/>
      <c r="L94" s="165"/>
      <c r="M94" s="165"/>
      <c r="N94" s="1"/>
      <c r="O94" s="1"/>
      <c r="P94" s="1"/>
      <c r="Q94" s="1"/>
      <c r="R94" s="1"/>
      <c r="S94" s="1"/>
      <c r="T94" s="1"/>
      <c r="U94" s="1"/>
    </row>
    <row r="95" spans="1:23" x14ac:dyDescent="0.3">
      <c r="A95" s="3">
        <v>9</v>
      </c>
      <c r="B95" s="3" t="s">
        <v>167</v>
      </c>
      <c r="C95" s="3" t="str">
        <f>VLOOKUP(B95,'Data availability'!$A$2:$B$91,2,FALSE)</f>
        <v>Main campus</v>
      </c>
      <c r="D95" s="3">
        <f>VLOOKUP(B95,'Data availability'!$A$2:$G$91,7,FALSE)</f>
        <v>64072</v>
      </c>
      <c r="E95" s="3" t="str">
        <f>VLOOKUP(B95,'Data availability'!$A$2:$H$91,8,FALSE)</f>
        <v>Academic</v>
      </c>
      <c r="F95" s="167"/>
      <c r="G95" s="167"/>
      <c r="H95" s="167"/>
      <c r="I95" s="172"/>
      <c r="J95" s="167"/>
      <c r="K95" s="167"/>
      <c r="L95" s="165"/>
      <c r="M95" s="165"/>
      <c r="N95" s="1"/>
      <c r="O95" s="1"/>
      <c r="P95" s="1"/>
      <c r="Q95" s="1"/>
      <c r="R95" s="1"/>
      <c r="S95" s="1"/>
      <c r="T95" s="1"/>
      <c r="U95" s="1"/>
    </row>
    <row r="96" spans="1:23" x14ac:dyDescent="0.3">
      <c r="A96" s="3">
        <v>10</v>
      </c>
      <c r="B96" s="3" t="s">
        <v>167</v>
      </c>
      <c r="C96" s="3" t="str">
        <f>VLOOKUP(B96,'Data availability'!$A$2:$B$91,2,FALSE)</f>
        <v>Main campus</v>
      </c>
      <c r="D96" s="3">
        <f>VLOOKUP(B96,'Data availability'!$A$2:$G$91,7,FALSE)</f>
        <v>64072</v>
      </c>
      <c r="E96" s="3" t="str">
        <f>VLOOKUP(B96,'Data availability'!$A$2:$H$91,8,FALSE)</f>
        <v>Academic</v>
      </c>
      <c r="F96" s="167"/>
      <c r="G96" s="167"/>
      <c r="H96" s="167"/>
      <c r="I96" s="172"/>
      <c r="J96" s="167"/>
      <c r="K96" s="167"/>
      <c r="L96" s="165"/>
      <c r="M96" s="165"/>
      <c r="N96" s="1"/>
      <c r="O96" s="1"/>
      <c r="P96" s="1"/>
      <c r="Q96" s="1"/>
      <c r="R96" s="1"/>
      <c r="S96" s="1"/>
      <c r="T96" s="1"/>
      <c r="U96" s="1"/>
    </row>
    <row r="97" spans="1:23" x14ac:dyDescent="0.3">
      <c r="A97" s="3">
        <v>11</v>
      </c>
      <c r="B97" s="3" t="s">
        <v>167</v>
      </c>
      <c r="C97" s="3" t="str">
        <f>VLOOKUP(B97,'Data availability'!$A$2:$B$91,2,FALSE)</f>
        <v>Main campus</v>
      </c>
      <c r="D97" s="3">
        <f>VLOOKUP(B97,'Data availability'!$A$2:$G$91,7,FALSE)</f>
        <v>64072</v>
      </c>
      <c r="E97" s="3" t="str">
        <f>VLOOKUP(B97,'Data availability'!$A$2:$H$91,8,FALSE)</f>
        <v>Academic</v>
      </c>
      <c r="F97" s="167"/>
      <c r="G97" s="167"/>
      <c r="H97" s="167"/>
      <c r="I97" s="172"/>
      <c r="J97" s="167"/>
      <c r="K97" s="167"/>
      <c r="L97" s="165"/>
      <c r="M97" s="165"/>
      <c r="N97" s="1"/>
      <c r="O97" s="1"/>
      <c r="P97" s="1"/>
      <c r="Q97" s="1"/>
      <c r="R97" s="1"/>
      <c r="S97" s="1"/>
      <c r="T97" s="1"/>
      <c r="U97" s="1"/>
    </row>
    <row r="98" spans="1:23" s="69" customFormat="1" x14ac:dyDescent="0.3">
      <c r="A98" s="64">
        <v>12</v>
      </c>
      <c r="B98" s="64" t="s">
        <v>167</v>
      </c>
      <c r="C98" s="64" t="str">
        <f>VLOOKUP(B98,'Data availability'!$A$2:$B$91,2,FALSE)</f>
        <v>Main campus</v>
      </c>
      <c r="D98" s="64">
        <f>VLOOKUP(B98,'Data availability'!$A$2:$G$91,7,FALSE)</f>
        <v>64072</v>
      </c>
      <c r="E98" s="64" t="str">
        <f>VLOOKUP(B98,'Data availability'!$A$2:$H$91,8,FALSE)</f>
        <v>Academic</v>
      </c>
      <c r="F98" s="168"/>
      <c r="G98" s="168"/>
      <c r="H98" s="168"/>
      <c r="I98" s="173"/>
      <c r="J98" s="168"/>
      <c r="K98" s="168"/>
      <c r="L98" s="166"/>
      <c r="M98" s="165"/>
      <c r="N98" s="66"/>
      <c r="O98" s="66"/>
      <c r="P98" s="66"/>
      <c r="Q98" s="66"/>
      <c r="R98" s="66"/>
      <c r="S98" s="66"/>
      <c r="T98" s="66"/>
      <c r="U98" s="66"/>
    </row>
    <row r="99" spans="1:23" x14ac:dyDescent="0.3">
      <c r="A99" s="3">
        <v>1</v>
      </c>
      <c r="B99" s="3" t="s">
        <v>417</v>
      </c>
      <c r="C99" s="3" t="str">
        <f>VLOOKUP(B99,'Data availability'!$A$2:$B$91,2,FALSE)</f>
        <v>Main campus</v>
      </c>
      <c r="D99" s="3">
        <f>VLOOKUP(B99,'Data availability'!$A$2:$G$91,7,FALSE)</f>
        <v>2300</v>
      </c>
      <c r="E99" s="3" t="str">
        <f>VLOOKUP(B99,'Data availability'!$A$2:$H$91,8,FALSE)</f>
        <v>Auditorium</v>
      </c>
      <c r="F99" s="165">
        <f>N$99*VLOOKUP($A99,'Campus Totals'!$A$36:$B$47,2,FALSE)</f>
        <v>4960.7862117046434</v>
      </c>
      <c r="G99" s="167"/>
      <c r="H99" s="170">
        <f>P$99*VLOOKUP(A99,'Campus Totals'!$A$36:$D$47,4,FALSE)</f>
        <v>2.7168576737572194</v>
      </c>
      <c r="I99" s="170">
        <f>Q$99*VLOOKUP($A99,'Campus Totals'!$A$36:$E$47,5,FALSE)</f>
        <v>1353.2284337302945</v>
      </c>
      <c r="J99" s="165">
        <f>INDEX('BPD vs SJSU EUIs'!$J$4:$J$17, MATCH($E99, 'BPD vs SJSU EUIs'!$A$4:$A$17, 0))*D99</f>
        <v>78200</v>
      </c>
      <c r="K99" s="167"/>
      <c r="L99" s="165">
        <f>INDEX('BPD vs SJSU EUIs'!$P$4:$P$17, MATCH($E99, 'BPD vs SJSU EUIs'!$A$4:$A$17, 0))*D99</f>
        <v>46000</v>
      </c>
      <c r="M99" s="165">
        <f>INDEX('BPD vs SJSU EUIs'!$S$4:$S$17, MATCH($E99, 'BPD vs SJSU EUIs'!$A$4:$A$17, 0))*$D99</f>
        <v>69000</v>
      </c>
      <c r="N99" s="1">
        <f>$J99/SUM($J$4:$J$124)</f>
        <v>2.2633220633611707E-2</v>
      </c>
      <c r="O99" s="1"/>
      <c r="P99" s="1">
        <f>$L99/SUM($L$3:$L$135)</f>
        <v>9.1539541052057232E-3</v>
      </c>
      <c r="Q99" s="1">
        <f>$M99/SUM($M$3:$M$123)</f>
        <v>1.6200496749976617E-2</v>
      </c>
      <c r="R99" s="1">
        <f>SUM(F99:F110)*3.412/D99</f>
        <v>57.52637602288447</v>
      </c>
      <c r="S99" s="1">
        <f>SUM(H99:H110)*100/D99</f>
        <v>130.66363541552539</v>
      </c>
      <c r="T99" s="1">
        <f>SUM(I99:I110)*12/D99</f>
        <v>109.30104054755625</v>
      </c>
      <c r="U99" s="1">
        <f>SUM(R99:T99)</f>
        <v>297.49105198596612</v>
      </c>
      <c r="W99" s="194">
        <f>L99/100-SUM(H99:H110)</f>
        <v>-2545.2636145570837</v>
      </c>
    </row>
    <row r="100" spans="1:23" x14ac:dyDescent="0.3">
      <c r="A100" s="3">
        <v>2</v>
      </c>
      <c r="B100" s="3" t="s">
        <v>417</v>
      </c>
      <c r="C100" s="3" t="str">
        <f>VLOOKUP(B100,'Data availability'!$A$2:$B$91,2,FALSE)</f>
        <v>Main campus</v>
      </c>
      <c r="D100" s="3">
        <f>VLOOKUP(B100,'Data availability'!$A$2:$G$91,7,FALSE)</f>
        <v>2300</v>
      </c>
      <c r="E100" s="3" t="str">
        <f>VLOOKUP(B100,'Data availability'!$A$2:$H$91,8,FALSE)</f>
        <v>Auditorium</v>
      </c>
      <c r="F100" s="165">
        <f>N$99*VLOOKUP($A100,'Campus Totals'!$A$36:$B$47,2,FALSE)</f>
        <v>7692.8740854517155</v>
      </c>
      <c r="G100" s="167"/>
      <c r="H100" s="170">
        <f>P$99*VLOOKUP(A100,'Campus Totals'!$A$36:$D$47,4,FALSE)</f>
        <v>179.68599629246407</v>
      </c>
      <c r="I100" s="170">
        <f>Q$99*VLOOKUP($A100,'Campus Totals'!$A$36:$E$47,5,FALSE)</f>
        <v>859.68695531267701</v>
      </c>
      <c r="J100" s="167"/>
      <c r="K100" s="167"/>
      <c r="L100" s="165"/>
      <c r="M100" s="165"/>
      <c r="N100" s="1"/>
      <c r="O100" s="1"/>
      <c r="P100" s="1"/>
      <c r="Q100" s="1"/>
      <c r="R100" s="1"/>
      <c r="S100" s="1"/>
      <c r="T100" s="1"/>
      <c r="U100" s="1"/>
    </row>
    <row r="101" spans="1:23" x14ac:dyDescent="0.3">
      <c r="A101" s="3">
        <v>3</v>
      </c>
      <c r="B101" s="3" t="s">
        <v>417</v>
      </c>
      <c r="C101" s="3" t="str">
        <f>VLOOKUP(B101,'Data availability'!$A$2:$B$91,2,FALSE)</f>
        <v>Main campus</v>
      </c>
      <c r="D101" s="3">
        <f>VLOOKUP(B101,'Data availability'!$A$2:$G$91,7,FALSE)</f>
        <v>2300</v>
      </c>
      <c r="E101" s="3" t="str">
        <f>VLOOKUP(B101,'Data availability'!$A$2:$H$91,8,FALSE)</f>
        <v>Auditorium</v>
      </c>
      <c r="F101" s="165">
        <f>N$99*VLOOKUP($A101,'Campus Totals'!$A$36:$B$47,2,FALSE)</f>
        <v>6037.5813052453213</v>
      </c>
      <c r="G101" s="167"/>
      <c r="H101" s="170">
        <f>P$99*VLOOKUP(A101,'Campus Totals'!$A$36:$D$47,4,FALSE)</f>
        <v>332.56922596489812</v>
      </c>
      <c r="I101" s="170">
        <f>Q$99*VLOOKUP($A101,'Campus Totals'!$A$36:$E$47,5,FALSE)</f>
        <v>1027.0646871908466</v>
      </c>
      <c r="J101" s="167"/>
      <c r="K101" s="167"/>
      <c r="L101" s="165"/>
      <c r="M101" s="165"/>
      <c r="N101" s="1"/>
      <c r="O101" s="1"/>
      <c r="P101" s="1"/>
      <c r="Q101" s="1"/>
      <c r="R101" s="1"/>
      <c r="S101" s="1"/>
      <c r="T101" s="1"/>
      <c r="U101" s="1"/>
    </row>
    <row r="102" spans="1:23" x14ac:dyDescent="0.3">
      <c r="A102" s="3">
        <v>4</v>
      </c>
      <c r="B102" s="3" t="s">
        <v>417</v>
      </c>
      <c r="C102" s="3" t="str">
        <f>VLOOKUP(B102,'Data availability'!$A$2:$B$91,2,FALSE)</f>
        <v>Main campus</v>
      </c>
      <c r="D102" s="3">
        <f>VLOOKUP(B102,'Data availability'!$A$2:$G$91,7,FALSE)</f>
        <v>2300</v>
      </c>
      <c r="E102" s="3" t="str">
        <f>VLOOKUP(B102,'Data availability'!$A$2:$H$91,8,FALSE)</f>
        <v>Auditorium</v>
      </c>
      <c r="F102" s="165">
        <f>N$99*VLOOKUP($A102,'Campus Totals'!$A$36:$B$47,2,FALSE)</f>
        <v>2325.2272528184271</v>
      </c>
      <c r="G102" s="167"/>
      <c r="H102" s="170">
        <f>P$99*VLOOKUP(A102,'Campus Totals'!$A$36:$D$47,4,FALSE)</f>
        <v>247.83477750609762</v>
      </c>
      <c r="I102" s="170">
        <f>Q$99*VLOOKUP($A102,'Campus Totals'!$A$36:$E$47,5,FALSE)</f>
        <v>2561.074769435681</v>
      </c>
      <c r="J102" s="167"/>
      <c r="K102" s="167"/>
      <c r="L102" s="165"/>
      <c r="M102" s="165"/>
      <c r="N102" s="1"/>
      <c r="O102" s="1"/>
      <c r="P102" s="1"/>
      <c r="Q102" s="1"/>
      <c r="R102" s="1"/>
      <c r="S102" s="1"/>
      <c r="T102" s="1"/>
      <c r="U102" s="1"/>
    </row>
    <row r="103" spans="1:23" x14ac:dyDescent="0.3">
      <c r="A103" s="3">
        <v>5</v>
      </c>
      <c r="B103" s="3" t="s">
        <v>417</v>
      </c>
      <c r="C103" s="3" t="str">
        <f>VLOOKUP(B103,'Data availability'!$A$2:$B$91,2,FALSE)</f>
        <v>Main campus</v>
      </c>
      <c r="D103" s="3">
        <f>VLOOKUP(B103,'Data availability'!$A$2:$G$91,7,FALSE)</f>
        <v>2300</v>
      </c>
      <c r="E103" s="3" t="str">
        <f>VLOOKUP(B103,'Data availability'!$A$2:$H$91,8,FALSE)</f>
        <v>Auditorium</v>
      </c>
      <c r="F103" s="165">
        <f>N$99*VLOOKUP($A103,'Campus Totals'!$A$36:$B$47,2,FALSE)</f>
        <v>4193.423113492192</v>
      </c>
      <c r="G103" s="167"/>
      <c r="H103" s="170">
        <f>P$99*VLOOKUP(A103,'Campus Totals'!$A$36:$D$47,4,FALSE)</f>
        <v>505.5432469850499</v>
      </c>
      <c r="I103" s="170">
        <f>Q$99*VLOOKUP($A103,'Campus Totals'!$A$36:$E$47,5,FALSE)</f>
        <v>1984.4563323003865</v>
      </c>
      <c r="J103" s="167"/>
      <c r="K103" s="167"/>
      <c r="L103" s="165"/>
      <c r="M103" s="165"/>
      <c r="N103" s="1"/>
      <c r="O103" s="1"/>
      <c r="P103" s="1"/>
      <c r="Q103" s="1"/>
      <c r="R103" s="1"/>
      <c r="S103" s="1"/>
      <c r="T103" s="1"/>
      <c r="U103" s="1"/>
    </row>
    <row r="104" spans="1:23" x14ac:dyDescent="0.3">
      <c r="A104" s="3">
        <v>6</v>
      </c>
      <c r="B104" s="3" t="s">
        <v>417</v>
      </c>
      <c r="C104" s="3" t="str">
        <f>VLOOKUP(B104,'Data availability'!$A$2:$B$91,2,FALSE)</f>
        <v>Main campus</v>
      </c>
      <c r="D104" s="3">
        <f>VLOOKUP(B104,'Data availability'!$A$2:$G$91,7,FALSE)</f>
        <v>2300</v>
      </c>
      <c r="E104" s="3" t="str">
        <f>VLOOKUP(B104,'Data availability'!$A$2:$H$91,8,FALSE)</f>
        <v>Auditorium</v>
      </c>
      <c r="F104" s="165">
        <f>N$99*VLOOKUP($A104,'Campus Totals'!$A$36:$B$47,2,FALSE)</f>
        <v>3320.3930382403701</v>
      </c>
      <c r="G104" s="167"/>
      <c r="H104" s="170">
        <f>P$99*VLOOKUP(A104,'Campus Totals'!$A$36:$D$47,4,FALSE)</f>
        <v>404.01638522902982</v>
      </c>
      <c r="I104" s="170">
        <f>Q$99*VLOOKUP($A104,'Campus Totals'!$A$36:$E$47,5,FALSE)</f>
        <v>1119.2916475017771</v>
      </c>
      <c r="J104" s="167"/>
      <c r="K104" s="167"/>
      <c r="L104" s="165"/>
      <c r="M104" s="165"/>
      <c r="N104" s="1"/>
      <c r="O104" s="1"/>
      <c r="P104" s="1"/>
      <c r="Q104" s="1"/>
      <c r="R104" s="1"/>
      <c r="S104" s="1"/>
      <c r="T104" s="1"/>
      <c r="U104" s="1"/>
    </row>
    <row r="105" spans="1:23" x14ac:dyDescent="0.3">
      <c r="A105" s="3">
        <v>7</v>
      </c>
      <c r="B105" s="3" t="s">
        <v>417</v>
      </c>
      <c r="C105" s="3" t="str">
        <f>VLOOKUP(B105,'Data availability'!$A$2:$B$91,2,FALSE)</f>
        <v>Main campus</v>
      </c>
      <c r="D105" s="3">
        <f>VLOOKUP(B105,'Data availability'!$A$2:$G$91,7,FALSE)</f>
        <v>2300</v>
      </c>
      <c r="E105" s="3" t="str">
        <f>VLOOKUP(B105,'Data availability'!$A$2:$H$91,8,FALSE)</f>
        <v>Auditorium</v>
      </c>
      <c r="F105" s="165">
        <f>N$99*VLOOKUP($A105,'Campus Totals'!$A$36:$B$47,2,FALSE)</f>
        <v>1121.0264703033199</v>
      </c>
      <c r="G105" s="167"/>
      <c r="H105" s="170">
        <f>P$99*VLOOKUP(A105,'Campus Totals'!$A$36:$D$47,4,FALSE)</f>
        <v>312.50376176489937</v>
      </c>
      <c r="I105" s="170">
        <f>Q$99*VLOOKUP($A105,'Campus Totals'!$A$36:$E$47,5,FALSE)</f>
        <v>3261.3837229282935</v>
      </c>
      <c r="J105" s="167"/>
      <c r="K105" s="167"/>
      <c r="L105" s="165"/>
      <c r="M105" s="165"/>
      <c r="N105" s="1"/>
      <c r="O105" s="1"/>
      <c r="P105" s="1"/>
      <c r="Q105" s="1"/>
      <c r="R105" s="1"/>
      <c r="S105" s="1"/>
      <c r="T105" s="1"/>
      <c r="U105" s="1"/>
    </row>
    <row r="106" spans="1:23" x14ac:dyDescent="0.3">
      <c r="A106" s="3">
        <v>8</v>
      </c>
      <c r="B106" s="3" t="s">
        <v>417</v>
      </c>
      <c r="C106" s="3" t="str">
        <f>VLOOKUP(B106,'Data availability'!$A$2:$B$91,2,FALSE)</f>
        <v>Main campus</v>
      </c>
      <c r="D106" s="3">
        <f>VLOOKUP(B106,'Data availability'!$A$2:$G$91,7,FALSE)</f>
        <v>2300</v>
      </c>
      <c r="E106" s="3" t="str">
        <f>VLOOKUP(B106,'Data availability'!$A$2:$H$91,8,FALSE)</f>
        <v>Auditorium</v>
      </c>
      <c r="F106" s="165">
        <f>N$99*VLOOKUP($A106,'Campus Totals'!$A$36:$B$47,2,FALSE)</f>
        <v>3075.5663405446176</v>
      </c>
      <c r="G106" s="167"/>
      <c r="H106" s="170">
        <f>P$99*VLOOKUP(A106,'Campus Totals'!$A$36:$D$47,4,FALSE)</f>
        <v>385.79354362826166</v>
      </c>
      <c r="I106" s="170">
        <f>Q$99*VLOOKUP($A106,'Campus Totals'!$A$36:$E$47,5,FALSE)</f>
        <v>-325.98792833191055</v>
      </c>
      <c r="J106" s="167"/>
      <c r="K106" s="167"/>
      <c r="L106" s="165"/>
      <c r="M106" s="165"/>
      <c r="N106" s="1"/>
      <c r="O106" s="1"/>
      <c r="P106" s="1"/>
      <c r="Q106" s="1"/>
      <c r="R106" s="1"/>
      <c r="S106" s="1"/>
      <c r="T106" s="1"/>
      <c r="U106" s="1"/>
    </row>
    <row r="107" spans="1:23" x14ac:dyDescent="0.3">
      <c r="A107" s="3">
        <v>9</v>
      </c>
      <c r="B107" s="3" t="s">
        <v>417</v>
      </c>
      <c r="C107" s="3" t="str">
        <f>VLOOKUP(B107,'Data availability'!$A$2:$B$91,2,FALSE)</f>
        <v>Main campus</v>
      </c>
      <c r="D107" s="3">
        <f>VLOOKUP(B107,'Data availability'!$A$2:$G$91,7,FALSE)</f>
        <v>2300</v>
      </c>
      <c r="E107" s="3" t="str">
        <f>VLOOKUP(B107,'Data availability'!$A$2:$H$91,8,FALSE)</f>
        <v>Auditorium</v>
      </c>
      <c r="F107" s="165">
        <f>N$99*VLOOKUP($A107,'Campus Totals'!$A$36:$B$47,2,FALSE)</f>
        <v>900.87911933550583</v>
      </c>
      <c r="G107" s="167"/>
      <c r="H107" s="170">
        <f>P$99*VLOOKUP(A107,'Campus Totals'!$A$36:$D$47,4,FALSE)</f>
        <v>264.57149993928005</v>
      </c>
      <c r="I107" s="170">
        <f>Q$99*VLOOKUP($A107,'Campus Totals'!$A$36:$E$47,5,FALSE)</f>
        <v>2403.9380481600442</v>
      </c>
      <c r="J107" s="167"/>
      <c r="K107" s="167"/>
      <c r="L107" s="165"/>
      <c r="M107" s="165"/>
      <c r="N107" s="1"/>
      <c r="O107" s="1"/>
      <c r="P107" s="1"/>
      <c r="Q107" s="1"/>
      <c r="R107" s="1"/>
      <c r="S107" s="1"/>
      <c r="T107" s="1"/>
      <c r="U107" s="1"/>
    </row>
    <row r="108" spans="1:23" x14ac:dyDescent="0.3">
      <c r="A108" s="3">
        <v>10</v>
      </c>
      <c r="B108" s="3" t="s">
        <v>417</v>
      </c>
      <c r="C108" s="3" t="str">
        <f>VLOOKUP(B108,'Data availability'!$A$2:$B$91,2,FALSE)</f>
        <v>Main campus</v>
      </c>
      <c r="D108" s="3">
        <f>VLOOKUP(B108,'Data availability'!$A$2:$G$91,7,FALSE)</f>
        <v>2300</v>
      </c>
      <c r="E108" s="3" t="str">
        <f>VLOOKUP(B108,'Data availability'!$A$2:$H$91,8,FALSE)</f>
        <v>Auditorium</v>
      </c>
      <c r="F108" s="165">
        <f>N$99*VLOOKUP($A108,'Campus Totals'!$A$36:$B$47,2,FALSE)</f>
        <v>1351.5998319216048</v>
      </c>
      <c r="G108" s="167"/>
      <c r="H108" s="170">
        <f>P$99*VLOOKUP(A108,'Campus Totals'!$A$36:$D$47,4,FALSE)</f>
        <v>140.59211782221982</v>
      </c>
      <c r="I108" s="170">
        <f>Q$99*VLOOKUP($A108,'Campus Totals'!$A$36:$E$47,5,FALSE)</f>
        <v>2476.8640327390672</v>
      </c>
      <c r="J108" s="167"/>
      <c r="K108" s="167"/>
      <c r="L108" s="165"/>
      <c r="M108" s="165"/>
      <c r="N108" s="1"/>
      <c r="O108" s="1"/>
      <c r="P108" s="1"/>
      <c r="Q108" s="1"/>
      <c r="R108" s="1"/>
      <c r="S108" s="1"/>
      <c r="T108" s="1"/>
      <c r="U108" s="1"/>
    </row>
    <row r="109" spans="1:23" x14ac:dyDescent="0.3">
      <c r="A109" s="3">
        <v>11</v>
      </c>
      <c r="B109" s="3" t="s">
        <v>417</v>
      </c>
      <c r="C109" s="3" t="str">
        <f>VLOOKUP(B109,'Data availability'!$A$2:$B$91,2,FALSE)</f>
        <v>Main campus</v>
      </c>
      <c r="D109" s="3">
        <f>VLOOKUP(B109,'Data availability'!$A$2:$G$91,7,FALSE)</f>
        <v>2300</v>
      </c>
      <c r="E109" s="3" t="str">
        <f>VLOOKUP(B109,'Data availability'!$A$2:$H$91,8,FALSE)</f>
        <v>Auditorium</v>
      </c>
      <c r="F109" s="165">
        <f>N$99*VLOOKUP($A109,'Campus Totals'!$A$36:$B$47,2,FALSE)</f>
        <v>2209.5014857366828</v>
      </c>
      <c r="G109" s="167"/>
      <c r="H109" s="170">
        <f>P$99*VLOOKUP(A109,'Campus Totals'!$A$36:$D$47,4,FALSE)</f>
        <v>112.44723030509712</v>
      </c>
      <c r="I109" s="170">
        <f>Q$99*VLOOKUP($A109,'Campus Totals'!$A$36:$E$47,5,FALSE)</f>
        <v>2357.5521849938814</v>
      </c>
      <c r="J109" s="167"/>
      <c r="K109" s="167"/>
      <c r="L109" s="165"/>
      <c r="M109" s="165"/>
      <c r="N109" s="1"/>
      <c r="O109" s="1"/>
      <c r="P109" s="1"/>
      <c r="Q109" s="1"/>
      <c r="R109" s="1"/>
      <c r="S109" s="1"/>
      <c r="T109" s="1"/>
      <c r="U109" s="1"/>
    </row>
    <row r="110" spans="1:23" s="69" customFormat="1" x14ac:dyDescent="0.3">
      <c r="A110" s="64">
        <v>12</v>
      </c>
      <c r="B110" s="64" t="s">
        <v>417</v>
      </c>
      <c r="C110" s="64" t="str">
        <f>VLOOKUP(B110,'Data availability'!$A$2:$B$91,2,FALSE)</f>
        <v>Main campus</v>
      </c>
      <c r="D110" s="64">
        <f>VLOOKUP(B110,'Data availability'!$A$2:$G$91,7,FALSE)</f>
        <v>2300</v>
      </c>
      <c r="E110" s="64" t="str">
        <f>VLOOKUP(B110,'Data availability'!$A$2:$H$91,8,FALSE)</f>
        <v>Auditorium</v>
      </c>
      <c r="F110" s="165">
        <f>N$99*VLOOKUP($A110,'Campus Totals'!$A$36:$B$47,2,FALSE)</f>
        <v>1589.1795097525842</v>
      </c>
      <c r="G110" s="168"/>
      <c r="H110" s="170">
        <f>P$99*VLOOKUP(A110,'Campus Totals'!$A$36:$D$47,4,FALSE)</f>
        <v>116.98897144602896</v>
      </c>
      <c r="I110" s="170">
        <f>Q$99*VLOOKUP($A110,'Campus Totals'!$A$36:$E$47,5,FALSE)</f>
        <v>1870.8132189872445</v>
      </c>
      <c r="J110" s="168"/>
      <c r="K110" s="168"/>
      <c r="L110" s="166"/>
      <c r="M110" s="165"/>
      <c r="N110" s="66"/>
      <c r="O110" s="66"/>
      <c r="P110" s="66"/>
      <c r="Q110" s="66"/>
      <c r="R110" s="66"/>
      <c r="S110" s="66"/>
      <c r="T110" s="66"/>
      <c r="U110" s="66"/>
    </row>
    <row r="111" spans="1:23" x14ac:dyDescent="0.3">
      <c r="A111" s="3">
        <v>1</v>
      </c>
      <c r="B111" s="3" t="s">
        <v>419</v>
      </c>
      <c r="C111" s="3" t="str">
        <f>VLOOKUP(B111,'Data availability'!$A$2:$B$91,2,FALSE)</f>
        <v>Main campus</v>
      </c>
      <c r="D111" s="3">
        <f>VLOOKUP(B111,'Data availability'!$A$2:$G$91,7,FALSE)</f>
        <v>13096</v>
      </c>
      <c r="E111" s="3" t="str">
        <f>VLOOKUP(B111,'Data availability'!$A$2:$H$91,8,FALSE)</f>
        <v>Auditorium</v>
      </c>
      <c r="F111" s="165">
        <f>N$111*VLOOKUP($A111,'Campus Totals'!$A$36:$B$47,2,FALSE)</f>
        <v>28246.285316732181</v>
      </c>
      <c r="G111" s="167"/>
      <c r="H111" s="170">
        <f>P$111*VLOOKUP(A111,'Campus Totals'!$A$36:$D$47,4,FALSE)</f>
        <v>15.469551345880237</v>
      </c>
      <c r="I111" s="172"/>
      <c r="J111" s="165">
        <f>INDEX('BPD vs SJSU EUIs'!$J$4:$J$17, MATCH($E111, 'BPD vs SJSU EUIs'!$A$4:$A$17, 0))*D111</f>
        <v>445264</v>
      </c>
      <c r="K111" s="167"/>
      <c r="L111" s="165">
        <f>INDEX('BPD vs SJSU EUIs'!$P$4:$P$17, MATCH($E112, 'BPD vs SJSU EUIs'!$A$4:$A$17, 0))*D112</f>
        <v>261920</v>
      </c>
      <c r="M111" s="165"/>
      <c r="N111" s="1">
        <f>$J111/SUM($J$4:$J$124)</f>
        <v>0.12887159018164301</v>
      </c>
      <c r="O111" s="1"/>
      <c r="P111" s="1">
        <f>$L111/SUM($L$3:$L$135)</f>
        <v>5.212181867903224E-2</v>
      </c>
      <c r="Q111" s="1"/>
      <c r="R111" s="1">
        <f>SUM(F111:F122)*3.412/D111</f>
        <v>57.526376022884484</v>
      </c>
      <c r="S111" s="1">
        <f>SUM(H111:H122)*100/D111</f>
        <v>130.66363541552539</v>
      </c>
      <c r="T111" s="1"/>
      <c r="U111" s="1"/>
      <c r="W111" s="194">
        <f>L111/100-SUM(H111:H122)</f>
        <v>-14492.509694017204</v>
      </c>
    </row>
    <row r="112" spans="1:23" x14ac:dyDescent="0.3">
      <c r="A112" s="3">
        <v>2</v>
      </c>
      <c r="B112" s="3" t="s">
        <v>419</v>
      </c>
      <c r="C112" s="3" t="str">
        <f>VLOOKUP(B112,'Data availability'!$A$2:$B$91,2,FALSE)</f>
        <v>Main campus</v>
      </c>
      <c r="D112" s="3">
        <f>VLOOKUP(B112,'Data availability'!$A$2:$G$91,7,FALSE)</f>
        <v>13096</v>
      </c>
      <c r="E112" s="3" t="str">
        <f>VLOOKUP(B112,'Data availability'!$A$2:$H$91,8,FALSE)</f>
        <v>Auditorium</v>
      </c>
      <c r="F112" s="165">
        <f>N$111*VLOOKUP($A112,'Campus Totals'!$A$36:$B$47,2,FALSE)</f>
        <v>43802.556096989421</v>
      </c>
      <c r="G112" s="167"/>
      <c r="H112" s="170">
        <f>P$111*VLOOKUP(A112,'Campus Totals'!$A$36:$D$47,4,FALSE)</f>
        <v>1023.1164380200476</v>
      </c>
      <c r="I112" s="172"/>
      <c r="J112" s="167"/>
      <c r="K112" s="167"/>
      <c r="L112" s="169"/>
      <c r="M112" s="165"/>
      <c r="N112" s="1"/>
      <c r="O112" s="1"/>
      <c r="P112" s="1"/>
      <c r="Q112" s="1"/>
      <c r="R112" s="1"/>
      <c r="S112" s="1"/>
      <c r="T112" s="1"/>
      <c r="U112" s="1"/>
    </row>
    <row r="113" spans="1:23" x14ac:dyDescent="0.3">
      <c r="A113" s="3">
        <v>3</v>
      </c>
      <c r="B113" s="3" t="s">
        <v>419</v>
      </c>
      <c r="C113" s="3" t="str">
        <f>VLOOKUP(B113,'Data availability'!$A$2:$B$91,2,FALSE)</f>
        <v>Main campus</v>
      </c>
      <c r="D113" s="3">
        <f>VLOOKUP(B113,'Data availability'!$A$2:$G$91,7,FALSE)</f>
        <v>13096</v>
      </c>
      <c r="E113" s="3" t="str">
        <f>VLOOKUP(B113,'Data availability'!$A$2:$H$91,8,FALSE)</f>
        <v>Auditorium</v>
      </c>
      <c r="F113" s="165">
        <f>N$111*VLOOKUP($A113,'Campus Totals'!$A$36:$B$47,2,FALSE)</f>
        <v>34377.462944996842</v>
      </c>
      <c r="G113" s="167"/>
      <c r="H113" s="170">
        <f>P$111*VLOOKUP(A113,'Campus Totals'!$A$36:$D$47,4,FALSE)</f>
        <v>1893.6202535810025</v>
      </c>
      <c r="I113" s="172"/>
      <c r="J113" s="167"/>
      <c r="K113" s="167"/>
      <c r="L113" s="165"/>
      <c r="M113" s="165"/>
      <c r="N113" s="1"/>
      <c r="O113" s="1"/>
      <c r="P113" s="1"/>
      <c r="Q113" s="1"/>
      <c r="R113" s="1"/>
      <c r="S113" s="1"/>
      <c r="T113" s="1"/>
      <c r="U113" s="1"/>
    </row>
    <row r="114" spans="1:23" x14ac:dyDescent="0.3">
      <c r="A114" s="3">
        <v>4</v>
      </c>
      <c r="B114" s="3" t="s">
        <v>419</v>
      </c>
      <c r="C114" s="3" t="str">
        <f>VLOOKUP(B114,'Data availability'!$A$2:$B$91,2,FALSE)</f>
        <v>Main campus</v>
      </c>
      <c r="D114" s="3">
        <f>VLOOKUP(B114,'Data availability'!$A$2:$G$91,7,FALSE)</f>
        <v>13096</v>
      </c>
      <c r="E114" s="3" t="str">
        <f>VLOOKUP(B114,'Data availability'!$A$2:$H$91,8,FALSE)</f>
        <v>Auditorium</v>
      </c>
      <c r="F114" s="165">
        <f>N$111*VLOOKUP($A114,'Campus Totals'!$A$36:$B$47,2,FALSE)</f>
        <v>13239.641783873967</v>
      </c>
      <c r="G114" s="167"/>
      <c r="H114" s="170">
        <f>P$111*VLOOKUP(A114,'Campus Totals'!$A$36:$D$47,4,FALSE)</f>
        <v>1411.1496722695019</v>
      </c>
      <c r="I114" s="172"/>
      <c r="J114" s="167"/>
      <c r="K114" s="167"/>
      <c r="L114" s="165"/>
      <c r="M114" s="165"/>
      <c r="N114" s="1"/>
      <c r="O114" s="1"/>
      <c r="P114" s="1"/>
      <c r="Q114" s="1"/>
      <c r="R114" s="1"/>
      <c r="S114" s="1"/>
      <c r="T114" s="1"/>
      <c r="U114" s="1"/>
    </row>
    <row r="115" spans="1:23" x14ac:dyDescent="0.3">
      <c r="A115" s="3">
        <v>5</v>
      </c>
      <c r="B115" s="3" t="s">
        <v>419</v>
      </c>
      <c r="C115" s="3" t="str">
        <f>VLOOKUP(B115,'Data availability'!$A$2:$B$91,2,FALSE)</f>
        <v>Main campus</v>
      </c>
      <c r="D115" s="3">
        <f>VLOOKUP(B115,'Data availability'!$A$2:$G$91,7,FALSE)</f>
        <v>13096</v>
      </c>
      <c r="E115" s="3" t="str">
        <f>VLOOKUP(B115,'Data availability'!$A$2:$H$91,8,FALSE)</f>
        <v>Auditorium</v>
      </c>
      <c r="F115" s="165">
        <f>N$111*VLOOKUP($A115,'Campus Totals'!$A$36:$B$47,2,FALSE)</f>
        <v>23876.986562736416</v>
      </c>
      <c r="G115" s="167"/>
      <c r="H115" s="170">
        <f>P$111*VLOOKUP(A115,'Campus Totals'!$A$36:$D$47,4,FALSE)</f>
        <v>2878.5192880505274</v>
      </c>
      <c r="I115" s="172"/>
      <c r="J115" s="167"/>
      <c r="K115" s="167"/>
      <c r="L115" s="165"/>
      <c r="M115" s="165"/>
      <c r="N115" s="1"/>
      <c r="O115" s="1"/>
      <c r="P115" s="1"/>
      <c r="Q115" s="1"/>
      <c r="R115" s="1"/>
      <c r="S115" s="1"/>
      <c r="T115" s="1"/>
      <c r="U115" s="1"/>
    </row>
    <row r="116" spans="1:23" x14ac:dyDescent="0.3">
      <c r="A116" s="3">
        <v>6</v>
      </c>
      <c r="B116" s="3" t="s">
        <v>419</v>
      </c>
      <c r="C116" s="3" t="str">
        <f>VLOOKUP(B116,'Data availability'!$A$2:$B$91,2,FALSE)</f>
        <v>Main campus</v>
      </c>
      <c r="D116" s="3">
        <f>VLOOKUP(B116,'Data availability'!$A$2:$G$91,7,FALSE)</f>
        <v>13096</v>
      </c>
      <c r="E116" s="3" t="str">
        <f>VLOOKUP(B116,'Data availability'!$A$2:$H$91,8,FALSE)</f>
        <v>Auditorium</v>
      </c>
      <c r="F116" s="165">
        <f>N$111*VLOOKUP($A116,'Campus Totals'!$A$36:$B$47,2,FALSE)</f>
        <v>18906.029229911255</v>
      </c>
      <c r="G116" s="167"/>
      <c r="H116" s="170">
        <f>P$111*VLOOKUP(A116,'Campus Totals'!$A$36:$D$47,4,FALSE)</f>
        <v>2300.4341656345109</v>
      </c>
      <c r="I116" s="172"/>
      <c r="J116" s="167"/>
      <c r="K116" s="167"/>
      <c r="L116" s="165"/>
      <c r="M116" s="165"/>
      <c r="N116" s="1"/>
      <c r="O116" s="1"/>
      <c r="P116" s="1"/>
      <c r="Q116" s="1"/>
      <c r="R116" s="1"/>
      <c r="S116" s="1"/>
      <c r="T116" s="1"/>
      <c r="U116" s="1"/>
    </row>
    <row r="117" spans="1:23" x14ac:dyDescent="0.3">
      <c r="A117" s="3">
        <v>7</v>
      </c>
      <c r="B117" s="3" t="s">
        <v>419</v>
      </c>
      <c r="C117" s="3" t="str">
        <f>VLOOKUP(B117,'Data availability'!$A$2:$B$91,2,FALSE)</f>
        <v>Main campus</v>
      </c>
      <c r="D117" s="3">
        <f>VLOOKUP(B117,'Data availability'!$A$2:$G$91,7,FALSE)</f>
        <v>13096</v>
      </c>
      <c r="E117" s="3" t="str">
        <f>VLOOKUP(B117,'Data availability'!$A$2:$H$91,8,FALSE)</f>
        <v>Auditorium</v>
      </c>
      <c r="F117" s="165">
        <f>N$111*VLOOKUP($A117,'Campus Totals'!$A$36:$B$47,2,FALSE)</f>
        <v>6383.0272413444691</v>
      </c>
      <c r="G117" s="167"/>
      <c r="H117" s="170">
        <f>P$111*VLOOKUP(A117,'Campus Totals'!$A$36:$D$47,4,FALSE)</f>
        <v>1779.3692452491837</v>
      </c>
      <c r="I117" s="172"/>
      <c r="J117" s="167"/>
      <c r="K117" s="167"/>
      <c r="L117" s="165"/>
      <c r="M117" s="165"/>
      <c r="N117" s="1"/>
      <c r="O117" s="1"/>
      <c r="P117" s="1"/>
      <c r="Q117" s="1"/>
      <c r="R117" s="1"/>
      <c r="S117" s="1"/>
      <c r="T117" s="1"/>
      <c r="U117" s="1"/>
    </row>
    <row r="118" spans="1:23" x14ac:dyDescent="0.3">
      <c r="A118" s="3">
        <v>8</v>
      </c>
      <c r="B118" s="3" t="s">
        <v>419</v>
      </c>
      <c r="C118" s="3" t="str">
        <f>VLOOKUP(B118,'Data availability'!$A$2:$B$91,2,FALSE)</f>
        <v>Main campus</v>
      </c>
      <c r="D118" s="3">
        <f>VLOOKUP(B118,'Data availability'!$A$2:$G$91,7,FALSE)</f>
        <v>13096</v>
      </c>
      <c r="E118" s="3" t="str">
        <f>VLOOKUP(B118,'Data availability'!$A$2:$H$91,8,FALSE)</f>
        <v>Auditorium</v>
      </c>
      <c r="F118" s="165">
        <f>N$111*VLOOKUP($A118,'Campus Totals'!$A$36:$B$47,2,FALSE)</f>
        <v>17512.007302509701</v>
      </c>
      <c r="G118" s="167"/>
      <c r="H118" s="170">
        <f>P$111*VLOOKUP(A118,'Campus Totals'!$A$36:$D$47,4,FALSE)</f>
        <v>2196.6748901546584</v>
      </c>
      <c r="I118" s="172"/>
      <c r="J118" s="167"/>
      <c r="K118" s="167"/>
      <c r="L118" s="165"/>
      <c r="M118" s="165"/>
      <c r="N118" s="1"/>
      <c r="O118" s="1"/>
      <c r="P118" s="1"/>
      <c r="Q118" s="1"/>
      <c r="R118" s="1"/>
      <c r="S118" s="1"/>
      <c r="T118" s="1"/>
      <c r="U118" s="1"/>
    </row>
    <row r="119" spans="1:23" x14ac:dyDescent="0.3">
      <c r="A119" s="3">
        <v>9</v>
      </c>
      <c r="B119" s="3" t="s">
        <v>419</v>
      </c>
      <c r="C119" s="3" t="str">
        <f>VLOOKUP(B119,'Data availability'!$A$2:$B$91,2,FALSE)</f>
        <v>Main campus</v>
      </c>
      <c r="D119" s="3">
        <f>VLOOKUP(B119,'Data availability'!$A$2:$G$91,7,FALSE)</f>
        <v>13096</v>
      </c>
      <c r="E119" s="3" t="str">
        <f>VLOOKUP(B119,'Data availability'!$A$2:$H$91,8,FALSE)</f>
        <v>Auditorium</v>
      </c>
      <c r="F119" s="165">
        <f>N$111*VLOOKUP($A119,'Campus Totals'!$A$36:$B$47,2,FALSE)</f>
        <v>5129.5273681816461</v>
      </c>
      <c r="G119" s="167"/>
      <c r="H119" s="170">
        <f>P$111*VLOOKUP(A119,'Campus Totals'!$A$36:$D$47,4,FALSE)</f>
        <v>1506.4471144368747</v>
      </c>
      <c r="I119" s="172"/>
      <c r="J119" s="167"/>
      <c r="K119" s="167"/>
      <c r="L119" s="165"/>
      <c r="M119" s="165"/>
      <c r="N119" s="1"/>
      <c r="O119" s="1"/>
      <c r="P119" s="1"/>
      <c r="Q119" s="1"/>
      <c r="R119" s="1"/>
      <c r="S119" s="1"/>
      <c r="T119" s="1"/>
      <c r="U119" s="1"/>
    </row>
    <row r="120" spans="1:23" x14ac:dyDescent="0.3">
      <c r="A120" s="3">
        <v>10</v>
      </c>
      <c r="B120" s="3" t="s">
        <v>419</v>
      </c>
      <c r="C120" s="3" t="str">
        <f>VLOOKUP(B120,'Data availability'!$A$2:$B$91,2,FALSE)</f>
        <v>Main campus</v>
      </c>
      <c r="D120" s="3">
        <f>VLOOKUP(B120,'Data availability'!$A$2:$G$91,7,FALSE)</f>
        <v>13096</v>
      </c>
      <c r="E120" s="3" t="str">
        <f>VLOOKUP(B120,'Data availability'!$A$2:$H$91,8,FALSE)</f>
        <v>Auditorium</v>
      </c>
      <c r="F120" s="165">
        <f>N$111*VLOOKUP($A120,'Campus Totals'!$A$36:$B$47,2,FALSE)</f>
        <v>7695.8919125414513</v>
      </c>
      <c r="G120" s="167"/>
      <c r="H120" s="170">
        <f>P$111*VLOOKUP(A120,'Campus Totals'!$A$36:$D$47,4,FALSE)</f>
        <v>800.51929347816986</v>
      </c>
      <c r="I120" s="172"/>
      <c r="J120" s="167"/>
      <c r="K120" s="167"/>
      <c r="L120" s="165"/>
      <c r="M120" s="165"/>
      <c r="N120" s="1"/>
      <c r="O120" s="1"/>
      <c r="P120" s="1"/>
      <c r="Q120" s="1"/>
      <c r="R120" s="1"/>
      <c r="S120" s="1"/>
      <c r="T120" s="1"/>
      <c r="U120" s="1"/>
    </row>
    <row r="121" spans="1:23" x14ac:dyDescent="0.3">
      <c r="A121" s="3">
        <v>11</v>
      </c>
      <c r="B121" s="3" t="s">
        <v>419</v>
      </c>
      <c r="C121" s="3" t="str">
        <f>VLOOKUP(B121,'Data availability'!$A$2:$B$91,2,FALSE)</f>
        <v>Main campus</v>
      </c>
      <c r="D121" s="3">
        <f>VLOOKUP(B121,'Data availability'!$A$2:$G$91,7,FALSE)</f>
        <v>13096</v>
      </c>
      <c r="E121" s="3" t="str">
        <f>VLOOKUP(B121,'Data availability'!$A$2:$H$91,8,FALSE)</f>
        <v>Auditorium</v>
      </c>
      <c r="F121" s="165">
        <f>N$111*VLOOKUP($A121,'Campus Totals'!$A$36:$B$47,2,FALSE)</f>
        <v>12580.709329220696</v>
      </c>
      <c r="G121" s="167"/>
      <c r="H121" s="170">
        <f>P$111*VLOOKUP(A121,'Campus Totals'!$A$36:$D$47,4,FALSE)</f>
        <v>640.26475133719646</v>
      </c>
      <c r="I121" s="172"/>
      <c r="J121" s="167"/>
      <c r="K121" s="167"/>
      <c r="L121" s="165"/>
      <c r="M121" s="165"/>
      <c r="N121" s="1"/>
      <c r="O121" s="1"/>
      <c r="P121" s="1"/>
      <c r="Q121" s="1"/>
      <c r="R121" s="1"/>
      <c r="S121" s="1"/>
      <c r="T121" s="1"/>
      <c r="U121" s="1"/>
    </row>
    <row r="122" spans="1:23" s="69" customFormat="1" x14ac:dyDescent="0.3">
      <c r="A122" s="64">
        <v>12</v>
      </c>
      <c r="B122" s="64" t="s">
        <v>419</v>
      </c>
      <c r="C122" s="64" t="str">
        <f>VLOOKUP(B122,'Data availability'!$A$2:$B$91,2,FALSE)</f>
        <v>Main campus</v>
      </c>
      <c r="D122" s="64">
        <f>VLOOKUP(B122,'Data availability'!$A$2:$G$91,7,FALSE)</f>
        <v>13096</v>
      </c>
      <c r="E122" s="64" t="str">
        <f>VLOOKUP(B122,'Data availability'!$A$2:$H$91,8,FALSE)</f>
        <v>Auditorium</v>
      </c>
      <c r="F122" s="165">
        <f>N$111*VLOOKUP($A122,'Campus Totals'!$A$36:$B$47,2,FALSE)</f>
        <v>9048.6499390086283</v>
      </c>
      <c r="G122" s="168"/>
      <c r="H122" s="170">
        <f>P$111*VLOOKUP(A122,'Campus Totals'!$A$36:$D$47,4,FALSE)</f>
        <v>666.12503045965002</v>
      </c>
      <c r="I122" s="173"/>
      <c r="J122" s="168"/>
      <c r="K122" s="168"/>
      <c r="L122" s="166"/>
      <c r="M122" s="165"/>
      <c r="N122" s="66"/>
      <c r="O122" s="66"/>
      <c r="P122" s="66"/>
      <c r="Q122" s="66"/>
      <c r="R122" s="66"/>
      <c r="S122" s="66"/>
      <c r="T122" s="66"/>
      <c r="U122" s="66"/>
    </row>
    <row r="123" spans="1:23" x14ac:dyDescent="0.3">
      <c r="A123" s="3">
        <v>1</v>
      </c>
      <c r="B123" s="3" t="s">
        <v>421</v>
      </c>
      <c r="C123" s="3" t="str">
        <f>VLOOKUP(B123,'Data availability'!$A$2:$B$91,2,FALSE)</f>
        <v>Main campus</v>
      </c>
      <c r="D123" s="3">
        <f>VLOOKUP(B123,'Data availability'!$A$2:$G$91,7,FALSE)</f>
        <v>25391</v>
      </c>
      <c r="E123" s="3" t="str">
        <f>VLOOKUP(B123,'Data availability'!$A$2:$H$91,8,FALSE)</f>
        <v>Office</v>
      </c>
      <c r="F123" s="165">
        <f>N$123*VLOOKUP($A123,'Campus Totals'!$A$36:$B$47,2,FALSE)</f>
        <v>57856.945349361551</v>
      </c>
      <c r="G123" s="167"/>
      <c r="H123" s="170">
        <f>P$123*VLOOKUP(A123,'Campus Totals'!$A$36:$D$47,4,FALSE)</f>
        <v>30.313569803414062</v>
      </c>
      <c r="I123" s="170">
        <f>Q$123*VLOOKUP($A123,'Campus Totals'!$A$36:$E$47,5,FALSE)</f>
        <v>6825.7185679851218</v>
      </c>
      <c r="J123" s="165">
        <f>INDEX('BPD vs SJSU EUIs'!$J$4:$J$17, MATCH($E123, 'BPD vs SJSU EUIs'!$A$4:$A$17, 0))*D123</f>
        <v>912035.49865644739</v>
      </c>
      <c r="K123" s="167"/>
      <c r="L123" s="165">
        <f>INDEX('BPD vs SJSU EUIs'!$P$4:$P$17, MATCH($E123, 'BPD vs SJSU EUIs'!$A$4:$A$17, 0))*D123</f>
        <v>513248.89942749863</v>
      </c>
      <c r="M123" s="165">
        <f>INDEX('BPD vs SJSU EUIs'!$S$4:$S$17, MATCH($E123, 'BPD vs SJSU EUIs'!$A$4:$A$17, 0))*$D123</f>
        <v>348037.75138886942</v>
      </c>
      <c r="N123" s="1">
        <f>$J123/SUM($J$4:$J$124)</f>
        <v>0.26396803921710293</v>
      </c>
      <c r="O123" s="1"/>
      <c r="P123" s="1">
        <f>$L123/SUM($L$3:$L$135)</f>
        <v>0.10213601891101456</v>
      </c>
      <c r="Q123" s="1">
        <f>$M123/SUM($M$3:$M$123)</f>
        <v>8.1715716815138395E-2</v>
      </c>
      <c r="R123" s="1">
        <f>SUM(F123:F134)*3.412/D123</f>
        <v>60.774309843378667</v>
      </c>
      <c r="S123" s="1">
        <f>SUM(H123:H134)*100/D123</f>
        <v>132.06050780239914</v>
      </c>
      <c r="T123" s="1">
        <f>SUM(I123:I134)*12/D123</f>
        <v>49.940121009590172</v>
      </c>
      <c r="U123" s="1">
        <f>SUM(R123:T123)</f>
        <v>242.77493865536798</v>
      </c>
      <c r="W123" s="194">
        <f>L123/100-SUM(H123:H134)</f>
        <v>-28398.99454183218</v>
      </c>
    </row>
    <row r="124" spans="1:23" x14ac:dyDescent="0.3">
      <c r="A124" s="3">
        <v>2</v>
      </c>
      <c r="B124" s="3" t="s">
        <v>421</v>
      </c>
      <c r="C124" s="3" t="str">
        <f>VLOOKUP(B124,'Data availability'!$A$2:$B$91,2,FALSE)</f>
        <v>Main campus</v>
      </c>
      <c r="D124" s="3">
        <f>VLOOKUP(B124,'Data availability'!$A$2:$G$91,7,FALSE)</f>
        <v>25391</v>
      </c>
      <c r="E124" s="3" t="str">
        <f>VLOOKUP(B124,'Data availability'!$A$2:$H$91,8,FALSE)</f>
        <v>Office</v>
      </c>
      <c r="F124" s="165">
        <f>N$123*VLOOKUP($A124,'Campus Totals'!$A$36:$B$47,2,FALSE)</f>
        <v>89720.898371179253</v>
      </c>
      <c r="G124" s="167"/>
      <c r="H124" s="170">
        <f>P$123*VLOOKUP(A124,'Campus Totals'!$A$36:$D$47,4,FALSE)</f>
        <v>2004.8617356443644</v>
      </c>
      <c r="I124" s="170">
        <f>Q$123*VLOOKUP($A124,'Campus Totals'!$A$36:$E$47,5,FALSE)</f>
        <v>4336.2828235560519</v>
      </c>
      <c r="J124" s="167"/>
      <c r="K124" s="167"/>
      <c r="L124" s="165"/>
      <c r="M124" s="165"/>
      <c r="N124" s="1"/>
      <c r="O124" s="1"/>
      <c r="P124" s="1"/>
      <c r="Q124" s="1"/>
      <c r="R124" s="1"/>
      <c r="S124" s="1"/>
      <c r="T124" s="1"/>
      <c r="U124" s="1"/>
    </row>
    <row r="125" spans="1:23" x14ac:dyDescent="0.3">
      <c r="A125" s="3">
        <v>3</v>
      </c>
      <c r="B125" s="3" t="s">
        <v>421</v>
      </c>
      <c r="C125" s="3" t="str">
        <f>VLOOKUP(B125,'Data availability'!$A$2:$B$91,2,FALSE)</f>
        <v>Main campus</v>
      </c>
      <c r="D125" s="3">
        <f>VLOOKUP(B125,'Data availability'!$A$2:$G$91,7,FALSE)</f>
        <v>25391</v>
      </c>
      <c r="E125" s="3" t="str">
        <f>VLOOKUP(B125,'Data availability'!$A$2:$H$91,8,FALSE)</f>
        <v>Office</v>
      </c>
      <c r="F125" s="165">
        <f>N$123*VLOOKUP($A125,'Campus Totals'!$A$36:$B$47,2,FALSE)</f>
        <v>70415.453662509739</v>
      </c>
      <c r="G125" s="167"/>
      <c r="H125" s="170">
        <f>P$123*VLOOKUP(A125,'Campus Totals'!$A$36:$D$47,4,FALSE)</f>
        <v>3710.6693306508491</v>
      </c>
      <c r="I125" s="170">
        <f>Q$123*VLOOKUP($A125,'Campus Totals'!$A$36:$E$47,5,FALSE)</f>
        <v>5180.5403516060123</v>
      </c>
      <c r="J125" s="167"/>
      <c r="K125" s="167"/>
      <c r="L125" s="165"/>
      <c r="M125" s="165"/>
      <c r="N125" s="1"/>
      <c r="O125" s="1"/>
      <c r="P125" s="1"/>
      <c r="Q125" s="1"/>
      <c r="R125" s="1"/>
      <c r="S125" s="1"/>
      <c r="T125" s="1"/>
      <c r="U125" s="1"/>
    </row>
    <row r="126" spans="1:23" x14ac:dyDescent="0.3">
      <c r="A126" s="3">
        <v>4</v>
      </c>
      <c r="B126" s="3" t="s">
        <v>421</v>
      </c>
      <c r="C126" s="3" t="str">
        <f>VLOOKUP(B126,'Data availability'!$A$2:$B$91,2,FALSE)</f>
        <v>Main campus</v>
      </c>
      <c r="D126" s="3">
        <f>VLOOKUP(B126,'Data availability'!$A$2:$G$91,7,FALSE)</f>
        <v>25391</v>
      </c>
      <c r="E126" s="3" t="str">
        <f>VLOOKUP(B126,'Data availability'!$A$2:$H$91,8,FALSE)</f>
        <v>Office</v>
      </c>
      <c r="F126" s="165">
        <f>N$123*VLOOKUP($A126,'Campus Totals'!$A$36:$B$47,2,FALSE)</f>
        <v>27118.795358232936</v>
      </c>
      <c r="G126" s="167"/>
      <c r="H126" s="170">
        <f>P$123*VLOOKUP(A126,'Campus Totals'!$A$36:$D$47,4,FALSE)</f>
        <v>2765.2375390187735</v>
      </c>
      <c r="I126" s="170">
        <f>Q$123*VLOOKUP($A126,'Campus Totals'!$A$36:$E$47,5,FALSE)</f>
        <v>12918.126143379153</v>
      </c>
      <c r="J126" s="167"/>
      <c r="K126" s="167"/>
      <c r="L126" s="165"/>
      <c r="M126" s="165"/>
      <c r="N126" s="1"/>
      <c r="O126" s="1"/>
      <c r="P126" s="1"/>
      <c r="Q126" s="1"/>
      <c r="R126" s="1"/>
      <c r="S126" s="1"/>
      <c r="T126" s="1"/>
      <c r="U126" s="1"/>
    </row>
    <row r="127" spans="1:23" x14ac:dyDescent="0.3">
      <c r="A127" s="3">
        <v>5</v>
      </c>
      <c r="B127" s="3" t="s">
        <v>421</v>
      </c>
      <c r="C127" s="3" t="str">
        <f>VLOOKUP(B127,'Data availability'!$A$2:$B$91,2,FALSE)</f>
        <v>Main campus</v>
      </c>
      <c r="D127" s="3">
        <f>VLOOKUP(B127,'Data availability'!$A$2:$G$91,7,FALSE)</f>
        <v>25391</v>
      </c>
      <c r="E127" s="3" t="str">
        <f>VLOOKUP(B127,'Data availability'!$A$2:$H$91,8,FALSE)</f>
        <v>Office</v>
      </c>
      <c r="F127" s="165">
        <f>N$123*VLOOKUP($A127,'Campus Totals'!$A$36:$B$47,2,FALSE)</f>
        <v>48907.29847047729</v>
      </c>
      <c r="G127" s="167"/>
      <c r="H127" s="170">
        <f>P$123*VLOOKUP(A127,'Campus Totals'!$A$36:$D$47,4,FALSE)</f>
        <v>5640.6416332191511</v>
      </c>
      <c r="I127" s="170">
        <f>Q$123*VLOOKUP($A127,'Campus Totals'!$A$36:$E$47,5,FALSE)</f>
        <v>10009.648110481588</v>
      </c>
      <c r="J127" s="167"/>
      <c r="K127" s="167"/>
      <c r="L127" s="165"/>
      <c r="M127" s="165"/>
      <c r="N127" s="1"/>
      <c r="O127" s="1"/>
      <c r="P127" s="1"/>
      <c r="Q127" s="1"/>
      <c r="R127" s="1"/>
      <c r="S127" s="1"/>
      <c r="T127" s="1"/>
      <c r="U127" s="1"/>
    </row>
    <row r="128" spans="1:23" x14ac:dyDescent="0.3">
      <c r="A128" s="3">
        <v>6</v>
      </c>
      <c r="B128" s="3" t="s">
        <v>421</v>
      </c>
      <c r="C128" s="3" t="str">
        <f>VLOOKUP(B128,'Data availability'!$A$2:$B$91,2,FALSE)</f>
        <v>Main campus</v>
      </c>
      <c r="D128" s="3">
        <f>VLOOKUP(B128,'Data availability'!$A$2:$G$91,7,FALSE)</f>
        <v>25391</v>
      </c>
      <c r="E128" s="3" t="str">
        <f>VLOOKUP(B128,'Data availability'!$A$2:$H$91,8,FALSE)</f>
        <v>Office</v>
      </c>
      <c r="F128" s="165">
        <f>N$123*VLOOKUP($A128,'Campus Totals'!$A$36:$B$47,2,FALSE)</f>
        <v>38725.272638963594</v>
      </c>
      <c r="G128" s="167"/>
      <c r="H128" s="170">
        <f>P$123*VLOOKUP(A128,'Campus Totals'!$A$36:$D$47,4,FALSE)</f>
        <v>4507.8470667277361</v>
      </c>
      <c r="I128" s="170">
        <f>Q$123*VLOOKUP($A128,'Campus Totals'!$A$36:$E$47,5,FALSE)</f>
        <v>5645.735480360313</v>
      </c>
      <c r="J128" s="167"/>
      <c r="K128" s="167"/>
      <c r="L128" s="165"/>
      <c r="M128" s="165"/>
      <c r="N128" s="1"/>
      <c r="O128" s="1"/>
      <c r="P128" s="1"/>
      <c r="Q128" s="1"/>
      <c r="R128" s="1"/>
      <c r="S128" s="1"/>
      <c r="T128" s="1"/>
      <c r="U128" s="1"/>
    </row>
    <row r="129" spans="1:23" x14ac:dyDescent="0.3">
      <c r="A129" s="3">
        <v>7</v>
      </c>
      <c r="B129" s="3" t="s">
        <v>421</v>
      </c>
      <c r="C129" s="3" t="str">
        <f>VLOOKUP(B129,'Data availability'!$A$2:$B$91,2,FALSE)</f>
        <v>Main campus</v>
      </c>
      <c r="D129" s="3">
        <f>VLOOKUP(B129,'Data availability'!$A$2:$G$91,7,FALSE)</f>
        <v>25391</v>
      </c>
      <c r="E129" s="3" t="str">
        <f>VLOOKUP(B129,'Data availability'!$A$2:$H$91,8,FALSE)</f>
        <v>Office</v>
      </c>
      <c r="F129" s="165">
        <f>N$123*VLOOKUP($A129,'Campus Totals'!$A$36:$B$47,2,FALSE)</f>
        <v>13074.372581204163</v>
      </c>
      <c r="G129" s="167"/>
      <c r="H129" s="170">
        <f>P$123*VLOOKUP(A129,'Campus Totals'!$A$36:$D$47,4,FALSE)</f>
        <v>3486.7872128866916</v>
      </c>
      <c r="I129" s="170">
        <f>Q$123*VLOOKUP($A129,'Campus Totals'!$A$36:$E$47,5,FALSE)</f>
        <v>16450.502280351058</v>
      </c>
      <c r="J129" s="167"/>
      <c r="K129" s="167"/>
      <c r="L129" s="165"/>
      <c r="M129" s="165"/>
      <c r="N129" s="1"/>
      <c r="O129" s="1"/>
      <c r="P129" s="1"/>
      <c r="Q129" s="1"/>
      <c r="R129" s="1"/>
      <c r="S129" s="1"/>
      <c r="T129" s="1"/>
      <c r="U129" s="1"/>
    </row>
    <row r="130" spans="1:23" x14ac:dyDescent="0.3">
      <c r="A130" s="3">
        <v>8</v>
      </c>
      <c r="B130" s="3" t="s">
        <v>421</v>
      </c>
      <c r="C130" s="3" t="str">
        <f>VLOOKUP(B130,'Data availability'!$A$2:$B$91,2,FALSE)</f>
        <v>Main campus</v>
      </c>
      <c r="D130" s="3">
        <f>VLOOKUP(B130,'Data availability'!$A$2:$G$91,7,FALSE)</f>
        <v>25391</v>
      </c>
      <c r="E130" s="3" t="str">
        <f>VLOOKUP(B130,'Data availability'!$A$2:$H$91,8,FALSE)</f>
        <v>Office</v>
      </c>
      <c r="F130" s="165">
        <f>N$123*VLOOKUP($A130,'Campus Totals'!$A$36:$B$47,2,FALSE)</f>
        <v>35869.893619560047</v>
      </c>
      <c r="G130" s="167"/>
      <c r="H130" s="170">
        <f>P$123*VLOOKUP(A130,'Campus Totals'!$A$36:$D$47,4,FALSE)</f>
        <v>4304.5241668139124</v>
      </c>
      <c r="I130" s="170">
        <f>Q$123*VLOOKUP($A130,'Campus Totals'!$A$36:$E$47,5,FALSE)</f>
        <v>-1644.2913848775952</v>
      </c>
      <c r="J130" s="167"/>
      <c r="K130" s="167"/>
      <c r="L130" s="165"/>
      <c r="M130" s="165"/>
      <c r="N130" s="1"/>
      <c r="O130" s="1"/>
      <c r="P130" s="1"/>
      <c r="Q130" s="1"/>
      <c r="R130" s="1"/>
      <c r="S130" s="1"/>
      <c r="T130" s="1"/>
      <c r="U130" s="1"/>
    </row>
    <row r="131" spans="1:23" x14ac:dyDescent="0.3">
      <c r="A131" s="3">
        <v>9</v>
      </c>
      <c r="B131" s="3" t="s">
        <v>421</v>
      </c>
      <c r="C131" s="3" t="str">
        <f>VLOOKUP(B131,'Data availability'!$A$2:$B$91,2,FALSE)</f>
        <v>Main campus</v>
      </c>
      <c r="D131" s="3">
        <f>VLOOKUP(B131,'Data availability'!$A$2:$G$91,7,FALSE)</f>
        <v>25391</v>
      </c>
      <c r="E131" s="3" t="str">
        <f>VLOOKUP(B131,'Data availability'!$A$2:$H$91,8,FALSE)</f>
        <v>Office</v>
      </c>
      <c r="F131" s="165">
        <f>N$123*VLOOKUP($A131,'Campus Totals'!$A$36:$B$47,2,FALSE)</f>
        <v>10506.825279185925</v>
      </c>
      <c r="G131" s="167"/>
      <c r="H131" s="170">
        <f>P$123*VLOOKUP(A131,'Campus Totals'!$A$36:$D$47,4,FALSE)</f>
        <v>2951.9789383416955</v>
      </c>
      <c r="I131" s="170">
        <f>Q$123*VLOOKUP($A131,'Campus Totals'!$A$36:$E$47,5,FALSE)</f>
        <v>12125.524532750282</v>
      </c>
      <c r="J131" s="167"/>
      <c r="K131" s="167"/>
      <c r="L131" s="165"/>
      <c r="M131" s="165"/>
      <c r="N131" s="1"/>
      <c r="O131" s="1"/>
      <c r="P131" s="1"/>
      <c r="Q131" s="1"/>
      <c r="R131" s="1"/>
      <c r="S131" s="1"/>
      <c r="T131" s="1"/>
      <c r="U131" s="1"/>
    </row>
    <row r="132" spans="1:23" x14ac:dyDescent="0.3">
      <c r="A132" s="3">
        <v>10</v>
      </c>
      <c r="B132" s="3" t="s">
        <v>421</v>
      </c>
      <c r="C132" s="3" t="str">
        <f>VLOOKUP(B132,'Data availability'!$A$2:$B$91,2,FALSE)</f>
        <v>Main campus</v>
      </c>
      <c r="D132" s="3">
        <f>VLOOKUP(B132,'Data availability'!$A$2:$G$91,7,FALSE)</f>
        <v>25391</v>
      </c>
      <c r="E132" s="3" t="str">
        <f>VLOOKUP(B132,'Data availability'!$A$2:$H$91,8,FALSE)</f>
        <v>Office</v>
      </c>
      <c r="F132" s="165">
        <f>N$123*VLOOKUP($A132,'Campus Totals'!$A$36:$B$47,2,FALSE)</f>
        <v>15763.516965352832</v>
      </c>
      <c r="G132" s="167"/>
      <c r="H132" s="170">
        <f>P$123*VLOOKUP(A132,'Campus Totals'!$A$36:$D$47,4,FALSE)</f>
        <v>1568.6684726181636</v>
      </c>
      <c r="I132" s="170">
        <f>Q$123*VLOOKUP($A132,'Campus Totals'!$A$36:$E$47,5,FALSE)</f>
        <v>12493.365050006842</v>
      </c>
      <c r="J132" s="167"/>
      <c r="K132" s="167"/>
      <c r="L132" s="165"/>
      <c r="M132" s="165"/>
      <c r="N132" s="1"/>
      <c r="O132" s="1"/>
      <c r="P132" s="1"/>
      <c r="Q132" s="1"/>
      <c r="R132" s="1"/>
      <c r="S132" s="1"/>
      <c r="T132" s="1"/>
      <c r="U132" s="1"/>
    </row>
    <row r="133" spans="1:23" x14ac:dyDescent="0.3">
      <c r="A133" s="3">
        <v>11</v>
      </c>
      <c r="B133" s="3" t="s">
        <v>421</v>
      </c>
      <c r="C133" s="3" t="str">
        <f>VLOOKUP(B133,'Data availability'!$A$2:$B$91,2,FALSE)</f>
        <v>Main campus</v>
      </c>
      <c r="D133" s="3">
        <f>VLOOKUP(B133,'Data availability'!$A$2:$G$91,7,FALSE)</f>
        <v>25391</v>
      </c>
      <c r="E133" s="3" t="str">
        <f>VLOOKUP(B133,'Data availability'!$A$2:$H$91,8,FALSE)</f>
        <v>Office</v>
      </c>
      <c r="F133" s="165">
        <f>N$123*VLOOKUP($A133,'Campus Totals'!$A$36:$B$47,2,FALSE)</f>
        <v>25769.102165294338</v>
      </c>
      <c r="G133" s="167"/>
      <c r="H133" s="170">
        <f>P$123*VLOOKUP(A133,'Campus Totals'!$A$36:$D$47,4,FALSE)</f>
        <v>1254.6395042991644</v>
      </c>
      <c r="I133" s="170">
        <f>Q$123*VLOOKUP($A133,'Campus Totals'!$A$36:$E$47,5,FALSE)</f>
        <v>11891.553061553426</v>
      </c>
      <c r="J133" s="167"/>
      <c r="K133" s="167"/>
      <c r="L133" s="165"/>
      <c r="M133" s="165"/>
      <c r="N133" s="1"/>
      <c r="O133" s="1"/>
      <c r="P133" s="1"/>
      <c r="Q133" s="1"/>
      <c r="R133" s="1"/>
      <c r="S133" s="1"/>
      <c r="T133" s="1"/>
      <c r="U133" s="1"/>
    </row>
    <row r="134" spans="1:23" x14ac:dyDescent="0.3">
      <c r="A134" s="3">
        <v>12</v>
      </c>
      <c r="B134" s="3" t="s">
        <v>421</v>
      </c>
      <c r="C134" s="3" t="str">
        <f>VLOOKUP(B134,'Data availability'!$A$2:$B$91,2,FALSE)</f>
        <v>Main campus</v>
      </c>
      <c r="D134" s="3">
        <f>VLOOKUP(B134,'Data availability'!$A$2:$G$91,7,FALSE)</f>
        <v>25391</v>
      </c>
      <c r="E134" s="3" t="str">
        <f>VLOOKUP(B134,'Data availability'!$A$2:$H$91,8,FALSE)</f>
        <v>Office</v>
      </c>
      <c r="F134" s="165">
        <f>N$123*VLOOKUP($A134,'Campus Totals'!$A$36:$B$47,2,FALSE)</f>
        <v>18534.375020867094</v>
      </c>
      <c r="G134" s="167"/>
      <c r="H134" s="170">
        <f>P$123*VLOOKUP(A134,'Campus Totals'!$A$36:$D$47,4,FALSE)</f>
        <v>1305.3143660832482</v>
      </c>
      <c r="I134" s="170">
        <f>Q$123*VLOOKUP($A134,'Campus Totals'!$A$36:$E$47,5,FALSE)</f>
        <v>9436.4293623897556</v>
      </c>
      <c r="J134" s="167"/>
      <c r="K134" s="167"/>
      <c r="L134" s="165"/>
      <c r="M134" s="165"/>
      <c r="N134" s="1"/>
      <c r="O134" s="1"/>
      <c r="P134" s="1"/>
      <c r="Q134" s="1"/>
      <c r="R134" s="1"/>
      <c r="S134" s="1"/>
      <c r="T134" s="1"/>
      <c r="U134" s="1"/>
    </row>
    <row r="135" spans="1:23" x14ac:dyDescent="0.3">
      <c r="A135" s="3">
        <v>1</v>
      </c>
      <c r="B135" s="22" t="s">
        <v>158</v>
      </c>
      <c r="C135" s="3" t="str">
        <f>VLOOKUP(B135,'Data availability'!$A$2:$B$91,2,FALSE)</f>
        <v>Main campus</v>
      </c>
      <c r="D135" s="3">
        <f>VLOOKUP(B135,'Data availability'!$A$2:$G$91,7,FALSE)</f>
        <v>73315</v>
      </c>
      <c r="E135" s="3" t="str">
        <f>VLOOKUP(B135,'Data availability'!$A$2:$H$91,8,FALSE)</f>
        <v>Academic</v>
      </c>
      <c r="F135" s="1"/>
      <c r="G135" s="1"/>
      <c r="H135" s="170">
        <f>P$135*VLOOKUP(A135,'Campus Totals'!$A$36:$D$47,4,FALSE)</f>
        <v>145.91025010887179</v>
      </c>
      <c r="I135" s="1"/>
      <c r="J135" s="1"/>
      <c r="K135" s="1"/>
      <c r="L135" s="165">
        <f>INDEX('BPD vs SJSU EUIs'!$P$4:$P$17, MATCH($E135, 'BPD vs SJSU EUIs'!$A$4:$A$17, 0))*D135</f>
        <v>2470453.8518302529</v>
      </c>
      <c r="M135" s="1"/>
      <c r="N135" s="1"/>
      <c r="O135" s="1"/>
      <c r="P135" s="1">
        <f>$L135/SUM($L$3:$L$135)</f>
        <v>0.49161785171049638</v>
      </c>
      <c r="Q135" s="1"/>
      <c r="R135" s="1"/>
      <c r="S135" s="1">
        <f>SUM(H135:H146)*100/D135</f>
        <v>220.14490991367967</v>
      </c>
      <c r="T135" s="1"/>
      <c r="U135" s="1"/>
      <c r="W135" s="194">
        <f>L135/100-SUM(H135:H146)</f>
        <v>-136694.70218491173</v>
      </c>
    </row>
    <row r="136" spans="1:23" x14ac:dyDescent="0.3">
      <c r="A136" s="3">
        <v>2</v>
      </c>
      <c r="B136" s="3" t="s">
        <v>158</v>
      </c>
      <c r="C136" s="3" t="str">
        <f>VLOOKUP(B136,'Data availability'!$A$2:$B$91,2,FALSE)</f>
        <v>Main campus</v>
      </c>
      <c r="D136" s="3">
        <f>VLOOKUP(B136,'Data availability'!$A$2:$G$91,7,FALSE)</f>
        <v>73315</v>
      </c>
      <c r="E136" s="3" t="str">
        <f>VLOOKUP(B136,'Data availability'!$A$2:$H$91,8,FALSE)</f>
        <v>Academic</v>
      </c>
      <c r="F136" s="1"/>
      <c r="G136" s="1"/>
      <c r="H136" s="170">
        <f>P$135*VLOOKUP(A136,'Campus Totals'!$A$36:$D$47,4,FALSE)</f>
        <v>9650.1296013190076</v>
      </c>
      <c r="I136" s="1"/>
      <c r="J136" s="1"/>
      <c r="K136" s="1"/>
      <c r="L136" s="1"/>
      <c r="M136" s="1"/>
      <c r="N136" s="1"/>
      <c r="O136" s="1"/>
      <c r="P136" s="1"/>
      <c r="Q136" s="1"/>
      <c r="R136" s="1"/>
      <c r="S136" s="1"/>
      <c r="T136" s="1"/>
      <c r="U136" s="1"/>
    </row>
    <row r="137" spans="1:23" x14ac:dyDescent="0.3">
      <c r="A137" s="3">
        <v>3</v>
      </c>
      <c r="B137" s="3" t="s">
        <v>158</v>
      </c>
      <c r="C137" s="3" t="str">
        <f>VLOOKUP(B137,'Data availability'!$A$2:$B$91,2,FALSE)</f>
        <v>Main campus</v>
      </c>
      <c r="D137" s="3">
        <f>VLOOKUP(B137,'Data availability'!$A$2:$G$91,7,FALSE)</f>
        <v>73315</v>
      </c>
      <c r="E137" s="3" t="str">
        <f>VLOOKUP(B137,'Data availability'!$A$2:$H$91,8,FALSE)</f>
        <v>Academic</v>
      </c>
      <c r="F137" s="1"/>
      <c r="G137" s="1"/>
      <c r="H137" s="170">
        <f>P$135*VLOOKUP(A137,'Campus Totals'!$A$36:$D$47,4,FALSE)</f>
        <v>17860.802723591049</v>
      </c>
      <c r="I137" s="1"/>
      <c r="J137" s="1"/>
      <c r="K137" s="1"/>
      <c r="L137" s="1"/>
      <c r="M137" s="1"/>
      <c r="N137" s="1"/>
      <c r="O137" s="1"/>
      <c r="P137" s="1"/>
      <c r="Q137" s="1"/>
      <c r="R137" s="1"/>
      <c r="S137" s="1"/>
      <c r="T137" s="1"/>
      <c r="U137" s="1"/>
    </row>
    <row r="138" spans="1:23" x14ac:dyDescent="0.3">
      <c r="A138" s="3">
        <v>4</v>
      </c>
      <c r="B138" s="3" t="s">
        <v>158</v>
      </c>
      <c r="C138" s="3" t="str">
        <f>VLOOKUP(B138,'Data availability'!$A$2:$B$91,2,FALSE)</f>
        <v>Main campus</v>
      </c>
      <c r="D138" s="3">
        <f>VLOOKUP(B138,'Data availability'!$A$2:$G$91,7,FALSE)</f>
        <v>73315</v>
      </c>
      <c r="E138" s="3" t="str">
        <f>VLOOKUP(B138,'Data availability'!$A$2:$H$91,8,FALSE)</f>
        <v>Academic</v>
      </c>
      <c r="F138" s="1"/>
      <c r="G138" s="1"/>
      <c r="H138" s="170">
        <f>P$135*VLOOKUP(A138,'Campus Totals'!$A$36:$D$47,4,FALSE)</f>
        <v>13310.095232770273</v>
      </c>
      <c r="I138" s="1"/>
      <c r="J138" s="1"/>
      <c r="K138" s="1"/>
      <c r="L138" s="1"/>
      <c r="M138" s="1"/>
      <c r="N138" s="1"/>
      <c r="O138" s="1"/>
      <c r="P138" s="1"/>
      <c r="Q138" s="1"/>
      <c r="R138" s="1"/>
      <c r="S138" s="1"/>
      <c r="T138" s="1"/>
      <c r="U138" s="1"/>
    </row>
    <row r="139" spans="1:23" x14ac:dyDescent="0.3">
      <c r="A139" s="3">
        <v>5</v>
      </c>
      <c r="B139" s="3" t="s">
        <v>158</v>
      </c>
      <c r="C139" s="3" t="str">
        <f>VLOOKUP(B139,'Data availability'!$A$2:$B$91,2,FALSE)</f>
        <v>Main campus</v>
      </c>
      <c r="D139" s="3">
        <f>VLOOKUP(B139,'Data availability'!$A$2:$G$91,7,FALSE)</f>
        <v>73315</v>
      </c>
      <c r="E139" s="3" t="str">
        <f>VLOOKUP(B139,'Data availability'!$A$2:$H$91,8,FALSE)</f>
        <v>Academic</v>
      </c>
      <c r="F139" s="1"/>
      <c r="G139" s="1"/>
      <c r="H139" s="170">
        <f>P$135*VLOOKUP(A139,'Campus Totals'!$A$36:$D$47,4,FALSE)</f>
        <v>27150.462212630202</v>
      </c>
      <c r="I139" s="1"/>
      <c r="J139" s="1"/>
      <c r="K139" s="1"/>
      <c r="L139" s="1"/>
      <c r="M139" s="1"/>
      <c r="N139" s="1"/>
      <c r="O139" s="1"/>
      <c r="P139" s="1"/>
      <c r="Q139" s="1"/>
      <c r="R139" s="1"/>
      <c r="S139" s="1"/>
      <c r="T139" s="1"/>
      <c r="U139" s="1"/>
    </row>
    <row r="140" spans="1:23" x14ac:dyDescent="0.3">
      <c r="A140" s="3">
        <v>6</v>
      </c>
      <c r="B140" s="3" t="s">
        <v>158</v>
      </c>
      <c r="C140" s="3" t="str">
        <f>VLOOKUP(B140,'Data availability'!$A$2:$B$91,2,FALSE)</f>
        <v>Main campus</v>
      </c>
      <c r="D140" s="3">
        <f>VLOOKUP(B140,'Data availability'!$A$2:$G$91,7,FALSE)</f>
        <v>73315</v>
      </c>
      <c r="E140" s="3" t="str">
        <f>VLOOKUP(B140,'Data availability'!$A$2:$H$91,8,FALSE)</f>
        <v>Academic</v>
      </c>
      <c r="F140" s="1"/>
      <c r="G140" s="1"/>
      <c r="H140" s="170">
        <f>P$135*VLOOKUP(A140,'Campus Totals'!$A$36:$D$47,4,FALSE)</f>
        <v>21697.90945851287</v>
      </c>
      <c r="I140" s="1"/>
      <c r="J140" s="1"/>
      <c r="K140" s="1"/>
      <c r="L140" s="1"/>
      <c r="M140" s="1"/>
      <c r="N140" s="1"/>
      <c r="O140" s="1"/>
      <c r="P140" s="1"/>
      <c r="Q140" s="1"/>
      <c r="R140" s="1"/>
      <c r="S140" s="1"/>
      <c r="T140" s="1"/>
      <c r="U140" s="1"/>
    </row>
    <row r="141" spans="1:23" x14ac:dyDescent="0.3">
      <c r="A141" s="3">
        <v>7</v>
      </c>
      <c r="B141" s="3" t="s">
        <v>158</v>
      </c>
      <c r="C141" s="3" t="str">
        <f>VLOOKUP(B141,'Data availability'!$A$2:$B$91,2,FALSE)</f>
        <v>Main campus</v>
      </c>
      <c r="D141" s="3">
        <f>VLOOKUP(B141,'Data availability'!$A$2:$G$91,7,FALSE)</f>
        <v>73315</v>
      </c>
      <c r="E141" s="3" t="str">
        <f>VLOOKUP(B141,'Data availability'!$A$2:$H$91,8,FALSE)</f>
        <v>Academic</v>
      </c>
      <c r="F141" s="1"/>
      <c r="G141" s="1"/>
      <c r="H141" s="170">
        <f>P$135*VLOOKUP(A141,'Campus Totals'!$A$36:$D$47,4,FALSE)</f>
        <v>16783.176564424768</v>
      </c>
      <c r="I141" s="1"/>
      <c r="J141" s="1"/>
      <c r="K141" s="1"/>
      <c r="L141" s="1"/>
      <c r="M141" s="1"/>
      <c r="N141" s="1"/>
      <c r="O141" s="1"/>
      <c r="P141" s="1"/>
      <c r="Q141" s="1"/>
      <c r="R141" s="1"/>
      <c r="S141" s="1"/>
      <c r="T141" s="1"/>
      <c r="U141" s="1"/>
    </row>
    <row r="142" spans="1:23" x14ac:dyDescent="0.3">
      <c r="A142" s="3">
        <v>8</v>
      </c>
      <c r="B142" s="3" t="s">
        <v>158</v>
      </c>
      <c r="C142" s="3" t="str">
        <f>VLOOKUP(B142,'Data availability'!$A$2:$B$91,2,FALSE)</f>
        <v>Main campus</v>
      </c>
      <c r="D142" s="3">
        <f>VLOOKUP(B142,'Data availability'!$A$2:$G$91,7,FALSE)</f>
        <v>73315</v>
      </c>
      <c r="E142" s="3" t="str">
        <f>VLOOKUP(B142,'Data availability'!$A$2:$H$91,8,FALSE)</f>
        <v>Academic</v>
      </c>
      <c r="F142" s="1"/>
      <c r="G142" s="1"/>
      <c r="H142" s="170">
        <f>P$135*VLOOKUP(A142,'Campus Totals'!$A$36:$D$47,4,FALSE)</f>
        <v>20719.242301471342</v>
      </c>
      <c r="I142" s="1"/>
      <c r="J142" s="1"/>
      <c r="K142" s="1"/>
      <c r="L142" s="1"/>
      <c r="M142" s="1"/>
      <c r="N142" s="1"/>
      <c r="O142" s="1"/>
      <c r="P142" s="1"/>
      <c r="Q142" s="1"/>
      <c r="R142" s="1"/>
      <c r="S142" s="1"/>
      <c r="T142" s="1"/>
      <c r="U142" s="1"/>
    </row>
    <row r="143" spans="1:23" x14ac:dyDescent="0.3">
      <c r="A143" s="3">
        <v>9</v>
      </c>
      <c r="B143" s="3" t="s">
        <v>158</v>
      </c>
      <c r="C143" s="3" t="str">
        <f>VLOOKUP(B143,'Data availability'!$A$2:$B$91,2,FALSE)</f>
        <v>Main campus</v>
      </c>
      <c r="D143" s="3">
        <f>VLOOKUP(B143,'Data availability'!$A$2:$G$91,7,FALSE)</f>
        <v>73315</v>
      </c>
      <c r="E143" s="3" t="str">
        <f>VLOOKUP(B143,'Data availability'!$A$2:$H$91,8,FALSE)</f>
        <v>Academic</v>
      </c>
      <c r="F143" s="1"/>
      <c r="G143" s="1"/>
      <c r="H143" s="170">
        <f>P$135*VLOOKUP(A143,'Campus Totals'!$A$36:$D$47,4,FALSE)</f>
        <v>14208.949589336999</v>
      </c>
      <c r="I143" s="1"/>
      <c r="J143" s="1"/>
      <c r="K143" s="1"/>
      <c r="L143" s="1"/>
      <c r="M143" s="1"/>
      <c r="N143" s="1"/>
      <c r="O143" s="1"/>
      <c r="P143" s="1"/>
      <c r="Q143" s="1"/>
      <c r="R143" s="1"/>
      <c r="S143" s="1"/>
      <c r="T143" s="1"/>
      <c r="U143" s="1"/>
    </row>
    <row r="144" spans="1:23" x14ac:dyDescent="0.3">
      <c r="A144" s="3">
        <v>10</v>
      </c>
      <c r="B144" s="3" t="s">
        <v>158</v>
      </c>
      <c r="C144" s="3" t="str">
        <f>VLOOKUP(B144,'Data availability'!$A$2:$B$91,2,FALSE)</f>
        <v>Main campus</v>
      </c>
      <c r="D144" s="3">
        <f>VLOOKUP(B144,'Data availability'!$A$2:$G$91,7,FALSE)</f>
        <v>73315</v>
      </c>
      <c r="E144" s="3" t="str">
        <f>VLOOKUP(B144,'Data availability'!$A$2:$H$91,8,FALSE)</f>
        <v>Academic</v>
      </c>
      <c r="F144" s="1"/>
      <c r="G144" s="1"/>
      <c r="H144" s="170">
        <f>P$135*VLOOKUP(A144,'Campus Totals'!$A$36:$D$47,4,FALSE)</f>
        <v>7550.572587192949</v>
      </c>
      <c r="I144" s="1"/>
      <c r="J144" s="1"/>
      <c r="K144" s="1"/>
      <c r="L144" s="1"/>
      <c r="M144" s="1"/>
      <c r="N144" s="1"/>
      <c r="O144" s="1"/>
      <c r="P144" s="1"/>
      <c r="Q144" s="1"/>
      <c r="R144" s="1"/>
      <c r="S144" s="1"/>
      <c r="T144" s="1"/>
      <c r="U144" s="1"/>
    </row>
    <row r="145" spans="1:21" x14ac:dyDescent="0.3">
      <c r="A145" s="3">
        <v>11</v>
      </c>
      <c r="B145" s="3" t="s">
        <v>158</v>
      </c>
      <c r="C145" s="3" t="str">
        <f>VLOOKUP(B145,'Data availability'!$A$2:$B$91,2,FALSE)</f>
        <v>Main campus</v>
      </c>
      <c r="D145" s="3">
        <f>VLOOKUP(B145,'Data availability'!$A$2:$G$91,7,FALSE)</f>
        <v>73315</v>
      </c>
      <c r="E145" s="3" t="str">
        <f>VLOOKUP(B145,'Data availability'!$A$2:$H$91,8,FALSE)</f>
        <v>Academic</v>
      </c>
      <c r="F145" s="1"/>
      <c r="G145" s="1"/>
      <c r="H145" s="170">
        <f>P$135*VLOOKUP(A145,'Campus Totals'!$A$36:$D$47,4,FALSE)</f>
        <v>6039.0368094537107</v>
      </c>
      <c r="I145" s="1"/>
      <c r="J145" s="1"/>
      <c r="K145" s="1"/>
      <c r="L145" s="1"/>
      <c r="M145" s="1"/>
      <c r="N145" s="1"/>
      <c r="O145" s="1"/>
      <c r="P145" s="1"/>
      <c r="Q145" s="1"/>
      <c r="R145" s="1"/>
      <c r="S145" s="1"/>
      <c r="T145" s="1"/>
      <c r="U145" s="1"/>
    </row>
    <row r="146" spans="1:21" x14ac:dyDescent="0.3">
      <c r="A146" s="3">
        <v>12</v>
      </c>
      <c r="B146" s="3" t="s">
        <v>158</v>
      </c>
      <c r="C146" s="3" t="str">
        <f>VLOOKUP(B146,'Data availability'!$A$2:$B$91,2,FALSE)</f>
        <v>Main campus</v>
      </c>
      <c r="D146" s="3">
        <f>VLOOKUP(B146,'Data availability'!$A$2:$G$91,7,FALSE)</f>
        <v>73315</v>
      </c>
      <c r="E146" s="3" t="str">
        <f>VLOOKUP(B146,'Data availability'!$A$2:$H$91,8,FALSE)</f>
        <v>Academic</v>
      </c>
      <c r="F146" s="1"/>
      <c r="G146" s="1"/>
      <c r="H146" s="170">
        <f>P$135*VLOOKUP(A146,'Campus Totals'!$A$36:$D$47,4,FALSE)</f>
        <v>6282.9533724022103</v>
      </c>
      <c r="I146" s="1"/>
      <c r="J146" s="1"/>
      <c r="K146" s="1"/>
      <c r="L146" s="1"/>
      <c r="M146" s="1"/>
      <c r="N146" s="1"/>
      <c r="O146" s="1"/>
      <c r="P146" s="1"/>
      <c r="Q146" s="1"/>
      <c r="R146" s="1"/>
      <c r="S146" s="1"/>
      <c r="T146" s="1"/>
      <c r="U146" s="1"/>
    </row>
  </sheetData>
  <autoFilter ref="A2:Q2" xr:uid="{D5A92A02-B4CA-4694-813F-DE686360E94E}"/>
  <mergeCells count="4">
    <mergeCell ref="F1:I1"/>
    <mergeCell ref="J1:M1"/>
    <mergeCell ref="N1:Q1"/>
    <mergeCell ref="R1:U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BED78-1081-4685-8DE7-3A3624EF4D6D}">
  <dimension ref="A1:U134"/>
  <sheetViews>
    <sheetView workbookViewId="0">
      <pane xSplit="2" ySplit="2" topLeftCell="C66" activePane="bottomRight" state="frozen"/>
      <selection sqref="A1:U26"/>
      <selection pane="topRight" sqref="A1:U26"/>
      <selection pane="bottomLeft" sqref="A1:U26"/>
      <selection pane="bottomRight" sqref="A1:U26"/>
    </sheetView>
  </sheetViews>
  <sheetFormatPr defaultRowHeight="14.4" x14ac:dyDescent="0.3"/>
  <cols>
    <col min="1" max="1" width="15.77734375" customWidth="1"/>
    <col min="2" max="2" width="32.33203125" customWidth="1"/>
    <col min="3" max="5" width="15.77734375" customWidth="1"/>
    <col min="6" max="6" width="18.109375" customWidth="1"/>
    <col min="7" max="7" width="15.77734375" customWidth="1"/>
    <col min="8" max="8" width="17.5546875" customWidth="1"/>
    <col min="9" max="9" width="18.5546875" customWidth="1"/>
    <col min="10" max="18" width="15.77734375" customWidth="1"/>
  </cols>
  <sheetData>
    <row r="1" spans="1:21" ht="26.4" thickBot="1" x14ac:dyDescent="0.55000000000000004">
      <c r="A1" s="146"/>
      <c r="B1" s="146"/>
      <c r="C1" s="146"/>
      <c r="D1" s="146"/>
      <c r="E1" s="146"/>
      <c r="F1" s="267" t="s">
        <v>579</v>
      </c>
      <c r="G1" s="267"/>
      <c r="H1" s="267"/>
      <c r="I1" s="267"/>
      <c r="J1" s="267" t="s">
        <v>578</v>
      </c>
      <c r="K1" s="267"/>
      <c r="L1" s="267"/>
      <c r="M1" s="267"/>
      <c r="N1" s="267" t="s">
        <v>580</v>
      </c>
      <c r="O1" s="267"/>
      <c r="P1" s="267"/>
      <c r="Q1" s="267"/>
      <c r="R1" s="268" t="s">
        <v>366</v>
      </c>
      <c r="S1" s="269"/>
      <c r="T1" s="269"/>
      <c r="U1" s="270"/>
    </row>
    <row r="2" spans="1:21" ht="28.2" customHeight="1" x14ac:dyDescent="0.3">
      <c r="A2" s="43" t="s">
        <v>530</v>
      </c>
      <c r="B2" s="43" t="s">
        <v>1</v>
      </c>
      <c r="C2" s="44" t="s">
        <v>520</v>
      </c>
      <c r="D2" s="44" t="s">
        <v>2</v>
      </c>
      <c r="E2" s="43" t="s">
        <v>3</v>
      </c>
      <c r="F2" s="43" t="s">
        <v>4</v>
      </c>
      <c r="G2" s="43" t="s">
        <v>6</v>
      </c>
      <c r="H2" s="43" t="s">
        <v>7</v>
      </c>
      <c r="I2" s="43" t="s">
        <v>8</v>
      </c>
      <c r="J2" s="43" t="s">
        <v>588</v>
      </c>
      <c r="K2" s="43" t="s">
        <v>587</v>
      </c>
      <c r="L2" s="43" t="s">
        <v>586</v>
      </c>
      <c r="M2" s="43" t="s">
        <v>589</v>
      </c>
      <c r="N2" s="43" t="s">
        <v>590</v>
      </c>
      <c r="O2" s="43" t="s">
        <v>591</v>
      </c>
      <c r="P2" s="43" t="s">
        <v>592</v>
      </c>
      <c r="Q2" s="43" t="s">
        <v>187</v>
      </c>
      <c r="R2" s="151" t="s">
        <v>437</v>
      </c>
      <c r="S2" s="151" t="s">
        <v>439</v>
      </c>
      <c r="T2" s="151" t="s">
        <v>441</v>
      </c>
      <c r="U2" s="151" t="s">
        <v>442</v>
      </c>
    </row>
    <row r="3" spans="1:21" x14ac:dyDescent="0.3">
      <c r="A3" s="3">
        <v>1</v>
      </c>
      <c r="B3" s="3" t="s">
        <v>122</v>
      </c>
      <c r="C3" s="3" t="str">
        <f>VLOOKUP(B3,'Data availability'!$A$2:$B$91,2,FALSE)</f>
        <v>Main campus</v>
      </c>
      <c r="D3" s="3">
        <f>VLOOKUP(B3,'Data availability'!$A$2:$G$91,7,FALSE)</f>
        <v>39323</v>
      </c>
      <c r="E3" s="3" t="str">
        <f>VLOOKUP(B3,'Data availability'!$A$2:$H$91,8,FALSE)</f>
        <v>Office</v>
      </c>
      <c r="F3" s="1"/>
      <c r="G3" s="1"/>
      <c r="H3" s="1">
        <f>P$3*VLOOKUP($A3,'Campus Totals'!$A$36:$D$47,4,FALSE)</f>
        <v>92.34505170588092</v>
      </c>
      <c r="I3" s="1" t="e">
        <f>Q$3*VLOOKUP($A3,'Campus Totals'!$A$36:$E$47,5,FALSE)</f>
        <v>#N/A</v>
      </c>
      <c r="J3" s="1"/>
      <c r="K3" s="1"/>
      <c r="L3" s="1">
        <f>INDEX('BPD vs SJSU EUIs'!$P$4:$P$17, MATCH($E3, 'BPD vs SJSU EUIs'!$A$4:$A$17, 0))*$D3</f>
        <v>794867.72762740846</v>
      </c>
      <c r="M3" s="1">
        <f>INDEX('BPD vs SJSU EUIs'!$S$4:$S$17, MATCH($E3, 'BPD vs SJSU EUIs'!$A$4:$A$17, 0))*$D3</f>
        <v>539005.49398859881</v>
      </c>
      <c r="N3" s="1"/>
      <c r="O3" s="1"/>
      <c r="P3" s="1">
        <f>$L3/SUM($L$3:$L$123)</f>
        <v>0.31113973077193374</v>
      </c>
      <c r="Q3" s="1" t="e">
        <f>$M3/SUM($M$3:$M$123)</f>
        <v>#N/A</v>
      </c>
      <c r="S3">
        <f>SUM(H3:H14)*100/D3</f>
        <v>259.76621769023222</v>
      </c>
      <c r="T3" t="e">
        <f>SUM(I3:I14)*12/D3</f>
        <v>#N/A</v>
      </c>
    </row>
    <row r="4" spans="1:21" x14ac:dyDescent="0.3">
      <c r="A4" s="3">
        <v>2</v>
      </c>
      <c r="B4" s="3" t="s">
        <v>122</v>
      </c>
      <c r="C4" s="3" t="str">
        <f>VLOOKUP(B4,'Data availability'!$A$2:$B$91,2,FALSE)</f>
        <v>Main campus</v>
      </c>
      <c r="D4" s="3">
        <f>VLOOKUP(B4,'Data availability'!$A$2:$G$91,7,FALSE)</f>
        <v>39323</v>
      </c>
      <c r="E4" s="3" t="str">
        <f>VLOOKUP(B4,'Data availability'!$A$2:$H$91,8,FALSE)</f>
        <v>Office</v>
      </c>
      <c r="F4" s="1"/>
      <c r="G4" s="1"/>
      <c r="H4" s="1">
        <f>P$3*VLOOKUP(A4,'Campus Totals'!$A$36:$D$47,4,FALSE)</f>
        <v>6107.4648034481825</v>
      </c>
      <c r="I4" s="1" t="e">
        <f>Q$3*VLOOKUP($A4,'Campus Totals'!$A$36:$E$47,5,FALSE)</f>
        <v>#N/A</v>
      </c>
      <c r="J4" s="1"/>
      <c r="K4" s="1"/>
      <c r="L4" s="1"/>
      <c r="M4" s="1"/>
      <c r="N4" s="1"/>
      <c r="O4" s="1"/>
      <c r="P4" s="1"/>
      <c r="Q4" s="1"/>
      <c r="R4" s="1"/>
    </row>
    <row r="5" spans="1:21" x14ac:dyDescent="0.3">
      <c r="A5" s="3">
        <v>3</v>
      </c>
      <c r="B5" s="3" t="s">
        <v>122</v>
      </c>
      <c r="C5" s="3" t="str">
        <f>VLOOKUP(B5,'Data availability'!$A$2:$B$91,2,FALSE)</f>
        <v>Main campus</v>
      </c>
      <c r="D5" s="3">
        <f>VLOOKUP(B5,'Data availability'!$A$2:$G$91,7,FALSE)</f>
        <v>39323</v>
      </c>
      <c r="E5" s="3" t="str">
        <f>VLOOKUP(B5,'Data availability'!$A$2:$H$91,8,FALSE)</f>
        <v>Office</v>
      </c>
      <c r="F5" s="1"/>
      <c r="G5" s="1"/>
      <c r="H5" s="1">
        <f>P$3*VLOOKUP(A5,'Campus Totals'!$A$36:$D$47,4,FALSE)</f>
        <v>11303.912849082755</v>
      </c>
      <c r="I5" s="1" t="e">
        <f>Q$3*VLOOKUP($A5,'Campus Totals'!$A$36:$E$47,5,FALSE)</f>
        <v>#N/A</v>
      </c>
      <c r="J5" s="1"/>
      <c r="K5" s="1"/>
      <c r="L5" s="1"/>
      <c r="M5" s="1"/>
      <c r="N5" s="1"/>
      <c r="O5" s="1"/>
      <c r="P5" s="1"/>
      <c r="Q5" s="1"/>
      <c r="R5" s="1"/>
    </row>
    <row r="6" spans="1:21" x14ac:dyDescent="0.3">
      <c r="A6" s="3">
        <v>4</v>
      </c>
      <c r="B6" s="3" t="s">
        <v>122</v>
      </c>
      <c r="C6" s="3" t="str">
        <f>VLOOKUP(B6,'Data availability'!$A$2:$B$91,2,FALSE)</f>
        <v>Main campus</v>
      </c>
      <c r="D6" s="3">
        <f>VLOOKUP(B6,'Data availability'!$A$2:$G$91,7,FALSE)</f>
        <v>39323</v>
      </c>
      <c r="E6" s="3" t="str">
        <f>VLOOKUP(B6,'Data availability'!$A$2:$H$91,8,FALSE)</f>
        <v>Office</v>
      </c>
      <c r="F6" s="1"/>
      <c r="G6" s="1"/>
      <c r="H6" s="1">
        <f>P$3*VLOOKUP(A6,'Campus Totals'!$A$36:$D$47,4,FALSE)</f>
        <v>8423.8182825624226</v>
      </c>
      <c r="I6" s="1" t="e">
        <f>Q$3*VLOOKUP($A6,'Campus Totals'!$A$36:$E$47,5,FALSE)</f>
        <v>#N/A</v>
      </c>
      <c r="J6" s="1"/>
      <c r="K6" s="1"/>
      <c r="L6" s="1"/>
      <c r="M6" s="1"/>
      <c r="N6" s="1"/>
      <c r="O6" s="1"/>
      <c r="P6" s="1"/>
      <c r="Q6" s="1"/>
      <c r="R6" s="1"/>
    </row>
    <row r="7" spans="1:21" x14ac:dyDescent="0.3">
      <c r="A7" s="3">
        <v>5</v>
      </c>
      <c r="B7" s="3" t="s">
        <v>122</v>
      </c>
      <c r="C7" s="3" t="str">
        <f>VLOOKUP(B7,'Data availability'!$A$2:$B$91,2,FALSE)</f>
        <v>Main campus</v>
      </c>
      <c r="D7" s="3">
        <f>VLOOKUP(B7,'Data availability'!$A$2:$G$91,7,FALSE)</f>
        <v>39323</v>
      </c>
      <c r="E7" s="3" t="str">
        <f>VLOOKUP(B7,'Data availability'!$A$2:$H$91,8,FALSE)</f>
        <v>Office</v>
      </c>
      <c r="F7" s="1"/>
      <c r="G7" s="1"/>
      <c r="H7" s="1">
        <f>P$3*VLOOKUP(A7,'Campus Totals'!$A$36:$D$47,4,FALSE)</f>
        <v>17183.239936831935</v>
      </c>
      <c r="I7" s="1" t="e">
        <f>Q$3*VLOOKUP($A7,'Campus Totals'!$A$36:$E$47,5,FALSE)</f>
        <v>#N/A</v>
      </c>
      <c r="J7" s="1"/>
      <c r="K7" s="1"/>
      <c r="L7" s="1"/>
      <c r="M7" s="1"/>
      <c r="N7" s="1"/>
      <c r="O7" s="1"/>
      <c r="P7" s="1"/>
      <c r="Q7" s="1"/>
      <c r="R7" s="1"/>
    </row>
    <row r="8" spans="1:21" x14ac:dyDescent="0.3">
      <c r="A8" s="3">
        <v>6</v>
      </c>
      <c r="B8" s="3" t="s">
        <v>122</v>
      </c>
      <c r="C8" s="3" t="str">
        <f>VLOOKUP(B8,'Data availability'!$A$2:$B$91,2,FALSE)</f>
        <v>Main campus</v>
      </c>
      <c r="D8" s="3">
        <f>VLOOKUP(B8,'Data availability'!$A$2:$G$91,7,FALSE)</f>
        <v>39323</v>
      </c>
      <c r="E8" s="3" t="str">
        <f>VLOOKUP(B8,'Data availability'!$A$2:$H$91,8,FALSE)</f>
        <v>Office</v>
      </c>
      <c r="F8" s="1"/>
      <c r="G8" s="1"/>
      <c r="H8" s="1">
        <f>P$3*VLOOKUP(A8,'Campus Totals'!$A$36:$D$47,4,FALSE)</f>
        <v>13732.377056175457</v>
      </c>
      <c r="I8" s="1" t="e">
        <f>Q$3*VLOOKUP($A8,'Campus Totals'!$A$36:$E$47,5,FALSE)</f>
        <v>#N/A</v>
      </c>
      <c r="J8" s="1"/>
      <c r="K8" s="1"/>
      <c r="L8" s="1"/>
      <c r="M8" s="1"/>
      <c r="N8" s="1"/>
      <c r="O8" s="1"/>
      <c r="P8" s="1"/>
      <c r="Q8" s="1"/>
      <c r="R8" s="1"/>
    </row>
    <row r="9" spans="1:21" x14ac:dyDescent="0.3">
      <c r="A9" s="3">
        <v>7</v>
      </c>
      <c r="B9" s="3" t="s">
        <v>122</v>
      </c>
      <c r="C9" s="3" t="str">
        <f>VLOOKUP(B9,'Data availability'!$A$2:$B$91,2,FALSE)</f>
        <v>Main campus</v>
      </c>
      <c r="D9" s="3">
        <f>VLOOKUP(B9,'Data availability'!$A$2:$G$91,7,FALSE)</f>
        <v>39323</v>
      </c>
      <c r="E9" s="3" t="str">
        <f>VLOOKUP(B9,'Data availability'!$A$2:$H$91,8,FALSE)</f>
        <v>Office</v>
      </c>
      <c r="F9" s="1"/>
      <c r="G9" s="1"/>
      <c r="H9" s="1">
        <f>P$3*VLOOKUP(A9,'Campus Totals'!$A$36:$D$47,4,FALSE)</f>
        <v>10621.894667950397</v>
      </c>
      <c r="I9" s="1" t="e">
        <f>Q$3*VLOOKUP($A9,'Campus Totals'!$A$36:$E$47,5,FALSE)</f>
        <v>#N/A</v>
      </c>
      <c r="J9" s="1"/>
      <c r="K9" s="1"/>
      <c r="L9" s="1"/>
      <c r="M9" s="1"/>
      <c r="N9" s="1"/>
      <c r="O9" s="1"/>
      <c r="P9" s="1"/>
      <c r="Q9" s="1"/>
      <c r="R9" s="1"/>
    </row>
    <row r="10" spans="1:21" x14ac:dyDescent="0.3">
      <c r="A10" s="3">
        <v>8</v>
      </c>
      <c r="B10" s="3" t="s">
        <v>122</v>
      </c>
      <c r="C10" s="3" t="str">
        <f>VLOOKUP(B10,'Data availability'!$A$2:$B$91,2,FALSE)</f>
        <v>Main campus</v>
      </c>
      <c r="D10" s="3">
        <f>VLOOKUP(B10,'Data availability'!$A$2:$G$91,7,FALSE)</f>
        <v>39323</v>
      </c>
      <c r="E10" s="3" t="str">
        <f>VLOOKUP(B10,'Data availability'!$A$2:$H$91,8,FALSE)</f>
        <v>Office</v>
      </c>
      <c r="F10" s="1"/>
      <c r="G10" s="1"/>
      <c r="H10" s="1">
        <f>P$3*VLOOKUP(A10,'Campus Totals'!$A$36:$D$47,4,FALSE)</f>
        <v>13112.988979241771</v>
      </c>
      <c r="I10" s="1" t="e">
        <f>Q$3*VLOOKUP($A10,'Campus Totals'!$A$36:$E$47,5,FALSE)</f>
        <v>#N/A</v>
      </c>
      <c r="J10" s="1"/>
      <c r="K10" s="1"/>
      <c r="L10" s="1"/>
      <c r="M10" s="1"/>
      <c r="N10" s="1"/>
      <c r="O10" s="1"/>
      <c r="P10" s="1"/>
      <c r="Q10" s="1"/>
      <c r="R10" s="1"/>
    </row>
    <row r="11" spans="1:21" x14ac:dyDescent="0.3">
      <c r="A11" s="3">
        <v>9</v>
      </c>
      <c r="B11" s="3" t="s">
        <v>122</v>
      </c>
      <c r="C11" s="3" t="str">
        <f>VLOOKUP(B11,'Data availability'!$A$2:$B$91,2,FALSE)</f>
        <v>Main campus</v>
      </c>
      <c r="D11" s="3">
        <f>VLOOKUP(B11,'Data availability'!$A$2:$G$91,7,FALSE)</f>
        <v>39323</v>
      </c>
      <c r="E11" s="3" t="str">
        <f>VLOOKUP(B11,'Data availability'!$A$2:$H$91,8,FALSE)</f>
        <v>Office</v>
      </c>
      <c r="F11" s="1"/>
      <c r="G11" s="1"/>
      <c r="H11" s="1">
        <f>P$3*VLOOKUP(A11,'Campus Totals'!$A$36:$D$47,4,FALSE)</f>
        <v>8992.6936835111301</v>
      </c>
      <c r="I11" s="1" t="e">
        <f>Q$3*VLOOKUP($A11,'Campus Totals'!$A$36:$E$47,5,FALSE)</f>
        <v>#N/A</v>
      </c>
      <c r="J11" s="1"/>
      <c r="K11" s="1"/>
      <c r="L11" s="1"/>
      <c r="M11" s="1"/>
      <c r="N11" s="1"/>
      <c r="O11" s="1"/>
      <c r="P11" s="1"/>
      <c r="Q11" s="1"/>
      <c r="R11" s="1"/>
    </row>
    <row r="12" spans="1:21" x14ac:dyDescent="0.3">
      <c r="A12" s="3">
        <v>10</v>
      </c>
      <c r="B12" s="3" t="s">
        <v>122</v>
      </c>
      <c r="C12" s="3" t="str">
        <f>VLOOKUP(B12,'Data availability'!$A$2:$B$91,2,FALSE)</f>
        <v>Main campus</v>
      </c>
      <c r="D12" s="3">
        <f>VLOOKUP(B12,'Data availability'!$A$2:$G$91,7,FALSE)</f>
        <v>39323</v>
      </c>
      <c r="E12" s="3" t="str">
        <f>VLOOKUP(B12,'Data availability'!$A$2:$H$91,8,FALSE)</f>
        <v>Office</v>
      </c>
      <c r="F12" s="1"/>
      <c r="G12" s="1"/>
      <c r="H12" s="1">
        <f>P$3*VLOOKUP(A12,'Campus Totals'!$A$36:$D$47,4,FALSE)</f>
        <v>4778.6774092503902</v>
      </c>
      <c r="I12" s="1" t="e">
        <f>Q$3*VLOOKUP($A12,'Campus Totals'!$A$36:$E$47,5,FALSE)</f>
        <v>#N/A</v>
      </c>
      <c r="J12" s="1"/>
      <c r="K12" s="1"/>
      <c r="L12" s="1"/>
      <c r="M12" s="1"/>
      <c r="N12" s="1"/>
      <c r="O12" s="1"/>
      <c r="P12" s="1"/>
      <c r="Q12" s="1"/>
      <c r="R12" s="1"/>
    </row>
    <row r="13" spans="1:21" x14ac:dyDescent="0.3">
      <c r="A13" s="3">
        <v>11</v>
      </c>
      <c r="B13" s="3" t="s">
        <v>122</v>
      </c>
      <c r="C13" s="3" t="str">
        <f>VLOOKUP(B13,'Data availability'!$A$2:$B$91,2,FALSE)</f>
        <v>Main campus</v>
      </c>
      <c r="D13" s="3">
        <f>VLOOKUP(B13,'Data availability'!$A$2:$G$91,7,FALSE)</f>
        <v>39323</v>
      </c>
      <c r="E13" s="3" t="str">
        <f>VLOOKUP(B13,'Data availability'!$A$2:$H$91,8,FALSE)</f>
        <v>Office</v>
      </c>
      <c r="F13" s="1"/>
      <c r="G13" s="1"/>
      <c r="H13" s="1">
        <f>P$3*VLOOKUP(A13,'Campus Totals'!$A$36:$D$47,4,FALSE)</f>
        <v>3822.0424268110601</v>
      </c>
      <c r="I13" s="1" t="e">
        <f>Q$3*VLOOKUP($A13,'Campus Totals'!$A$36:$E$47,5,FALSE)</f>
        <v>#N/A</v>
      </c>
      <c r="J13" s="1"/>
      <c r="K13" s="1"/>
      <c r="L13" s="1"/>
      <c r="M13" s="1"/>
      <c r="N13" s="1"/>
      <c r="O13" s="1"/>
      <c r="P13" s="1"/>
      <c r="Q13" s="1"/>
      <c r="R13" s="1"/>
    </row>
    <row r="14" spans="1:21" s="69" customFormat="1" x14ac:dyDescent="0.3">
      <c r="A14" s="64">
        <v>12</v>
      </c>
      <c r="B14" s="64" t="s">
        <v>122</v>
      </c>
      <c r="C14" s="64" t="str">
        <f>VLOOKUP(B14,'Data availability'!$A$2:$B$91,2,FALSE)</f>
        <v>Main campus</v>
      </c>
      <c r="D14" s="64">
        <f>VLOOKUP(B14,'Data availability'!$A$2:$G$91,7,FALSE)</f>
        <v>39323</v>
      </c>
      <c r="E14" s="64" t="str">
        <f>VLOOKUP(B14,'Data availability'!$A$2:$H$91,8,FALSE)</f>
        <v>Office</v>
      </c>
      <c r="F14" s="66"/>
      <c r="G14" s="66"/>
      <c r="H14" s="66">
        <f>P$3*VLOOKUP(A14,'Campus Totals'!$A$36:$D$47,4,FALSE)</f>
        <v>3976.4146357586365</v>
      </c>
      <c r="I14" s="66" t="e">
        <f>Q$3*VLOOKUP($A14,'Campus Totals'!$A$36:$E$47,5,FALSE)</f>
        <v>#N/A</v>
      </c>
      <c r="J14" s="66"/>
      <c r="K14" s="66"/>
      <c r="L14" s="66"/>
      <c r="M14" s="66"/>
      <c r="N14" s="66"/>
      <c r="O14" s="66"/>
      <c r="P14" s="66"/>
      <c r="Q14" s="66"/>
      <c r="R14" s="66"/>
    </row>
    <row r="15" spans="1:21" x14ac:dyDescent="0.3">
      <c r="A15" s="3">
        <v>1</v>
      </c>
      <c r="B15" s="3" t="s">
        <v>138</v>
      </c>
      <c r="C15" s="3" t="str">
        <f>VLOOKUP(B15,'Data availability'!$A$2:$B$91,2,FALSE)</f>
        <v xml:space="preserve">Main campus </v>
      </c>
      <c r="D15" s="3">
        <f>VLOOKUP(B15,'Data availability'!$A$2:$G$91,7,FALSE)</f>
        <v>12889</v>
      </c>
      <c r="E15" s="3" t="str">
        <f>VLOOKUP(B15,'Data availability'!$A$2:$H$91,8,FALSE)</f>
        <v>Academic</v>
      </c>
      <c r="F15" s="1"/>
      <c r="G15" s="1"/>
      <c r="H15" s="1">
        <f>P$15*VLOOKUP(A15,'Campus Totals'!$A$36:$D$47,4,FALSE)</f>
        <v>50.457054533100674</v>
      </c>
      <c r="I15" s="1" t="e">
        <f>Q$15*VLOOKUP($A15,'Campus Totals'!$A$36:$E$47,5,FALSE)</f>
        <v>#N/A</v>
      </c>
      <c r="J15" s="1"/>
      <c r="K15" s="1"/>
      <c r="L15" s="1">
        <f>INDEX('BPD vs SJSU EUIs'!$P$4:$P$17, MATCH($E15, 'BPD vs SJSU EUIs'!$A$4:$A$17, 0))*D15</f>
        <v>434313.30145591119</v>
      </c>
      <c r="M15" s="1">
        <f>INDEX('BPD vs SJSU EUIs'!$S$4:$S$17, MATCH($E15, 'BPD vs SJSU EUIs'!$A$4:$A$17, 0))*$D15</f>
        <v>240622.58846560333</v>
      </c>
      <c r="N15" s="1"/>
      <c r="O15" s="1"/>
      <c r="P15" s="1">
        <f>$L15/SUM($L$3:$L$123)</f>
        <v>0.17000579969325993</v>
      </c>
      <c r="Q15" s="1" t="e">
        <f>$M15/SUM($M$3:$M$123)</f>
        <v>#N/A</v>
      </c>
      <c r="R15" s="1"/>
      <c r="S15">
        <f>SUM(H15:H26)*100/D15</f>
        <v>433.03037027239549</v>
      </c>
      <c r="T15" t="e">
        <f>SUM(I15:I26)*12/D15</f>
        <v>#N/A</v>
      </c>
    </row>
    <row r="16" spans="1:21" x14ac:dyDescent="0.3">
      <c r="A16" s="3">
        <v>2</v>
      </c>
      <c r="B16" s="3" t="s">
        <v>138</v>
      </c>
      <c r="C16" s="3" t="str">
        <f>VLOOKUP(B16,'Data availability'!$A$2:$B$91,2,FALSE)</f>
        <v xml:space="preserve">Main campus </v>
      </c>
      <c r="D16" s="3">
        <f>VLOOKUP(B16,'Data availability'!$A$2:$G$91,7,FALSE)</f>
        <v>12889</v>
      </c>
      <c r="E16" s="3" t="str">
        <f>VLOOKUP(B16,'Data availability'!$A$2:$H$91,8,FALSE)</f>
        <v>Academic</v>
      </c>
      <c r="F16" s="1"/>
      <c r="G16" s="1"/>
      <c r="H16" s="1">
        <f>P$15*VLOOKUP(A16,'Campus Totals'!$A$36:$D$47,4,FALSE)</f>
        <v>3337.100136432678</v>
      </c>
      <c r="I16" s="1" t="e">
        <f>Q$15*VLOOKUP($A16,'Campus Totals'!$A$36:$E$47,5,FALSE)</f>
        <v>#N/A</v>
      </c>
      <c r="J16" s="1"/>
      <c r="K16" s="1"/>
      <c r="L16" s="1"/>
      <c r="M16" s="1"/>
      <c r="N16" s="1"/>
      <c r="O16" s="1"/>
      <c r="P16" s="1"/>
      <c r="Q16" s="1"/>
      <c r="R16" s="1"/>
    </row>
    <row r="17" spans="1:20" x14ac:dyDescent="0.3">
      <c r="A17" s="3">
        <v>3</v>
      </c>
      <c r="B17" s="3" t="s">
        <v>138</v>
      </c>
      <c r="C17" s="3" t="str">
        <f>VLOOKUP(B17,'Data availability'!$A$2:$B$91,2,FALSE)</f>
        <v xml:space="preserve">Main campus </v>
      </c>
      <c r="D17" s="3">
        <f>VLOOKUP(B17,'Data availability'!$A$2:$G$91,7,FALSE)</f>
        <v>12889</v>
      </c>
      <c r="E17" s="3" t="str">
        <f>VLOOKUP(B17,'Data availability'!$A$2:$H$91,8,FALSE)</f>
        <v>Academic</v>
      </c>
      <c r="F17" s="1"/>
      <c r="G17" s="1"/>
      <c r="H17" s="1">
        <f>P$15*VLOOKUP(A17,'Campus Totals'!$A$36:$D$47,4,FALSE)</f>
        <v>6176.4234956539949</v>
      </c>
      <c r="I17" s="1" t="e">
        <f>Q$15*VLOOKUP($A17,'Campus Totals'!$A$36:$E$47,5,FALSE)</f>
        <v>#N/A</v>
      </c>
      <c r="J17" s="1"/>
      <c r="K17" s="1"/>
      <c r="L17" s="1"/>
      <c r="M17" s="1"/>
      <c r="N17" s="1"/>
      <c r="O17" s="1"/>
      <c r="P17" s="1"/>
      <c r="Q17" s="1"/>
      <c r="R17" s="1"/>
    </row>
    <row r="18" spans="1:20" x14ac:dyDescent="0.3">
      <c r="A18" s="3">
        <v>4</v>
      </c>
      <c r="B18" s="3" t="s">
        <v>138</v>
      </c>
      <c r="C18" s="3" t="str">
        <f>VLOOKUP(B18,'Data availability'!$A$2:$B$91,2,FALSE)</f>
        <v xml:space="preserve">Main campus </v>
      </c>
      <c r="D18" s="3">
        <f>VLOOKUP(B18,'Data availability'!$A$2:$G$91,7,FALSE)</f>
        <v>12889</v>
      </c>
      <c r="E18" s="3" t="str">
        <f>VLOOKUP(B18,'Data availability'!$A$2:$H$91,8,FALSE)</f>
        <v>Academic</v>
      </c>
      <c r="F18" s="1"/>
      <c r="G18" s="1"/>
      <c r="H18" s="1">
        <f>P$15*VLOOKUP(A18,'Campus Totals'!$A$36:$D$47,4,FALSE)</f>
        <v>4602.7486108723924</v>
      </c>
      <c r="I18" s="1" t="e">
        <f>Q$15*VLOOKUP($A18,'Campus Totals'!$A$36:$E$47,5,FALSE)</f>
        <v>#N/A</v>
      </c>
      <c r="J18" s="1"/>
      <c r="K18" s="1"/>
      <c r="L18" s="1"/>
      <c r="M18" s="1"/>
      <c r="N18" s="1"/>
      <c r="O18" s="1"/>
      <c r="P18" s="1"/>
      <c r="Q18" s="1"/>
      <c r="R18" s="1"/>
    </row>
    <row r="19" spans="1:20" x14ac:dyDescent="0.3">
      <c r="A19" s="3">
        <v>5</v>
      </c>
      <c r="B19" s="3" t="s">
        <v>138</v>
      </c>
      <c r="C19" s="3" t="str">
        <f>VLOOKUP(B19,'Data availability'!$A$2:$B$91,2,FALSE)</f>
        <v xml:space="preserve">Main campus </v>
      </c>
      <c r="D19" s="3">
        <f>VLOOKUP(B19,'Data availability'!$A$2:$G$91,7,FALSE)</f>
        <v>12889</v>
      </c>
      <c r="E19" s="3" t="str">
        <f>VLOOKUP(B19,'Data availability'!$A$2:$H$91,8,FALSE)</f>
        <v>Academic</v>
      </c>
      <c r="F19" s="1"/>
      <c r="G19" s="1"/>
      <c r="H19" s="1">
        <f>P$15*VLOOKUP(A19,'Campus Totals'!$A$36:$D$47,4,FALSE)</f>
        <v>9388.8698802132694</v>
      </c>
      <c r="I19" s="1" t="e">
        <f>Q$15*VLOOKUP($A19,'Campus Totals'!$A$36:$E$47,5,FALSE)</f>
        <v>#N/A</v>
      </c>
      <c r="J19" s="1"/>
      <c r="K19" s="1"/>
      <c r="L19" s="1"/>
      <c r="M19" s="1"/>
      <c r="N19" s="1"/>
      <c r="O19" s="1"/>
      <c r="P19" s="1"/>
      <c r="Q19" s="1"/>
      <c r="R19" s="1"/>
    </row>
    <row r="20" spans="1:20" x14ac:dyDescent="0.3">
      <c r="A20" s="3">
        <v>6</v>
      </c>
      <c r="B20" s="3" t="s">
        <v>138</v>
      </c>
      <c r="C20" s="3" t="str">
        <f>VLOOKUP(B20,'Data availability'!$A$2:$B$91,2,FALSE)</f>
        <v xml:space="preserve">Main campus </v>
      </c>
      <c r="D20" s="3">
        <f>VLOOKUP(B20,'Data availability'!$A$2:$G$91,7,FALSE)</f>
        <v>12889</v>
      </c>
      <c r="E20" s="3" t="str">
        <f>VLOOKUP(B20,'Data availability'!$A$2:$H$91,8,FALSE)</f>
        <v>Academic</v>
      </c>
      <c r="F20" s="1"/>
      <c r="G20" s="1"/>
      <c r="H20" s="1">
        <f>P$15*VLOOKUP(A20,'Campus Totals'!$A$36:$D$47,4,FALSE)</f>
        <v>7503.3289298425834</v>
      </c>
      <c r="I20" s="1" t="e">
        <f>Q$15*VLOOKUP($A20,'Campus Totals'!$A$36:$E$47,5,FALSE)</f>
        <v>#N/A</v>
      </c>
      <c r="J20" s="1"/>
      <c r="K20" s="1"/>
      <c r="L20" s="1"/>
      <c r="M20" s="1"/>
      <c r="N20" s="1"/>
      <c r="O20" s="1"/>
      <c r="P20" s="1"/>
      <c r="Q20" s="1"/>
      <c r="R20" s="1"/>
    </row>
    <row r="21" spans="1:20" x14ac:dyDescent="0.3">
      <c r="A21" s="3">
        <v>7</v>
      </c>
      <c r="B21" s="3" t="s">
        <v>138</v>
      </c>
      <c r="C21" s="3" t="str">
        <f>VLOOKUP(B21,'Data availability'!$A$2:$B$91,2,FALSE)</f>
        <v xml:space="preserve">Main campus </v>
      </c>
      <c r="D21" s="3">
        <f>VLOOKUP(B21,'Data availability'!$A$2:$G$91,7,FALSE)</f>
        <v>12889</v>
      </c>
      <c r="E21" s="3" t="str">
        <f>VLOOKUP(B21,'Data availability'!$A$2:$H$91,8,FALSE)</f>
        <v>Academic</v>
      </c>
      <c r="F21" s="1"/>
      <c r="G21" s="1"/>
      <c r="H21" s="1">
        <f>P$15*VLOOKUP(A21,'Campus Totals'!$A$36:$D$47,4,FALSE)</f>
        <v>5803.7708421304933</v>
      </c>
      <c r="I21" s="1" t="e">
        <f>Q$15*VLOOKUP($A21,'Campus Totals'!$A$36:$E$47,5,FALSE)</f>
        <v>#N/A</v>
      </c>
      <c r="J21" s="1"/>
      <c r="K21" s="1"/>
      <c r="L21" s="1"/>
      <c r="M21" s="1"/>
      <c r="N21" s="1"/>
      <c r="O21" s="1"/>
      <c r="P21" s="1"/>
      <c r="Q21" s="1"/>
      <c r="R21" s="1"/>
    </row>
    <row r="22" spans="1:20" x14ac:dyDescent="0.3">
      <c r="A22" s="3">
        <v>8</v>
      </c>
      <c r="B22" s="3" t="s">
        <v>138</v>
      </c>
      <c r="C22" s="3" t="str">
        <f>VLOOKUP(B22,'Data availability'!$A$2:$B$91,2,FALSE)</f>
        <v xml:space="preserve">Main campus </v>
      </c>
      <c r="D22" s="3">
        <f>VLOOKUP(B22,'Data availability'!$A$2:$G$91,7,FALSE)</f>
        <v>12889</v>
      </c>
      <c r="E22" s="3" t="str">
        <f>VLOOKUP(B22,'Data availability'!$A$2:$H$91,8,FALSE)</f>
        <v>Academic</v>
      </c>
      <c r="F22" s="1"/>
      <c r="G22" s="1"/>
      <c r="H22" s="1">
        <f>P$15*VLOOKUP(A22,'Campus Totals'!$A$36:$D$47,4,FALSE)</f>
        <v>7164.8971741862588</v>
      </c>
      <c r="I22" s="1" t="e">
        <f>Q$15*VLOOKUP($A22,'Campus Totals'!$A$36:$E$47,5,FALSE)</f>
        <v>#N/A</v>
      </c>
      <c r="J22" s="1"/>
      <c r="K22" s="1"/>
      <c r="L22" s="1"/>
      <c r="M22" s="1"/>
      <c r="N22" s="1"/>
      <c r="O22" s="1"/>
      <c r="P22" s="1"/>
      <c r="Q22" s="1"/>
      <c r="R22" s="1"/>
    </row>
    <row r="23" spans="1:20" x14ac:dyDescent="0.3">
      <c r="A23" s="3">
        <v>9</v>
      </c>
      <c r="B23" s="3" t="s">
        <v>138</v>
      </c>
      <c r="C23" s="3" t="str">
        <f>VLOOKUP(B23,'Data availability'!$A$2:$B$91,2,FALSE)</f>
        <v xml:space="preserve">Main campus </v>
      </c>
      <c r="D23" s="3">
        <f>VLOOKUP(B23,'Data availability'!$A$2:$G$91,7,FALSE)</f>
        <v>12889</v>
      </c>
      <c r="E23" s="3" t="str">
        <f>VLOOKUP(B23,'Data availability'!$A$2:$H$91,8,FALSE)</f>
        <v>Academic</v>
      </c>
      <c r="F23" s="1"/>
      <c r="G23" s="1"/>
      <c r="H23" s="1">
        <f>P$15*VLOOKUP(A23,'Campus Totals'!$A$36:$D$47,4,FALSE)</f>
        <v>4913.5803944706076</v>
      </c>
      <c r="I23" s="1" t="e">
        <f>Q$15*VLOOKUP($A23,'Campus Totals'!$A$36:$E$47,5,FALSE)</f>
        <v>#N/A</v>
      </c>
      <c r="J23" s="1"/>
      <c r="K23" s="1"/>
      <c r="L23" s="1"/>
      <c r="M23" s="1"/>
      <c r="N23" s="1"/>
      <c r="O23" s="1"/>
      <c r="P23" s="1"/>
      <c r="Q23" s="1"/>
      <c r="R23" s="1"/>
    </row>
    <row r="24" spans="1:20" x14ac:dyDescent="0.3">
      <c r="A24" s="3">
        <v>10</v>
      </c>
      <c r="B24" s="3" t="s">
        <v>138</v>
      </c>
      <c r="C24" s="3" t="str">
        <f>VLOOKUP(B24,'Data availability'!$A$2:$B$91,2,FALSE)</f>
        <v xml:space="preserve">Main campus </v>
      </c>
      <c r="D24" s="3">
        <f>VLOOKUP(B24,'Data availability'!$A$2:$G$91,7,FALSE)</f>
        <v>12889</v>
      </c>
      <c r="E24" s="3" t="str">
        <f>VLOOKUP(B24,'Data availability'!$A$2:$H$91,8,FALSE)</f>
        <v>Academic</v>
      </c>
      <c r="F24" s="1"/>
      <c r="G24" s="1"/>
      <c r="H24" s="1">
        <f>P$15*VLOOKUP(A24,'Campus Totals'!$A$36:$D$47,4,FALSE)</f>
        <v>2611.0547580026728</v>
      </c>
      <c r="I24" s="1" t="e">
        <f>Q$15*VLOOKUP($A24,'Campus Totals'!$A$36:$E$47,5,FALSE)</f>
        <v>#N/A</v>
      </c>
      <c r="J24" s="1"/>
      <c r="K24" s="1"/>
      <c r="L24" s="1"/>
      <c r="M24" s="1"/>
      <c r="N24" s="1"/>
      <c r="O24" s="1"/>
      <c r="P24" s="1"/>
      <c r="Q24" s="1"/>
      <c r="R24" s="1"/>
    </row>
    <row r="25" spans="1:20" x14ac:dyDescent="0.3">
      <c r="A25" s="3">
        <v>11</v>
      </c>
      <c r="B25" s="3" t="s">
        <v>138</v>
      </c>
      <c r="C25" s="3" t="str">
        <f>VLOOKUP(B25,'Data availability'!$A$2:$B$91,2,FALSE)</f>
        <v xml:space="preserve">Main campus </v>
      </c>
      <c r="D25" s="3">
        <f>VLOOKUP(B25,'Data availability'!$A$2:$G$91,7,FALSE)</f>
        <v>12889</v>
      </c>
      <c r="E25" s="3" t="str">
        <f>VLOOKUP(B25,'Data availability'!$A$2:$H$91,8,FALSE)</f>
        <v>Academic</v>
      </c>
      <c r="F25" s="1"/>
      <c r="G25" s="1"/>
      <c r="H25" s="1">
        <f>P$15*VLOOKUP(A25,'Campus Totals'!$A$36:$D$47,4,FALSE)</f>
        <v>2088.352322024296</v>
      </c>
      <c r="I25" s="1" t="e">
        <f>Q$15*VLOOKUP($A25,'Campus Totals'!$A$36:$E$47,5,FALSE)</f>
        <v>#N/A</v>
      </c>
      <c r="J25" s="1"/>
      <c r="K25" s="1"/>
      <c r="L25" s="1"/>
      <c r="M25" s="1"/>
      <c r="N25" s="1"/>
      <c r="O25" s="1"/>
      <c r="P25" s="1"/>
      <c r="Q25" s="1"/>
      <c r="R25" s="1"/>
    </row>
    <row r="26" spans="1:20" s="69" customFormat="1" x14ac:dyDescent="0.3">
      <c r="A26" s="64">
        <v>12</v>
      </c>
      <c r="B26" s="64" t="s">
        <v>138</v>
      </c>
      <c r="C26" s="64" t="str">
        <f>VLOOKUP(B26,'Data availability'!$A$2:$B$91,2,FALSE)</f>
        <v xml:space="preserve">Main campus </v>
      </c>
      <c r="D26" s="64">
        <f>VLOOKUP(B26,'Data availability'!$A$2:$G$91,7,FALSE)</f>
        <v>12889</v>
      </c>
      <c r="E26" s="64" t="str">
        <f>VLOOKUP(B26,'Data availability'!$A$2:$H$91,8,FALSE)</f>
        <v>Academic</v>
      </c>
      <c r="F26" s="66"/>
      <c r="G26" s="66"/>
      <c r="H26" s="66">
        <f>P$15*VLOOKUP(A26,'Campus Totals'!$A$36:$D$47,4,FALSE)</f>
        <v>2172.7008260467055</v>
      </c>
      <c r="I26" s="66" t="e">
        <f>Q$15*VLOOKUP($A26,'Campus Totals'!$A$36:$E$47,5,FALSE)</f>
        <v>#N/A</v>
      </c>
      <c r="J26" s="66"/>
      <c r="K26" s="66"/>
      <c r="L26" s="66"/>
      <c r="M26" s="66"/>
      <c r="N26" s="66"/>
      <c r="O26" s="66"/>
      <c r="P26" s="66"/>
      <c r="Q26" s="66"/>
      <c r="R26" s="66"/>
    </row>
    <row r="27" spans="1:20" x14ac:dyDescent="0.3">
      <c r="A27" s="3">
        <v>1</v>
      </c>
      <c r="B27" s="3" t="s">
        <v>405</v>
      </c>
      <c r="C27" s="3" t="str">
        <f>VLOOKUP(B27,'Data availability'!$A$2:$B$91,2,FALSE)</f>
        <v>Main campus</v>
      </c>
      <c r="D27" s="3">
        <f>VLOOKUP(B27,'Data availability'!$A$2:$G$91,7,FALSE)</f>
        <v>12900</v>
      </c>
      <c r="E27" s="3" t="str">
        <f>VLOOKUP(B27,'Data availability'!$A$2:$H$91,8,FALSE)</f>
        <v>Data Center</v>
      </c>
      <c r="F27" s="1" t="e">
        <f>N$27*VLOOKUP($A27,'Campus Totals'!$A$36:$B$47,2,FALSE)</f>
        <v>#N/A</v>
      </c>
      <c r="G27" s="1"/>
      <c r="H27" s="1"/>
      <c r="I27" s="1" t="e">
        <f>Q$27*VLOOKUP($A27,'Campus Totals'!$A$36:$E$47,5,FALSE)</f>
        <v>#N/A</v>
      </c>
      <c r="J27" s="1" t="e">
        <f>INDEX('BPD vs SJSU EUIs'!$J$4:$J$17, MATCH($E27, 'BPD vs SJSU EUIs'!$A$4:$A$17, 0))*D27</f>
        <v>#N/A</v>
      </c>
      <c r="K27" s="1"/>
      <c r="L27" s="1"/>
      <c r="M27" s="1" t="e">
        <f>INDEX('BPD vs SJSU EUIs'!$S$4:$S$17, MATCH($E27, 'BPD vs SJSU EUIs'!$A$4:$A$17, 0))*$D27</f>
        <v>#N/A</v>
      </c>
      <c r="N27" s="1" t="e">
        <f>$J27/SUM($J$4:$J$124)</f>
        <v>#N/A</v>
      </c>
      <c r="O27" s="1"/>
      <c r="P27" s="1"/>
      <c r="Q27" s="1" t="e">
        <f>$M27/SUM($M$3:$M$123)</f>
        <v>#N/A</v>
      </c>
      <c r="R27" t="e">
        <f>SUM(F27:F38)*3.412/D27</f>
        <v>#N/A</v>
      </c>
      <c r="T27" t="e">
        <f>SUM(I27:I38)*12/D27</f>
        <v>#N/A</v>
      </c>
    </row>
    <row r="28" spans="1:20" x14ac:dyDescent="0.3">
      <c r="A28" s="3">
        <v>2</v>
      </c>
      <c r="B28" s="3" t="s">
        <v>405</v>
      </c>
      <c r="C28" s="3" t="str">
        <f>VLOOKUP(B28,'Data availability'!$A$2:$B$91,2,FALSE)</f>
        <v>Main campus</v>
      </c>
      <c r="D28" s="3">
        <f>VLOOKUP(B28,'Data availability'!$A$2:$G$91,7,FALSE)</f>
        <v>12900</v>
      </c>
      <c r="E28" s="3" t="str">
        <f>VLOOKUP(B28,'Data availability'!$A$2:$H$91,8,FALSE)</f>
        <v>Data Center</v>
      </c>
      <c r="F28" s="1" t="e">
        <f>N$27*VLOOKUP($A28,'Campus Totals'!$A$36:$B$47,2,FALSE)</f>
        <v>#N/A</v>
      </c>
      <c r="G28" s="1"/>
      <c r="H28" s="1"/>
      <c r="I28" s="1" t="e">
        <f>Q$27*VLOOKUP($A28,'Campus Totals'!$A$36:$E$47,5,FALSE)</f>
        <v>#N/A</v>
      </c>
      <c r="J28" s="1"/>
      <c r="K28" s="1"/>
      <c r="L28" s="1"/>
      <c r="M28" s="1"/>
      <c r="N28" s="1"/>
      <c r="O28" s="1"/>
      <c r="P28" s="1"/>
      <c r="Q28" s="1"/>
      <c r="R28" s="1"/>
    </row>
    <row r="29" spans="1:20" x14ac:dyDescent="0.3">
      <c r="A29" s="3">
        <v>3</v>
      </c>
      <c r="B29" s="3" t="s">
        <v>405</v>
      </c>
      <c r="C29" s="3" t="str">
        <f>VLOOKUP(B29,'Data availability'!$A$2:$B$91,2,FALSE)</f>
        <v>Main campus</v>
      </c>
      <c r="D29" s="3">
        <f>VLOOKUP(B29,'Data availability'!$A$2:$G$91,7,FALSE)</f>
        <v>12900</v>
      </c>
      <c r="E29" s="3" t="str">
        <f>VLOOKUP(B29,'Data availability'!$A$2:$H$91,8,FALSE)</f>
        <v>Data Center</v>
      </c>
      <c r="F29" s="1" t="e">
        <f>N$27*VLOOKUP($A29,'Campus Totals'!$A$36:$B$47,2,FALSE)</f>
        <v>#N/A</v>
      </c>
      <c r="G29" s="1"/>
      <c r="H29" s="1"/>
      <c r="I29" s="1" t="e">
        <f>Q$27*VLOOKUP($A29,'Campus Totals'!$A$36:$E$47,5,FALSE)</f>
        <v>#N/A</v>
      </c>
      <c r="J29" s="1"/>
      <c r="K29" s="1"/>
      <c r="L29" s="1"/>
      <c r="M29" s="1"/>
      <c r="N29" s="1"/>
      <c r="O29" s="1"/>
      <c r="P29" s="1"/>
      <c r="Q29" s="1"/>
      <c r="R29" s="1"/>
    </row>
    <row r="30" spans="1:20" x14ac:dyDescent="0.3">
      <c r="A30" s="3">
        <v>4</v>
      </c>
      <c r="B30" s="3" t="s">
        <v>405</v>
      </c>
      <c r="C30" s="3" t="str">
        <f>VLOOKUP(B30,'Data availability'!$A$2:$B$91,2,FALSE)</f>
        <v>Main campus</v>
      </c>
      <c r="D30" s="3">
        <f>VLOOKUP(B30,'Data availability'!$A$2:$G$91,7,FALSE)</f>
        <v>12900</v>
      </c>
      <c r="E30" s="3" t="str">
        <f>VLOOKUP(B30,'Data availability'!$A$2:$H$91,8,FALSE)</f>
        <v>Data Center</v>
      </c>
      <c r="F30" s="1" t="e">
        <f>N$27*VLOOKUP($A30,'Campus Totals'!$A$36:$B$47,2,FALSE)</f>
        <v>#N/A</v>
      </c>
      <c r="G30" s="1"/>
      <c r="H30" s="1"/>
      <c r="I30" s="1" t="e">
        <f>Q$27*VLOOKUP($A30,'Campus Totals'!$A$36:$E$47,5,FALSE)</f>
        <v>#N/A</v>
      </c>
      <c r="J30" s="1"/>
      <c r="K30" s="1"/>
      <c r="L30" s="1"/>
      <c r="M30" s="1"/>
      <c r="N30" s="1"/>
      <c r="O30" s="1"/>
      <c r="P30" s="1"/>
      <c r="Q30" s="1"/>
      <c r="R30" s="1"/>
    </row>
    <row r="31" spans="1:20" x14ac:dyDescent="0.3">
      <c r="A31" s="3">
        <v>5</v>
      </c>
      <c r="B31" s="3" t="s">
        <v>405</v>
      </c>
      <c r="C31" s="3" t="str">
        <f>VLOOKUP(B31,'Data availability'!$A$2:$B$91,2,FALSE)</f>
        <v>Main campus</v>
      </c>
      <c r="D31" s="3">
        <f>VLOOKUP(B31,'Data availability'!$A$2:$G$91,7,FALSE)</f>
        <v>12900</v>
      </c>
      <c r="E31" s="3" t="str">
        <f>VLOOKUP(B31,'Data availability'!$A$2:$H$91,8,FALSE)</f>
        <v>Data Center</v>
      </c>
      <c r="F31" s="1" t="e">
        <f>N$27*VLOOKUP($A31,'Campus Totals'!$A$36:$B$47,2,FALSE)</f>
        <v>#N/A</v>
      </c>
      <c r="G31" s="3"/>
      <c r="H31" s="3"/>
      <c r="I31" s="1" t="e">
        <f>Q$27*VLOOKUP($A31,'Campus Totals'!$A$36:$E$47,5,FALSE)</f>
        <v>#N/A</v>
      </c>
      <c r="J31" s="3"/>
      <c r="K31" s="3"/>
      <c r="L31" s="1"/>
      <c r="M31" s="1"/>
      <c r="N31" s="1"/>
      <c r="O31" s="1"/>
      <c r="P31" s="1"/>
      <c r="Q31" s="1"/>
      <c r="R31" s="1"/>
    </row>
    <row r="32" spans="1:20" x14ac:dyDescent="0.3">
      <c r="A32" s="3">
        <v>6</v>
      </c>
      <c r="B32" s="3" t="s">
        <v>405</v>
      </c>
      <c r="C32" s="3" t="str">
        <f>VLOOKUP(B32,'Data availability'!$A$2:$B$91,2,FALSE)</f>
        <v>Main campus</v>
      </c>
      <c r="D32" s="3">
        <f>VLOOKUP(B32,'Data availability'!$A$2:$G$91,7,FALSE)</f>
        <v>12900</v>
      </c>
      <c r="E32" s="3" t="str">
        <f>VLOOKUP(B32,'Data availability'!$A$2:$H$91,8,FALSE)</f>
        <v>Data Center</v>
      </c>
      <c r="F32" s="1" t="e">
        <f>N$27*VLOOKUP($A32,'Campus Totals'!$A$36:$B$47,2,FALSE)</f>
        <v>#N/A</v>
      </c>
      <c r="G32" s="3"/>
      <c r="H32" s="3"/>
      <c r="I32" s="1" t="e">
        <f>Q$27*VLOOKUP($A32,'Campus Totals'!$A$36:$E$47,5,FALSE)</f>
        <v>#N/A</v>
      </c>
      <c r="J32" s="3"/>
      <c r="K32" s="3"/>
      <c r="L32" s="1"/>
      <c r="M32" s="1"/>
      <c r="N32" s="1"/>
      <c r="O32" s="1"/>
      <c r="P32" s="1"/>
      <c r="Q32" s="1"/>
      <c r="R32" s="1"/>
    </row>
    <row r="33" spans="1:18" x14ac:dyDescent="0.3">
      <c r="A33" s="3">
        <v>7</v>
      </c>
      <c r="B33" s="3" t="s">
        <v>405</v>
      </c>
      <c r="C33" s="3" t="str">
        <f>VLOOKUP(B33,'Data availability'!$A$2:$B$91,2,FALSE)</f>
        <v>Main campus</v>
      </c>
      <c r="D33" s="3">
        <f>VLOOKUP(B33,'Data availability'!$A$2:$G$91,7,FALSE)</f>
        <v>12900</v>
      </c>
      <c r="E33" s="3" t="str">
        <f>VLOOKUP(B33,'Data availability'!$A$2:$H$91,8,FALSE)</f>
        <v>Data Center</v>
      </c>
      <c r="F33" s="1" t="e">
        <f>N$27*VLOOKUP($A33,'Campus Totals'!$A$36:$B$47,2,FALSE)</f>
        <v>#N/A</v>
      </c>
      <c r="G33" s="3"/>
      <c r="H33" s="3"/>
      <c r="I33" s="1" t="e">
        <f>Q$27*VLOOKUP($A33,'Campus Totals'!$A$36:$E$47,5,FALSE)</f>
        <v>#N/A</v>
      </c>
      <c r="J33" s="3"/>
      <c r="K33" s="3"/>
      <c r="L33" s="1"/>
      <c r="M33" s="1"/>
      <c r="N33" s="1"/>
      <c r="O33" s="1"/>
      <c r="P33" s="1"/>
      <c r="Q33" s="1"/>
      <c r="R33" s="1"/>
    </row>
    <row r="34" spans="1:18" x14ac:dyDescent="0.3">
      <c r="A34" s="3">
        <v>8</v>
      </c>
      <c r="B34" s="3" t="s">
        <v>405</v>
      </c>
      <c r="C34" s="3" t="str">
        <f>VLOOKUP(B34,'Data availability'!$A$2:$B$91,2,FALSE)</f>
        <v>Main campus</v>
      </c>
      <c r="D34" s="3">
        <f>VLOOKUP(B34,'Data availability'!$A$2:$G$91,7,FALSE)</f>
        <v>12900</v>
      </c>
      <c r="E34" s="3" t="str">
        <f>VLOOKUP(B34,'Data availability'!$A$2:$H$91,8,FALSE)</f>
        <v>Data Center</v>
      </c>
      <c r="F34" s="1" t="e">
        <f>N$27*VLOOKUP($A34,'Campus Totals'!$A$36:$B$47,2,FALSE)</f>
        <v>#N/A</v>
      </c>
      <c r="G34" s="3"/>
      <c r="H34" s="3"/>
      <c r="I34" s="1" t="e">
        <f>Q$27*VLOOKUP($A34,'Campus Totals'!$A$36:$E$47,5,FALSE)</f>
        <v>#N/A</v>
      </c>
      <c r="J34" s="3"/>
      <c r="K34" s="3"/>
      <c r="L34" s="1"/>
      <c r="M34" s="1"/>
      <c r="N34" s="1"/>
      <c r="O34" s="1"/>
      <c r="P34" s="1"/>
      <c r="Q34" s="1"/>
      <c r="R34" s="1"/>
    </row>
    <row r="35" spans="1:18" x14ac:dyDescent="0.3">
      <c r="A35" s="3">
        <v>9</v>
      </c>
      <c r="B35" s="3" t="s">
        <v>405</v>
      </c>
      <c r="C35" s="3" t="str">
        <f>VLOOKUP(B35,'Data availability'!$A$2:$B$91,2,FALSE)</f>
        <v>Main campus</v>
      </c>
      <c r="D35" s="3">
        <f>VLOOKUP(B35,'Data availability'!$A$2:$G$91,7,FALSE)</f>
        <v>12900</v>
      </c>
      <c r="E35" s="3" t="str">
        <f>VLOOKUP(B35,'Data availability'!$A$2:$H$91,8,FALSE)</f>
        <v>Data Center</v>
      </c>
      <c r="F35" s="1" t="e">
        <f>N$27*VLOOKUP($A35,'Campus Totals'!$A$36:$B$47,2,FALSE)</f>
        <v>#N/A</v>
      </c>
      <c r="G35" s="3"/>
      <c r="H35" s="3"/>
      <c r="I35" s="1" t="e">
        <f>Q$27*VLOOKUP($A35,'Campus Totals'!$A$36:$E$47,5,FALSE)</f>
        <v>#N/A</v>
      </c>
      <c r="J35" s="3"/>
      <c r="K35" s="3"/>
      <c r="L35" s="1"/>
      <c r="M35" s="1"/>
      <c r="N35" s="1"/>
      <c r="O35" s="1"/>
      <c r="P35" s="1"/>
      <c r="Q35" s="1"/>
      <c r="R35" s="1"/>
    </row>
    <row r="36" spans="1:18" x14ac:dyDescent="0.3">
      <c r="A36" s="3">
        <v>10</v>
      </c>
      <c r="B36" s="3" t="s">
        <v>405</v>
      </c>
      <c r="C36" s="3" t="str">
        <f>VLOOKUP(B36,'Data availability'!$A$2:$B$91,2,FALSE)</f>
        <v>Main campus</v>
      </c>
      <c r="D36" s="3">
        <f>VLOOKUP(B36,'Data availability'!$A$2:$G$91,7,FALSE)</f>
        <v>12900</v>
      </c>
      <c r="E36" s="3" t="str">
        <f>VLOOKUP(B36,'Data availability'!$A$2:$H$91,8,FALSE)</f>
        <v>Data Center</v>
      </c>
      <c r="F36" s="1" t="e">
        <f>N$27*VLOOKUP($A36,'Campus Totals'!$A$36:$B$47,2,FALSE)</f>
        <v>#N/A</v>
      </c>
      <c r="G36" s="3"/>
      <c r="H36" s="3"/>
      <c r="I36" s="1" t="e">
        <f>Q$27*VLOOKUP($A36,'Campus Totals'!$A$36:$E$47,5,FALSE)</f>
        <v>#N/A</v>
      </c>
      <c r="J36" s="3"/>
      <c r="K36" s="3"/>
      <c r="L36" s="1"/>
      <c r="M36" s="1"/>
      <c r="N36" s="1"/>
      <c r="O36" s="1"/>
      <c r="P36" s="1"/>
      <c r="Q36" s="1"/>
      <c r="R36" s="1"/>
    </row>
    <row r="37" spans="1:18" x14ac:dyDescent="0.3">
      <c r="A37" s="3">
        <v>11</v>
      </c>
      <c r="B37" s="3" t="s">
        <v>405</v>
      </c>
      <c r="C37" s="3" t="str">
        <f>VLOOKUP(B37,'Data availability'!$A$2:$B$91,2,FALSE)</f>
        <v>Main campus</v>
      </c>
      <c r="D37" s="3">
        <f>VLOOKUP(B37,'Data availability'!$A$2:$G$91,7,FALSE)</f>
        <v>12900</v>
      </c>
      <c r="E37" s="3" t="str">
        <f>VLOOKUP(B37,'Data availability'!$A$2:$H$91,8,FALSE)</f>
        <v>Data Center</v>
      </c>
      <c r="F37" s="1" t="e">
        <f>N$27*VLOOKUP($A37,'Campus Totals'!$A$36:$B$47,2,FALSE)</f>
        <v>#N/A</v>
      </c>
      <c r="G37" s="3"/>
      <c r="H37" s="3"/>
      <c r="I37" s="1" t="e">
        <f>Q$27*VLOOKUP($A37,'Campus Totals'!$A$36:$E$47,5,FALSE)</f>
        <v>#N/A</v>
      </c>
      <c r="J37" s="3"/>
      <c r="K37" s="3"/>
      <c r="L37" s="1"/>
      <c r="M37" s="1"/>
      <c r="N37" s="1"/>
      <c r="O37" s="1"/>
      <c r="P37" s="1"/>
      <c r="Q37" s="1"/>
      <c r="R37" s="1"/>
    </row>
    <row r="38" spans="1:18" s="69" customFormat="1" x14ac:dyDescent="0.3">
      <c r="A38" s="64">
        <v>12</v>
      </c>
      <c r="B38" s="64" t="s">
        <v>405</v>
      </c>
      <c r="C38" s="64" t="str">
        <f>VLOOKUP(B38,'Data availability'!$A$2:$B$91,2,FALSE)</f>
        <v>Main campus</v>
      </c>
      <c r="D38" s="64">
        <f>VLOOKUP(B38,'Data availability'!$A$2:$G$91,7,FALSE)</f>
        <v>12900</v>
      </c>
      <c r="E38" s="64" t="str">
        <f>VLOOKUP(B38,'Data availability'!$A$2:$H$91,8,FALSE)</f>
        <v>Data Center</v>
      </c>
      <c r="F38" s="1" t="e">
        <f>N$27*VLOOKUP($A38,'Campus Totals'!$A$36:$B$47,2,FALSE)</f>
        <v>#N/A</v>
      </c>
      <c r="G38" s="64"/>
      <c r="H38" s="64"/>
      <c r="I38" s="66" t="e">
        <f>Q$27*VLOOKUP($A38,'Campus Totals'!$A$36:$E$47,5,FALSE)</f>
        <v>#N/A</v>
      </c>
      <c r="J38" s="64"/>
      <c r="K38" s="64"/>
      <c r="L38" s="66"/>
      <c r="M38" s="66"/>
      <c r="N38" s="66"/>
      <c r="O38" s="66"/>
      <c r="P38" s="66"/>
      <c r="Q38" s="66"/>
      <c r="R38" s="66"/>
    </row>
    <row r="39" spans="1:18" x14ac:dyDescent="0.3">
      <c r="A39" s="3">
        <v>1</v>
      </c>
      <c r="B39" s="3" t="s">
        <v>141</v>
      </c>
      <c r="C39" s="3" t="str">
        <f>VLOOKUP(B39,'Data availability'!$A$2:$B$91,2,FALSE)</f>
        <v>Main campus</v>
      </c>
      <c r="D39" s="3">
        <f>VLOOKUP(B39,'Data availability'!$A$2:$G$91,7,FALSE)</f>
        <v>12837</v>
      </c>
      <c r="E39" s="3" t="str">
        <f>VLOOKUP(B39,'Data availability'!$A$2:$H$91,8,FALSE)</f>
        <v>Office</v>
      </c>
      <c r="F39" s="1" t="e">
        <f>N$39*VLOOKUP($A39,'Campus Totals'!$A$36:$B$47,2,FALSE)</f>
        <v>#N/A</v>
      </c>
      <c r="G39" s="3"/>
      <c r="H39" s="3"/>
      <c r="I39" s="3"/>
      <c r="J39" s="1">
        <f>INDEX('BPD vs SJSU EUIs'!$J$4:$J$17, MATCH($E39, 'BPD vs SJSU EUIs'!$A$4:$A$17, 0))*D39</f>
        <v>461100.37793914444</v>
      </c>
      <c r="K39" s="3"/>
      <c r="L39" s="1"/>
      <c r="M39" s="1"/>
      <c r="N39" s="1" t="e">
        <f>$J39/SUM($J$4:$J$124)</f>
        <v>#N/A</v>
      </c>
      <c r="O39" s="1"/>
      <c r="P39" s="1"/>
      <c r="Q39" s="1"/>
      <c r="R39" t="e">
        <f>SUM(F39:F50)*3.412/D39</f>
        <v>#N/A</v>
      </c>
    </row>
    <row r="40" spans="1:18" x14ac:dyDescent="0.3">
      <c r="A40" s="3">
        <v>2</v>
      </c>
      <c r="B40" s="3" t="s">
        <v>141</v>
      </c>
      <c r="C40" s="3" t="str">
        <f>VLOOKUP(B40,'Data availability'!$A$2:$B$91,2,FALSE)</f>
        <v>Main campus</v>
      </c>
      <c r="D40" s="3">
        <f>VLOOKUP(B40,'Data availability'!$A$2:$G$91,7,FALSE)</f>
        <v>12837</v>
      </c>
      <c r="E40" s="3" t="str">
        <f>VLOOKUP(B40,'Data availability'!$A$2:$H$91,8,FALSE)</f>
        <v>Office</v>
      </c>
      <c r="F40" s="1" t="e">
        <f>N$39*VLOOKUP($A40,'Campus Totals'!$A$36:$B$47,2,FALSE)</f>
        <v>#N/A</v>
      </c>
      <c r="G40" s="3"/>
      <c r="H40" s="3"/>
      <c r="I40" s="3"/>
      <c r="J40" s="3"/>
      <c r="K40" s="3"/>
      <c r="L40" s="1"/>
      <c r="M40" s="1"/>
      <c r="N40" s="1"/>
      <c r="O40" s="1"/>
      <c r="P40" s="1"/>
      <c r="Q40" s="1"/>
      <c r="R40" s="1"/>
    </row>
    <row r="41" spans="1:18" x14ac:dyDescent="0.3">
      <c r="A41" s="3">
        <v>3</v>
      </c>
      <c r="B41" s="3" t="s">
        <v>141</v>
      </c>
      <c r="C41" s="3" t="str">
        <f>VLOOKUP(B41,'Data availability'!$A$2:$B$91,2,FALSE)</f>
        <v>Main campus</v>
      </c>
      <c r="D41" s="3">
        <f>VLOOKUP(B41,'Data availability'!$A$2:$G$91,7,FALSE)</f>
        <v>12837</v>
      </c>
      <c r="E41" s="3" t="str">
        <f>VLOOKUP(B41,'Data availability'!$A$2:$H$91,8,FALSE)</f>
        <v>Office</v>
      </c>
      <c r="F41" s="1" t="e">
        <f>N$39*VLOOKUP($A41,'Campus Totals'!$A$36:$B$47,2,FALSE)</f>
        <v>#N/A</v>
      </c>
      <c r="G41" s="3"/>
      <c r="H41" s="3"/>
      <c r="I41" s="3"/>
      <c r="J41" s="3"/>
      <c r="K41" s="3"/>
      <c r="L41" s="1"/>
      <c r="M41" s="1"/>
      <c r="N41" s="1"/>
      <c r="O41" s="1"/>
      <c r="P41" s="1"/>
      <c r="Q41" s="1"/>
      <c r="R41" s="1"/>
    </row>
    <row r="42" spans="1:18" x14ac:dyDescent="0.3">
      <c r="A42" s="3">
        <v>4</v>
      </c>
      <c r="B42" s="3" t="s">
        <v>141</v>
      </c>
      <c r="C42" s="3" t="str">
        <f>VLOOKUP(B42,'Data availability'!$A$2:$B$91,2,FALSE)</f>
        <v>Main campus</v>
      </c>
      <c r="D42" s="3">
        <f>VLOOKUP(B42,'Data availability'!$A$2:$G$91,7,FALSE)</f>
        <v>12837</v>
      </c>
      <c r="E42" s="3" t="str">
        <f>VLOOKUP(B42,'Data availability'!$A$2:$H$91,8,FALSE)</f>
        <v>Office</v>
      </c>
      <c r="F42" s="1" t="e">
        <f>N$39*VLOOKUP($A42,'Campus Totals'!$A$36:$B$47,2,FALSE)</f>
        <v>#N/A</v>
      </c>
      <c r="G42" s="3"/>
      <c r="H42" s="3"/>
      <c r="I42" s="3"/>
      <c r="J42" s="3"/>
      <c r="K42" s="3"/>
      <c r="L42" s="1"/>
      <c r="M42" s="1"/>
      <c r="N42" s="1"/>
      <c r="O42" s="1"/>
      <c r="P42" s="1"/>
      <c r="Q42" s="1"/>
      <c r="R42" s="1"/>
    </row>
    <row r="43" spans="1:18" x14ac:dyDescent="0.3">
      <c r="A43" s="3">
        <v>5</v>
      </c>
      <c r="B43" s="3" t="s">
        <v>141</v>
      </c>
      <c r="C43" s="3" t="str">
        <f>VLOOKUP(B43,'Data availability'!$A$2:$B$91,2,FALSE)</f>
        <v>Main campus</v>
      </c>
      <c r="D43" s="3">
        <f>VLOOKUP(B43,'Data availability'!$A$2:$G$91,7,FALSE)</f>
        <v>12837</v>
      </c>
      <c r="E43" s="3" t="str">
        <f>VLOOKUP(B43,'Data availability'!$A$2:$H$91,8,FALSE)</f>
        <v>Office</v>
      </c>
      <c r="F43" s="1" t="e">
        <f>N$39*VLOOKUP($A43,'Campus Totals'!$A$36:$B$47,2,FALSE)</f>
        <v>#N/A</v>
      </c>
      <c r="G43" s="3"/>
      <c r="H43" s="3"/>
      <c r="I43" s="3"/>
      <c r="J43" s="3"/>
      <c r="K43" s="3"/>
      <c r="L43" s="1"/>
      <c r="M43" s="1"/>
      <c r="N43" s="1"/>
      <c r="O43" s="1"/>
      <c r="P43" s="1"/>
      <c r="Q43" s="1"/>
      <c r="R43" s="1"/>
    </row>
    <row r="44" spans="1:18" x14ac:dyDescent="0.3">
      <c r="A44" s="3">
        <v>6</v>
      </c>
      <c r="B44" s="3" t="s">
        <v>141</v>
      </c>
      <c r="C44" s="3" t="str">
        <f>VLOOKUP(B44,'Data availability'!$A$2:$B$91,2,FALSE)</f>
        <v>Main campus</v>
      </c>
      <c r="D44" s="3">
        <f>VLOOKUP(B44,'Data availability'!$A$2:$G$91,7,FALSE)</f>
        <v>12837</v>
      </c>
      <c r="E44" s="3" t="str">
        <f>VLOOKUP(B44,'Data availability'!$A$2:$H$91,8,FALSE)</f>
        <v>Office</v>
      </c>
      <c r="F44" s="1" t="e">
        <f>N$39*VLOOKUP($A44,'Campus Totals'!$A$36:$B$47,2,FALSE)</f>
        <v>#N/A</v>
      </c>
      <c r="G44" s="3"/>
      <c r="H44" s="3"/>
      <c r="I44" s="3"/>
      <c r="J44" s="3"/>
      <c r="K44" s="3"/>
      <c r="L44" s="1"/>
      <c r="M44" s="1"/>
      <c r="N44" s="1"/>
      <c r="O44" s="1"/>
      <c r="P44" s="1"/>
      <c r="Q44" s="1"/>
      <c r="R44" s="1"/>
    </row>
    <row r="45" spans="1:18" x14ac:dyDescent="0.3">
      <c r="A45" s="3">
        <v>7</v>
      </c>
      <c r="B45" s="3" t="s">
        <v>141</v>
      </c>
      <c r="C45" s="3" t="str">
        <f>VLOOKUP(B45,'Data availability'!$A$2:$B$91,2,FALSE)</f>
        <v>Main campus</v>
      </c>
      <c r="D45" s="3">
        <f>VLOOKUP(B45,'Data availability'!$A$2:$G$91,7,FALSE)</f>
        <v>12837</v>
      </c>
      <c r="E45" s="3" t="str">
        <f>VLOOKUP(B45,'Data availability'!$A$2:$H$91,8,FALSE)</f>
        <v>Office</v>
      </c>
      <c r="F45" s="1" t="e">
        <f>N$39*VLOOKUP($A45,'Campus Totals'!$A$36:$B$47,2,FALSE)</f>
        <v>#N/A</v>
      </c>
      <c r="G45" s="3"/>
      <c r="H45" s="3"/>
      <c r="I45" s="3"/>
      <c r="J45" s="3"/>
      <c r="K45" s="3"/>
      <c r="L45" s="1"/>
      <c r="M45" s="1"/>
      <c r="N45" s="1"/>
      <c r="O45" s="1"/>
      <c r="P45" s="1"/>
      <c r="Q45" s="1"/>
      <c r="R45" s="1"/>
    </row>
    <row r="46" spans="1:18" x14ac:dyDescent="0.3">
      <c r="A46" s="3">
        <v>8</v>
      </c>
      <c r="B46" s="3" t="s">
        <v>141</v>
      </c>
      <c r="C46" s="3" t="str">
        <f>VLOOKUP(B46,'Data availability'!$A$2:$B$91,2,FALSE)</f>
        <v>Main campus</v>
      </c>
      <c r="D46" s="3">
        <f>VLOOKUP(B46,'Data availability'!$A$2:$G$91,7,FALSE)</f>
        <v>12837</v>
      </c>
      <c r="E46" s="3" t="str">
        <f>VLOOKUP(B46,'Data availability'!$A$2:$H$91,8,FALSE)</f>
        <v>Office</v>
      </c>
      <c r="F46" s="1" t="e">
        <f>N$39*VLOOKUP($A46,'Campus Totals'!$A$36:$B$47,2,FALSE)</f>
        <v>#N/A</v>
      </c>
      <c r="G46" s="3"/>
      <c r="H46" s="3"/>
      <c r="I46" s="3"/>
      <c r="J46" s="3"/>
      <c r="K46" s="3"/>
      <c r="L46" s="1"/>
      <c r="M46" s="1"/>
      <c r="N46" s="1"/>
      <c r="O46" s="1"/>
      <c r="P46" s="1"/>
      <c r="Q46" s="1"/>
      <c r="R46" s="1"/>
    </row>
    <row r="47" spans="1:18" x14ac:dyDescent="0.3">
      <c r="A47" s="3">
        <v>9</v>
      </c>
      <c r="B47" s="3" t="s">
        <v>141</v>
      </c>
      <c r="C47" s="3" t="str">
        <f>VLOOKUP(B47,'Data availability'!$A$2:$B$91,2,FALSE)</f>
        <v>Main campus</v>
      </c>
      <c r="D47" s="3">
        <f>VLOOKUP(B47,'Data availability'!$A$2:$G$91,7,FALSE)</f>
        <v>12837</v>
      </c>
      <c r="E47" s="3" t="str">
        <f>VLOOKUP(B47,'Data availability'!$A$2:$H$91,8,FALSE)</f>
        <v>Office</v>
      </c>
      <c r="F47" s="1" t="e">
        <f>N$39*VLOOKUP($A47,'Campus Totals'!$A$36:$B$47,2,FALSE)</f>
        <v>#N/A</v>
      </c>
      <c r="G47" s="3"/>
      <c r="H47" s="3"/>
      <c r="I47" s="3"/>
      <c r="J47" s="3"/>
      <c r="K47" s="3"/>
      <c r="L47" s="1"/>
      <c r="M47" s="1"/>
      <c r="N47" s="1"/>
      <c r="O47" s="1"/>
      <c r="P47" s="1"/>
      <c r="Q47" s="1"/>
      <c r="R47" s="1"/>
    </row>
    <row r="48" spans="1:18" x14ac:dyDescent="0.3">
      <c r="A48" s="3">
        <v>10</v>
      </c>
      <c r="B48" s="3" t="s">
        <v>141</v>
      </c>
      <c r="C48" s="3" t="str">
        <f>VLOOKUP(B48,'Data availability'!$A$2:$B$91,2,FALSE)</f>
        <v>Main campus</v>
      </c>
      <c r="D48" s="3">
        <f>VLOOKUP(B48,'Data availability'!$A$2:$G$91,7,FALSE)</f>
        <v>12837</v>
      </c>
      <c r="E48" s="3" t="str">
        <f>VLOOKUP(B48,'Data availability'!$A$2:$H$91,8,FALSE)</f>
        <v>Office</v>
      </c>
      <c r="F48" s="1" t="e">
        <f>N$39*VLOOKUP($A48,'Campus Totals'!$A$36:$B$47,2,FALSE)</f>
        <v>#N/A</v>
      </c>
      <c r="G48" s="3"/>
      <c r="H48" s="3"/>
      <c r="I48" s="3"/>
      <c r="J48" s="3"/>
      <c r="K48" s="3"/>
      <c r="L48" s="1"/>
      <c r="M48" s="1"/>
      <c r="N48" s="1"/>
      <c r="O48" s="1"/>
      <c r="P48" s="1"/>
      <c r="Q48" s="1"/>
      <c r="R48" s="1"/>
    </row>
    <row r="49" spans="1:21" x14ac:dyDescent="0.3">
      <c r="A49" s="3">
        <v>11</v>
      </c>
      <c r="B49" s="3" t="s">
        <v>141</v>
      </c>
      <c r="C49" s="3" t="str">
        <f>VLOOKUP(B49,'Data availability'!$A$2:$B$91,2,FALSE)</f>
        <v>Main campus</v>
      </c>
      <c r="D49" s="3">
        <f>VLOOKUP(B49,'Data availability'!$A$2:$G$91,7,FALSE)</f>
        <v>12837</v>
      </c>
      <c r="E49" s="3" t="str">
        <f>VLOOKUP(B49,'Data availability'!$A$2:$H$91,8,FALSE)</f>
        <v>Office</v>
      </c>
      <c r="F49" s="1" t="e">
        <f>N$39*VLOOKUP($A49,'Campus Totals'!$A$36:$B$47,2,FALSE)</f>
        <v>#N/A</v>
      </c>
      <c r="G49" s="3"/>
      <c r="H49" s="3"/>
      <c r="I49" s="3"/>
      <c r="J49" s="3"/>
      <c r="K49" s="3"/>
      <c r="L49" s="1"/>
      <c r="M49" s="1"/>
      <c r="N49" s="1"/>
      <c r="O49" s="1"/>
      <c r="P49" s="1"/>
      <c r="Q49" s="1"/>
      <c r="R49" s="1"/>
    </row>
    <row r="50" spans="1:21" s="69" customFormat="1" x14ac:dyDescent="0.3">
      <c r="A50" s="64">
        <v>12</v>
      </c>
      <c r="B50" s="64" t="s">
        <v>141</v>
      </c>
      <c r="C50" s="64" t="str">
        <f>VLOOKUP(B50,'Data availability'!$A$2:$B$91,2,FALSE)</f>
        <v>Main campus</v>
      </c>
      <c r="D50" s="64">
        <f>VLOOKUP(B50,'Data availability'!$A$2:$G$91,7,FALSE)</f>
        <v>12837</v>
      </c>
      <c r="E50" s="64" t="str">
        <f>VLOOKUP(B50,'Data availability'!$A$2:$H$91,8,FALSE)</f>
        <v>Office</v>
      </c>
      <c r="F50" s="1" t="e">
        <f>N$39*VLOOKUP($A50,'Campus Totals'!$A$36:$B$47,2,FALSE)</f>
        <v>#N/A</v>
      </c>
      <c r="G50" s="64"/>
      <c r="H50" s="64"/>
      <c r="I50" s="64"/>
      <c r="J50" s="64"/>
      <c r="K50" s="64"/>
      <c r="L50" s="66"/>
      <c r="M50" s="66"/>
      <c r="N50" s="66"/>
      <c r="O50" s="66"/>
      <c r="P50" s="66"/>
      <c r="Q50" s="66"/>
      <c r="R50" s="66"/>
    </row>
    <row r="51" spans="1:21" x14ac:dyDescent="0.3">
      <c r="A51" s="3">
        <v>1</v>
      </c>
      <c r="B51" s="3" t="s">
        <v>142</v>
      </c>
      <c r="C51" s="3" t="str">
        <f>VLOOKUP(B51,'Data availability'!$A$2:$B$91,2,FALSE)</f>
        <v>Main campus</v>
      </c>
      <c r="D51" s="3">
        <f>VLOOKUP(B51,'Data availability'!$A$2:$G$91,7,FALSE)</f>
        <v>29182</v>
      </c>
      <c r="E51" s="3" t="str">
        <f>VLOOKUP(B51,'Data availability'!$A$2:$H$91,8,FALSE)</f>
        <v>Warehouse</v>
      </c>
      <c r="F51" s="1" t="e">
        <f>N$51*VLOOKUP($A51,'Campus Totals'!$A$36:$B$47,2,FALSE)</f>
        <v>#N/A</v>
      </c>
      <c r="G51" s="3"/>
      <c r="H51" s="3"/>
      <c r="I51" s="3"/>
      <c r="J51" s="1">
        <f>INDEX('BPD vs SJSU EUIs'!$J$4:$J$17, MATCH($E51, 'BPD vs SJSU EUIs'!$A$4:$A$17, 0))*D51</f>
        <v>262638</v>
      </c>
      <c r="K51" s="3"/>
      <c r="L51" s="1"/>
      <c r="M51" s="1"/>
      <c r="N51" s="1" t="e">
        <f>$J51/SUM($J$4:$J$124)</f>
        <v>#N/A</v>
      </c>
      <c r="O51" s="1"/>
      <c r="P51" s="1"/>
      <c r="Q51" s="1"/>
      <c r="R51" t="e">
        <f>SUM(F51:F62)*3.412/D51</f>
        <v>#N/A</v>
      </c>
    </row>
    <row r="52" spans="1:21" x14ac:dyDescent="0.3">
      <c r="A52" s="3">
        <v>2</v>
      </c>
      <c r="B52" s="3" t="s">
        <v>142</v>
      </c>
      <c r="C52" s="3" t="str">
        <f>VLOOKUP(B52,'Data availability'!$A$2:$B$91,2,FALSE)</f>
        <v>Main campus</v>
      </c>
      <c r="D52" s="3">
        <f>VLOOKUP(B52,'Data availability'!$A$2:$G$91,7,FALSE)</f>
        <v>29182</v>
      </c>
      <c r="E52" s="3" t="str">
        <f>VLOOKUP(B52,'Data availability'!$A$2:$H$91,8,FALSE)</f>
        <v>Warehouse</v>
      </c>
      <c r="F52" s="1" t="e">
        <f>N$51*VLOOKUP($A52,'Campus Totals'!$A$36:$B$47,2,FALSE)</f>
        <v>#N/A</v>
      </c>
      <c r="G52" s="3"/>
      <c r="H52" s="3"/>
      <c r="I52" s="3"/>
      <c r="J52" s="3"/>
      <c r="K52" s="3"/>
      <c r="L52" s="1"/>
      <c r="M52" s="1"/>
      <c r="N52" s="1"/>
      <c r="O52" s="1"/>
      <c r="P52" s="1"/>
      <c r="Q52" s="1"/>
      <c r="R52" s="1"/>
    </row>
    <row r="53" spans="1:21" x14ac:dyDescent="0.3">
      <c r="A53" s="3">
        <v>3</v>
      </c>
      <c r="B53" s="3" t="s">
        <v>142</v>
      </c>
      <c r="C53" s="3" t="str">
        <f>VLOOKUP(B53,'Data availability'!$A$2:$B$91,2,FALSE)</f>
        <v>Main campus</v>
      </c>
      <c r="D53" s="3">
        <f>VLOOKUP(B53,'Data availability'!$A$2:$G$91,7,FALSE)</f>
        <v>29182</v>
      </c>
      <c r="E53" s="3" t="str">
        <f>VLOOKUP(B53,'Data availability'!$A$2:$H$91,8,FALSE)</f>
        <v>Warehouse</v>
      </c>
      <c r="F53" s="1" t="e">
        <f>N$51*VLOOKUP($A53,'Campus Totals'!$A$36:$B$47,2,FALSE)</f>
        <v>#N/A</v>
      </c>
      <c r="G53" s="3"/>
      <c r="H53" s="3"/>
      <c r="I53" s="3"/>
      <c r="J53" s="3"/>
      <c r="K53" s="3"/>
      <c r="L53" s="1"/>
      <c r="M53" s="1"/>
      <c r="N53" s="1"/>
      <c r="O53" s="1"/>
      <c r="P53" s="1"/>
      <c r="Q53" s="1"/>
      <c r="R53" s="1"/>
    </row>
    <row r="54" spans="1:21" x14ac:dyDescent="0.3">
      <c r="A54" s="3">
        <v>4</v>
      </c>
      <c r="B54" s="3" t="s">
        <v>142</v>
      </c>
      <c r="C54" s="3" t="str">
        <f>VLOOKUP(B54,'Data availability'!$A$2:$B$91,2,FALSE)</f>
        <v>Main campus</v>
      </c>
      <c r="D54" s="3">
        <f>VLOOKUP(B54,'Data availability'!$A$2:$G$91,7,FALSE)</f>
        <v>29182</v>
      </c>
      <c r="E54" s="3" t="str">
        <f>VLOOKUP(B54,'Data availability'!$A$2:$H$91,8,FALSE)</f>
        <v>Warehouse</v>
      </c>
      <c r="F54" s="1" t="e">
        <f>N$51*VLOOKUP($A54,'Campus Totals'!$A$36:$B$47,2,FALSE)</f>
        <v>#N/A</v>
      </c>
      <c r="G54" s="3"/>
      <c r="H54" s="3"/>
      <c r="I54" s="3"/>
      <c r="J54" s="3"/>
      <c r="K54" s="3"/>
      <c r="L54" s="1"/>
      <c r="M54" s="1"/>
      <c r="N54" s="1"/>
      <c r="O54" s="1"/>
      <c r="P54" s="1"/>
      <c r="Q54" s="1"/>
      <c r="R54" s="1"/>
    </row>
    <row r="55" spans="1:21" x14ac:dyDescent="0.3">
      <c r="A55" s="3">
        <v>5</v>
      </c>
      <c r="B55" s="3" t="s">
        <v>142</v>
      </c>
      <c r="C55" s="3" t="str">
        <f>VLOOKUP(B55,'Data availability'!$A$2:$B$91,2,FALSE)</f>
        <v>Main campus</v>
      </c>
      <c r="D55" s="3">
        <f>VLOOKUP(B55,'Data availability'!$A$2:$G$91,7,FALSE)</f>
        <v>29182</v>
      </c>
      <c r="E55" s="3" t="str">
        <f>VLOOKUP(B55,'Data availability'!$A$2:$H$91,8,FALSE)</f>
        <v>Warehouse</v>
      </c>
      <c r="F55" s="1" t="e">
        <f>N$51*VLOOKUP($A55,'Campus Totals'!$A$36:$B$47,2,FALSE)</f>
        <v>#N/A</v>
      </c>
      <c r="G55" s="3"/>
      <c r="H55" s="3"/>
      <c r="I55" s="3"/>
      <c r="J55" s="3"/>
      <c r="K55" s="3"/>
      <c r="L55" s="1"/>
      <c r="M55" s="1"/>
      <c r="N55" s="1"/>
      <c r="O55" s="1"/>
      <c r="P55" s="1"/>
      <c r="Q55" s="1"/>
      <c r="R55" s="1"/>
    </row>
    <row r="56" spans="1:21" x14ac:dyDescent="0.3">
      <c r="A56" s="3">
        <v>6</v>
      </c>
      <c r="B56" s="3" t="s">
        <v>142</v>
      </c>
      <c r="C56" s="3" t="str">
        <f>VLOOKUP(B56,'Data availability'!$A$2:$B$91,2,FALSE)</f>
        <v>Main campus</v>
      </c>
      <c r="D56" s="3">
        <f>VLOOKUP(B56,'Data availability'!$A$2:$G$91,7,FALSE)</f>
        <v>29182</v>
      </c>
      <c r="E56" s="3" t="str">
        <f>VLOOKUP(B56,'Data availability'!$A$2:$H$91,8,FALSE)</f>
        <v>Warehouse</v>
      </c>
      <c r="F56" s="1" t="e">
        <f>N$51*VLOOKUP($A56,'Campus Totals'!$A$36:$B$47,2,FALSE)</f>
        <v>#N/A</v>
      </c>
      <c r="G56" s="3"/>
      <c r="H56" s="3"/>
      <c r="I56" s="3"/>
      <c r="J56" s="3"/>
      <c r="K56" s="3"/>
      <c r="L56" s="1"/>
      <c r="M56" s="1"/>
      <c r="N56" s="1"/>
      <c r="O56" s="1"/>
      <c r="P56" s="1"/>
      <c r="Q56" s="1"/>
      <c r="R56" s="1"/>
    </row>
    <row r="57" spans="1:21" x14ac:dyDescent="0.3">
      <c r="A57" s="3">
        <v>7</v>
      </c>
      <c r="B57" s="3" t="s">
        <v>142</v>
      </c>
      <c r="C57" s="3" t="str">
        <f>VLOOKUP(B57,'Data availability'!$A$2:$B$91,2,FALSE)</f>
        <v>Main campus</v>
      </c>
      <c r="D57" s="3">
        <f>VLOOKUP(B57,'Data availability'!$A$2:$G$91,7,FALSE)</f>
        <v>29182</v>
      </c>
      <c r="E57" s="3" t="str">
        <f>VLOOKUP(B57,'Data availability'!$A$2:$H$91,8,FALSE)</f>
        <v>Warehouse</v>
      </c>
      <c r="F57" s="1" t="e">
        <f>N$51*VLOOKUP($A57,'Campus Totals'!$A$36:$B$47,2,FALSE)</f>
        <v>#N/A</v>
      </c>
      <c r="G57" s="3"/>
      <c r="H57" s="3"/>
      <c r="I57" s="3"/>
      <c r="J57" s="3"/>
      <c r="K57" s="3"/>
      <c r="L57" s="1"/>
      <c r="M57" s="1"/>
      <c r="N57" s="1"/>
      <c r="O57" s="1"/>
      <c r="P57" s="1"/>
      <c r="Q57" s="1"/>
      <c r="R57" s="1"/>
    </row>
    <row r="58" spans="1:21" x14ac:dyDescent="0.3">
      <c r="A58" s="3">
        <v>8</v>
      </c>
      <c r="B58" s="3" t="s">
        <v>142</v>
      </c>
      <c r="C58" s="3" t="str">
        <f>VLOOKUP(B58,'Data availability'!$A$2:$B$91,2,FALSE)</f>
        <v>Main campus</v>
      </c>
      <c r="D58" s="3">
        <f>VLOOKUP(B58,'Data availability'!$A$2:$G$91,7,FALSE)</f>
        <v>29182</v>
      </c>
      <c r="E58" s="3" t="str">
        <f>VLOOKUP(B58,'Data availability'!$A$2:$H$91,8,FALSE)</f>
        <v>Warehouse</v>
      </c>
      <c r="F58" s="1" t="e">
        <f>N$51*VLOOKUP($A58,'Campus Totals'!$A$36:$B$47,2,FALSE)</f>
        <v>#N/A</v>
      </c>
      <c r="G58" s="3"/>
      <c r="H58" s="3"/>
      <c r="I58" s="3"/>
      <c r="J58" s="3"/>
      <c r="K58" s="3"/>
      <c r="L58" s="1"/>
      <c r="M58" s="1"/>
      <c r="N58" s="1"/>
      <c r="O58" s="1"/>
      <c r="P58" s="1"/>
      <c r="Q58" s="1"/>
      <c r="R58" s="1"/>
    </row>
    <row r="59" spans="1:21" x14ac:dyDescent="0.3">
      <c r="A59" s="3">
        <v>9</v>
      </c>
      <c r="B59" s="3" t="s">
        <v>142</v>
      </c>
      <c r="C59" s="3" t="str">
        <f>VLOOKUP(B59,'Data availability'!$A$2:$B$91,2,FALSE)</f>
        <v>Main campus</v>
      </c>
      <c r="D59" s="3">
        <f>VLOOKUP(B59,'Data availability'!$A$2:$G$91,7,FALSE)</f>
        <v>29182</v>
      </c>
      <c r="E59" s="3" t="str">
        <f>VLOOKUP(B59,'Data availability'!$A$2:$H$91,8,FALSE)</f>
        <v>Warehouse</v>
      </c>
      <c r="F59" s="1" t="e">
        <f>N$51*VLOOKUP($A59,'Campus Totals'!$A$36:$B$47,2,FALSE)</f>
        <v>#N/A</v>
      </c>
      <c r="G59" s="3"/>
      <c r="H59" s="3"/>
      <c r="I59" s="3"/>
      <c r="J59" s="3"/>
      <c r="K59" s="3"/>
      <c r="L59" s="1"/>
      <c r="M59" s="1"/>
      <c r="N59" s="1"/>
      <c r="O59" s="1"/>
      <c r="P59" s="1"/>
      <c r="Q59" s="1"/>
      <c r="R59" s="1"/>
    </row>
    <row r="60" spans="1:21" x14ac:dyDescent="0.3">
      <c r="A60" s="3">
        <v>10</v>
      </c>
      <c r="B60" s="3" t="s">
        <v>142</v>
      </c>
      <c r="C60" s="3" t="str">
        <f>VLOOKUP(B60,'Data availability'!$A$2:$B$91,2,FALSE)</f>
        <v>Main campus</v>
      </c>
      <c r="D60" s="3">
        <f>VLOOKUP(B60,'Data availability'!$A$2:$G$91,7,FALSE)</f>
        <v>29182</v>
      </c>
      <c r="E60" s="3" t="str">
        <f>VLOOKUP(B60,'Data availability'!$A$2:$H$91,8,FALSE)</f>
        <v>Warehouse</v>
      </c>
      <c r="F60" s="1" t="e">
        <f>N$51*VLOOKUP($A60,'Campus Totals'!$A$36:$B$47,2,FALSE)</f>
        <v>#N/A</v>
      </c>
      <c r="G60" s="3"/>
      <c r="H60" s="3"/>
      <c r="I60" s="3"/>
      <c r="J60" s="3"/>
      <c r="K60" s="3"/>
      <c r="L60" s="1"/>
      <c r="M60" s="1"/>
      <c r="N60" s="1"/>
      <c r="O60" s="1"/>
      <c r="P60" s="1"/>
      <c r="Q60" s="1"/>
      <c r="R60" s="1"/>
    </row>
    <row r="61" spans="1:21" x14ac:dyDescent="0.3">
      <c r="A61" s="3">
        <v>11</v>
      </c>
      <c r="B61" s="3" t="s">
        <v>142</v>
      </c>
      <c r="C61" s="3" t="str">
        <f>VLOOKUP(B61,'Data availability'!$A$2:$B$91,2,FALSE)</f>
        <v>Main campus</v>
      </c>
      <c r="D61" s="3">
        <f>VLOOKUP(B61,'Data availability'!$A$2:$G$91,7,FALSE)</f>
        <v>29182</v>
      </c>
      <c r="E61" s="3" t="str">
        <f>VLOOKUP(B61,'Data availability'!$A$2:$H$91,8,FALSE)</f>
        <v>Warehouse</v>
      </c>
      <c r="F61" s="1" t="e">
        <f>N$51*VLOOKUP($A61,'Campus Totals'!$A$36:$B$47,2,FALSE)</f>
        <v>#N/A</v>
      </c>
      <c r="G61" s="3"/>
      <c r="H61" s="3"/>
      <c r="I61" s="3"/>
      <c r="J61" s="3"/>
      <c r="K61" s="3"/>
      <c r="L61" s="1"/>
      <c r="M61" s="1"/>
      <c r="N61" s="1"/>
      <c r="O61" s="1"/>
      <c r="P61" s="1"/>
      <c r="Q61" s="1"/>
      <c r="R61" s="1"/>
    </row>
    <row r="62" spans="1:21" s="69" customFormat="1" x14ac:dyDescent="0.3">
      <c r="A62" s="64">
        <v>12</v>
      </c>
      <c r="B62" s="64" t="s">
        <v>142</v>
      </c>
      <c r="C62" s="64" t="str">
        <f>VLOOKUP(B62,'Data availability'!$A$2:$B$91,2,FALSE)</f>
        <v>Main campus</v>
      </c>
      <c r="D62" s="64">
        <f>VLOOKUP(B62,'Data availability'!$A$2:$G$91,7,FALSE)</f>
        <v>29182</v>
      </c>
      <c r="E62" s="64" t="str">
        <f>VLOOKUP(B62,'Data availability'!$A$2:$H$91,8,FALSE)</f>
        <v>Warehouse</v>
      </c>
      <c r="F62" s="1" t="e">
        <f>N$51*VLOOKUP($A62,'Campus Totals'!$A$36:$B$47,2,FALSE)</f>
        <v>#N/A</v>
      </c>
      <c r="G62" s="64"/>
      <c r="H62" s="64"/>
      <c r="I62" s="64"/>
      <c r="J62" s="64"/>
      <c r="K62" s="64"/>
      <c r="L62" s="66"/>
      <c r="M62" s="66"/>
      <c r="N62" s="66"/>
      <c r="O62" s="66"/>
      <c r="P62" s="66"/>
      <c r="Q62" s="66"/>
      <c r="R62" s="66"/>
    </row>
    <row r="63" spans="1:21" x14ac:dyDescent="0.3">
      <c r="A63" s="3">
        <v>1</v>
      </c>
      <c r="B63" s="3" t="s">
        <v>407</v>
      </c>
      <c r="C63" s="3" t="str">
        <f>VLOOKUP(B63,'Data availability'!$A$2:$B$91,2,FALSE)</f>
        <v>Main campus</v>
      </c>
      <c r="D63" s="3">
        <f>VLOOKUP(B63,'Data availability'!$A$2:$G$91,7,FALSE)</f>
        <v>16496</v>
      </c>
      <c r="E63" s="3" t="str">
        <f>VLOOKUP(B63,'Data availability'!$A$2:$H$91,8,FALSE)</f>
        <v>Office</v>
      </c>
      <c r="F63" s="1" t="e">
        <f>N$63*VLOOKUP($A63,'Campus Totals'!$A$36:$B$47,2,FALSE)</f>
        <v>#N/A</v>
      </c>
      <c r="G63" s="3"/>
      <c r="H63" s="1">
        <f>P$63*VLOOKUP(A63,'Campus Totals'!$A$36:$D$47,4,FALSE)</f>
        <v>38.738752713175792</v>
      </c>
      <c r="I63" s="1" t="e">
        <f>Q$63*VLOOKUP($A63,'Campus Totals'!$A$36:$E$47,5,FALSE)</f>
        <v>#N/A</v>
      </c>
      <c r="J63" s="1">
        <f>INDEX('BPD vs SJSU EUIs'!$J$4:$J$17, MATCH($E63, 'BPD vs SJSU EUIs'!$A$4:$A$17, 0))*D63</f>
        <v>592530.32908655657</v>
      </c>
      <c r="K63" s="3"/>
      <c r="L63" s="1">
        <f>INDEX('BPD vs SJSU EUIs'!$P$4:$P$17, MATCH($E63, 'BPD vs SJSU EUIs'!$A$4:$A$17, 0))*D63</f>
        <v>333447.04206041578</v>
      </c>
      <c r="M63" s="1">
        <f>INDEX('BPD vs SJSU EUIs'!$S$4:$S$17, MATCH($E63, 'BPD vs SJSU EUIs'!$A$4:$A$17, 0))*$D63</f>
        <v>226112.82528891301</v>
      </c>
      <c r="N63" s="1" t="e">
        <f>$J63/SUM($J$4:$J$124)</f>
        <v>#N/A</v>
      </c>
      <c r="O63" s="1"/>
      <c r="P63" s="1">
        <f>$L63/SUM($L$3:$L$123)</f>
        <v>0.13052312892744244</v>
      </c>
      <c r="Q63" s="1" t="e">
        <f>$M63/SUM($M$3:$M$123)</f>
        <v>#N/A</v>
      </c>
      <c r="R63" t="e">
        <f>SUM(F63:F74)*3.412/D63</f>
        <v>#N/A</v>
      </c>
      <c r="S63">
        <f>SUM(H63:H74)*100/D63</f>
        <v>259.76621769023217</v>
      </c>
      <c r="T63" t="e">
        <f>SUM(I63:I74)*12/D63</f>
        <v>#N/A</v>
      </c>
      <c r="U63" t="e">
        <f>SUM(R63:T63)</f>
        <v>#N/A</v>
      </c>
    </row>
    <row r="64" spans="1:21" x14ac:dyDescent="0.3">
      <c r="A64" s="3">
        <v>2</v>
      </c>
      <c r="B64" s="3" t="s">
        <v>407</v>
      </c>
      <c r="C64" s="3" t="str">
        <f>VLOOKUP(B64,'Data availability'!$A$2:$B$91,2,FALSE)</f>
        <v>Main campus</v>
      </c>
      <c r="D64" s="3">
        <f>VLOOKUP(B64,'Data availability'!$A$2:$G$91,7,FALSE)</f>
        <v>16496</v>
      </c>
      <c r="E64" s="3" t="str">
        <f>VLOOKUP(B64,'Data availability'!$A$2:$H$91,8,FALSE)</f>
        <v>Office</v>
      </c>
      <c r="F64" s="1" t="e">
        <f>N$63*VLOOKUP($A64,'Campus Totals'!$A$36:$B$47,2,FALSE)</f>
        <v>#N/A</v>
      </c>
      <c r="G64" s="3"/>
      <c r="H64" s="1">
        <f>P$63*VLOOKUP(A64,'Campus Totals'!$A$36:$D$47,4,FALSE)</f>
        <v>2562.0817180195108</v>
      </c>
      <c r="I64" s="1" t="e">
        <f>Q$63*VLOOKUP($A64,'Campus Totals'!$A$36:$E$47,5,FALSE)</f>
        <v>#N/A</v>
      </c>
      <c r="J64" s="3"/>
      <c r="K64" s="3"/>
      <c r="L64" s="1"/>
      <c r="M64" s="1"/>
      <c r="N64" s="1"/>
      <c r="O64" s="1"/>
      <c r="P64" s="1"/>
      <c r="Q64" s="1"/>
      <c r="R64" s="1"/>
    </row>
    <row r="65" spans="1:21" x14ac:dyDescent="0.3">
      <c r="A65" s="3">
        <v>3</v>
      </c>
      <c r="B65" s="3" t="s">
        <v>407</v>
      </c>
      <c r="C65" s="3" t="str">
        <f>VLOOKUP(B65,'Data availability'!$A$2:$B$91,2,FALSE)</f>
        <v>Main campus</v>
      </c>
      <c r="D65" s="3">
        <f>VLOOKUP(B65,'Data availability'!$A$2:$G$91,7,FALSE)</f>
        <v>16496</v>
      </c>
      <c r="E65" s="3" t="str">
        <f>VLOOKUP(B65,'Data availability'!$A$2:$H$91,8,FALSE)</f>
        <v>Office</v>
      </c>
      <c r="F65" s="1" t="e">
        <f>N$63*VLOOKUP($A65,'Campus Totals'!$A$36:$B$47,2,FALSE)</f>
        <v>#N/A</v>
      </c>
      <c r="G65" s="3"/>
      <c r="H65" s="1">
        <f>P$63*VLOOKUP(A65,'Campus Totals'!$A$36:$D$47,4,FALSE)</f>
        <v>4741.9918713849174</v>
      </c>
      <c r="I65" s="1" t="e">
        <f>Q$63*VLOOKUP($A65,'Campus Totals'!$A$36:$E$47,5,FALSE)</f>
        <v>#N/A</v>
      </c>
      <c r="J65" s="3"/>
      <c r="K65" s="3"/>
      <c r="L65" s="1"/>
      <c r="M65" s="1"/>
      <c r="N65" s="1"/>
      <c r="O65" s="1"/>
      <c r="P65" s="1"/>
      <c r="Q65" s="1"/>
      <c r="R65" s="1"/>
    </row>
    <row r="66" spans="1:21" x14ac:dyDescent="0.3">
      <c r="A66" s="3">
        <v>4</v>
      </c>
      <c r="B66" s="3" t="s">
        <v>407</v>
      </c>
      <c r="C66" s="3" t="str">
        <f>VLOOKUP(B66,'Data availability'!$A$2:$B$91,2,FALSE)</f>
        <v>Main campus</v>
      </c>
      <c r="D66" s="3">
        <f>VLOOKUP(B66,'Data availability'!$A$2:$G$91,7,FALSE)</f>
        <v>16496</v>
      </c>
      <c r="E66" s="3" t="str">
        <f>VLOOKUP(B66,'Data availability'!$A$2:$H$91,8,FALSE)</f>
        <v>Office</v>
      </c>
      <c r="F66" s="1" t="e">
        <f>N$63*VLOOKUP($A66,'Campus Totals'!$A$36:$B$47,2,FALSE)</f>
        <v>#N/A</v>
      </c>
      <c r="G66" s="3"/>
      <c r="H66" s="1">
        <f>P$63*VLOOKUP(A66,'Campus Totals'!$A$36:$D$47,4,FALSE)</f>
        <v>3533.7920908666615</v>
      </c>
      <c r="I66" s="1" t="e">
        <f>Q$63*VLOOKUP($A66,'Campus Totals'!$A$36:$E$47,5,FALSE)</f>
        <v>#N/A</v>
      </c>
      <c r="J66" s="3"/>
      <c r="K66" s="3"/>
      <c r="L66" s="1"/>
      <c r="M66" s="1"/>
      <c r="N66" s="1"/>
      <c r="O66" s="1"/>
      <c r="P66" s="1"/>
      <c r="Q66" s="1"/>
      <c r="R66" s="1"/>
    </row>
    <row r="67" spans="1:21" x14ac:dyDescent="0.3">
      <c r="A67" s="3">
        <v>5</v>
      </c>
      <c r="B67" s="3" t="s">
        <v>407</v>
      </c>
      <c r="C67" s="3" t="str">
        <f>VLOOKUP(B67,'Data availability'!$A$2:$B$91,2,FALSE)</f>
        <v>Main campus</v>
      </c>
      <c r="D67" s="3">
        <f>VLOOKUP(B67,'Data availability'!$A$2:$G$91,7,FALSE)</f>
        <v>16496</v>
      </c>
      <c r="E67" s="3" t="str">
        <f>VLOOKUP(B67,'Data availability'!$A$2:$H$91,8,FALSE)</f>
        <v>Office</v>
      </c>
      <c r="F67" s="1" t="e">
        <f>N$63*VLOOKUP($A67,'Campus Totals'!$A$36:$B$47,2,FALSE)</f>
        <v>#N/A</v>
      </c>
      <c r="G67" s="3"/>
      <c r="H67" s="1">
        <f>P$63*VLOOKUP(A67,'Campus Totals'!$A$36:$D$47,4,FALSE)</f>
        <v>7208.3698089662439</v>
      </c>
      <c r="I67" s="1" t="e">
        <f>Q$63*VLOOKUP($A67,'Campus Totals'!$A$36:$E$47,5,FALSE)</f>
        <v>#N/A</v>
      </c>
      <c r="J67" s="3"/>
      <c r="K67" s="3"/>
      <c r="L67" s="1"/>
      <c r="M67" s="1"/>
      <c r="N67" s="1"/>
      <c r="O67" s="1"/>
      <c r="P67" s="1"/>
      <c r="Q67" s="1"/>
      <c r="R67" s="1"/>
    </row>
    <row r="68" spans="1:21" x14ac:dyDescent="0.3">
      <c r="A68" s="3">
        <v>6</v>
      </c>
      <c r="B68" s="3" t="s">
        <v>407</v>
      </c>
      <c r="C68" s="3" t="str">
        <f>VLOOKUP(B68,'Data availability'!$A$2:$B$91,2,FALSE)</f>
        <v>Main campus</v>
      </c>
      <c r="D68" s="3">
        <f>VLOOKUP(B68,'Data availability'!$A$2:$G$91,7,FALSE)</f>
        <v>16496</v>
      </c>
      <c r="E68" s="3" t="str">
        <f>VLOOKUP(B68,'Data availability'!$A$2:$H$91,8,FALSE)</f>
        <v>Office</v>
      </c>
      <c r="F68" s="1" t="e">
        <f>N$63*VLOOKUP($A68,'Campus Totals'!$A$36:$B$47,2,FALSE)</f>
        <v>#N/A</v>
      </c>
      <c r="G68" s="3"/>
      <c r="H68" s="1">
        <f>P$63*VLOOKUP(A68,'Campus Totals'!$A$36:$D$47,4,FALSE)</f>
        <v>5760.7326988955665</v>
      </c>
      <c r="I68" s="1" t="e">
        <f>Q$63*VLOOKUP($A68,'Campus Totals'!$A$36:$E$47,5,FALSE)</f>
        <v>#N/A</v>
      </c>
      <c r="J68" s="3"/>
      <c r="K68" s="3"/>
      <c r="L68" s="1"/>
      <c r="M68" s="1"/>
      <c r="N68" s="1"/>
      <c r="O68" s="1"/>
      <c r="P68" s="1"/>
      <c r="Q68" s="1"/>
      <c r="R68" s="1"/>
    </row>
    <row r="69" spans="1:21" x14ac:dyDescent="0.3">
      <c r="A69" s="3">
        <v>7</v>
      </c>
      <c r="B69" s="3" t="s">
        <v>407</v>
      </c>
      <c r="C69" s="3" t="str">
        <f>VLOOKUP(B69,'Data availability'!$A$2:$B$91,2,FALSE)</f>
        <v>Main campus</v>
      </c>
      <c r="D69" s="3">
        <f>VLOOKUP(B69,'Data availability'!$A$2:$G$91,7,FALSE)</f>
        <v>16496</v>
      </c>
      <c r="E69" s="3" t="str">
        <f>VLOOKUP(B69,'Data availability'!$A$2:$H$91,8,FALSE)</f>
        <v>Office</v>
      </c>
      <c r="F69" s="1" t="e">
        <f>N$63*VLOOKUP($A69,'Campus Totals'!$A$36:$B$47,2,FALSE)</f>
        <v>#N/A</v>
      </c>
      <c r="G69" s="3"/>
      <c r="H69" s="1">
        <f>P$63*VLOOKUP(A69,'Campus Totals'!$A$36:$D$47,4,FALSE)</f>
        <v>4455.8852183838908</v>
      </c>
      <c r="I69" s="1" t="e">
        <f>Q$63*VLOOKUP($A69,'Campus Totals'!$A$36:$E$47,5,FALSE)</f>
        <v>#N/A</v>
      </c>
      <c r="J69" s="3"/>
      <c r="K69" s="3"/>
      <c r="L69" s="1"/>
      <c r="M69" s="1"/>
      <c r="N69" s="1"/>
      <c r="O69" s="1"/>
      <c r="P69" s="1"/>
      <c r="Q69" s="1"/>
      <c r="R69" s="1"/>
    </row>
    <row r="70" spans="1:21" x14ac:dyDescent="0.3">
      <c r="A70" s="3">
        <v>8</v>
      </c>
      <c r="B70" s="3" t="s">
        <v>407</v>
      </c>
      <c r="C70" s="3" t="str">
        <f>VLOOKUP(B70,'Data availability'!$A$2:$B$91,2,FALSE)</f>
        <v>Main campus</v>
      </c>
      <c r="D70" s="3">
        <f>VLOOKUP(B70,'Data availability'!$A$2:$G$91,7,FALSE)</f>
        <v>16496</v>
      </c>
      <c r="E70" s="3" t="str">
        <f>VLOOKUP(B70,'Data availability'!$A$2:$H$91,8,FALSE)</f>
        <v>Office</v>
      </c>
      <c r="F70" s="1" t="e">
        <f>N$63*VLOOKUP($A70,'Campus Totals'!$A$36:$B$47,2,FALSE)</f>
        <v>#N/A</v>
      </c>
      <c r="G70" s="3"/>
      <c r="H70" s="1">
        <f>P$63*VLOOKUP(A70,'Campus Totals'!$A$36:$D$47,4,FALSE)</f>
        <v>5500.8993769949457</v>
      </c>
      <c r="I70" s="1" t="e">
        <f>Q$63*VLOOKUP($A70,'Campus Totals'!$A$36:$E$47,5,FALSE)</f>
        <v>#N/A</v>
      </c>
      <c r="J70" s="3"/>
      <c r="K70" s="3"/>
      <c r="L70" s="1"/>
      <c r="M70" s="1"/>
      <c r="N70" s="1"/>
      <c r="O70" s="1"/>
      <c r="P70" s="1"/>
      <c r="Q70" s="1"/>
      <c r="R70" s="1"/>
    </row>
    <row r="71" spans="1:21" x14ac:dyDescent="0.3">
      <c r="A71" s="3">
        <v>9</v>
      </c>
      <c r="B71" s="3" t="s">
        <v>407</v>
      </c>
      <c r="C71" s="3" t="str">
        <f>VLOOKUP(B71,'Data availability'!$A$2:$B$91,2,FALSE)</f>
        <v>Main campus</v>
      </c>
      <c r="D71" s="3">
        <f>VLOOKUP(B71,'Data availability'!$A$2:$G$91,7,FALSE)</f>
        <v>16496</v>
      </c>
      <c r="E71" s="3" t="str">
        <f>VLOOKUP(B71,'Data availability'!$A$2:$H$91,8,FALSE)</f>
        <v>Office</v>
      </c>
      <c r="F71" s="1" t="e">
        <f>N$63*VLOOKUP($A71,'Campus Totals'!$A$36:$B$47,2,FALSE)</f>
        <v>#N/A</v>
      </c>
      <c r="G71" s="3"/>
      <c r="H71" s="1">
        <f>P$63*VLOOKUP(A71,'Campus Totals'!$A$36:$D$47,4,FALSE)</f>
        <v>3772.4353432647458</v>
      </c>
      <c r="I71" s="1" t="e">
        <f>Q$63*VLOOKUP($A71,'Campus Totals'!$A$36:$E$47,5,FALSE)</f>
        <v>#N/A</v>
      </c>
      <c r="J71" s="3"/>
      <c r="K71" s="3"/>
      <c r="L71" s="1"/>
      <c r="M71" s="1"/>
      <c r="N71" s="1"/>
      <c r="O71" s="1"/>
      <c r="P71" s="1"/>
      <c r="Q71" s="1"/>
      <c r="R71" s="1"/>
    </row>
    <row r="72" spans="1:21" x14ac:dyDescent="0.3">
      <c r="A72" s="3">
        <v>10</v>
      </c>
      <c r="B72" s="3" t="s">
        <v>407</v>
      </c>
      <c r="C72" s="3" t="str">
        <f>VLOOKUP(B72,'Data availability'!$A$2:$B$91,2,FALSE)</f>
        <v>Main campus</v>
      </c>
      <c r="D72" s="3">
        <f>VLOOKUP(B72,'Data availability'!$A$2:$G$91,7,FALSE)</f>
        <v>16496</v>
      </c>
      <c r="E72" s="3" t="str">
        <f>VLOOKUP(B72,'Data availability'!$A$2:$H$91,8,FALSE)</f>
        <v>Office</v>
      </c>
      <c r="F72" s="1" t="e">
        <f>N$63*VLOOKUP($A72,'Campus Totals'!$A$36:$B$47,2,FALSE)</f>
        <v>#N/A</v>
      </c>
      <c r="G72" s="3"/>
      <c r="H72" s="1">
        <f>P$63*VLOOKUP(A72,'Campus Totals'!$A$36:$D$47,4,FALSE)</f>
        <v>2004.6553554661252</v>
      </c>
      <c r="I72" s="1" t="e">
        <f>Q$63*VLOOKUP($A72,'Campus Totals'!$A$36:$E$47,5,FALSE)</f>
        <v>#N/A</v>
      </c>
      <c r="J72" s="3"/>
      <c r="K72" s="3"/>
      <c r="L72" s="1"/>
      <c r="M72" s="1"/>
      <c r="N72" s="1"/>
      <c r="O72" s="1"/>
      <c r="P72" s="1"/>
      <c r="Q72" s="1"/>
      <c r="R72" s="1"/>
    </row>
    <row r="73" spans="1:21" x14ac:dyDescent="0.3">
      <c r="A73" s="3">
        <v>11</v>
      </c>
      <c r="B73" s="3" t="s">
        <v>407</v>
      </c>
      <c r="C73" s="3" t="str">
        <f>VLOOKUP(B73,'Data availability'!$A$2:$B$91,2,FALSE)</f>
        <v>Main campus</v>
      </c>
      <c r="D73" s="3">
        <f>VLOOKUP(B73,'Data availability'!$A$2:$G$91,7,FALSE)</f>
        <v>16496</v>
      </c>
      <c r="E73" s="3" t="str">
        <f>VLOOKUP(B73,'Data availability'!$A$2:$H$91,8,FALSE)</f>
        <v>Office</v>
      </c>
      <c r="F73" s="1" t="e">
        <f>N$63*VLOOKUP($A73,'Campus Totals'!$A$36:$B$47,2,FALSE)</f>
        <v>#N/A</v>
      </c>
      <c r="G73" s="3"/>
      <c r="H73" s="1">
        <f>P$63*VLOOKUP(A73,'Campus Totals'!$A$36:$D$47,4,FALSE)</f>
        <v>1603.3469438413968</v>
      </c>
      <c r="I73" s="1" t="e">
        <f>Q$63*VLOOKUP($A73,'Campus Totals'!$A$36:$E$47,5,FALSE)</f>
        <v>#N/A</v>
      </c>
      <c r="J73" s="3"/>
      <c r="K73" s="3"/>
      <c r="L73" s="1"/>
      <c r="M73" s="1"/>
      <c r="N73" s="1"/>
      <c r="O73" s="1"/>
      <c r="P73" s="1"/>
      <c r="Q73" s="1"/>
      <c r="R73" s="1"/>
    </row>
    <row r="74" spans="1:21" s="69" customFormat="1" x14ac:dyDescent="0.3">
      <c r="A74" s="64">
        <v>12</v>
      </c>
      <c r="B74" s="64" t="s">
        <v>407</v>
      </c>
      <c r="C74" s="64" t="str">
        <f>VLOOKUP(B74,'Data availability'!$A$2:$B$91,2,FALSE)</f>
        <v>Main campus</v>
      </c>
      <c r="D74" s="64">
        <f>VLOOKUP(B74,'Data availability'!$A$2:$G$91,7,FALSE)</f>
        <v>16496</v>
      </c>
      <c r="E74" s="64" t="str">
        <f>VLOOKUP(B74,'Data availability'!$A$2:$H$91,8,FALSE)</f>
        <v>Office</v>
      </c>
      <c r="F74" s="1" t="e">
        <f>N$63*VLOOKUP($A74,'Campus Totals'!$A$36:$B$47,2,FALSE)</f>
        <v>#N/A</v>
      </c>
      <c r="G74" s="64"/>
      <c r="H74" s="1">
        <f>P$63*VLOOKUP(A74,'Campus Totals'!$A$36:$D$47,4,FALSE)</f>
        <v>1668.1060913835281</v>
      </c>
      <c r="I74" s="1" t="e">
        <f>Q$63*VLOOKUP($A74,'Campus Totals'!$A$36:$E$47,5,FALSE)</f>
        <v>#N/A</v>
      </c>
      <c r="J74" s="64"/>
      <c r="K74" s="64"/>
      <c r="L74" s="66"/>
      <c r="M74" s="1"/>
      <c r="N74" s="66"/>
      <c r="O74" s="66"/>
      <c r="P74" s="66"/>
      <c r="Q74" s="66"/>
      <c r="R74" s="66"/>
    </row>
    <row r="75" spans="1:21" x14ac:dyDescent="0.3">
      <c r="A75" s="3">
        <v>1</v>
      </c>
      <c r="B75" s="3" t="s">
        <v>412</v>
      </c>
      <c r="C75" s="3" t="str">
        <f>VLOOKUP(B75,'Data availability'!$A$2:$B$91,2,FALSE)</f>
        <v>Main campus</v>
      </c>
      <c r="D75" s="3">
        <f>VLOOKUP(B75,'Data availability'!$A$2:$G$91,7,FALSE)</f>
        <v>8545</v>
      </c>
      <c r="E75" s="3" t="str">
        <f>VLOOKUP(B75,'Data availability'!$A$2:$H$91,8,FALSE)</f>
        <v>Auditorium</v>
      </c>
      <c r="F75" s="1" t="e">
        <f>N$75*VLOOKUP($A75,'Campus Totals'!$A$36:$B$47,2,FALSE)</f>
        <v>#N/A</v>
      </c>
      <c r="G75" s="3"/>
      <c r="H75" s="1">
        <f>P$75*VLOOKUP(A75,'Campus Totals'!$A$36:$D$47,4,FALSE)</f>
        <v>19.854585597080249</v>
      </c>
      <c r="I75" s="1" t="e">
        <f>Q$75*VLOOKUP($A75,'Campus Totals'!$A$36:$E$47,5,FALSE)</f>
        <v>#N/A</v>
      </c>
      <c r="J75" s="1">
        <f>INDEX('BPD vs SJSU EUIs'!$J$4:$J$17, MATCH($E75, 'BPD vs SJSU EUIs'!$A$4:$A$17, 0))*D75</f>
        <v>290530</v>
      </c>
      <c r="K75" s="3"/>
      <c r="L75" s="1">
        <f>INDEX('BPD vs SJSU EUIs'!$P$4:$P$17, MATCH($E75, 'BPD vs SJSU EUIs'!$A$4:$A$17, 0))*D75</f>
        <v>170900</v>
      </c>
      <c r="M75" s="1">
        <f>INDEX('BPD vs SJSU EUIs'!$S$4:$S$17, MATCH($E75, 'BPD vs SJSU EUIs'!$A$4:$A$17, 0))*$D75</f>
        <v>256350</v>
      </c>
      <c r="N75" s="1" t="e">
        <f>$J75/SUM($J$4:$J$124)</f>
        <v>#N/A</v>
      </c>
      <c r="O75" s="1"/>
      <c r="P75" s="1">
        <f>$L75/SUM($L$3:$L$123)</f>
        <v>6.6896388091690781E-2</v>
      </c>
      <c r="Q75" s="1" t="e">
        <f>$M75/SUM($M$3:$M$123)</f>
        <v>#N/A</v>
      </c>
      <c r="R75" t="e">
        <f>SUM(F75:F86)*3.412/D75</f>
        <v>#N/A</v>
      </c>
      <c r="S75">
        <f>SUM(H75:H86)*100/D75</f>
        <v>257.01853586943338</v>
      </c>
      <c r="T75" t="e">
        <f>SUM(I75:I86)*12/D75</f>
        <v>#N/A</v>
      </c>
      <c r="U75" t="e">
        <f>SUM(R75:T75)</f>
        <v>#N/A</v>
      </c>
    </row>
    <row r="76" spans="1:21" x14ac:dyDescent="0.3">
      <c r="A76" s="3">
        <v>2</v>
      </c>
      <c r="B76" s="3" t="s">
        <v>412</v>
      </c>
      <c r="C76" s="3" t="str">
        <f>VLOOKUP(B76,'Data availability'!$A$2:$B$91,2,FALSE)</f>
        <v>Main campus</v>
      </c>
      <c r="D76" s="3">
        <f>VLOOKUP(B76,'Data availability'!$A$2:$G$91,7,FALSE)</f>
        <v>8545</v>
      </c>
      <c r="E76" s="3" t="str">
        <f>VLOOKUP(B76,'Data availability'!$A$2:$H$91,8,FALSE)</f>
        <v>Auditorium</v>
      </c>
      <c r="F76" s="1" t="e">
        <f>N$75*VLOOKUP($A76,'Campus Totals'!$A$36:$B$47,2,FALSE)</f>
        <v>#N/A</v>
      </c>
      <c r="G76" s="3"/>
      <c r="H76" s="1">
        <f>P$75*VLOOKUP(A76,'Campus Totals'!$A$36:$D$47,4,FALSE)</f>
        <v>1313.1313533445605</v>
      </c>
      <c r="I76" s="1" t="e">
        <f>Q$75*VLOOKUP($A76,'Campus Totals'!$A$36:$E$47,5,FALSE)</f>
        <v>#N/A</v>
      </c>
      <c r="J76" s="3"/>
      <c r="K76" s="3"/>
      <c r="L76" s="1"/>
      <c r="M76" s="1"/>
      <c r="N76" s="1"/>
      <c r="O76" s="1"/>
      <c r="P76" s="1"/>
      <c r="Q76" s="1"/>
      <c r="R76" s="1"/>
    </row>
    <row r="77" spans="1:21" x14ac:dyDescent="0.3">
      <c r="A77" s="3">
        <v>3</v>
      </c>
      <c r="B77" s="3" t="s">
        <v>412</v>
      </c>
      <c r="C77" s="3" t="str">
        <f>VLOOKUP(B77,'Data availability'!$A$2:$B$91,2,FALSE)</f>
        <v>Main campus</v>
      </c>
      <c r="D77" s="3">
        <f>VLOOKUP(B77,'Data availability'!$A$2:$G$91,7,FALSE)</f>
        <v>8545</v>
      </c>
      <c r="E77" s="3" t="str">
        <f>VLOOKUP(B77,'Data availability'!$A$2:$H$91,8,FALSE)</f>
        <v>Auditorium</v>
      </c>
      <c r="F77" s="1" t="e">
        <f>N$75*VLOOKUP($A77,'Campus Totals'!$A$36:$B$47,2,FALSE)</f>
        <v>#N/A</v>
      </c>
      <c r="G77" s="3"/>
      <c r="H77" s="1">
        <f>P$75*VLOOKUP(A77,'Campus Totals'!$A$36:$D$47,4,FALSE)</f>
        <v>2430.3901627438895</v>
      </c>
      <c r="I77" s="1" t="e">
        <f>Q$75*VLOOKUP($A77,'Campus Totals'!$A$36:$E$47,5,FALSE)</f>
        <v>#N/A</v>
      </c>
      <c r="J77" s="3"/>
      <c r="K77" s="3"/>
      <c r="L77" s="1"/>
      <c r="M77" s="1"/>
      <c r="N77" s="1"/>
      <c r="O77" s="1"/>
      <c r="P77" s="1"/>
      <c r="Q77" s="1"/>
      <c r="R77" s="1"/>
    </row>
    <row r="78" spans="1:21" x14ac:dyDescent="0.3">
      <c r="A78" s="3">
        <v>4</v>
      </c>
      <c r="B78" s="3" t="s">
        <v>412</v>
      </c>
      <c r="C78" s="3" t="str">
        <f>VLOOKUP(B78,'Data availability'!$A$2:$B$91,2,FALSE)</f>
        <v>Main campus</v>
      </c>
      <c r="D78" s="3">
        <f>VLOOKUP(B78,'Data availability'!$A$2:$G$91,7,FALSE)</f>
        <v>8545</v>
      </c>
      <c r="E78" s="3" t="str">
        <f>VLOOKUP(B78,'Data availability'!$A$2:$H$91,8,FALSE)</f>
        <v>Auditorium</v>
      </c>
      <c r="F78" s="1" t="e">
        <f>N$75*VLOOKUP($A78,'Campus Totals'!$A$36:$B$47,2,FALSE)</f>
        <v>#N/A</v>
      </c>
      <c r="G78" s="3"/>
      <c r="H78" s="1">
        <f>P$75*VLOOKUP(A78,'Campus Totals'!$A$36:$D$47,4,FALSE)</f>
        <v>1811.157371789461</v>
      </c>
      <c r="I78" s="1" t="e">
        <f>Q$75*VLOOKUP($A78,'Campus Totals'!$A$36:$E$47,5,FALSE)</f>
        <v>#N/A</v>
      </c>
      <c r="J78" s="3"/>
      <c r="K78" s="3"/>
      <c r="L78" s="1"/>
      <c r="M78" s="1"/>
      <c r="N78" s="1"/>
      <c r="O78" s="1"/>
      <c r="P78" s="1"/>
      <c r="Q78" s="1"/>
      <c r="R78" s="1"/>
    </row>
    <row r="79" spans="1:21" x14ac:dyDescent="0.3">
      <c r="A79" s="3">
        <v>5</v>
      </c>
      <c r="B79" s="3" t="s">
        <v>412</v>
      </c>
      <c r="C79" s="3" t="str">
        <f>VLOOKUP(B79,'Data availability'!$A$2:$B$91,2,FALSE)</f>
        <v>Main campus</v>
      </c>
      <c r="D79" s="3">
        <f>VLOOKUP(B79,'Data availability'!$A$2:$G$91,7,FALSE)</f>
        <v>8545</v>
      </c>
      <c r="E79" s="3" t="str">
        <f>VLOOKUP(B79,'Data availability'!$A$2:$H$91,8,FALSE)</f>
        <v>Auditorium</v>
      </c>
      <c r="F79" s="1" t="e">
        <f>N$75*VLOOKUP($A79,'Campus Totals'!$A$36:$B$47,2,FALSE)</f>
        <v>#N/A</v>
      </c>
      <c r="G79" s="3"/>
      <c r="H79" s="1">
        <f>P$75*VLOOKUP(A79,'Campus Totals'!$A$36:$D$47,4,FALSE)</f>
        <v>3694.4709203002217</v>
      </c>
      <c r="I79" s="1" t="e">
        <f>Q$75*VLOOKUP($A79,'Campus Totals'!$A$36:$E$47,5,FALSE)</f>
        <v>#N/A</v>
      </c>
      <c r="J79" s="3"/>
      <c r="K79" s="3"/>
      <c r="L79" s="1"/>
      <c r="M79" s="1"/>
      <c r="N79" s="1"/>
      <c r="O79" s="1"/>
      <c r="P79" s="1"/>
      <c r="Q79" s="1"/>
      <c r="R79" s="1"/>
    </row>
    <row r="80" spans="1:21" x14ac:dyDescent="0.3">
      <c r="A80" s="3">
        <v>6</v>
      </c>
      <c r="B80" s="3" t="s">
        <v>412</v>
      </c>
      <c r="C80" s="3" t="str">
        <f>VLOOKUP(B80,'Data availability'!$A$2:$B$91,2,FALSE)</f>
        <v>Main campus</v>
      </c>
      <c r="D80" s="3">
        <f>VLOOKUP(B80,'Data availability'!$A$2:$G$91,7,FALSE)</f>
        <v>8545</v>
      </c>
      <c r="E80" s="3" t="str">
        <f>VLOOKUP(B80,'Data availability'!$A$2:$H$91,8,FALSE)</f>
        <v>Auditorium</v>
      </c>
      <c r="F80" s="1" t="e">
        <f>N$75*VLOOKUP($A80,'Campus Totals'!$A$36:$B$47,2,FALSE)</f>
        <v>#N/A</v>
      </c>
      <c r="G80" s="3"/>
      <c r="H80" s="1">
        <f>P$75*VLOOKUP(A80,'Campus Totals'!$A$36:$D$47,4,FALSE)</f>
        <v>2952.5204726898532</v>
      </c>
      <c r="I80" s="1" t="e">
        <f>Q$75*VLOOKUP($A80,'Campus Totals'!$A$36:$E$47,5,FALSE)</f>
        <v>#N/A</v>
      </c>
      <c r="J80" s="3"/>
      <c r="K80" s="3"/>
      <c r="L80" s="1"/>
      <c r="M80" s="1"/>
      <c r="N80" s="1"/>
      <c r="O80" s="1"/>
      <c r="P80" s="1"/>
      <c r="Q80" s="1"/>
      <c r="R80" s="1"/>
    </row>
    <row r="81" spans="1:18" x14ac:dyDescent="0.3">
      <c r="A81" s="3">
        <v>7</v>
      </c>
      <c r="B81" s="3" t="s">
        <v>412</v>
      </c>
      <c r="C81" s="3" t="str">
        <f>VLOOKUP(B81,'Data availability'!$A$2:$B$91,2,FALSE)</f>
        <v>Main campus</v>
      </c>
      <c r="D81" s="3">
        <f>VLOOKUP(B81,'Data availability'!$A$2:$G$91,7,FALSE)</f>
        <v>8545</v>
      </c>
      <c r="E81" s="3" t="str">
        <f>VLOOKUP(B81,'Data availability'!$A$2:$H$91,8,FALSE)</f>
        <v>Auditorium</v>
      </c>
      <c r="F81" s="1" t="e">
        <f>N$75*VLOOKUP($A81,'Campus Totals'!$A$36:$B$47,2,FALSE)</f>
        <v>#N/A</v>
      </c>
      <c r="G81" s="3"/>
      <c r="H81" s="1">
        <f>P$75*VLOOKUP(A81,'Campus Totals'!$A$36:$D$47,4,FALSE)</f>
        <v>2283.7533034221137</v>
      </c>
      <c r="I81" s="1" t="e">
        <f>Q$75*VLOOKUP($A81,'Campus Totals'!$A$36:$E$47,5,FALSE)</f>
        <v>#N/A</v>
      </c>
      <c r="J81" s="3"/>
      <c r="K81" s="3"/>
      <c r="L81" s="1"/>
      <c r="M81" s="1"/>
      <c r="N81" s="1"/>
      <c r="O81" s="1"/>
      <c r="P81" s="1"/>
      <c r="Q81" s="1"/>
      <c r="R81" s="1"/>
    </row>
    <row r="82" spans="1:18" x14ac:dyDescent="0.3">
      <c r="A82" s="3">
        <v>8</v>
      </c>
      <c r="B82" s="3" t="s">
        <v>412</v>
      </c>
      <c r="C82" s="3" t="str">
        <f>VLOOKUP(B82,'Data availability'!$A$2:$B$91,2,FALSE)</f>
        <v>Main campus</v>
      </c>
      <c r="D82" s="3">
        <f>VLOOKUP(B82,'Data availability'!$A$2:$G$91,7,FALSE)</f>
        <v>8545</v>
      </c>
      <c r="E82" s="3" t="str">
        <f>VLOOKUP(B82,'Data availability'!$A$2:$H$91,8,FALSE)</f>
        <v>Auditorium</v>
      </c>
      <c r="F82" s="1" t="e">
        <f>N$75*VLOOKUP($A82,'Campus Totals'!$A$36:$B$47,2,FALSE)</f>
        <v>#N/A</v>
      </c>
      <c r="G82" s="3"/>
      <c r="H82" s="1">
        <f>P$75*VLOOKUP(A82,'Campus Totals'!$A$36:$D$47,4,FALSE)</f>
        <v>2819.3493567056535</v>
      </c>
      <c r="I82" s="1" t="e">
        <f>Q$75*VLOOKUP($A82,'Campus Totals'!$A$36:$E$47,5,FALSE)</f>
        <v>#N/A</v>
      </c>
      <c r="J82" s="3"/>
      <c r="K82" s="3"/>
      <c r="L82" s="1"/>
      <c r="M82" s="1"/>
      <c r="N82" s="1"/>
      <c r="O82" s="1"/>
      <c r="P82" s="1"/>
      <c r="Q82" s="1"/>
      <c r="R82" s="1"/>
    </row>
    <row r="83" spans="1:18" x14ac:dyDescent="0.3">
      <c r="A83" s="3">
        <v>9</v>
      </c>
      <c r="B83" s="3" t="s">
        <v>412</v>
      </c>
      <c r="C83" s="3" t="str">
        <f>VLOOKUP(B83,'Data availability'!$A$2:$B$91,2,FALSE)</f>
        <v>Main campus</v>
      </c>
      <c r="D83" s="3">
        <f>VLOOKUP(B83,'Data availability'!$A$2:$G$91,7,FALSE)</f>
        <v>8545</v>
      </c>
      <c r="E83" s="3" t="str">
        <f>VLOOKUP(B83,'Data availability'!$A$2:$H$91,8,FALSE)</f>
        <v>Auditorium</v>
      </c>
      <c r="F83" s="1" t="e">
        <f>N$75*VLOOKUP($A83,'Campus Totals'!$A$36:$B$47,2,FALSE)</f>
        <v>#N/A</v>
      </c>
      <c r="G83" s="3"/>
      <c r="H83" s="1">
        <f>P$75*VLOOKUP(A83,'Campus Totals'!$A$36:$D$47,4,FALSE)</f>
        <v>1933.4680439214485</v>
      </c>
      <c r="I83" s="1" t="e">
        <f>Q$75*VLOOKUP($A83,'Campus Totals'!$A$36:$E$47,5,FALSE)</f>
        <v>#N/A</v>
      </c>
      <c r="J83" s="3"/>
      <c r="K83" s="3"/>
      <c r="L83" s="1"/>
      <c r="M83" s="1"/>
      <c r="N83" s="1"/>
      <c r="O83" s="1"/>
      <c r="P83" s="1"/>
      <c r="Q83" s="1"/>
      <c r="R83" s="1"/>
    </row>
    <row r="84" spans="1:18" x14ac:dyDescent="0.3">
      <c r="A84" s="3">
        <v>10</v>
      </c>
      <c r="B84" s="3" t="s">
        <v>412</v>
      </c>
      <c r="C84" s="3" t="str">
        <f>VLOOKUP(B84,'Data availability'!$A$2:$B$91,2,FALSE)</f>
        <v>Main campus</v>
      </c>
      <c r="D84" s="3">
        <f>VLOOKUP(B84,'Data availability'!$A$2:$G$91,7,FALSE)</f>
        <v>8545</v>
      </c>
      <c r="E84" s="3" t="str">
        <f>VLOOKUP(B84,'Data availability'!$A$2:$H$91,8,FALSE)</f>
        <v>Auditorium</v>
      </c>
      <c r="F84" s="1" t="e">
        <f>N$75*VLOOKUP($A84,'Campus Totals'!$A$36:$B$47,2,FALSE)</f>
        <v>#N/A</v>
      </c>
      <c r="G84" s="3"/>
      <c r="H84" s="1">
        <f>P$75*VLOOKUP(A84,'Campus Totals'!$A$36:$D$47,4,FALSE)</f>
        <v>1027.4363153207621</v>
      </c>
      <c r="I84" s="1" t="e">
        <f>Q$75*VLOOKUP($A84,'Campus Totals'!$A$36:$E$47,5,FALSE)</f>
        <v>#N/A</v>
      </c>
      <c r="J84" s="3"/>
      <c r="K84" s="3"/>
      <c r="L84" s="1"/>
      <c r="M84" s="1"/>
      <c r="N84" s="1"/>
      <c r="O84" s="1"/>
      <c r="P84" s="1"/>
      <c r="Q84" s="1"/>
      <c r="R84" s="1"/>
    </row>
    <row r="85" spans="1:18" x14ac:dyDescent="0.3">
      <c r="A85" s="3">
        <v>11</v>
      </c>
      <c r="B85" s="3" t="s">
        <v>412</v>
      </c>
      <c r="C85" s="3" t="str">
        <f>VLOOKUP(B85,'Data availability'!$A$2:$B$91,2,FALSE)</f>
        <v>Main campus</v>
      </c>
      <c r="D85" s="3">
        <f>VLOOKUP(B85,'Data availability'!$A$2:$G$91,7,FALSE)</f>
        <v>8545</v>
      </c>
      <c r="E85" s="3" t="str">
        <f>VLOOKUP(B85,'Data availability'!$A$2:$H$91,8,FALSE)</f>
        <v>Auditorium</v>
      </c>
      <c r="F85" s="1" t="e">
        <f>N$75*VLOOKUP($A85,'Campus Totals'!$A$36:$B$47,2,FALSE)</f>
        <v>#N/A</v>
      </c>
      <c r="G85" s="3"/>
      <c r="H85" s="1">
        <f>P$75*VLOOKUP(A85,'Campus Totals'!$A$36:$D$47,4,FALSE)</f>
        <v>821.75565573872359</v>
      </c>
      <c r="I85" s="1" t="e">
        <f>Q$75*VLOOKUP($A85,'Campus Totals'!$A$36:$E$47,5,FALSE)</f>
        <v>#N/A</v>
      </c>
      <c r="J85" s="3"/>
      <c r="K85" s="3"/>
      <c r="L85" s="1"/>
      <c r="M85" s="1"/>
      <c r="N85" s="1"/>
      <c r="O85" s="1"/>
      <c r="P85" s="1"/>
      <c r="Q85" s="1"/>
      <c r="R85" s="1"/>
    </row>
    <row r="86" spans="1:18" s="69" customFormat="1" x14ac:dyDescent="0.3">
      <c r="A86" s="64">
        <v>12</v>
      </c>
      <c r="B86" s="64" t="s">
        <v>412</v>
      </c>
      <c r="C86" s="64" t="str">
        <f>VLOOKUP(B86,'Data availability'!$A$2:$B$91,2,FALSE)</f>
        <v>Main campus</v>
      </c>
      <c r="D86" s="64">
        <f>VLOOKUP(B86,'Data availability'!$A$2:$G$91,7,FALSE)</f>
        <v>8545</v>
      </c>
      <c r="E86" s="64" t="str">
        <f>VLOOKUP(B86,'Data availability'!$A$2:$H$91,8,FALSE)</f>
        <v>Auditorium</v>
      </c>
      <c r="F86" s="1" t="e">
        <f>N$75*VLOOKUP($A86,'Campus Totals'!$A$36:$B$47,2,FALSE)</f>
        <v>#N/A</v>
      </c>
      <c r="G86" s="64"/>
      <c r="H86" s="1">
        <f>P$75*VLOOKUP(A86,'Campus Totals'!$A$36:$D$47,4,FALSE)</f>
        <v>854.94634846931012</v>
      </c>
      <c r="I86" s="1" t="e">
        <f>Q$75*VLOOKUP($A86,'Campus Totals'!$A$36:$E$47,5,FALSE)</f>
        <v>#N/A</v>
      </c>
      <c r="J86" s="64"/>
      <c r="K86" s="64"/>
      <c r="L86" s="66"/>
      <c r="M86" s="1"/>
      <c r="N86" s="66"/>
      <c r="O86" s="66"/>
      <c r="P86" s="66"/>
      <c r="Q86" s="66"/>
      <c r="R86" s="66"/>
    </row>
    <row r="87" spans="1:18" x14ac:dyDescent="0.3">
      <c r="A87" s="3">
        <v>1</v>
      </c>
      <c r="B87" s="3" t="s">
        <v>167</v>
      </c>
      <c r="C87" s="3" t="str">
        <f>VLOOKUP(B87,'Data availability'!$A$2:$B$91,2,FALSE)</f>
        <v>Main campus</v>
      </c>
      <c r="D87" s="3">
        <f>VLOOKUP(B87,'Data availability'!$A$2:$G$91,7,FALSE)</f>
        <v>64072</v>
      </c>
      <c r="E87" s="3" t="str">
        <f>VLOOKUP(B87,'Data availability'!$A$2:$H$91,8,FALSE)</f>
        <v>Academic</v>
      </c>
      <c r="F87" s="3"/>
      <c r="G87" s="3"/>
      <c r="H87" s="3"/>
      <c r="I87" s="3"/>
      <c r="J87" s="1"/>
      <c r="K87" s="3"/>
      <c r="L87" s="1"/>
      <c r="M87" s="1"/>
      <c r="N87" s="1"/>
      <c r="O87" s="1"/>
      <c r="P87" s="1"/>
      <c r="Q87" s="1"/>
      <c r="R87" s="1"/>
    </row>
    <row r="88" spans="1:18" x14ac:dyDescent="0.3">
      <c r="A88" s="3">
        <v>2</v>
      </c>
      <c r="B88" s="3" t="s">
        <v>167</v>
      </c>
      <c r="C88" s="3" t="str">
        <f>VLOOKUP(B88,'Data availability'!$A$2:$B$91,2,FALSE)</f>
        <v>Main campus</v>
      </c>
      <c r="D88" s="3">
        <f>VLOOKUP(B88,'Data availability'!$A$2:$G$91,7,FALSE)</f>
        <v>64072</v>
      </c>
      <c r="E88" s="3" t="str">
        <f>VLOOKUP(B88,'Data availability'!$A$2:$H$91,8,FALSE)</f>
        <v>Academic</v>
      </c>
      <c r="F88" s="3"/>
      <c r="G88" s="3"/>
      <c r="H88" s="3"/>
      <c r="I88" s="3"/>
      <c r="J88" s="3"/>
      <c r="K88" s="3"/>
      <c r="L88" s="1"/>
      <c r="M88" s="1"/>
      <c r="N88" s="1"/>
      <c r="O88" s="1"/>
      <c r="P88" s="1"/>
      <c r="Q88" s="1"/>
      <c r="R88" s="1"/>
    </row>
    <row r="89" spans="1:18" x14ac:dyDescent="0.3">
      <c r="A89" s="3">
        <v>3</v>
      </c>
      <c r="B89" s="3" t="s">
        <v>167</v>
      </c>
      <c r="C89" s="3" t="str">
        <f>VLOOKUP(B89,'Data availability'!$A$2:$B$91,2,FALSE)</f>
        <v>Main campus</v>
      </c>
      <c r="D89" s="3">
        <f>VLOOKUP(B89,'Data availability'!$A$2:$G$91,7,FALSE)</f>
        <v>64072</v>
      </c>
      <c r="E89" s="3" t="str">
        <f>VLOOKUP(B89,'Data availability'!$A$2:$H$91,8,FALSE)</f>
        <v>Academic</v>
      </c>
      <c r="F89" s="3"/>
      <c r="G89" s="3"/>
      <c r="H89" s="3"/>
      <c r="I89" s="3"/>
      <c r="J89" s="3"/>
      <c r="K89" s="3"/>
      <c r="L89" s="1"/>
      <c r="M89" s="1"/>
      <c r="N89" s="1"/>
      <c r="O89" s="1"/>
      <c r="P89" s="1"/>
      <c r="Q89" s="1"/>
      <c r="R89" s="1"/>
    </row>
    <row r="90" spans="1:18" x14ac:dyDescent="0.3">
      <c r="A90" s="3">
        <v>4</v>
      </c>
      <c r="B90" s="3" t="s">
        <v>167</v>
      </c>
      <c r="C90" s="3" t="str">
        <f>VLOOKUP(B90,'Data availability'!$A$2:$B$91,2,FALSE)</f>
        <v>Main campus</v>
      </c>
      <c r="D90" s="3">
        <f>VLOOKUP(B90,'Data availability'!$A$2:$G$91,7,FALSE)</f>
        <v>64072</v>
      </c>
      <c r="E90" s="3" t="str">
        <f>VLOOKUP(B90,'Data availability'!$A$2:$H$91,8,FALSE)</f>
        <v>Academic</v>
      </c>
      <c r="F90" s="3"/>
      <c r="G90" s="3"/>
      <c r="H90" s="3"/>
      <c r="I90" s="3"/>
      <c r="J90" s="3"/>
      <c r="K90" s="3"/>
      <c r="L90" s="1"/>
      <c r="M90" s="1"/>
      <c r="N90" s="1"/>
      <c r="O90" s="1"/>
      <c r="P90" s="1"/>
      <c r="Q90" s="1"/>
      <c r="R90" s="1"/>
    </row>
    <row r="91" spans="1:18" x14ac:dyDescent="0.3">
      <c r="A91" s="3">
        <v>5</v>
      </c>
      <c r="B91" s="3" t="s">
        <v>167</v>
      </c>
      <c r="C91" s="3" t="str">
        <f>VLOOKUP(B91,'Data availability'!$A$2:$B$91,2,FALSE)</f>
        <v>Main campus</v>
      </c>
      <c r="D91" s="3">
        <f>VLOOKUP(B91,'Data availability'!$A$2:$G$91,7,FALSE)</f>
        <v>64072</v>
      </c>
      <c r="E91" s="3" t="str">
        <f>VLOOKUP(B91,'Data availability'!$A$2:$H$91,8,FALSE)</f>
        <v>Academic</v>
      </c>
      <c r="F91" s="3"/>
      <c r="G91" s="3"/>
      <c r="H91" s="3"/>
      <c r="I91" s="3"/>
      <c r="J91" s="3"/>
      <c r="K91" s="3"/>
      <c r="L91" s="1"/>
      <c r="M91" s="1"/>
      <c r="N91" s="1"/>
      <c r="O91" s="1"/>
      <c r="P91" s="1"/>
      <c r="Q91" s="1"/>
      <c r="R91" s="1"/>
    </row>
    <row r="92" spans="1:18" x14ac:dyDescent="0.3">
      <c r="A92" s="3">
        <v>6</v>
      </c>
      <c r="B92" s="3" t="s">
        <v>167</v>
      </c>
      <c r="C92" s="3" t="str">
        <f>VLOOKUP(B92,'Data availability'!$A$2:$B$91,2,FALSE)</f>
        <v>Main campus</v>
      </c>
      <c r="D92" s="3">
        <f>VLOOKUP(B92,'Data availability'!$A$2:$G$91,7,FALSE)</f>
        <v>64072</v>
      </c>
      <c r="E92" s="3" t="str">
        <f>VLOOKUP(B92,'Data availability'!$A$2:$H$91,8,FALSE)</f>
        <v>Academic</v>
      </c>
      <c r="F92" s="3"/>
      <c r="G92" s="3"/>
      <c r="H92" s="3"/>
      <c r="I92" s="3"/>
      <c r="J92" s="3"/>
      <c r="K92" s="3"/>
      <c r="L92" s="1"/>
      <c r="M92" s="1"/>
      <c r="N92" s="1"/>
      <c r="O92" s="1"/>
      <c r="P92" s="1"/>
      <c r="Q92" s="1"/>
      <c r="R92" s="1"/>
    </row>
    <row r="93" spans="1:18" x14ac:dyDescent="0.3">
      <c r="A93" s="3">
        <v>7</v>
      </c>
      <c r="B93" s="3" t="s">
        <v>167</v>
      </c>
      <c r="C93" s="3" t="str">
        <f>VLOOKUP(B93,'Data availability'!$A$2:$B$91,2,FALSE)</f>
        <v>Main campus</v>
      </c>
      <c r="D93" s="3">
        <f>VLOOKUP(B93,'Data availability'!$A$2:$G$91,7,FALSE)</f>
        <v>64072</v>
      </c>
      <c r="E93" s="3" t="str">
        <f>VLOOKUP(B93,'Data availability'!$A$2:$H$91,8,FALSE)</f>
        <v>Academic</v>
      </c>
      <c r="F93" s="3"/>
      <c r="G93" s="3"/>
      <c r="H93" s="3"/>
      <c r="I93" s="3"/>
      <c r="J93" s="3"/>
      <c r="K93" s="3"/>
      <c r="L93" s="1"/>
      <c r="M93" s="1"/>
      <c r="N93" s="1"/>
      <c r="O93" s="1"/>
      <c r="P93" s="1"/>
      <c r="Q93" s="1"/>
      <c r="R93" s="1"/>
    </row>
    <row r="94" spans="1:18" x14ac:dyDescent="0.3">
      <c r="A94" s="3">
        <v>8</v>
      </c>
      <c r="B94" s="3" t="s">
        <v>167</v>
      </c>
      <c r="C94" s="3" t="str">
        <f>VLOOKUP(B94,'Data availability'!$A$2:$B$91,2,FALSE)</f>
        <v>Main campus</v>
      </c>
      <c r="D94" s="3">
        <f>VLOOKUP(B94,'Data availability'!$A$2:$G$91,7,FALSE)</f>
        <v>64072</v>
      </c>
      <c r="E94" s="3" t="str">
        <f>VLOOKUP(B94,'Data availability'!$A$2:$H$91,8,FALSE)</f>
        <v>Academic</v>
      </c>
      <c r="F94" s="3"/>
      <c r="G94" s="3"/>
      <c r="H94" s="3"/>
      <c r="I94" s="3"/>
      <c r="J94" s="3"/>
      <c r="K94" s="3"/>
      <c r="L94" s="1"/>
      <c r="M94" s="1"/>
      <c r="N94" s="1"/>
      <c r="O94" s="1"/>
      <c r="P94" s="1"/>
      <c r="Q94" s="1"/>
      <c r="R94" s="1"/>
    </row>
    <row r="95" spans="1:18" x14ac:dyDescent="0.3">
      <c r="A95" s="3">
        <v>9</v>
      </c>
      <c r="B95" s="3" t="s">
        <v>167</v>
      </c>
      <c r="C95" s="3" t="str">
        <f>VLOOKUP(B95,'Data availability'!$A$2:$B$91,2,FALSE)</f>
        <v>Main campus</v>
      </c>
      <c r="D95" s="3">
        <f>VLOOKUP(B95,'Data availability'!$A$2:$G$91,7,FALSE)</f>
        <v>64072</v>
      </c>
      <c r="E95" s="3" t="str">
        <f>VLOOKUP(B95,'Data availability'!$A$2:$H$91,8,FALSE)</f>
        <v>Academic</v>
      </c>
      <c r="F95" s="3"/>
      <c r="G95" s="3"/>
      <c r="H95" s="3"/>
      <c r="I95" s="3"/>
      <c r="J95" s="3"/>
      <c r="K95" s="3"/>
      <c r="L95" s="1"/>
      <c r="M95" s="1"/>
      <c r="N95" s="1"/>
      <c r="O95" s="1"/>
      <c r="P95" s="1"/>
      <c r="Q95" s="1"/>
      <c r="R95" s="1"/>
    </row>
    <row r="96" spans="1:18" x14ac:dyDescent="0.3">
      <c r="A96" s="3">
        <v>10</v>
      </c>
      <c r="B96" s="3" t="s">
        <v>167</v>
      </c>
      <c r="C96" s="3" t="str">
        <f>VLOOKUP(B96,'Data availability'!$A$2:$B$91,2,FALSE)</f>
        <v>Main campus</v>
      </c>
      <c r="D96" s="3">
        <f>VLOOKUP(B96,'Data availability'!$A$2:$G$91,7,FALSE)</f>
        <v>64072</v>
      </c>
      <c r="E96" s="3" t="str">
        <f>VLOOKUP(B96,'Data availability'!$A$2:$H$91,8,FALSE)</f>
        <v>Academic</v>
      </c>
      <c r="F96" s="3"/>
      <c r="G96" s="3"/>
      <c r="H96" s="3"/>
      <c r="I96" s="3"/>
      <c r="J96" s="3"/>
      <c r="K96" s="3"/>
      <c r="L96" s="1"/>
      <c r="M96" s="1"/>
      <c r="N96" s="1"/>
      <c r="O96" s="1"/>
      <c r="P96" s="1"/>
      <c r="Q96" s="1"/>
      <c r="R96" s="1"/>
    </row>
    <row r="97" spans="1:21" x14ac:dyDescent="0.3">
      <c r="A97" s="3">
        <v>11</v>
      </c>
      <c r="B97" s="3" t="s">
        <v>167</v>
      </c>
      <c r="C97" s="3" t="str">
        <f>VLOOKUP(B97,'Data availability'!$A$2:$B$91,2,FALSE)</f>
        <v>Main campus</v>
      </c>
      <c r="D97" s="3">
        <f>VLOOKUP(B97,'Data availability'!$A$2:$G$91,7,FALSE)</f>
        <v>64072</v>
      </c>
      <c r="E97" s="3" t="str">
        <f>VLOOKUP(B97,'Data availability'!$A$2:$H$91,8,FALSE)</f>
        <v>Academic</v>
      </c>
      <c r="F97" s="3"/>
      <c r="G97" s="3"/>
      <c r="H97" s="3"/>
      <c r="I97" s="3"/>
      <c r="J97" s="3"/>
      <c r="K97" s="3"/>
      <c r="L97" s="1"/>
      <c r="M97" s="1"/>
      <c r="N97" s="1"/>
      <c r="O97" s="1"/>
      <c r="P97" s="1"/>
      <c r="Q97" s="1"/>
      <c r="R97" s="1"/>
    </row>
    <row r="98" spans="1:21" s="69" customFormat="1" x14ac:dyDescent="0.3">
      <c r="A98" s="64">
        <v>12</v>
      </c>
      <c r="B98" s="64" t="s">
        <v>167</v>
      </c>
      <c r="C98" s="64" t="str">
        <f>VLOOKUP(B98,'Data availability'!$A$2:$B$91,2,FALSE)</f>
        <v>Main campus</v>
      </c>
      <c r="D98" s="64">
        <f>VLOOKUP(B98,'Data availability'!$A$2:$G$91,7,FALSE)</f>
        <v>64072</v>
      </c>
      <c r="E98" s="64" t="str">
        <f>VLOOKUP(B98,'Data availability'!$A$2:$H$91,8,FALSE)</f>
        <v>Academic</v>
      </c>
      <c r="F98" s="64"/>
      <c r="G98" s="64"/>
      <c r="H98" s="64"/>
      <c r="I98" s="64"/>
      <c r="J98" s="64"/>
      <c r="K98" s="64"/>
      <c r="L98" s="66"/>
      <c r="M98" s="1"/>
      <c r="N98" s="66"/>
      <c r="O98" s="66"/>
      <c r="P98" s="66"/>
      <c r="Q98" s="66"/>
      <c r="R98" s="66"/>
    </row>
    <row r="99" spans="1:21" x14ac:dyDescent="0.3">
      <c r="A99" s="3">
        <v>1</v>
      </c>
      <c r="B99" s="3" t="s">
        <v>417</v>
      </c>
      <c r="C99" s="3" t="str">
        <f>VLOOKUP(B99,'Data availability'!$A$2:$B$91,2,FALSE)</f>
        <v>Main campus</v>
      </c>
      <c r="D99" s="3">
        <f>VLOOKUP(B99,'Data availability'!$A$2:$G$91,7,FALSE)</f>
        <v>2300</v>
      </c>
      <c r="E99" s="3" t="str">
        <f>VLOOKUP(B99,'Data availability'!$A$2:$H$91,8,FALSE)</f>
        <v>Auditorium</v>
      </c>
      <c r="F99" s="1" t="e">
        <f>N$99*VLOOKUP($A99,'Campus Totals'!$A$36:$B$47,2,FALSE)</f>
        <v>#N/A</v>
      </c>
      <c r="G99" s="3"/>
      <c r="H99" s="1">
        <f>P$99*VLOOKUP(A99,'Campus Totals'!$A$36:$D$47,4,FALSE)</f>
        <v>5.3441248535148702</v>
      </c>
      <c r="I99" s="1" t="e">
        <f>Q$99*VLOOKUP($A99,'Campus Totals'!$A$36:$E$47,5,FALSE)</f>
        <v>#N/A</v>
      </c>
      <c r="J99" s="1">
        <f>INDEX('BPD vs SJSU EUIs'!$J$4:$J$17, MATCH($E99, 'BPD vs SJSU EUIs'!$A$4:$A$17, 0))*D99</f>
        <v>78200</v>
      </c>
      <c r="K99" s="3"/>
      <c r="L99" s="1">
        <f>INDEX('BPD vs SJSU EUIs'!$P$4:$P$17, MATCH($E99, 'BPD vs SJSU EUIs'!$A$4:$A$17, 0))*D99</f>
        <v>46000</v>
      </c>
      <c r="M99" s="1">
        <f>INDEX('BPD vs SJSU EUIs'!$S$4:$S$17, MATCH($E99, 'BPD vs SJSU EUIs'!$A$4:$A$17, 0))*$D99</f>
        <v>69000</v>
      </c>
      <c r="N99" s="1" t="e">
        <f>$J99/SUM($J$4:$J$124)</f>
        <v>#N/A</v>
      </c>
      <c r="O99" s="1"/>
      <c r="P99" s="1">
        <f>$L99/SUM($L$3:$L$123)</f>
        <v>1.8006049457096406E-2</v>
      </c>
      <c r="Q99" s="1" t="e">
        <f>$M99/SUM($M$3:$M$123)</f>
        <v>#N/A</v>
      </c>
      <c r="R99" t="e">
        <f>SUM(F99:F110)*3.412/D99</f>
        <v>#N/A</v>
      </c>
      <c r="S99">
        <f>SUM(H99:H110)*100/D99</f>
        <v>257.01853586943326</v>
      </c>
      <c r="T99" t="e">
        <f>SUM(I99:I110)*12/D99</f>
        <v>#N/A</v>
      </c>
      <c r="U99" t="e">
        <f>SUM(R99:T99)</f>
        <v>#N/A</v>
      </c>
    </row>
    <row r="100" spans="1:21" x14ac:dyDescent="0.3">
      <c r="A100" s="3">
        <v>2</v>
      </c>
      <c r="B100" s="3" t="s">
        <v>417</v>
      </c>
      <c r="C100" s="3" t="str">
        <f>VLOOKUP(B100,'Data availability'!$A$2:$B$91,2,FALSE)</f>
        <v>Main campus</v>
      </c>
      <c r="D100" s="3">
        <f>VLOOKUP(B100,'Data availability'!$A$2:$G$91,7,FALSE)</f>
        <v>2300</v>
      </c>
      <c r="E100" s="3" t="str">
        <f>VLOOKUP(B100,'Data availability'!$A$2:$H$91,8,FALSE)</f>
        <v>Auditorium</v>
      </c>
      <c r="F100" s="1" t="e">
        <f>N$99*VLOOKUP($A100,'Campus Totals'!$A$36:$B$47,2,FALSE)</f>
        <v>#N/A</v>
      </c>
      <c r="G100" s="3"/>
      <c r="H100" s="1">
        <f>P$99*VLOOKUP(A100,'Campus Totals'!$A$36:$D$47,4,FALSE)</f>
        <v>353.44670716120407</v>
      </c>
      <c r="I100" s="1" t="e">
        <f>Q$99*VLOOKUP($A100,'Campus Totals'!$A$36:$E$47,5,FALSE)</f>
        <v>#N/A</v>
      </c>
      <c r="J100" s="3"/>
      <c r="K100" s="3"/>
      <c r="L100" s="1"/>
      <c r="M100" s="1"/>
      <c r="N100" s="1"/>
      <c r="O100" s="1"/>
      <c r="P100" s="1"/>
      <c r="Q100" s="1"/>
      <c r="R100" s="1"/>
    </row>
    <row r="101" spans="1:21" x14ac:dyDescent="0.3">
      <c r="A101" s="3">
        <v>3</v>
      </c>
      <c r="B101" s="3" t="s">
        <v>417</v>
      </c>
      <c r="C101" s="3" t="str">
        <f>VLOOKUP(B101,'Data availability'!$A$2:$B$91,2,FALSE)</f>
        <v>Main campus</v>
      </c>
      <c r="D101" s="3">
        <f>VLOOKUP(B101,'Data availability'!$A$2:$G$91,7,FALSE)</f>
        <v>2300</v>
      </c>
      <c r="E101" s="3" t="str">
        <f>VLOOKUP(B101,'Data availability'!$A$2:$H$91,8,FALSE)</f>
        <v>Auditorium</v>
      </c>
      <c r="F101" s="1" t="e">
        <f>N$99*VLOOKUP($A101,'Campus Totals'!$A$36:$B$47,2,FALSE)</f>
        <v>#N/A</v>
      </c>
      <c r="G101" s="3"/>
      <c r="H101" s="1">
        <f>P$99*VLOOKUP(A101,'Campus Totals'!$A$36:$D$47,4,FALSE)</f>
        <v>654.17172314932066</v>
      </c>
      <c r="I101" s="1" t="e">
        <f>Q$99*VLOOKUP($A101,'Campus Totals'!$A$36:$E$47,5,FALSE)</f>
        <v>#N/A</v>
      </c>
      <c r="J101" s="3"/>
      <c r="K101" s="3"/>
      <c r="L101" s="1"/>
      <c r="M101" s="1"/>
      <c r="N101" s="1"/>
      <c r="O101" s="1"/>
      <c r="P101" s="1"/>
      <c r="Q101" s="1"/>
      <c r="R101" s="1"/>
    </row>
    <row r="102" spans="1:21" x14ac:dyDescent="0.3">
      <c r="A102" s="3">
        <v>4</v>
      </c>
      <c r="B102" s="3" t="s">
        <v>417</v>
      </c>
      <c r="C102" s="3" t="str">
        <f>VLOOKUP(B102,'Data availability'!$A$2:$B$91,2,FALSE)</f>
        <v>Main campus</v>
      </c>
      <c r="D102" s="3">
        <f>VLOOKUP(B102,'Data availability'!$A$2:$G$91,7,FALSE)</f>
        <v>2300</v>
      </c>
      <c r="E102" s="3" t="str">
        <f>VLOOKUP(B102,'Data availability'!$A$2:$H$91,8,FALSE)</f>
        <v>Auditorium</v>
      </c>
      <c r="F102" s="1" t="e">
        <f>N$99*VLOOKUP($A102,'Campus Totals'!$A$36:$B$47,2,FALSE)</f>
        <v>#N/A</v>
      </c>
      <c r="G102" s="3"/>
      <c r="H102" s="1">
        <f>P$99*VLOOKUP(A102,'Campus Totals'!$A$36:$D$47,4,FALSE)</f>
        <v>487.49701054602218</v>
      </c>
      <c r="I102" s="1" t="e">
        <f>Q$99*VLOOKUP($A102,'Campus Totals'!$A$36:$E$47,5,FALSE)</f>
        <v>#N/A</v>
      </c>
      <c r="J102" s="3"/>
      <c r="K102" s="3"/>
      <c r="L102" s="1"/>
      <c r="M102" s="1"/>
      <c r="N102" s="1"/>
      <c r="O102" s="1"/>
      <c r="P102" s="1"/>
      <c r="Q102" s="1"/>
      <c r="R102" s="1"/>
    </row>
    <row r="103" spans="1:21" x14ac:dyDescent="0.3">
      <c r="A103" s="3">
        <v>5</v>
      </c>
      <c r="B103" s="3" t="s">
        <v>417</v>
      </c>
      <c r="C103" s="3" t="str">
        <f>VLOOKUP(B103,'Data availability'!$A$2:$B$91,2,FALSE)</f>
        <v>Main campus</v>
      </c>
      <c r="D103" s="3">
        <f>VLOOKUP(B103,'Data availability'!$A$2:$G$91,7,FALSE)</f>
        <v>2300</v>
      </c>
      <c r="E103" s="3" t="str">
        <f>VLOOKUP(B103,'Data availability'!$A$2:$H$91,8,FALSE)</f>
        <v>Auditorium</v>
      </c>
      <c r="F103" s="1" t="e">
        <f>N$99*VLOOKUP($A103,'Campus Totals'!$A$36:$B$47,2,FALSE)</f>
        <v>#N/A</v>
      </c>
      <c r="G103" s="3"/>
      <c r="H103" s="1">
        <f>P$99*VLOOKUP(A103,'Campus Totals'!$A$36:$D$47,4,FALSE)</f>
        <v>994.41581236869627</v>
      </c>
      <c r="I103" s="1" t="e">
        <f>Q$99*VLOOKUP($A103,'Campus Totals'!$A$36:$E$47,5,FALSE)</f>
        <v>#N/A</v>
      </c>
      <c r="J103" s="3"/>
      <c r="K103" s="3"/>
      <c r="L103" s="1"/>
      <c r="M103" s="1"/>
      <c r="N103" s="1"/>
      <c r="O103" s="1"/>
      <c r="P103" s="1"/>
      <c r="Q103" s="1"/>
      <c r="R103" s="1"/>
    </row>
    <row r="104" spans="1:21" x14ac:dyDescent="0.3">
      <c r="A104" s="3">
        <v>6</v>
      </c>
      <c r="B104" s="3" t="s">
        <v>417</v>
      </c>
      <c r="C104" s="3" t="str">
        <f>VLOOKUP(B104,'Data availability'!$A$2:$B$91,2,FALSE)</f>
        <v>Main campus</v>
      </c>
      <c r="D104" s="3">
        <f>VLOOKUP(B104,'Data availability'!$A$2:$G$91,7,FALSE)</f>
        <v>2300</v>
      </c>
      <c r="E104" s="3" t="str">
        <f>VLOOKUP(B104,'Data availability'!$A$2:$H$91,8,FALSE)</f>
        <v>Auditorium</v>
      </c>
      <c r="F104" s="1" t="e">
        <f>N$99*VLOOKUP($A104,'Campus Totals'!$A$36:$B$47,2,FALSE)</f>
        <v>#N/A</v>
      </c>
      <c r="G104" s="3"/>
      <c r="H104" s="1">
        <f>P$99*VLOOKUP(A104,'Campus Totals'!$A$36:$D$47,4,FALSE)</f>
        <v>794.71001605461231</v>
      </c>
      <c r="I104" s="1" t="e">
        <f>Q$99*VLOOKUP($A104,'Campus Totals'!$A$36:$E$47,5,FALSE)</f>
        <v>#N/A</v>
      </c>
      <c r="J104" s="3"/>
      <c r="K104" s="3"/>
      <c r="L104" s="1"/>
      <c r="M104" s="1"/>
      <c r="N104" s="1"/>
      <c r="O104" s="1"/>
      <c r="P104" s="1"/>
      <c r="Q104" s="1"/>
      <c r="R104" s="1"/>
    </row>
    <row r="105" spans="1:21" x14ac:dyDescent="0.3">
      <c r="A105" s="3">
        <v>7</v>
      </c>
      <c r="B105" s="3" t="s">
        <v>417</v>
      </c>
      <c r="C105" s="3" t="str">
        <f>VLOOKUP(B105,'Data availability'!$A$2:$B$91,2,FALSE)</f>
        <v>Main campus</v>
      </c>
      <c r="D105" s="3">
        <f>VLOOKUP(B105,'Data availability'!$A$2:$G$91,7,FALSE)</f>
        <v>2300</v>
      </c>
      <c r="E105" s="3" t="str">
        <f>VLOOKUP(B105,'Data availability'!$A$2:$H$91,8,FALSE)</f>
        <v>Auditorium</v>
      </c>
      <c r="F105" s="1" t="e">
        <f>N$99*VLOOKUP($A105,'Campus Totals'!$A$36:$B$47,2,FALSE)</f>
        <v>#N/A</v>
      </c>
      <c r="G105" s="3"/>
      <c r="H105" s="1">
        <f>P$99*VLOOKUP(A105,'Campus Totals'!$A$36:$D$47,4,FALSE)</f>
        <v>614.70246903111308</v>
      </c>
      <c r="I105" s="1" t="e">
        <f>Q$99*VLOOKUP($A105,'Campus Totals'!$A$36:$E$47,5,FALSE)</f>
        <v>#N/A</v>
      </c>
      <c r="J105" s="3"/>
      <c r="K105" s="3"/>
      <c r="L105" s="1"/>
      <c r="M105" s="1"/>
      <c r="N105" s="1"/>
      <c r="O105" s="1"/>
      <c r="P105" s="1"/>
      <c r="Q105" s="1"/>
      <c r="R105" s="1"/>
    </row>
    <row r="106" spans="1:21" x14ac:dyDescent="0.3">
      <c r="A106" s="3">
        <v>8</v>
      </c>
      <c r="B106" s="3" t="s">
        <v>417</v>
      </c>
      <c r="C106" s="3" t="str">
        <f>VLOOKUP(B106,'Data availability'!$A$2:$B$91,2,FALSE)</f>
        <v>Main campus</v>
      </c>
      <c r="D106" s="3">
        <f>VLOOKUP(B106,'Data availability'!$A$2:$G$91,7,FALSE)</f>
        <v>2300</v>
      </c>
      <c r="E106" s="3" t="str">
        <f>VLOOKUP(B106,'Data availability'!$A$2:$H$91,8,FALSE)</f>
        <v>Auditorium</v>
      </c>
      <c r="F106" s="1" t="e">
        <f>N$99*VLOOKUP($A106,'Campus Totals'!$A$36:$B$47,2,FALSE)</f>
        <v>#N/A</v>
      </c>
      <c r="G106" s="3"/>
      <c r="H106" s="1">
        <f>P$99*VLOOKUP(A106,'Campus Totals'!$A$36:$D$47,4,FALSE)</f>
        <v>758.86524522211846</v>
      </c>
      <c r="I106" s="1" t="e">
        <f>Q$99*VLOOKUP($A106,'Campus Totals'!$A$36:$E$47,5,FALSE)</f>
        <v>#N/A</v>
      </c>
      <c r="J106" s="3"/>
      <c r="K106" s="3"/>
      <c r="L106" s="1"/>
      <c r="M106" s="1"/>
      <c r="N106" s="1"/>
      <c r="O106" s="1"/>
      <c r="P106" s="1"/>
      <c r="Q106" s="1"/>
      <c r="R106" s="1"/>
    </row>
    <row r="107" spans="1:21" x14ac:dyDescent="0.3">
      <c r="A107" s="3">
        <v>9</v>
      </c>
      <c r="B107" s="3" t="s">
        <v>417</v>
      </c>
      <c r="C107" s="3" t="str">
        <f>VLOOKUP(B107,'Data availability'!$A$2:$B$91,2,FALSE)</f>
        <v>Main campus</v>
      </c>
      <c r="D107" s="3">
        <f>VLOOKUP(B107,'Data availability'!$A$2:$G$91,7,FALSE)</f>
        <v>2300</v>
      </c>
      <c r="E107" s="3" t="str">
        <f>VLOOKUP(B107,'Data availability'!$A$2:$H$91,8,FALSE)</f>
        <v>Auditorium</v>
      </c>
      <c r="F107" s="1" t="e">
        <f>N$99*VLOOKUP($A107,'Campus Totals'!$A$36:$B$47,2,FALSE)</f>
        <v>#N/A</v>
      </c>
      <c r="G107" s="3"/>
      <c r="H107" s="1">
        <f>P$99*VLOOKUP(A107,'Campus Totals'!$A$36:$D$47,4,FALSE)</f>
        <v>520.4185489782717</v>
      </c>
      <c r="I107" s="1" t="e">
        <f>Q$99*VLOOKUP($A107,'Campus Totals'!$A$36:$E$47,5,FALSE)</f>
        <v>#N/A</v>
      </c>
      <c r="J107" s="3"/>
      <c r="K107" s="3"/>
      <c r="L107" s="1"/>
      <c r="M107" s="1"/>
      <c r="N107" s="1"/>
      <c r="O107" s="1"/>
      <c r="P107" s="1"/>
      <c r="Q107" s="1"/>
      <c r="R107" s="1"/>
    </row>
    <row r="108" spans="1:21" x14ac:dyDescent="0.3">
      <c r="A108" s="3">
        <v>10</v>
      </c>
      <c r="B108" s="3" t="s">
        <v>417</v>
      </c>
      <c r="C108" s="3" t="str">
        <f>VLOOKUP(B108,'Data availability'!$A$2:$B$91,2,FALSE)</f>
        <v>Main campus</v>
      </c>
      <c r="D108" s="3">
        <f>VLOOKUP(B108,'Data availability'!$A$2:$G$91,7,FALSE)</f>
        <v>2300</v>
      </c>
      <c r="E108" s="3" t="str">
        <f>VLOOKUP(B108,'Data availability'!$A$2:$H$91,8,FALSE)</f>
        <v>Auditorium</v>
      </c>
      <c r="F108" s="1" t="e">
        <f>N$99*VLOOKUP($A108,'Campus Totals'!$A$36:$B$47,2,FALSE)</f>
        <v>#N/A</v>
      </c>
      <c r="G108" s="3"/>
      <c r="H108" s="1">
        <f>P$99*VLOOKUP(A108,'Campus Totals'!$A$36:$D$47,4,FALSE)</f>
        <v>276.54810125661237</v>
      </c>
      <c r="I108" s="1" t="e">
        <f>Q$99*VLOOKUP($A108,'Campus Totals'!$A$36:$E$47,5,FALSE)</f>
        <v>#N/A</v>
      </c>
      <c r="J108" s="3"/>
      <c r="K108" s="3"/>
      <c r="L108" s="1"/>
      <c r="M108" s="1"/>
      <c r="N108" s="1"/>
      <c r="O108" s="1"/>
      <c r="P108" s="1"/>
      <c r="Q108" s="1"/>
      <c r="R108" s="1"/>
    </row>
    <row r="109" spans="1:21" x14ac:dyDescent="0.3">
      <c r="A109" s="3">
        <v>11</v>
      </c>
      <c r="B109" s="3" t="s">
        <v>417</v>
      </c>
      <c r="C109" s="3" t="str">
        <f>VLOOKUP(B109,'Data availability'!$A$2:$B$91,2,FALSE)</f>
        <v>Main campus</v>
      </c>
      <c r="D109" s="3">
        <f>VLOOKUP(B109,'Data availability'!$A$2:$G$91,7,FALSE)</f>
        <v>2300</v>
      </c>
      <c r="E109" s="3" t="str">
        <f>VLOOKUP(B109,'Data availability'!$A$2:$H$91,8,FALSE)</f>
        <v>Auditorium</v>
      </c>
      <c r="F109" s="1" t="e">
        <f>N$99*VLOOKUP($A109,'Campus Totals'!$A$36:$B$47,2,FALSE)</f>
        <v>#N/A</v>
      </c>
      <c r="G109" s="3"/>
      <c r="H109" s="1">
        <f>P$99*VLOOKUP(A109,'Campus Totals'!$A$36:$D$47,4,FALSE)</f>
        <v>221.1864257693463</v>
      </c>
      <c r="I109" s="1" t="e">
        <f>Q$99*VLOOKUP($A109,'Campus Totals'!$A$36:$E$47,5,FALSE)</f>
        <v>#N/A</v>
      </c>
      <c r="J109" s="3"/>
      <c r="K109" s="3"/>
      <c r="L109" s="1"/>
      <c r="M109" s="1"/>
      <c r="N109" s="1"/>
      <c r="O109" s="1"/>
      <c r="P109" s="1"/>
      <c r="Q109" s="1"/>
      <c r="R109" s="1"/>
    </row>
    <row r="110" spans="1:21" s="69" customFormat="1" x14ac:dyDescent="0.3">
      <c r="A110" s="64">
        <v>12</v>
      </c>
      <c r="B110" s="64" t="s">
        <v>417</v>
      </c>
      <c r="C110" s="64" t="str">
        <f>VLOOKUP(B110,'Data availability'!$A$2:$B$91,2,FALSE)</f>
        <v>Main campus</v>
      </c>
      <c r="D110" s="64">
        <f>VLOOKUP(B110,'Data availability'!$A$2:$G$91,7,FALSE)</f>
        <v>2300</v>
      </c>
      <c r="E110" s="64" t="str">
        <f>VLOOKUP(B110,'Data availability'!$A$2:$H$91,8,FALSE)</f>
        <v>Auditorium</v>
      </c>
      <c r="F110" s="1" t="e">
        <f>N$99*VLOOKUP($A110,'Campus Totals'!$A$36:$B$47,2,FALSE)</f>
        <v>#N/A</v>
      </c>
      <c r="G110" s="64"/>
      <c r="H110" s="1">
        <f>P$99*VLOOKUP(A110,'Campus Totals'!$A$36:$D$47,4,FALSE)</f>
        <v>230.12014060613376</v>
      </c>
      <c r="I110" s="1" t="e">
        <f>Q$99*VLOOKUP($A110,'Campus Totals'!$A$36:$E$47,5,FALSE)</f>
        <v>#N/A</v>
      </c>
      <c r="J110" s="64"/>
      <c r="K110" s="64"/>
      <c r="L110" s="66"/>
      <c r="M110" s="1"/>
      <c r="N110" s="66"/>
      <c r="O110" s="66"/>
      <c r="P110" s="66"/>
      <c r="Q110" s="66"/>
      <c r="R110" s="66"/>
    </row>
    <row r="111" spans="1:21" x14ac:dyDescent="0.3">
      <c r="A111" s="3">
        <v>1</v>
      </c>
      <c r="B111" s="3" t="s">
        <v>419</v>
      </c>
      <c r="C111" s="3" t="str">
        <f>VLOOKUP(B111,'Data availability'!$A$2:$B$91,2,FALSE)</f>
        <v>Main campus</v>
      </c>
      <c r="D111" s="3">
        <f>VLOOKUP(B111,'Data availability'!$A$2:$G$91,7,FALSE)</f>
        <v>13096</v>
      </c>
      <c r="E111" s="3" t="str">
        <f>VLOOKUP(B111,'Data availability'!$A$2:$H$91,8,FALSE)</f>
        <v>Auditorium</v>
      </c>
      <c r="F111" s="1" t="e">
        <f>N$111*VLOOKUP($A111,'Campus Totals'!$A$36:$B$47,2,FALSE)</f>
        <v>#N/A</v>
      </c>
      <c r="G111" s="3"/>
      <c r="H111" s="1">
        <f>P$111*VLOOKUP(A111,'Campus Totals'!$A$36:$D$47,4,FALSE)</f>
        <v>30.428982209404673</v>
      </c>
      <c r="I111" s="3"/>
      <c r="J111" s="1">
        <f>INDEX('BPD vs SJSU EUIs'!$J$4:$J$17, MATCH($E111, 'BPD vs SJSU EUIs'!$A$4:$A$17, 0))*D111</f>
        <v>445264</v>
      </c>
      <c r="K111" s="3"/>
      <c r="L111" s="1">
        <f>INDEX('BPD vs SJSU EUIs'!$P$4:$P$17, MATCH($E112, 'BPD vs SJSU EUIs'!$A$4:$A$17, 0))*D112</f>
        <v>261920</v>
      </c>
      <c r="M111" s="1"/>
      <c r="N111" s="1" t="e">
        <f>$J111/SUM($J$4:$J$124)</f>
        <v>#N/A</v>
      </c>
      <c r="O111" s="1"/>
      <c r="P111" s="1">
        <f>$L111/SUM($L$3:$L$123)</f>
        <v>0.10252487986527589</v>
      </c>
      <c r="Q111" s="1"/>
      <c r="R111" t="e">
        <f>SUM(F111:F122)*3.412/D111</f>
        <v>#N/A</v>
      </c>
      <c r="S111">
        <f>SUM(H111:H122)*100/D111</f>
        <v>257.01853586943332</v>
      </c>
    </row>
    <row r="112" spans="1:21" x14ac:dyDescent="0.3">
      <c r="A112" s="3">
        <v>2</v>
      </c>
      <c r="B112" s="3" t="s">
        <v>419</v>
      </c>
      <c r="C112" s="3" t="str">
        <f>VLOOKUP(B112,'Data availability'!$A$2:$B$91,2,FALSE)</f>
        <v>Main campus</v>
      </c>
      <c r="D112" s="3">
        <f>VLOOKUP(B112,'Data availability'!$A$2:$G$91,7,FALSE)</f>
        <v>13096</v>
      </c>
      <c r="E112" s="3" t="str">
        <f>VLOOKUP(B112,'Data availability'!$A$2:$H$91,8,FALSE)</f>
        <v>Auditorium</v>
      </c>
      <c r="F112" s="1" t="e">
        <f>N$111*VLOOKUP($A112,'Campus Totals'!$A$36:$B$47,2,FALSE)</f>
        <v>#N/A</v>
      </c>
      <c r="G112" s="3"/>
      <c r="H112" s="1">
        <f>P$111*VLOOKUP(A112,'Campus Totals'!$A$36:$D$47,4,FALSE)</f>
        <v>2012.4948160796214</v>
      </c>
      <c r="I112" s="3"/>
      <c r="J112" s="3"/>
      <c r="K112" s="3"/>
      <c r="M112" s="1"/>
      <c r="N112" s="1"/>
      <c r="O112" s="1"/>
      <c r="P112" s="1"/>
      <c r="Q112" s="1"/>
      <c r="R112" s="1"/>
    </row>
    <row r="113" spans="1:21" x14ac:dyDescent="0.3">
      <c r="A113" s="3">
        <v>3</v>
      </c>
      <c r="B113" s="3" t="s">
        <v>419</v>
      </c>
      <c r="C113" s="3" t="str">
        <f>VLOOKUP(B113,'Data availability'!$A$2:$B$91,2,FALSE)</f>
        <v>Main campus</v>
      </c>
      <c r="D113" s="3">
        <f>VLOOKUP(B113,'Data availability'!$A$2:$G$91,7,FALSE)</f>
        <v>13096</v>
      </c>
      <c r="E113" s="3" t="str">
        <f>VLOOKUP(B113,'Data availability'!$A$2:$H$91,8,FALSE)</f>
        <v>Auditorium</v>
      </c>
      <c r="F113" s="1" t="e">
        <f>N$111*VLOOKUP($A113,'Campus Totals'!$A$36:$B$47,2,FALSE)</f>
        <v>#N/A</v>
      </c>
      <c r="G113" s="3"/>
      <c r="H113" s="1">
        <f>P$111*VLOOKUP(A113,'Campus Totals'!$A$36:$D$47,4,FALSE)</f>
        <v>3724.7969071145671</v>
      </c>
      <c r="I113" s="3"/>
      <c r="J113" s="3"/>
      <c r="K113" s="3"/>
      <c r="L113" s="1"/>
      <c r="M113" s="1"/>
      <c r="N113" s="1"/>
      <c r="O113" s="1"/>
      <c r="P113" s="1"/>
      <c r="Q113" s="1"/>
      <c r="R113" s="1"/>
    </row>
    <row r="114" spans="1:21" x14ac:dyDescent="0.3">
      <c r="A114" s="3">
        <v>4</v>
      </c>
      <c r="B114" s="3" t="s">
        <v>419</v>
      </c>
      <c r="C114" s="3" t="str">
        <f>VLOOKUP(B114,'Data availability'!$A$2:$B$91,2,FALSE)</f>
        <v>Main campus</v>
      </c>
      <c r="D114" s="3">
        <f>VLOOKUP(B114,'Data availability'!$A$2:$G$91,7,FALSE)</f>
        <v>13096</v>
      </c>
      <c r="E114" s="3" t="str">
        <f>VLOOKUP(B114,'Data availability'!$A$2:$H$91,8,FALSE)</f>
        <v>Auditorium</v>
      </c>
      <c r="F114" s="1" t="e">
        <f>N$111*VLOOKUP($A114,'Campus Totals'!$A$36:$B$47,2,FALSE)</f>
        <v>#N/A</v>
      </c>
      <c r="G114" s="3"/>
      <c r="H114" s="1">
        <f>P$111*VLOOKUP(A114,'Campus Totals'!$A$36:$D$47,4,FALSE)</f>
        <v>2775.7655870046556</v>
      </c>
      <c r="I114" s="3"/>
      <c r="J114" s="3"/>
      <c r="K114" s="3"/>
      <c r="L114" s="1"/>
      <c r="M114" s="1"/>
      <c r="N114" s="1"/>
      <c r="O114" s="1"/>
      <c r="P114" s="1"/>
      <c r="Q114" s="1"/>
      <c r="R114" s="1"/>
    </row>
    <row r="115" spans="1:21" x14ac:dyDescent="0.3">
      <c r="A115" s="3">
        <v>5</v>
      </c>
      <c r="B115" s="3" t="s">
        <v>419</v>
      </c>
      <c r="C115" s="3" t="str">
        <f>VLOOKUP(B115,'Data availability'!$A$2:$B$91,2,FALSE)</f>
        <v>Main campus</v>
      </c>
      <c r="D115" s="3">
        <f>VLOOKUP(B115,'Data availability'!$A$2:$G$91,7,FALSE)</f>
        <v>13096</v>
      </c>
      <c r="E115" s="3" t="str">
        <f>VLOOKUP(B115,'Data availability'!$A$2:$H$91,8,FALSE)</f>
        <v>Auditorium</v>
      </c>
      <c r="F115" s="1" t="e">
        <f>N$111*VLOOKUP($A115,'Campus Totals'!$A$36:$B$47,2,FALSE)</f>
        <v>#N/A</v>
      </c>
      <c r="G115" s="3"/>
      <c r="H115" s="1">
        <f>P$111*VLOOKUP(A115,'Campus Totals'!$A$36:$D$47,4,FALSE)</f>
        <v>5662.1171646871508</v>
      </c>
      <c r="I115" s="3"/>
      <c r="J115" s="3"/>
      <c r="K115" s="3"/>
      <c r="L115" s="1"/>
      <c r="M115" s="1"/>
      <c r="N115" s="1"/>
      <c r="O115" s="1"/>
      <c r="P115" s="1"/>
      <c r="Q115" s="1"/>
      <c r="R115" s="1"/>
    </row>
    <row r="116" spans="1:21" x14ac:dyDescent="0.3">
      <c r="A116" s="3">
        <v>6</v>
      </c>
      <c r="B116" s="3" t="s">
        <v>419</v>
      </c>
      <c r="C116" s="3" t="str">
        <f>VLOOKUP(B116,'Data availability'!$A$2:$B$91,2,FALSE)</f>
        <v>Main campus</v>
      </c>
      <c r="D116" s="3">
        <f>VLOOKUP(B116,'Data availability'!$A$2:$G$91,7,FALSE)</f>
        <v>13096</v>
      </c>
      <c r="E116" s="3" t="str">
        <f>VLOOKUP(B116,'Data availability'!$A$2:$H$91,8,FALSE)</f>
        <v>Auditorium</v>
      </c>
      <c r="F116" s="1" t="e">
        <f>N$111*VLOOKUP($A116,'Campus Totals'!$A$36:$B$47,2,FALSE)</f>
        <v>#N/A</v>
      </c>
      <c r="G116" s="3"/>
      <c r="H116" s="1">
        <f>P$111*VLOOKUP(A116,'Campus Totals'!$A$36:$D$47,4,FALSE)</f>
        <v>4525.0097261961755</v>
      </c>
      <c r="I116" s="3"/>
      <c r="J116" s="3"/>
      <c r="K116" s="3"/>
      <c r="L116" s="1"/>
      <c r="M116" s="1"/>
      <c r="N116" s="1"/>
      <c r="O116" s="1"/>
      <c r="P116" s="1"/>
      <c r="Q116" s="1"/>
      <c r="R116" s="1"/>
    </row>
    <row r="117" spans="1:21" x14ac:dyDescent="0.3">
      <c r="A117" s="3">
        <v>7</v>
      </c>
      <c r="B117" s="3" t="s">
        <v>419</v>
      </c>
      <c r="C117" s="3" t="str">
        <f>VLOOKUP(B117,'Data availability'!$A$2:$B$91,2,FALSE)</f>
        <v>Main campus</v>
      </c>
      <c r="D117" s="3">
        <f>VLOOKUP(B117,'Data availability'!$A$2:$G$91,7,FALSE)</f>
        <v>13096</v>
      </c>
      <c r="E117" s="3" t="str">
        <f>VLOOKUP(B117,'Data availability'!$A$2:$H$91,8,FALSE)</f>
        <v>Auditorium</v>
      </c>
      <c r="F117" s="1" t="e">
        <f>N$111*VLOOKUP($A117,'Campus Totals'!$A$36:$B$47,2,FALSE)</f>
        <v>#N/A</v>
      </c>
      <c r="G117" s="3"/>
      <c r="H117" s="1">
        <f>P$111*VLOOKUP(A117,'Campus Totals'!$A$36:$D$47,4,FALSE)</f>
        <v>3500.0624062745464</v>
      </c>
      <c r="I117" s="3"/>
      <c r="J117" s="3"/>
      <c r="K117" s="3"/>
      <c r="L117" s="1"/>
      <c r="M117" s="1"/>
      <c r="N117" s="1"/>
      <c r="O117" s="1"/>
      <c r="P117" s="1"/>
      <c r="Q117" s="1"/>
      <c r="R117" s="1"/>
    </row>
    <row r="118" spans="1:21" x14ac:dyDescent="0.3">
      <c r="A118" s="3">
        <v>8</v>
      </c>
      <c r="B118" s="3" t="s">
        <v>419</v>
      </c>
      <c r="C118" s="3" t="str">
        <f>VLOOKUP(B118,'Data availability'!$A$2:$B$91,2,FALSE)</f>
        <v>Main campus</v>
      </c>
      <c r="D118" s="3">
        <f>VLOOKUP(B118,'Data availability'!$A$2:$G$91,7,FALSE)</f>
        <v>13096</v>
      </c>
      <c r="E118" s="3" t="str">
        <f>VLOOKUP(B118,'Data availability'!$A$2:$H$91,8,FALSE)</f>
        <v>Auditorium</v>
      </c>
      <c r="F118" s="1" t="e">
        <f>N$111*VLOOKUP($A118,'Campus Totals'!$A$36:$B$47,2,FALSE)</f>
        <v>#N/A</v>
      </c>
      <c r="G118" s="3"/>
      <c r="H118" s="1">
        <f>P$111*VLOOKUP(A118,'Campus Totals'!$A$36:$D$47,4,FALSE)</f>
        <v>4320.9127180125497</v>
      </c>
      <c r="I118" s="3"/>
      <c r="J118" s="3"/>
      <c r="K118" s="3"/>
      <c r="L118" s="1"/>
      <c r="M118" s="1"/>
      <c r="N118" s="1"/>
      <c r="O118" s="1"/>
      <c r="P118" s="1"/>
      <c r="Q118" s="1"/>
      <c r="R118" s="1"/>
    </row>
    <row r="119" spans="1:21" x14ac:dyDescent="0.3">
      <c r="A119" s="3">
        <v>9</v>
      </c>
      <c r="B119" s="3" t="s">
        <v>419</v>
      </c>
      <c r="C119" s="3" t="str">
        <f>VLOOKUP(B119,'Data availability'!$A$2:$B$91,2,FALSE)</f>
        <v>Main campus</v>
      </c>
      <c r="D119" s="3">
        <f>VLOOKUP(B119,'Data availability'!$A$2:$G$91,7,FALSE)</f>
        <v>13096</v>
      </c>
      <c r="E119" s="3" t="str">
        <f>VLOOKUP(B119,'Data availability'!$A$2:$H$91,8,FALSE)</f>
        <v>Auditorium</v>
      </c>
      <c r="F119" s="1" t="e">
        <f>N$111*VLOOKUP($A119,'Campus Totals'!$A$36:$B$47,2,FALSE)</f>
        <v>#N/A</v>
      </c>
      <c r="G119" s="3"/>
      <c r="H119" s="1">
        <f>P$111*VLOOKUP(A119,'Campus Totals'!$A$36:$D$47,4,FALSE)</f>
        <v>2963.2179640954114</v>
      </c>
      <c r="I119" s="3"/>
      <c r="J119" s="3"/>
      <c r="K119" s="3"/>
      <c r="L119" s="1"/>
      <c r="M119" s="1"/>
      <c r="N119" s="1"/>
      <c r="O119" s="1"/>
      <c r="P119" s="1"/>
      <c r="Q119" s="1"/>
      <c r="R119" s="1"/>
    </row>
    <row r="120" spans="1:21" x14ac:dyDescent="0.3">
      <c r="A120" s="3">
        <v>10</v>
      </c>
      <c r="B120" s="3" t="s">
        <v>419</v>
      </c>
      <c r="C120" s="3" t="str">
        <f>VLOOKUP(B120,'Data availability'!$A$2:$B$91,2,FALSE)</f>
        <v>Main campus</v>
      </c>
      <c r="D120" s="3">
        <f>VLOOKUP(B120,'Data availability'!$A$2:$G$91,7,FALSE)</f>
        <v>13096</v>
      </c>
      <c r="E120" s="3" t="str">
        <f>VLOOKUP(B120,'Data availability'!$A$2:$H$91,8,FALSE)</f>
        <v>Auditorium</v>
      </c>
      <c r="F120" s="1" t="e">
        <f>N$111*VLOOKUP($A120,'Campus Totals'!$A$36:$B$47,2,FALSE)</f>
        <v>#N/A</v>
      </c>
      <c r="G120" s="3"/>
      <c r="H120" s="1">
        <f>P$111*VLOOKUP(A120,'Campus Totals'!$A$36:$D$47,4,FALSE)</f>
        <v>1574.6408408941722</v>
      </c>
      <c r="I120" s="3"/>
      <c r="J120" s="3"/>
      <c r="K120" s="3"/>
      <c r="L120" s="1"/>
      <c r="M120" s="1"/>
      <c r="N120" s="1"/>
      <c r="O120" s="1"/>
      <c r="P120" s="1"/>
      <c r="Q120" s="1"/>
      <c r="R120" s="1"/>
    </row>
    <row r="121" spans="1:21" x14ac:dyDescent="0.3">
      <c r="A121" s="3">
        <v>11</v>
      </c>
      <c r="B121" s="3" t="s">
        <v>419</v>
      </c>
      <c r="C121" s="3" t="str">
        <f>VLOOKUP(B121,'Data availability'!$A$2:$B$91,2,FALSE)</f>
        <v>Main campus</v>
      </c>
      <c r="D121" s="3">
        <f>VLOOKUP(B121,'Data availability'!$A$2:$G$91,7,FALSE)</f>
        <v>13096</v>
      </c>
      <c r="E121" s="3" t="str">
        <f>VLOOKUP(B121,'Data availability'!$A$2:$H$91,8,FALSE)</f>
        <v>Auditorium</v>
      </c>
      <c r="F121" s="1" t="e">
        <f>N$111*VLOOKUP($A121,'Campus Totals'!$A$36:$B$47,2,FALSE)</f>
        <v>#N/A</v>
      </c>
      <c r="G121" s="3"/>
      <c r="H121" s="1">
        <f>P$111*VLOOKUP(A121,'Campus Totals'!$A$36:$D$47,4,FALSE)</f>
        <v>1259.4162747284172</v>
      </c>
      <c r="I121" s="3"/>
      <c r="J121" s="3"/>
      <c r="K121" s="3"/>
      <c r="L121" s="1"/>
      <c r="M121" s="1"/>
      <c r="N121" s="1"/>
      <c r="O121" s="1"/>
      <c r="P121" s="1"/>
      <c r="Q121" s="1"/>
      <c r="R121" s="1"/>
    </row>
    <row r="122" spans="1:21" s="69" customFormat="1" x14ac:dyDescent="0.3">
      <c r="A122" s="64">
        <v>12</v>
      </c>
      <c r="B122" s="64" t="s">
        <v>419</v>
      </c>
      <c r="C122" s="64" t="str">
        <f>VLOOKUP(B122,'Data availability'!$A$2:$B$91,2,FALSE)</f>
        <v>Main campus</v>
      </c>
      <c r="D122" s="64">
        <f>VLOOKUP(B122,'Data availability'!$A$2:$G$91,7,FALSE)</f>
        <v>13096</v>
      </c>
      <c r="E122" s="64" t="str">
        <f>VLOOKUP(B122,'Data availability'!$A$2:$H$91,8,FALSE)</f>
        <v>Auditorium</v>
      </c>
      <c r="F122" s="1" t="e">
        <f>N$111*VLOOKUP($A122,'Campus Totals'!$A$36:$B$47,2,FALSE)</f>
        <v>#N/A</v>
      </c>
      <c r="G122" s="64"/>
      <c r="H122" s="1">
        <f>P$111*VLOOKUP(A122,'Campus Totals'!$A$36:$D$47,4,FALSE)</f>
        <v>1310.2840701643165</v>
      </c>
      <c r="I122" s="64"/>
      <c r="J122" s="64"/>
      <c r="K122" s="64"/>
      <c r="L122" s="66"/>
      <c r="M122" s="1"/>
      <c r="N122" s="66"/>
      <c r="O122" s="66"/>
      <c r="P122" s="66"/>
      <c r="Q122" s="66"/>
      <c r="R122" s="66"/>
    </row>
    <row r="123" spans="1:21" x14ac:dyDescent="0.3">
      <c r="A123" s="3">
        <v>1</v>
      </c>
      <c r="B123" s="3" t="s">
        <v>421</v>
      </c>
      <c r="C123" s="3" t="str">
        <f>VLOOKUP(B123,'Data availability'!$A$2:$B$91,2,FALSE)</f>
        <v>Main campus</v>
      </c>
      <c r="D123" s="3">
        <f>VLOOKUP(B123,'Data availability'!$A$2:$G$91,7,FALSE)</f>
        <v>25391</v>
      </c>
      <c r="E123" s="3" t="str">
        <f>VLOOKUP(B123,'Data availability'!$A$2:$H$91,8,FALSE)</f>
        <v>Office</v>
      </c>
      <c r="F123" s="1" t="e">
        <f>N$123*VLOOKUP($A123,'Campus Totals'!$A$36:$B$47,2,FALSE)</f>
        <v>#N/A</v>
      </c>
      <c r="G123" s="3"/>
      <c r="H123" s="1">
        <f>P$123*VLOOKUP(A123,'Campus Totals'!$A$36:$D$47,4,FALSE)</f>
        <v>59.62752607542717</v>
      </c>
      <c r="I123" s="1" t="e">
        <f>Q$123*VLOOKUP($A123,'Campus Totals'!$A$36:$E$47,5,FALSE)</f>
        <v>#N/A</v>
      </c>
      <c r="J123" s="1">
        <f>INDEX('BPD vs SJSU EUIs'!$J$4:$J$17, MATCH($E123, 'BPD vs SJSU EUIs'!$A$4:$A$17, 0))*D123</f>
        <v>912035.49865644739</v>
      </c>
      <c r="K123" s="3"/>
      <c r="L123" s="1">
        <f>INDEX('BPD vs SJSU EUIs'!$P$4:$P$17, MATCH($E123, 'BPD vs SJSU EUIs'!$A$4:$A$17, 0))*D123</f>
        <v>513248.89942749863</v>
      </c>
      <c r="M123" s="1">
        <f>INDEX('BPD vs SJSU EUIs'!$S$4:$S$17, MATCH($E123, 'BPD vs SJSU EUIs'!$A$4:$A$17, 0))*$D123</f>
        <v>348037.75138886942</v>
      </c>
      <c r="N123" s="1" t="e">
        <f>$J123/SUM($J$4:$J$124)</f>
        <v>#N/A</v>
      </c>
      <c r="O123" s="1"/>
      <c r="P123" s="1">
        <f>$L123/SUM($L$3:$L$123)</f>
        <v>0.20090402319330086</v>
      </c>
      <c r="Q123" s="1" t="e">
        <f>$M123/SUM($M$3:$M$123)</f>
        <v>#N/A</v>
      </c>
      <c r="R123" t="e">
        <f>SUM(F123:F134)*3.412/D123</f>
        <v>#N/A</v>
      </c>
      <c r="S123">
        <f>SUM(H123:H134)*100/D123</f>
        <v>259.76621769023222</v>
      </c>
      <c r="T123" t="e">
        <f>SUM(I123:I134)*12/D123</f>
        <v>#N/A</v>
      </c>
      <c r="U123" t="e">
        <f>SUM(R123:T123)</f>
        <v>#N/A</v>
      </c>
    </row>
    <row r="124" spans="1:21" x14ac:dyDescent="0.3">
      <c r="A124" s="3">
        <v>2</v>
      </c>
      <c r="B124" s="3" t="s">
        <v>421</v>
      </c>
      <c r="C124" s="3" t="str">
        <f>VLOOKUP(B124,'Data availability'!$A$2:$B$91,2,FALSE)</f>
        <v>Main campus</v>
      </c>
      <c r="D124" s="3">
        <f>VLOOKUP(B124,'Data availability'!$A$2:$G$91,7,FALSE)</f>
        <v>25391</v>
      </c>
      <c r="E124" s="3" t="str">
        <f>VLOOKUP(B124,'Data availability'!$A$2:$H$91,8,FALSE)</f>
        <v>Office</v>
      </c>
      <c r="F124" s="1" t="e">
        <f>N$123*VLOOKUP($A124,'Campus Totals'!$A$36:$B$47,2,FALSE)</f>
        <v>#N/A</v>
      </c>
      <c r="G124" s="3"/>
      <c r="H124" s="1">
        <f>P$123*VLOOKUP(A124,'Campus Totals'!$A$36:$D$47,4,FALSE)</f>
        <v>3943.6115968861177</v>
      </c>
      <c r="I124" s="1" t="e">
        <f>Q$123*VLOOKUP($A124,'Campus Totals'!$A$36:$E$47,5,FALSE)</f>
        <v>#N/A</v>
      </c>
      <c r="J124" s="3"/>
      <c r="K124" s="3"/>
      <c r="L124" s="1"/>
      <c r="M124" s="1"/>
      <c r="N124" s="1"/>
      <c r="O124" s="1"/>
      <c r="P124" s="1"/>
      <c r="Q124" s="1"/>
      <c r="R124" s="1"/>
    </row>
    <row r="125" spans="1:21" x14ac:dyDescent="0.3">
      <c r="A125" s="3">
        <v>3</v>
      </c>
      <c r="B125" s="3" t="s">
        <v>421</v>
      </c>
      <c r="C125" s="3" t="str">
        <f>VLOOKUP(B125,'Data availability'!$A$2:$B$91,2,FALSE)</f>
        <v>Main campus</v>
      </c>
      <c r="D125" s="3">
        <f>VLOOKUP(B125,'Data availability'!$A$2:$G$91,7,FALSE)</f>
        <v>25391</v>
      </c>
      <c r="E125" s="3" t="str">
        <f>VLOOKUP(B125,'Data availability'!$A$2:$H$91,8,FALSE)</f>
        <v>Office</v>
      </c>
      <c r="F125" s="1" t="e">
        <f>N$123*VLOOKUP($A125,'Campus Totals'!$A$36:$B$47,2,FALSE)</f>
        <v>#N/A</v>
      </c>
      <c r="G125" s="3"/>
      <c r="H125" s="1">
        <f>P$123*VLOOKUP(A125,'Campus Totals'!$A$36:$D$47,4,FALSE)</f>
        <v>7298.9764552821562</v>
      </c>
      <c r="I125" s="1" t="e">
        <f>Q$123*VLOOKUP($A125,'Campus Totals'!$A$36:$E$47,5,FALSE)</f>
        <v>#N/A</v>
      </c>
      <c r="J125" s="3"/>
      <c r="K125" s="3"/>
      <c r="L125" s="1"/>
      <c r="M125" s="1"/>
      <c r="N125" s="1"/>
      <c r="O125" s="1"/>
      <c r="P125" s="1"/>
      <c r="Q125" s="1"/>
      <c r="R125" s="1"/>
    </row>
    <row r="126" spans="1:21" x14ac:dyDescent="0.3">
      <c r="A126" s="3">
        <v>4</v>
      </c>
      <c r="B126" s="3" t="s">
        <v>421</v>
      </c>
      <c r="C126" s="3" t="str">
        <f>VLOOKUP(B126,'Data availability'!$A$2:$B$91,2,FALSE)</f>
        <v>Main campus</v>
      </c>
      <c r="D126" s="3">
        <f>VLOOKUP(B126,'Data availability'!$A$2:$G$91,7,FALSE)</f>
        <v>25391</v>
      </c>
      <c r="E126" s="3" t="str">
        <f>VLOOKUP(B126,'Data availability'!$A$2:$H$91,8,FALSE)</f>
        <v>Office</v>
      </c>
      <c r="F126" s="1" t="e">
        <f>N$123*VLOOKUP($A126,'Campus Totals'!$A$36:$B$47,2,FALSE)</f>
        <v>#N/A</v>
      </c>
      <c r="G126" s="3"/>
      <c r="H126" s="1">
        <f>P$123*VLOOKUP(A126,'Campus Totals'!$A$36:$D$47,4,FALSE)</f>
        <v>5439.2892203682959</v>
      </c>
      <c r="I126" s="1" t="e">
        <f>Q$123*VLOOKUP($A126,'Campus Totals'!$A$36:$E$47,5,FALSE)</f>
        <v>#N/A</v>
      </c>
      <c r="J126" s="3"/>
      <c r="K126" s="3"/>
      <c r="L126" s="1"/>
      <c r="M126" s="1"/>
      <c r="N126" s="1"/>
      <c r="O126" s="1"/>
      <c r="P126" s="1"/>
      <c r="Q126" s="1"/>
      <c r="R126" s="1"/>
    </row>
    <row r="127" spans="1:21" x14ac:dyDescent="0.3">
      <c r="A127" s="3">
        <v>5</v>
      </c>
      <c r="B127" s="3" t="s">
        <v>421</v>
      </c>
      <c r="C127" s="3" t="str">
        <f>VLOOKUP(B127,'Data availability'!$A$2:$B$91,2,FALSE)</f>
        <v>Main campus</v>
      </c>
      <c r="D127" s="3">
        <f>VLOOKUP(B127,'Data availability'!$A$2:$G$91,7,FALSE)</f>
        <v>25391</v>
      </c>
      <c r="E127" s="3" t="str">
        <f>VLOOKUP(B127,'Data availability'!$A$2:$H$91,8,FALSE)</f>
        <v>Office</v>
      </c>
      <c r="F127" s="1" t="e">
        <f>N$123*VLOOKUP($A127,'Campus Totals'!$A$36:$B$47,2,FALSE)</f>
        <v>#N/A</v>
      </c>
      <c r="G127" s="3"/>
      <c r="H127" s="1">
        <f>P$123*VLOOKUP(A127,'Campus Totals'!$A$36:$D$47,4,FALSE)</f>
        <v>11095.278723294246</v>
      </c>
      <c r="I127" s="1" t="e">
        <f>Q$123*VLOOKUP($A127,'Campus Totals'!$A$36:$E$47,5,FALSE)</f>
        <v>#N/A</v>
      </c>
      <c r="J127" s="3"/>
      <c r="K127" s="3"/>
      <c r="L127" s="1"/>
      <c r="M127" s="1"/>
      <c r="N127" s="1"/>
      <c r="O127" s="1"/>
      <c r="P127" s="1"/>
      <c r="Q127" s="1"/>
      <c r="R127" s="1"/>
    </row>
    <row r="128" spans="1:21" x14ac:dyDescent="0.3">
      <c r="A128" s="3">
        <v>6</v>
      </c>
      <c r="B128" s="3" t="s">
        <v>421</v>
      </c>
      <c r="C128" s="3" t="str">
        <f>VLOOKUP(B128,'Data availability'!$A$2:$B$91,2,FALSE)</f>
        <v>Main campus</v>
      </c>
      <c r="D128" s="3">
        <f>VLOOKUP(B128,'Data availability'!$A$2:$G$91,7,FALSE)</f>
        <v>25391</v>
      </c>
      <c r="E128" s="3" t="str">
        <f>VLOOKUP(B128,'Data availability'!$A$2:$H$91,8,FALSE)</f>
        <v>Office</v>
      </c>
      <c r="F128" s="1" t="e">
        <f>N$123*VLOOKUP($A128,'Campus Totals'!$A$36:$B$47,2,FALSE)</f>
        <v>#N/A</v>
      </c>
      <c r="G128" s="3"/>
      <c r="H128" s="1">
        <f>P$123*VLOOKUP(A128,'Campus Totals'!$A$36:$D$47,4,FALSE)</f>
        <v>8867.0443718269471</v>
      </c>
      <c r="I128" s="1" t="e">
        <f>Q$123*VLOOKUP($A128,'Campus Totals'!$A$36:$E$47,5,FALSE)</f>
        <v>#N/A</v>
      </c>
      <c r="J128" s="3"/>
      <c r="K128" s="3"/>
      <c r="L128" s="1"/>
      <c r="M128" s="1"/>
      <c r="N128" s="1"/>
      <c r="O128" s="1"/>
      <c r="P128" s="1"/>
      <c r="Q128" s="1"/>
      <c r="R128" s="1"/>
    </row>
    <row r="129" spans="1:18" x14ac:dyDescent="0.3">
      <c r="A129" s="3">
        <v>7</v>
      </c>
      <c r="B129" s="3" t="s">
        <v>421</v>
      </c>
      <c r="C129" s="3" t="str">
        <f>VLOOKUP(B129,'Data availability'!$A$2:$B$91,2,FALSE)</f>
        <v>Main campus</v>
      </c>
      <c r="D129" s="3">
        <f>VLOOKUP(B129,'Data availability'!$A$2:$G$91,7,FALSE)</f>
        <v>25391</v>
      </c>
      <c r="E129" s="3" t="str">
        <f>VLOOKUP(B129,'Data availability'!$A$2:$H$91,8,FALSE)</f>
        <v>Office</v>
      </c>
      <c r="F129" s="1" t="e">
        <f>N$123*VLOOKUP($A129,'Campus Totals'!$A$36:$B$47,2,FALSE)</f>
        <v>#N/A</v>
      </c>
      <c r="G129" s="3"/>
      <c r="H129" s="1">
        <f>P$123*VLOOKUP(A129,'Campus Totals'!$A$36:$D$47,4,FALSE)</f>
        <v>6858.5949066431485</v>
      </c>
      <c r="I129" s="1" t="e">
        <f>Q$123*VLOOKUP($A129,'Campus Totals'!$A$36:$E$47,5,FALSE)</f>
        <v>#N/A</v>
      </c>
      <c r="J129" s="3"/>
      <c r="K129" s="3"/>
      <c r="L129" s="1"/>
      <c r="M129" s="1"/>
      <c r="N129" s="1"/>
      <c r="O129" s="1"/>
      <c r="P129" s="1"/>
      <c r="Q129" s="1"/>
      <c r="R129" s="1"/>
    </row>
    <row r="130" spans="1:18" x14ac:dyDescent="0.3">
      <c r="A130" s="3">
        <v>8</v>
      </c>
      <c r="B130" s="3" t="s">
        <v>421</v>
      </c>
      <c r="C130" s="3" t="str">
        <f>VLOOKUP(B130,'Data availability'!$A$2:$B$91,2,FALSE)</f>
        <v>Main campus</v>
      </c>
      <c r="D130" s="3">
        <f>VLOOKUP(B130,'Data availability'!$A$2:$G$91,7,FALSE)</f>
        <v>25391</v>
      </c>
      <c r="E130" s="3" t="str">
        <f>VLOOKUP(B130,'Data availability'!$A$2:$H$91,8,FALSE)</f>
        <v>Office</v>
      </c>
      <c r="F130" s="1" t="e">
        <f>N$123*VLOOKUP($A130,'Campus Totals'!$A$36:$B$47,2,FALSE)</f>
        <v>#N/A</v>
      </c>
      <c r="G130" s="3"/>
      <c r="H130" s="1">
        <f>P$123*VLOOKUP(A130,'Campus Totals'!$A$36:$D$47,4,FALSE)</f>
        <v>8467.1033026963305</v>
      </c>
      <c r="I130" s="1" t="e">
        <f>Q$123*VLOOKUP($A130,'Campus Totals'!$A$36:$E$47,5,FALSE)</f>
        <v>#N/A</v>
      </c>
      <c r="J130" s="3"/>
      <c r="K130" s="3"/>
      <c r="L130" s="1"/>
      <c r="M130" s="1"/>
      <c r="N130" s="1"/>
      <c r="O130" s="1"/>
      <c r="P130" s="1"/>
      <c r="Q130" s="1"/>
      <c r="R130" s="1"/>
    </row>
    <row r="131" spans="1:18" x14ac:dyDescent="0.3">
      <c r="A131" s="3">
        <v>9</v>
      </c>
      <c r="B131" s="3" t="s">
        <v>421</v>
      </c>
      <c r="C131" s="3" t="str">
        <f>VLOOKUP(B131,'Data availability'!$A$2:$B$91,2,FALSE)</f>
        <v>Main campus</v>
      </c>
      <c r="D131" s="3">
        <f>VLOOKUP(B131,'Data availability'!$A$2:$G$91,7,FALSE)</f>
        <v>25391</v>
      </c>
      <c r="E131" s="3" t="str">
        <f>VLOOKUP(B131,'Data availability'!$A$2:$H$91,8,FALSE)</f>
        <v>Office</v>
      </c>
      <c r="F131" s="1" t="e">
        <f>N$123*VLOOKUP($A131,'Campus Totals'!$A$36:$B$47,2,FALSE)</f>
        <v>#N/A</v>
      </c>
      <c r="G131" s="3"/>
      <c r="H131" s="1">
        <f>P$123*VLOOKUP(A131,'Campus Totals'!$A$36:$D$47,4,FALSE)</f>
        <v>5806.614076190298</v>
      </c>
      <c r="I131" s="1" t="e">
        <f>Q$123*VLOOKUP($A131,'Campus Totals'!$A$36:$E$47,5,FALSE)</f>
        <v>#N/A</v>
      </c>
      <c r="J131" s="3"/>
      <c r="K131" s="3"/>
      <c r="L131" s="1"/>
      <c r="M131" s="1"/>
      <c r="N131" s="1"/>
      <c r="O131" s="1"/>
      <c r="P131" s="1"/>
      <c r="Q131" s="1"/>
      <c r="R131" s="1"/>
    </row>
    <row r="132" spans="1:18" x14ac:dyDescent="0.3">
      <c r="A132" s="3">
        <v>10</v>
      </c>
      <c r="B132" s="3" t="s">
        <v>421</v>
      </c>
      <c r="C132" s="3" t="str">
        <f>VLOOKUP(B132,'Data availability'!$A$2:$B$91,2,FALSE)</f>
        <v>Main campus</v>
      </c>
      <c r="D132" s="3">
        <f>VLOOKUP(B132,'Data availability'!$A$2:$G$91,7,FALSE)</f>
        <v>25391</v>
      </c>
      <c r="E132" s="3" t="str">
        <f>VLOOKUP(B132,'Data availability'!$A$2:$H$91,8,FALSE)</f>
        <v>Office</v>
      </c>
      <c r="F132" s="1" t="e">
        <f>N$123*VLOOKUP($A132,'Campus Totals'!$A$36:$B$47,2,FALSE)</f>
        <v>#N/A</v>
      </c>
      <c r="G132" s="3"/>
      <c r="H132" s="1">
        <f>P$123*VLOOKUP(A132,'Campus Totals'!$A$36:$D$47,4,FALSE)</f>
        <v>3085.6088827982776</v>
      </c>
      <c r="I132" s="1" t="e">
        <f>Q$123*VLOOKUP($A132,'Campus Totals'!$A$36:$E$47,5,FALSE)</f>
        <v>#N/A</v>
      </c>
      <c r="J132" s="3"/>
      <c r="K132" s="3"/>
      <c r="L132" s="1"/>
      <c r="M132" s="1"/>
      <c r="N132" s="1"/>
      <c r="O132" s="1"/>
      <c r="P132" s="1"/>
      <c r="Q132" s="1"/>
      <c r="R132" s="1"/>
    </row>
    <row r="133" spans="1:18" x14ac:dyDescent="0.3">
      <c r="A133" s="3">
        <v>11</v>
      </c>
      <c r="B133" s="3" t="s">
        <v>421</v>
      </c>
      <c r="C133" s="3" t="str">
        <f>VLOOKUP(B133,'Data availability'!$A$2:$B$91,2,FALSE)</f>
        <v>Main campus</v>
      </c>
      <c r="D133" s="3">
        <f>VLOOKUP(B133,'Data availability'!$A$2:$G$91,7,FALSE)</f>
        <v>25391</v>
      </c>
      <c r="E133" s="3" t="str">
        <f>VLOOKUP(B133,'Data availability'!$A$2:$H$91,8,FALSE)</f>
        <v>Office</v>
      </c>
      <c r="F133" s="1" t="e">
        <f>N$123*VLOOKUP($A133,'Campus Totals'!$A$36:$B$47,2,FALSE)</f>
        <v>#N/A</v>
      </c>
      <c r="G133" s="3"/>
      <c r="H133" s="1">
        <f>P$123*VLOOKUP(A133,'Campus Totals'!$A$36:$D$47,4,FALSE)</f>
        <v>2467.9062955308505</v>
      </c>
      <c r="I133" s="1" t="e">
        <f>Q$123*VLOOKUP($A133,'Campus Totals'!$A$36:$E$47,5,FALSE)</f>
        <v>#N/A</v>
      </c>
      <c r="J133" s="3"/>
      <c r="K133" s="3"/>
      <c r="L133" s="1"/>
      <c r="M133" s="1"/>
      <c r="N133" s="1"/>
      <c r="O133" s="1"/>
      <c r="P133" s="1"/>
      <c r="Q133" s="1"/>
      <c r="R133" s="1"/>
    </row>
    <row r="134" spans="1:18" x14ac:dyDescent="0.3">
      <c r="A134" s="3">
        <v>12</v>
      </c>
      <c r="B134" s="3" t="s">
        <v>421</v>
      </c>
      <c r="C134" s="3" t="str">
        <f>VLOOKUP(B134,'Data availability'!$A$2:$B$91,2,FALSE)</f>
        <v>Main campus</v>
      </c>
      <c r="D134" s="3">
        <f>VLOOKUP(B134,'Data availability'!$A$2:$G$91,7,FALSE)</f>
        <v>25391</v>
      </c>
      <c r="E134" s="3" t="str">
        <f>VLOOKUP(B134,'Data availability'!$A$2:$H$91,8,FALSE)</f>
        <v>Office</v>
      </c>
      <c r="F134" s="1" t="e">
        <f>N$123*VLOOKUP($A134,'Campus Totals'!$A$36:$B$47,2,FALSE)</f>
        <v>#N/A</v>
      </c>
      <c r="G134" s="3"/>
      <c r="H134" s="1">
        <f>P$123*VLOOKUP(A134,'Campus Totals'!$A$36:$D$47,4,FALSE)</f>
        <v>2567.5849761347695</v>
      </c>
      <c r="I134" s="1" t="e">
        <f>Q$123*VLOOKUP($A134,'Campus Totals'!$A$36:$E$47,5,FALSE)</f>
        <v>#N/A</v>
      </c>
      <c r="J134" s="3"/>
      <c r="K134" s="3"/>
      <c r="L134" s="1"/>
      <c r="M134" s="1"/>
      <c r="N134" s="1"/>
      <c r="O134" s="1"/>
      <c r="P134" s="1"/>
      <c r="Q134" s="1"/>
      <c r="R134" s="1"/>
    </row>
  </sheetData>
  <autoFilter ref="A2:Q2" xr:uid="{D5A92A02-B4CA-4694-813F-DE686360E94E}"/>
  <mergeCells count="4">
    <mergeCell ref="F1:I1"/>
    <mergeCell ref="J1:M1"/>
    <mergeCell ref="N1:Q1"/>
    <mergeCell ref="R1:U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674"/>
  <sheetViews>
    <sheetView zoomScaleNormal="100" workbookViewId="0">
      <pane xSplit="2" ySplit="2" topLeftCell="C309" activePane="bottomRight" state="frozen"/>
      <selection pane="topRight" activeCell="C1" sqref="C1"/>
      <selection pane="bottomLeft" activeCell="A3" sqref="A3"/>
      <selection pane="bottomRight" activeCell="F334" sqref="F334"/>
    </sheetView>
  </sheetViews>
  <sheetFormatPr defaultRowHeight="14.4" x14ac:dyDescent="0.3"/>
  <cols>
    <col min="1" max="1" width="19.77734375" style="3" customWidth="1"/>
    <col min="2" max="2" width="36.44140625" style="3" customWidth="1"/>
    <col min="3" max="3" width="15.77734375" style="3" customWidth="1"/>
    <col min="4" max="4" width="25.109375" style="3" customWidth="1"/>
    <col min="5" max="5" width="30.109375" style="1" customWidth="1"/>
    <col min="6" max="6" width="24.88671875" style="1" customWidth="1"/>
    <col min="7" max="7" width="19" style="1" customWidth="1"/>
    <col min="8" max="8" width="15.77734375" style="1" customWidth="1"/>
    <col min="9" max="9" width="24.21875" style="1" customWidth="1"/>
    <col min="10" max="10" width="31.109375" style="23" customWidth="1"/>
    <col min="11" max="11" width="26.21875" style="1" customWidth="1"/>
    <col min="12" max="12" width="21.6640625" style="1" customWidth="1"/>
    <col min="13" max="13" width="24.33203125" style="1" customWidth="1"/>
    <col min="14" max="14" width="32.44140625" style="1" customWidth="1"/>
    <col min="15" max="15" width="20.44140625" style="1" customWidth="1"/>
    <col min="16" max="16" width="32.44140625" style="33" customWidth="1"/>
    <col min="17" max="17" width="56.77734375" style="1" customWidth="1"/>
    <col min="18" max="18" width="83.77734375" style="23" customWidth="1"/>
    <col min="19" max="19" width="22.33203125" customWidth="1"/>
    <col min="20" max="40" width="15.77734375" customWidth="1"/>
    <col min="41" max="41" width="23" customWidth="1"/>
    <col min="42" max="132" width="15.77734375" customWidth="1"/>
  </cols>
  <sheetData>
    <row r="1" spans="1:131" s="96" customFormat="1" ht="26.4" thickBot="1" x14ac:dyDescent="0.55000000000000004">
      <c r="A1" s="305" t="s">
        <v>360</v>
      </c>
      <c r="B1" s="306"/>
      <c r="C1" s="306"/>
      <c r="D1" s="306"/>
      <c r="E1" s="306"/>
      <c r="F1" s="306"/>
      <c r="G1" s="306"/>
      <c r="H1" s="306"/>
      <c r="I1" s="306"/>
      <c r="J1" s="307"/>
      <c r="K1" s="305" t="s">
        <v>330</v>
      </c>
      <c r="L1" s="306"/>
      <c r="M1" s="306"/>
      <c r="N1" s="306"/>
      <c r="O1" s="306"/>
      <c r="P1" s="307"/>
      <c r="R1" s="97"/>
    </row>
    <row r="2" spans="1:131" s="95" customFormat="1" ht="30.6" customHeight="1" x14ac:dyDescent="0.3">
      <c r="A2" s="87" t="s">
        <v>0</v>
      </c>
      <c r="B2" s="87" t="s">
        <v>1</v>
      </c>
      <c r="C2" s="88" t="s">
        <v>2</v>
      </c>
      <c r="D2" s="87" t="s">
        <v>3</v>
      </c>
      <c r="E2" s="87" t="s">
        <v>4</v>
      </c>
      <c r="F2" s="87" t="s">
        <v>5</v>
      </c>
      <c r="G2" s="87" t="s">
        <v>6</v>
      </c>
      <c r="H2" s="87" t="s">
        <v>7</v>
      </c>
      <c r="I2" s="87" t="s">
        <v>8</v>
      </c>
      <c r="J2" s="89" t="s">
        <v>31</v>
      </c>
      <c r="K2" s="90" t="s">
        <v>331</v>
      </c>
      <c r="L2" s="91" t="s">
        <v>332</v>
      </c>
      <c r="M2" s="91" t="s">
        <v>333</v>
      </c>
      <c r="N2" s="91" t="s">
        <v>334</v>
      </c>
      <c r="O2" s="92" t="s">
        <v>337</v>
      </c>
      <c r="P2" s="93" t="s">
        <v>335</v>
      </c>
      <c r="Q2" s="94" t="s">
        <v>191</v>
      </c>
      <c r="R2" s="91" t="s">
        <v>329</v>
      </c>
      <c r="S2" s="94" t="s">
        <v>9</v>
      </c>
      <c r="T2" s="87" t="s">
        <v>10</v>
      </c>
      <c r="U2" s="87" t="s">
        <v>11</v>
      </c>
      <c r="V2" s="87" t="s">
        <v>12</v>
      </c>
      <c r="W2" s="87" t="s">
        <v>13</v>
      </c>
      <c r="X2" s="87" t="s">
        <v>14</v>
      </c>
      <c r="Y2" s="87" t="s">
        <v>15</v>
      </c>
      <c r="Z2" s="87" t="s">
        <v>16</v>
      </c>
      <c r="AA2" s="87" t="s">
        <v>17</v>
      </c>
      <c r="AB2" s="87" t="s">
        <v>18</v>
      </c>
      <c r="AC2" s="87" t="s">
        <v>19</v>
      </c>
      <c r="AD2" s="87" t="s">
        <v>20</v>
      </c>
      <c r="AE2" s="87" t="s">
        <v>21</v>
      </c>
      <c r="AF2" s="87" t="s">
        <v>22</v>
      </c>
      <c r="AG2" s="87" t="s">
        <v>23</v>
      </c>
      <c r="AH2" s="87" t="s">
        <v>24</v>
      </c>
      <c r="AI2" s="87" t="s">
        <v>25</v>
      </c>
      <c r="AJ2" s="87" t="s">
        <v>26</v>
      </c>
      <c r="AK2" s="87" t="s">
        <v>27</v>
      </c>
      <c r="AL2" s="87" t="s">
        <v>28</v>
      </c>
      <c r="AM2" s="87" t="s">
        <v>29</v>
      </c>
      <c r="AN2" s="87" t="s">
        <v>30</v>
      </c>
      <c r="AP2" s="87" t="s">
        <v>32</v>
      </c>
      <c r="AQ2" s="87" t="s">
        <v>33</v>
      </c>
      <c r="AR2" s="87" t="s">
        <v>34</v>
      </c>
      <c r="AS2" s="87" t="s">
        <v>35</v>
      </c>
      <c r="AT2" s="87" t="s">
        <v>36</v>
      </c>
      <c r="AU2" s="87" t="s">
        <v>37</v>
      </c>
      <c r="AV2" s="87" t="s">
        <v>38</v>
      </c>
      <c r="AW2" s="87" t="s">
        <v>39</v>
      </c>
      <c r="AX2" s="87" t="s">
        <v>40</v>
      </c>
      <c r="AY2" s="87" t="s">
        <v>41</v>
      </c>
      <c r="AZ2" s="87" t="s">
        <v>42</v>
      </c>
      <c r="BA2" s="87" t="s">
        <v>43</v>
      </c>
      <c r="BB2" s="87" t="s">
        <v>44</v>
      </c>
      <c r="BC2" s="87" t="s">
        <v>45</v>
      </c>
      <c r="BD2" s="87" t="s">
        <v>46</v>
      </c>
      <c r="BE2" s="87" t="s">
        <v>47</v>
      </c>
      <c r="BF2" s="87" t="s">
        <v>48</v>
      </c>
      <c r="BG2" s="87" t="s">
        <v>49</v>
      </c>
      <c r="BH2" s="87" t="s">
        <v>50</v>
      </c>
      <c r="BI2" s="87" t="s">
        <v>51</v>
      </c>
      <c r="BJ2" s="87" t="s">
        <v>52</v>
      </c>
      <c r="BK2" s="87" t="s">
        <v>53</v>
      </c>
      <c r="BL2" s="87" t="s">
        <v>54</v>
      </c>
      <c r="BM2" s="87" t="s">
        <v>55</v>
      </c>
      <c r="BN2" s="87" t="s">
        <v>56</v>
      </c>
      <c r="BO2" s="87" t="s">
        <v>57</v>
      </c>
      <c r="BP2" s="87" t="s">
        <v>58</v>
      </c>
      <c r="BQ2" s="87" t="s">
        <v>59</v>
      </c>
      <c r="BR2" s="87" t="s">
        <v>60</v>
      </c>
      <c r="BS2" s="87" t="s">
        <v>61</v>
      </c>
      <c r="BT2" s="87" t="s">
        <v>62</v>
      </c>
      <c r="BU2" s="87" t="s">
        <v>63</v>
      </c>
      <c r="BV2" s="87" t="s">
        <v>64</v>
      </c>
      <c r="BW2" s="87" t="s">
        <v>65</v>
      </c>
      <c r="BX2" s="87" t="s">
        <v>66</v>
      </c>
      <c r="BY2" s="87" t="s">
        <v>67</v>
      </c>
      <c r="BZ2" s="87" t="s">
        <v>68</v>
      </c>
      <c r="CA2" s="87" t="s">
        <v>69</v>
      </c>
      <c r="CB2" s="87" t="s">
        <v>70</v>
      </c>
      <c r="CC2" s="87" t="s">
        <v>71</v>
      </c>
      <c r="CD2" s="87" t="s">
        <v>72</v>
      </c>
      <c r="CE2" s="87" t="s">
        <v>73</v>
      </c>
      <c r="CF2" s="87" t="s">
        <v>74</v>
      </c>
      <c r="CG2" s="87" t="s">
        <v>75</v>
      </c>
      <c r="CH2" s="87" t="s">
        <v>76</v>
      </c>
      <c r="CI2" s="87" t="s">
        <v>77</v>
      </c>
      <c r="CJ2" s="87" t="s">
        <v>78</v>
      </c>
      <c r="CK2" s="87" t="s">
        <v>79</v>
      </c>
      <c r="CL2" s="87" t="s">
        <v>80</v>
      </c>
      <c r="CM2" s="87" t="s">
        <v>81</v>
      </c>
      <c r="CN2" s="87" t="s">
        <v>82</v>
      </c>
      <c r="CO2" s="87" t="s">
        <v>83</v>
      </c>
      <c r="CP2" s="87" t="s">
        <v>84</v>
      </c>
      <c r="CQ2" s="87" t="s">
        <v>85</v>
      </c>
      <c r="CR2" s="87" t="s">
        <v>86</v>
      </c>
      <c r="CS2" s="87" t="s">
        <v>87</v>
      </c>
      <c r="CT2" s="87" t="s">
        <v>88</v>
      </c>
      <c r="CU2" s="87" t="s">
        <v>89</v>
      </c>
      <c r="CV2" s="87" t="s">
        <v>90</v>
      </c>
      <c r="CW2" s="87" t="s">
        <v>91</v>
      </c>
      <c r="CX2" s="87" t="s">
        <v>92</v>
      </c>
      <c r="CY2" s="87" t="s">
        <v>93</v>
      </c>
      <c r="CZ2" s="87" t="s">
        <v>94</v>
      </c>
      <c r="DA2" s="87" t="s">
        <v>95</v>
      </c>
      <c r="DB2" s="87" t="s">
        <v>96</v>
      </c>
      <c r="DC2" s="87" t="s">
        <v>97</v>
      </c>
      <c r="DD2" s="87" t="s">
        <v>98</v>
      </c>
      <c r="DE2" s="87" t="s">
        <v>99</v>
      </c>
      <c r="DF2" s="87" t="s">
        <v>100</v>
      </c>
      <c r="DG2" s="87" t="s">
        <v>101</v>
      </c>
      <c r="DH2" s="87" t="s">
        <v>102</v>
      </c>
      <c r="DI2" s="87" t="s">
        <v>103</v>
      </c>
      <c r="DJ2" s="87" t="s">
        <v>104</v>
      </c>
      <c r="DK2" s="87" t="s">
        <v>105</v>
      </c>
      <c r="DL2" s="87" t="s">
        <v>106</v>
      </c>
      <c r="DM2" s="87" t="s">
        <v>107</v>
      </c>
      <c r="DN2" s="87" t="s">
        <v>108</v>
      </c>
      <c r="DO2" s="87" t="s">
        <v>109</v>
      </c>
      <c r="DP2" s="87" t="s">
        <v>110</v>
      </c>
      <c r="DQ2" s="87" t="s">
        <v>111</v>
      </c>
      <c r="DR2" s="87" t="s">
        <v>112</v>
      </c>
      <c r="DS2" s="87" t="s">
        <v>113</v>
      </c>
      <c r="DT2" s="87" t="s">
        <v>114</v>
      </c>
      <c r="DU2" s="87" t="s">
        <v>115</v>
      </c>
      <c r="DV2" s="87" t="s">
        <v>116</v>
      </c>
      <c r="DW2" s="87" t="s">
        <v>117</v>
      </c>
      <c r="DX2" s="87" t="s">
        <v>118</v>
      </c>
      <c r="DY2" s="87" t="s">
        <v>119</v>
      </c>
      <c r="DZ2" s="87" t="s">
        <v>120</v>
      </c>
      <c r="EA2" s="87" t="s">
        <v>121</v>
      </c>
    </row>
    <row r="3" spans="1:131" x14ac:dyDescent="0.3">
      <c r="A3" s="2">
        <v>44927</v>
      </c>
      <c r="B3" s="3" t="s">
        <v>122</v>
      </c>
      <c r="C3" s="3">
        <v>39323</v>
      </c>
      <c r="D3" s="3" t="s">
        <v>123</v>
      </c>
      <c r="F3" s="1">
        <f>395.1*1000</f>
        <v>395100</v>
      </c>
      <c r="K3" s="1">
        <f>(SUM(E3:E14)*3.412)/C3</f>
        <v>0</v>
      </c>
      <c r="P3" s="33">
        <f>SUM(K3:N3)</f>
        <v>0</v>
      </c>
      <c r="Q3" s="10" t="s">
        <v>248</v>
      </c>
    </row>
    <row r="4" spans="1:131" x14ac:dyDescent="0.3">
      <c r="A4" s="2">
        <v>44958</v>
      </c>
      <c r="B4" s="3" t="s">
        <v>122</v>
      </c>
      <c r="C4" s="3">
        <v>39323</v>
      </c>
      <c r="D4" s="3" t="s">
        <v>123</v>
      </c>
    </row>
    <row r="5" spans="1:131" x14ac:dyDescent="0.3">
      <c r="A5" s="2">
        <v>44986</v>
      </c>
      <c r="B5" s="3" t="s">
        <v>122</v>
      </c>
      <c r="C5" s="3">
        <v>39323</v>
      </c>
      <c r="D5" s="3" t="s">
        <v>123</v>
      </c>
      <c r="F5" s="1">
        <f>406.33*1000</f>
        <v>406330</v>
      </c>
    </row>
    <row r="6" spans="1:131" x14ac:dyDescent="0.3">
      <c r="A6" s="2">
        <v>45017</v>
      </c>
      <c r="B6" s="3" t="s">
        <v>122</v>
      </c>
      <c r="C6" s="3">
        <v>39323</v>
      </c>
      <c r="D6" s="3" t="s">
        <v>123</v>
      </c>
      <c r="F6" s="1">
        <f>416.98*1000</f>
        <v>416980</v>
      </c>
    </row>
    <row r="7" spans="1:131" x14ac:dyDescent="0.3">
      <c r="A7" s="2">
        <v>45047</v>
      </c>
      <c r="B7" s="3" t="s">
        <v>122</v>
      </c>
      <c r="C7" s="3">
        <v>39323</v>
      </c>
      <c r="D7" s="3" t="s">
        <v>123</v>
      </c>
      <c r="F7" s="1">
        <f>426.52*1000</f>
        <v>426520</v>
      </c>
    </row>
    <row r="8" spans="1:131" x14ac:dyDescent="0.3">
      <c r="A8" s="2">
        <v>45078</v>
      </c>
      <c r="B8" s="3" t="s">
        <v>122</v>
      </c>
      <c r="C8" s="3">
        <v>39323</v>
      </c>
      <c r="D8" s="3" t="s">
        <v>123</v>
      </c>
      <c r="F8" s="1">
        <v>326470</v>
      </c>
    </row>
    <row r="9" spans="1:131" x14ac:dyDescent="0.3">
      <c r="A9" s="2">
        <v>45108</v>
      </c>
      <c r="B9" s="3" t="s">
        <v>122</v>
      </c>
      <c r="C9" s="3">
        <v>39323</v>
      </c>
      <c r="D9" s="3" t="s">
        <v>123</v>
      </c>
      <c r="F9" s="1">
        <f>333.33*1000</f>
        <v>333330</v>
      </c>
    </row>
    <row r="10" spans="1:131" x14ac:dyDescent="0.3">
      <c r="A10" s="2">
        <v>45139</v>
      </c>
      <c r="B10" s="3" t="s">
        <v>122</v>
      </c>
      <c r="C10" s="3">
        <v>39323</v>
      </c>
      <c r="D10" s="3" t="s">
        <v>123</v>
      </c>
      <c r="F10" s="1">
        <f>345.64*1000</f>
        <v>345640</v>
      </c>
    </row>
    <row r="11" spans="1:131" x14ac:dyDescent="0.3">
      <c r="A11" s="2">
        <v>45170</v>
      </c>
      <c r="B11" s="3" t="s">
        <v>122</v>
      </c>
      <c r="C11" s="3">
        <v>39323</v>
      </c>
      <c r="D11" s="3" t="s">
        <v>123</v>
      </c>
      <c r="F11" s="1">
        <f>354.47*1000</f>
        <v>354470</v>
      </c>
    </row>
    <row r="12" spans="1:131" x14ac:dyDescent="0.3">
      <c r="A12" s="2">
        <v>45200</v>
      </c>
      <c r="B12" s="3" t="s">
        <v>122</v>
      </c>
      <c r="C12" s="3">
        <v>39323</v>
      </c>
      <c r="D12" s="3" t="s">
        <v>123</v>
      </c>
      <c r="F12" s="1">
        <f>364.25*1000</f>
        <v>364250</v>
      </c>
    </row>
    <row r="13" spans="1:131" x14ac:dyDescent="0.3">
      <c r="A13" s="2">
        <v>45231</v>
      </c>
      <c r="B13" s="3" t="s">
        <v>122</v>
      </c>
      <c r="C13" s="3">
        <v>39323</v>
      </c>
      <c r="D13" s="3" t="s">
        <v>123</v>
      </c>
      <c r="F13" s="1">
        <f>374.91*1000</f>
        <v>374910</v>
      </c>
    </row>
    <row r="14" spans="1:131" x14ac:dyDescent="0.3">
      <c r="A14" s="2">
        <v>45261</v>
      </c>
      <c r="B14" s="3" t="s">
        <v>122</v>
      </c>
      <c r="C14" s="3">
        <v>39323</v>
      </c>
      <c r="D14" s="3" t="s">
        <v>123</v>
      </c>
      <c r="F14" s="1">
        <f>383.78*1000</f>
        <v>383780</v>
      </c>
    </row>
    <row r="15" spans="1:131" s="15" customFormat="1" x14ac:dyDescent="0.3">
      <c r="A15" s="38">
        <v>44927</v>
      </c>
      <c r="B15" s="22" t="s">
        <v>124</v>
      </c>
      <c r="C15" s="22">
        <v>7934</v>
      </c>
      <c r="D15" s="22" t="s">
        <v>125</v>
      </c>
      <c r="E15" s="21">
        <v>3966.5323010753482</v>
      </c>
      <c r="F15" s="21"/>
      <c r="G15" s="21">
        <v>498.32903225807092</v>
      </c>
      <c r="H15" s="21"/>
      <c r="I15" s="21"/>
      <c r="J15" s="20"/>
      <c r="K15" s="21">
        <f>(SUM(E15:E26)*3.412)/C15</f>
        <v>23.774822880766386</v>
      </c>
      <c r="L15" s="21">
        <f>(SUM(G15:G26)*100)/C15</f>
        <v>47.339603452622192</v>
      </c>
      <c r="M15" s="21"/>
      <c r="N15" s="21"/>
      <c r="O15" s="21"/>
      <c r="P15" s="34">
        <f>SUM(K15:N15)</f>
        <v>71.114426333388579</v>
      </c>
      <c r="Q15" s="19" t="s">
        <v>249</v>
      </c>
      <c r="R15" s="20"/>
      <c r="S15" s="15">
        <v>1.6908920106370791</v>
      </c>
      <c r="T15" s="15">
        <v>1.6722776910625721</v>
      </c>
    </row>
    <row r="16" spans="1:131" x14ac:dyDescent="0.3">
      <c r="A16" s="2">
        <v>44958</v>
      </c>
      <c r="B16" s="3" t="s">
        <v>124</v>
      </c>
      <c r="C16" s="3">
        <v>7934</v>
      </c>
      <c r="D16" s="3" t="s">
        <v>125</v>
      </c>
      <c r="E16" s="1">
        <v>3921.313032258091</v>
      </c>
      <c r="G16" s="1">
        <v>686.27096774193353</v>
      </c>
      <c r="Q16" s="10" t="s">
        <v>250</v>
      </c>
      <c r="S16">
        <v>1.8690084485407179</v>
      </c>
      <c r="T16">
        <v>2.4885387864823101</v>
      </c>
    </row>
    <row r="17" spans="1:20" x14ac:dyDescent="0.3">
      <c r="A17" s="2">
        <v>44986</v>
      </c>
      <c r="B17" s="3" t="s">
        <v>124</v>
      </c>
      <c r="C17" s="3">
        <v>7934</v>
      </c>
      <c r="D17" s="3" t="s">
        <v>125</v>
      </c>
      <c r="E17" s="1">
        <v>5039.4881151079207</v>
      </c>
      <c r="G17" s="1">
        <v>1198.4633093525131</v>
      </c>
      <c r="S17">
        <v>2.2160740339087912</v>
      </c>
      <c r="T17">
        <v>3.0538176747968948</v>
      </c>
    </row>
    <row r="18" spans="1:20" x14ac:dyDescent="0.3">
      <c r="A18" s="2">
        <v>45017</v>
      </c>
      <c r="B18" s="3" t="s">
        <v>124</v>
      </c>
      <c r="C18" s="3">
        <v>7934</v>
      </c>
      <c r="D18" s="3" t="s">
        <v>125</v>
      </c>
      <c r="E18" s="1">
        <v>5100.3228848921026</v>
      </c>
      <c r="G18" s="1">
        <v>354.01169064748558</v>
      </c>
      <c r="S18">
        <v>2.3275449552857368</v>
      </c>
      <c r="T18">
        <v>0.78610203836929304</v>
      </c>
    </row>
    <row r="19" spans="1:20" x14ac:dyDescent="0.3">
      <c r="A19" s="2">
        <v>45047</v>
      </c>
      <c r="B19" s="3" t="s">
        <v>124</v>
      </c>
      <c r="C19" s="3">
        <v>7934</v>
      </c>
      <c r="D19" s="3" t="s">
        <v>125</v>
      </c>
      <c r="E19" s="1">
        <v>5033.0050000000228</v>
      </c>
      <c r="G19" s="1">
        <v>100.3830645161281</v>
      </c>
      <c r="S19">
        <v>2.262771897401413</v>
      </c>
      <c r="T19">
        <v>0.2245907041276452</v>
      </c>
    </row>
    <row r="20" spans="1:20" x14ac:dyDescent="0.3">
      <c r="A20" s="2">
        <v>45078</v>
      </c>
      <c r="B20" s="3" t="s">
        <v>124</v>
      </c>
      <c r="C20" s="3">
        <v>7934</v>
      </c>
      <c r="D20" s="3" t="s">
        <v>125</v>
      </c>
      <c r="E20" s="1">
        <v>4577.4180645161132</v>
      </c>
      <c r="G20" s="1">
        <v>26.129032258065369</v>
      </c>
      <c r="S20">
        <v>2.315894190561512</v>
      </c>
      <c r="T20">
        <v>0.1097580645161296</v>
      </c>
    </row>
    <row r="21" spans="1:20" x14ac:dyDescent="0.3">
      <c r="A21" s="2">
        <v>45108</v>
      </c>
      <c r="B21" s="3" t="s">
        <v>124</v>
      </c>
      <c r="C21" s="3">
        <v>7934</v>
      </c>
      <c r="D21" s="3" t="s">
        <v>125</v>
      </c>
      <c r="E21" s="1">
        <v>5602.0296774192921</v>
      </c>
      <c r="G21" s="1">
        <v>12.90322580645158</v>
      </c>
      <c r="S21">
        <v>2.8838185050295091</v>
      </c>
      <c r="T21">
        <v>9.031044051335288E-2</v>
      </c>
    </row>
    <row r="22" spans="1:20" x14ac:dyDescent="0.3">
      <c r="A22" s="2">
        <v>45139</v>
      </c>
      <c r="B22" s="3" t="s">
        <v>124</v>
      </c>
      <c r="C22" s="3">
        <v>7934</v>
      </c>
      <c r="D22" s="3" t="s">
        <v>125</v>
      </c>
      <c r="E22" s="1">
        <v>6189.0655913979608</v>
      </c>
      <c r="G22" s="1">
        <v>5.1096774193548384</v>
      </c>
      <c r="S22">
        <v>3.2061001994450349</v>
      </c>
      <c r="T22">
        <v>7.8300728407909151E-2</v>
      </c>
    </row>
    <row r="23" spans="1:20" x14ac:dyDescent="0.3">
      <c r="A23" s="2">
        <v>45170</v>
      </c>
      <c r="B23" s="3" t="s">
        <v>124</v>
      </c>
      <c r="C23" s="3">
        <v>7934</v>
      </c>
      <c r="D23" s="3" t="s">
        <v>125</v>
      </c>
      <c r="E23" s="1">
        <v>5033.3399999999338</v>
      </c>
      <c r="G23" s="1">
        <v>63.800000000000402</v>
      </c>
      <c r="S23">
        <v>2.6885671296296141</v>
      </c>
      <c r="T23">
        <v>0.20020277777777709</v>
      </c>
    </row>
    <row r="24" spans="1:20" x14ac:dyDescent="0.3">
      <c r="A24" s="2">
        <v>45200</v>
      </c>
      <c r="B24" s="3" t="s">
        <v>124</v>
      </c>
      <c r="C24" s="3">
        <v>7934</v>
      </c>
      <c r="D24" s="3" t="s">
        <v>125</v>
      </c>
      <c r="E24" s="1">
        <v>4253.5916599552475</v>
      </c>
      <c r="G24" s="1">
        <v>102.34646324549411</v>
      </c>
      <c r="S24">
        <v>2.0490494274854889</v>
      </c>
      <c r="T24">
        <v>0.29300563733166468</v>
      </c>
    </row>
    <row r="25" spans="1:20" x14ac:dyDescent="0.3">
      <c r="A25" s="2">
        <v>45231</v>
      </c>
      <c r="B25" s="3" t="s">
        <v>124</v>
      </c>
      <c r="C25" s="3">
        <v>7934</v>
      </c>
      <c r="D25" s="3" t="s">
        <v>125</v>
      </c>
      <c r="E25" s="1">
        <v>3787.0040389695009</v>
      </c>
      <c r="G25" s="1">
        <v>411.80837546419127</v>
      </c>
      <c r="S25">
        <v>1.8506841157505509</v>
      </c>
      <c r="T25">
        <v>1.135046932154367</v>
      </c>
    </row>
    <row r="26" spans="1:20" x14ac:dyDescent="0.3">
      <c r="A26" s="2">
        <v>45261</v>
      </c>
      <c r="B26" s="3" t="s">
        <v>124</v>
      </c>
      <c r="C26" s="3">
        <v>7934</v>
      </c>
      <c r="D26" s="3" t="s">
        <v>125</v>
      </c>
      <c r="E26" s="1">
        <v>2781.017634408624</v>
      </c>
      <c r="G26" s="1">
        <v>296.36929922135653</v>
      </c>
      <c r="S26">
        <v>1.359483394034011</v>
      </c>
      <c r="T26">
        <v>0.86428939861495002</v>
      </c>
    </row>
    <row r="27" spans="1:20" s="15" customFormat="1" x14ac:dyDescent="0.3">
      <c r="A27" s="38">
        <v>44927</v>
      </c>
      <c r="B27" s="22" t="s">
        <v>126</v>
      </c>
      <c r="C27" s="22">
        <v>85419</v>
      </c>
      <c r="D27" s="22" t="s">
        <v>127</v>
      </c>
      <c r="E27" s="21">
        <v>98751.931034484427</v>
      </c>
      <c r="F27" s="21"/>
      <c r="G27" s="16">
        <v>0</v>
      </c>
      <c r="H27" s="21">
        <v>7115.6209590516464</v>
      </c>
      <c r="I27" s="21">
        <v>12217.28192046085</v>
      </c>
      <c r="J27" s="20"/>
      <c r="K27" s="21">
        <f>(SUM(E27:E38)*3.412)/C27</f>
        <v>34.344451700360857</v>
      </c>
      <c r="L27" s="21">
        <f>(SUM(G27:G38)*100)/C27</f>
        <v>6.1174343307727882E-3</v>
      </c>
      <c r="M27" s="21">
        <f>(SUM(H27:H38)*100)/C27</f>
        <v>47.263051321356542</v>
      </c>
      <c r="N27" s="21">
        <f>(SUM(I27:I38)*12)/C27</f>
        <v>20.744690783036887</v>
      </c>
      <c r="O27" s="21"/>
      <c r="P27" s="34">
        <f>SUM(K27:N27)</f>
        <v>102.35831123908507</v>
      </c>
      <c r="Q27" s="19" t="s">
        <v>252</v>
      </c>
      <c r="R27" s="20"/>
    </row>
    <row r="28" spans="1:20" x14ac:dyDescent="0.3">
      <c r="A28" s="2">
        <v>44958</v>
      </c>
      <c r="B28" s="3" t="s">
        <v>126</v>
      </c>
      <c r="C28" s="3">
        <v>85419</v>
      </c>
      <c r="D28" s="3" t="s">
        <v>127</v>
      </c>
      <c r="E28" s="1">
        <v>96351.999999999389</v>
      </c>
      <c r="G28" s="9">
        <v>0</v>
      </c>
      <c r="H28" s="1">
        <v>6500.3515624999736</v>
      </c>
      <c r="I28" s="1">
        <v>11536.322382812599</v>
      </c>
      <c r="Q28" s="10" t="s">
        <v>253</v>
      </c>
    </row>
    <row r="29" spans="1:20" x14ac:dyDescent="0.3">
      <c r="A29" s="2">
        <v>44986</v>
      </c>
      <c r="B29" s="3" t="s">
        <v>126</v>
      </c>
      <c r="C29" s="3">
        <v>85419</v>
      </c>
      <c r="D29" s="3" t="s">
        <v>127</v>
      </c>
      <c r="E29" s="1">
        <v>101252.3015170677</v>
      </c>
      <c r="G29" s="9">
        <v>0</v>
      </c>
      <c r="H29" s="1">
        <v>7061.4280282079062</v>
      </c>
      <c r="I29" s="1">
        <v>13805.684766723891</v>
      </c>
      <c r="Q29" s="10" t="s">
        <v>254</v>
      </c>
    </row>
    <row r="30" spans="1:20" x14ac:dyDescent="0.3">
      <c r="A30" s="2">
        <v>45017</v>
      </c>
      <c r="B30" s="3" t="s">
        <v>126</v>
      </c>
      <c r="C30" s="3">
        <v>85419</v>
      </c>
      <c r="D30" s="3" t="s">
        <v>127</v>
      </c>
      <c r="E30" s="1">
        <v>94623.698482934138</v>
      </c>
      <c r="G30" s="9">
        <v>1.0424536466598511</v>
      </c>
      <c r="H30" s="1">
        <v>5075.2125967921274</v>
      </c>
      <c r="I30" s="1">
        <v>15674.662664916659</v>
      </c>
      <c r="Q30" s="10" t="s">
        <v>251</v>
      </c>
    </row>
    <row r="31" spans="1:20" x14ac:dyDescent="0.3">
      <c r="A31" s="2">
        <v>45047</v>
      </c>
      <c r="B31" s="3" t="s">
        <v>126</v>
      </c>
      <c r="C31" s="3">
        <v>85419</v>
      </c>
      <c r="D31" s="3" t="s">
        <v>127</v>
      </c>
      <c r="E31" s="1">
        <v>94567.000000001324</v>
      </c>
      <c r="G31" s="9">
        <v>0</v>
      </c>
      <c r="H31" s="1">
        <v>3585.117187500025</v>
      </c>
      <c r="I31" s="1">
        <v>16223.39075195338</v>
      </c>
    </row>
    <row r="32" spans="1:20" x14ac:dyDescent="0.3">
      <c r="A32" s="2">
        <v>45078</v>
      </c>
      <c r="B32" s="3" t="s">
        <v>126</v>
      </c>
      <c r="C32" s="3">
        <v>85419</v>
      </c>
      <c r="D32" s="3" t="s">
        <v>127</v>
      </c>
      <c r="E32" s="1">
        <v>66203.571428572628</v>
      </c>
      <c r="G32" s="9">
        <v>0</v>
      </c>
      <c r="H32" s="1">
        <v>1761.060267857112</v>
      </c>
      <c r="I32" s="1">
        <v>13605.412792968709</v>
      </c>
    </row>
    <row r="33" spans="1:18" x14ac:dyDescent="0.3">
      <c r="A33" s="2">
        <v>45108</v>
      </c>
      <c r="B33" s="3" t="s">
        <v>126</v>
      </c>
      <c r="C33" s="3">
        <v>85419</v>
      </c>
      <c r="D33" s="3" t="s">
        <v>127</v>
      </c>
      <c r="E33" s="1">
        <v>58777.428571427503</v>
      </c>
      <c r="G33" s="9">
        <v>0</v>
      </c>
      <c r="H33" s="1">
        <v>1209.017857142841</v>
      </c>
      <c r="I33" s="1">
        <v>15184.77669921861</v>
      </c>
    </row>
    <row r="34" spans="1:18" x14ac:dyDescent="0.3">
      <c r="A34" s="2">
        <v>45139</v>
      </c>
      <c r="B34" s="3" t="s">
        <v>126</v>
      </c>
      <c r="C34" s="3">
        <v>85419</v>
      </c>
      <c r="D34" s="3" t="s">
        <v>127</v>
      </c>
      <c r="E34" s="1">
        <v>45631.557142857811</v>
      </c>
      <c r="G34" s="9">
        <v>1.0485380887985229</v>
      </c>
      <c r="H34" s="1">
        <v>658.19642857141662</v>
      </c>
      <c r="I34" s="1">
        <v>13469.98759263405</v>
      </c>
    </row>
    <row r="35" spans="1:18" x14ac:dyDescent="0.3">
      <c r="A35" s="2">
        <v>45170</v>
      </c>
      <c r="B35" s="3" t="s">
        <v>126</v>
      </c>
      <c r="C35" s="3">
        <v>85419</v>
      </c>
      <c r="D35" s="3" t="s">
        <v>127</v>
      </c>
      <c r="E35" s="1">
        <v>49508.514285714868</v>
      </c>
      <c r="G35" s="9">
        <v>0</v>
      </c>
      <c r="H35" s="1">
        <v>1186.5189732142919</v>
      </c>
      <c r="I35" s="1">
        <v>14247.961727259861</v>
      </c>
    </row>
    <row r="36" spans="1:18" x14ac:dyDescent="0.3">
      <c r="A36" s="2">
        <v>45200</v>
      </c>
      <c r="B36" s="3" t="s">
        <v>126</v>
      </c>
      <c r="C36" s="3">
        <v>85419</v>
      </c>
      <c r="D36" s="3" t="s">
        <v>127</v>
      </c>
      <c r="E36" s="1">
        <v>55579.428571429147</v>
      </c>
      <c r="G36" s="9">
        <v>1.0394115447998049</v>
      </c>
      <c r="H36" s="1">
        <v>1652.0814732143051</v>
      </c>
      <c r="I36" s="1">
        <v>15026.597340262089</v>
      </c>
    </row>
    <row r="37" spans="1:18" x14ac:dyDescent="0.3">
      <c r="A37" s="2">
        <v>45231</v>
      </c>
      <c r="B37" s="3" t="s">
        <v>126</v>
      </c>
      <c r="C37" s="3">
        <v>85419</v>
      </c>
      <c r="D37" s="3" t="s">
        <v>127</v>
      </c>
      <c r="E37" s="1">
        <v>52589.358133669703</v>
      </c>
      <c r="G37" s="9">
        <v>1.045495867729187</v>
      </c>
      <c r="H37" s="1">
        <v>2161.210001576273</v>
      </c>
      <c r="I37" s="1">
        <v>5086.1830211001034</v>
      </c>
    </row>
    <row r="38" spans="1:18" x14ac:dyDescent="0.3">
      <c r="A38" s="2">
        <v>45261</v>
      </c>
      <c r="B38" s="3" t="s">
        <v>126</v>
      </c>
      <c r="C38" s="3">
        <v>85419</v>
      </c>
      <c r="D38" s="3" t="s">
        <v>127</v>
      </c>
      <c r="E38" s="1">
        <v>45972.331521502718</v>
      </c>
      <c r="G38" s="9">
        <v>1.0495520830154419</v>
      </c>
      <c r="H38" s="1">
        <v>2405.8104725616349</v>
      </c>
      <c r="I38" s="1">
        <v>1587.633506041522</v>
      </c>
    </row>
    <row r="39" spans="1:18" s="15" customFormat="1" x14ac:dyDescent="0.3">
      <c r="A39" s="38">
        <v>44562</v>
      </c>
      <c r="B39" s="22" t="s">
        <v>128</v>
      </c>
      <c r="C39" s="22">
        <v>8591</v>
      </c>
      <c r="D39" s="22" t="s">
        <v>123</v>
      </c>
      <c r="E39" s="21">
        <v>3811.8787878787439</v>
      </c>
      <c r="F39" s="21"/>
      <c r="G39" s="21"/>
      <c r="H39" s="21"/>
      <c r="I39" s="21"/>
      <c r="J39" s="20"/>
      <c r="K39" s="21">
        <f>(SUM(E39:E50)*3.412)/C39</f>
        <v>15.377739325509763</v>
      </c>
      <c r="L39" s="21"/>
      <c r="M39" s="21"/>
      <c r="N39" s="21"/>
      <c r="O39" s="21"/>
      <c r="P39" s="34">
        <f>SUM(K39:N39)</f>
        <v>15.377739325509763</v>
      </c>
      <c r="Q39" s="19" t="s">
        <v>255</v>
      </c>
      <c r="R39" s="20"/>
    </row>
    <row r="40" spans="1:18" x14ac:dyDescent="0.3">
      <c r="A40" s="2">
        <v>44593</v>
      </c>
      <c r="B40" s="3" t="s">
        <v>128</v>
      </c>
      <c r="C40" s="3">
        <v>8591</v>
      </c>
      <c r="D40" s="3" t="s">
        <v>123</v>
      </c>
      <c r="E40" s="1">
        <v>3358.0000000000241</v>
      </c>
    </row>
    <row r="41" spans="1:18" x14ac:dyDescent="0.3">
      <c r="A41" s="2">
        <v>44621</v>
      </c>
      <c r="B41" s="3" t="s">
        <v>128</v>
      </c>
      <c r="C41" s="3">
        <v>8591</v>
      </c>
      <c r="D41" s="3" t="s">
        <v>123</v>
      </c>
      <c r="E41" s="1">
        <v>3000.0000000000191</v>
      </c>
    </row>
    <row r="42" spans="1:18" x14ac:dyDescent="0.3">
      <c r="A42" s="2">
        <v>44652</v>
      </c>
      <c r="B42" s="3" t="s">
        <v>128</v>
      </c>
      <c r="C42" s="3">
        <v>8591</v>
      </c>
      <c r="D42" s="3" t="s">
        <v>123</v>
      </c>
      <c r="E42" s="1">
        <v>2666.1290322580749</v>
      </c>
    </row>
    <row r="43" spans="1:18" x14ac:dyDescent="0.3">
      <c r="A43" s="2">
        <v>44682</v>
      </c>
      <c r="B43" s="3" t="s">
        <v>128</v>
      </c>
      <c r="C43" s="3">
        <v>8591</v>
      </c>
      <c r="D43" s="3" t="s">
        <v>123</v>
      </c>
      <c r="E43" s="1">
        <v>2764.870967741952</v>
      </c>
    </row>
    <row r="44" spans="1:18" x14ac:dyDescent="0.3">
      <c r="A44" s="2">
        <v>44713</v>
      </c>
      <c r="B44" s="3" t="s">
        <v>128</v>
      </c>
      <c r="C44" s="3">
        <v>8591</v>
      </c>
      <c r="D44" s="3" t="s">
        <v>123</v>
      </c>
      <c r="E44" s="1">
        <v>3293.999999999965</v>
      </c>
    </row>
    <row r="45" spans="1:18" x14ac:dyDescent="0.3">
      <c r="A45" s="2">
        <v>44743</v>
      </c>
      <c r="B45" s="3" t="s">
        <v>128</v>
      </c>
      <c r="C45" s="3">
        <v>8591</v>
      </c>
      <c r="D45" s="3" t="s">
        <v>123</v>
      </c>
      <c r="E45" s="1">
        <v>3048.65625</v>
      </c>
    </row>
    <row r="46" spans="1:18" x14ac:dyDescent="0.3">
      <c r="A46" s="2">
        <v>44774</v>
      </c>
      <c r="B46" s="3" t="s">
        <v>128</v>
      </c>
      <c r="C46" s="3">
        <v>8591</v>
      </c>
      <c r="D46" s="3" t="s">
        <v>123</v>
      </c>
      <c r="E46" s="1">
        <v>3280.3437499999582</v>
      </c>
    </row>
    <row r="47" spans="1:18" x14ac:dyDescent="0.3">
      <c r="A47" s="2">
        <v>44805</v>
      </c>
      <c r="B47" s="3" t="s">
        <v>128</v>
      </c>
      <c r="C47" s="3">
        <v>8591</v>
      </c>
      <c r="D47" s="3" t="s">
        <v>123</v>
      </c>
      <c r="E47" s="1">
        <v>3360.99999999997</v>
      </c>
    </row>
    <row r="48" spans="1:18" x14ac:dyDescent="0.3">
      <c r="A48" s="2">
        <v>44835</v>
      </c>
      <c r="B48" s="3" t="s">
        <v>128</v>
      </c>
      <c r="C48" s="3">
        <v>8591</v>
      </c>
      <c r="D48" s="3" t="s">
        <v>123</v>
      </c>
      <c r="E48" s="1">
        <v>2995.9999999999841</v>
      </c>
    </row>
    <row r="49" spans="1:26" x14ac:dyDescent="0.3">
      <c r="A49" s="2">
        <v>44866</v>
      </c>
      <c r="B49" s="3" t="s">
        <v>128</v>
      </c>
      <c r="C49" s="3">
        <v>8591</v>
      </c>
      <c r="D49" s="3" t="s">
        <v>123</v>
      </c>
      <c r="E49" s="1">
        <v>3346.9999999999682</v>
      </c>
    </row>
    <row r="50" spans="1:26" x14ac:dyDescent="0.3">
      <c r="A50" s="2">
        <v>44896</v>
      </c>
      <c r="B50" s="3" t="s">
        <v>128</v>
      </c>
      <c r="C50" s="3">
        <v>8591</v>
      </c>
      <c r="D50" s="3" t="s">
        <v>123</v>
      </c>
      <c r="E50" s="1">
        <v>3791.3939393940091</v>
      </c>
    </row>
    <row r="51" spans="1:26" s="15" customFormat="1" x14ac:dyDescent="0.3">
      <c r="A51" s="38">
        <v>44927</v>
      </c>
      <c r="B51" s="22" t="s">
        <v>129</v>
      </c>
      <c r="C51" s="22">
        <v>1396</v>
      </c>
      <c r="D51" s="22" t="s">
        <v>123</v>
      </c>
      <c r="E51" s="21">
        <v>2317.8417062365502</v>
      </c>
      <c r="F51" s="21"/>
      <c r="G51" s="21"/>
      <c r="H51" s="21"/>
      <c r="I51" s="21"/>
      <c r="J51" s="20"/>
      <c r="K51" s="21">
        <f>(SUM(E51:E62)*3.412)/C51</f>
        <v>70.997282644450976</v>
      </c>
      <c r="L51" s="21"/>
      <c r="M51" s="21"/>
      <c r="N51" s="21"/>
      <c r="O51" s="21"/>
      <c r="P51" s="34">
        <f>SUM(K51:N51)</f>
        <v>70.997282644450976</v>
      </c>
      <c r="Q51" s="19" t="s">
        <v>256</v>
      </c>
      <c r="R51" s="20" t="s">
        <v>257</v>
      </c>
      <c r="S51" s="15">
        <v>0.98252702624580146</v>
      </c>
      <c r="V51" s="15">
        <v>1419.4249634742739</v>
      </c>
      <c r="W51" s="15">
        <v>10.98388440860232</v>
      </c>
      <c r="X51" s="15">
        <v>94693.000000000917</v>
      </c>
      <c r="Y51" s="15">
        <v>6.7858602150536909</v>
      </c>
      <c r="Z51" s="15">
        <v>38392.999999999243</v>
      </c>
    </row>
    <row r="52" spans="1:26" x14ac:dyDescent="0.3">
      <c r="A52" s="2">
        <v>44958</v>
      </c>
      <c r="B52" s="3" t="s">
        <v>129</v>
      </c>
      <c r="C52" s="3">
        <v>1396</v>
      </c>
      <c r="D52" s="3" t="s">
        <v>123</v>
      </c>
      <c r="E52" s="1">
        <v>2018.435747096767</v>
      </c>
      <c r="S52">
        <v>0.91265360983102217</v>
      </c>
      <c r="V52">
        <v>1943.5387351661921</v>
      </c>
      <c r="W52">
        <v>15.40930059523815</v>
      </c>
      <c r="X52">
        <v>119989.00000000199</v>
      </c>
      <c r="Y52">
        <v>9.3766220238094498</v>
      </c>
      <c r="Z52">
        <v>47916.999999999804</v>
      </c>
    </row>
    <row r="53" spans="1:26" x14ac:dyDescent="0.3">
      <c r="A53" s="2">
        <v>44986</v>
      </c>
      <c r="B53" s="3" t="s">
        <v>129</v>
      </c>
      <c r="C53" s="3">
        <v>1396</v>
      </c>
      <c r="D53" s="3" t="s">
        <v>123</v>
      </c>
      <c r="E53" s="1">
        <v>2246.3135871942591</v>
      </c>
      <c r="S53">
        <v>0.97848986705657048</v>
      </c>
      <c r="V53">
        <v>2252.196119010448</v>
      </c>
      <c r="W53">
        <v>18.747765814266629</v>
      </c>
      <c r="X53">
        <v>161408.99999999881</v>
      </c>
      <c r="Y53">
        <v>11.66297442799447</v>
      </c>
      <c r="Z53">
        <v>65898.000000000349</v>
      </c>
    </row>
    <row r="54" spans="1:26" x14ac:dyDescent="0.3">
      <c r="A54" s="2">
        <v>45017</v>
      </c>
      <c r="B54" s="3" t="s">
        <v>129</v>
      </c>
      <c r="C54" s="3">
        <v>1396</v>
      </c>
      <c r="D54" s="3" t="s">
        <v>123</v>
      </c>
      <c r="E54" s="1">
        <v>2223.0582090557359</v>
      </c>
      <c r="S54">
        <v>1.014850908023597</v>
      </c>
      <c r="V54">
        <v>2198.5816674828529</v>
      </c>
      <c r="W54">
        <v>29.523555555555511</v>
      </c>
      <c r="X54">
        <v>247174.0000000018</v>
      </c>
      <c r="Y54">
        <v>18.33538888888874</v>
      </c>
      <c r="Z54">
        <v>100621.0000000007</v>
      </c>
    </row>
    <row r="55" spans="1:26" x14ac:dyDescent="0.3">
      <c r="A55" s="2">
        <v>45047</v>
      </c>
      <c r="B55" s="3" t="s">
        <v>129</v>
      </c>
      <c r="C55" s="3">
        <v>1396</v>
      </c>
      <c r="D55" s="3" t="s">
        <v>123</v>
      </c>
      <c r="E55" s="1">
        <v>2442.2333770833252</v>
      </c>
      <c r="S55">
        <v>1.094069500448015</v>
      </c>
      <c r="V55">
        <v>2377.3856636285782</v>
      </c>
      <c r="W55">
        <v>28.087862903225702</v>
      </c>
      <c r="X55">
        <v>242148.00000000061</v>
      </c>
      <c r="Y55">
        <v>18.181989247312089</v>
      </c>
      <c r="Z55">
        <v>102869.99999999969</v>
      </c>
    </row>
    <row r="56" spans="1:26" x14ac:dyDescent="0.3">
      <c r="A56" s="2">
        <v>45078</v>
      </c>
      <c r="B56" s="3" t="s">
        <v>129</v>
      </c>
      <c r="C56" s="3">
        <v>1396</v>
      </c>
      <c r="D56" s="3" t="s">
        <v>123</v>
      </c>
      <c r="E56" s="1">
        <v>2448.5575833333519</v>
      </c>
      <c r="S56">
        <v>1.219050925925907</v>
      </c>
      <c r="V56">
        <v>2439.4816456139092</v>
      </c>
      <c r="W56">
        <v>31.807777777777449</v>
      </c>
      <c r="X56">
        <v>265372.00000000157</v>
      </c>
      <c r="Y56">
        <v>20.31858333333356</v>
      </c>
      <c r="Z56">
        <v>111250.000000001</v>
      </c>
    </row>
    <row r="57" spans="1:26" x14ac:dyDescent="0.3">
      <c r="A57" s="2">
        <v>45108</v>
      </c>
      <c r="B57" s="3" t="s">
        <v>129</v>
      </c>
      <c r="C57" s="3">
        <v>1396</v>
      </c>
      <c r="D57" s="3" t="s">
        <v>123</v>
      </c>
      <c r="E57" s="1">
        <v>2561.06413958334</v>
      </c>
      <c r="S57">
        <v>1.2955048723118381</v>
      </c>
      <c r="V57">
        <v>2568.0752530694008</v>
      </c>
      <c r="W57">
        <v>33.511196236559051</v>
      </c>
      <c r="X57">
        <v>288903.00000000122</v>
      </c>
      <c r="Y57">
        <v>20.40548387096754</v>
      </c>
      <c r="Z57">
        <v>115449.9999999986</v>
      </c>
    </row>
    <row r="58" spans="1:26" x14ac:dyDescent="0.3">
      <c r="A58" s="2">
        <v>45139</v>
      </c>
      <c r="B58" s="3" t="s">
        <v>129</v>
      </c>
      <c r="C58" s="3">
        <v>1396</v>
      </c>
      <c r="D58" s="3" t="s">
        <v>123</v>
      </c>
      <c r="E58" s="1">
        <v>2773.5054937500231</v>
      </c>
      <c r="S58">
        <v>1.420895217293918</v>
      </c>
      <c r="V58">
        <v>2885.5756343901162</v>
      </c>
      <c r="W58">
        <v>28.594287634408801</v>
      </c>
      <c r="X58">
        <v>246514.0000000039</v>
      </c>
      <c r="Y58">
        <v>16.274529569892671</v>
      </c>
      <c r="Z58">
        <v>92078.000000000422</v>
      </c>
    </row>
    <row r="59" spans="1:26" x14ac:dyDescent="0.3">
      <c r="A59" s="2">
        <v>45170</v>
      </c>
      <c r="B59" s="3" t="s">
        <v>129</v>
      </c>
      <c r="C59" s="3">
        <v>1396</v>
      </c>
      <c r="D59" s="3" t="s">
        <v>123</v>
      </c>
      <c r="E59" s="1">
        <v>2577.4934666666759</v>
      </c>
      <c r="S59">
        <v>1.3179120370370589</v>
      </c>
      <c r="V59">
        <v>2523.9793540835381</v>
      </c>
      <c r="W59">
        <v>21.727666666667101</v>
      </c>
      <c r="X59">
        <v>181905.6000000005</v>
      </c>
      <c r="Y59">
        <v>11.72230555555573</v>
      </c>
      <c r="Z59">
        <v>64183.000000000393</v>
      </c>
    </row>
    <row r="60" spans="1:26" x14ac:dyDescent="0.3">
      <c r="A60" s="2">
        <v>45200</v>
      </c>
      <c r="B60" s="3" t="s">
        <v>129</v>
      </c>
      <c r="C60" s="3">
        <v>1396</v>
      </c>
      <c r="D60" s="3" t="s">
        <v>123</v>
      </c>
      <c r="E60" s="1">
        <v>2598.47885554814</v>
      </c>
      <c r="S60">
        <v>1.2293412294628621</v>
      </c>
      <c r="V60">
        <v>2611.4165598452091</v>
      </c>
      <c r="W60">
        <v>18.55159946236563</v>
      </c>
      <c r="X60">
        <v>159935.00000000119</v>
      </c>
      <c r="Y60">
        <v>10.78848118279552</v>
      </c>
      <c r="Z60">
        <v>61038.99999999936</v>
      </c>
    </row>
    <row r="61" spans="1:26" x14ac:dyDescent="0.3">
      <c r="A61" s="2">
        <v>45231</v>
      </c>
      <c r="B61" s="3" t="s">
        <v>129</v>
      </c>
      <c r="C61" s="3">
        <v>1396</v>
      </c>
      <c r="D61" s="3" t="s">
        <v>123</v>
      </c>
      <c r="E61" s="1">
        <v>2441.658934236842</v>
      </c>
      <c r="S61">
        <v>1.1840052145468101</v>
      </c>
      <c r="V61">
        <v>2445.3048895001411</v>
      </c>
      <c r="W61">
        <v>11.73105409153955</v>
      </c>
      <c r="X61">
        <v>98007.999999999418</v>
      </c>
      <c r="Y61">
        <v>7.7760055478502172</v>
      </c>
      <c r="Z61">
        <v>42634.999999999971</v>
      </c>
    </row>
    <row r="62" spans="1:26" x14ac:dyDescent="0.3">
      <c r="A62" s="2">
        <v>45261</v>
      </c>
      <c r="B62" s="3" t="s">
        <v>129</v>
      </c>
      <c r="C62" s="3">
        <v>1396</v>
      </c>
      <c r="D62" s="3" t="s">
        <v>123</v>
      </c>
      <c r="E62" s="1">
        <v>2399.4850935483901</v>
      </c>
      <c r="S62">
        <v>1.160690903572654</v>
      </c>
      <c r="V62">
        <v>2409.1359234452252</v>
      </c>
      <c r="W62">
        <v>9.9906182795700538</v>
      </c>
      <c r="X62">
        <v>86129.999999999709</v>
      </c>
      <c r="Y62">
        <v>5.4908333333332919</v>
      </c>
      <c r="Z62">
        <v>31065.999999999651</v>
      </c>
    </row>
    <row r="63" spans="1:26" s="15" customFormat="1" x14ac:dyDescent="0.3">
      <c r="A63" s="38">
        <v>44927</v>
      </c>
      <c r="B63" s="22" t="s">
        <v>130</v>
      </c>
      <c r="C63" s="22">
        <v>83173</v>
      </c>
      <c r="D63" s="22" t="s">
        <v>127</v>
      </c>
      <c r="E63" s="21">
        <v>95210.568965517174</v>
      </c>
      <c r="F63" s="21"/>
      <c r="G63" s="21"/>
      <c r="H63" s="21">
        <v>9803.2085129310635</v>
      </c>
      <c r="I63" s="21">
        <v>1689.660544854539</v>
      </c>
      <c r="J63" s="20"/>
      <c r="K63" s="21">
        <f>(SUM(E63:E74)*3.412)/C63</f>
        <v>45.458882325456131</v>
      </c>
      <c r="L63" s="21"/>
      <c r="M63" s="21">
        <f>(SUM(H63:H74)*100)/C63</f>
        <v>86.173606207999541</v>
      </c>
      <c r="N63" s="21">
        <f>(SUM(I63:I74)*12)/C63</f>
        <v>34.887138942934016</v>
      </c>
      <c r="O63" s="21"/>
      <c r="P63" s="34">
        <f>SUM(K63:N63)</f>
        <v>166.5196274763897</v>
      </c>
      <c r="Q63" s="19" t="s">
        <v>258</v>
      </c>
      <c r="R63" s="20"/>
    </row>
    <row r="64" spans="1:26" x14ac:dyDescent="0.3">
      <c r="A64" s="2">
        <v>44958</v>
      </c>
      <c r="B64" s="3" t="s">
        <v>130</v>
      </c>
      <c r="C64" s="3">
        <v>83173</v>
      </c>
      <c r="D64" s="3" t="s">
        <v>127</v>
      </c>
      <c r="E64" s="1">
        <v>85962.500000000713</v>
      </c>
      <c r="H64" s="1">
        <v>8322.10937500008</v>
      </c>
      <c r="I64" s="1">
        <v>6833.0599999998976</v>
      </c>
      <c r="Q64" s="10" t="s">
        <v>259</v>
      </c>
    </row>
    <row r="65" spans="1:18" x14ac:dyDescent="0.3">
      <c r="A65" s="2">
        <v>44986</v>
      </c>
      <c r="B65" s="3" t="s">
        <v>130</v>
      </c>
      <c r="C65" s="3">
        <v>83173</v>
      </c>
      <c r="D65" s="3" t="s">
        <v>127</v>
      </c>
      <c r="E65" s="1">
        <v>91537.412136535146</v>
      </c>
      <c r="H65" s="1">
        <v>9215.7302860304535</v>
      </c>
      <c r="I65" s="1">
        <v>1019.999100426662</v>
      </c>
      <c r="Q65" s="10" t="s">
        <v>260</v>
      </c>
    </row>
    <row r="66" spans="1:18" x14ac:dyDescent="0.3">
      <c r="A66" s="2">
        <v>45017</v>
      </c>
      <c r="B66" s="3" t="s">
        <v>130</v>
      </c>
      <c r="C66" s="3">
        <v>83173</v>
      </c>
      <c r="D66" s="3" t="s">
        <v>127</v>
      </c>
      <c r="E66" s="1">
        <v>86044.587863464985</v>
      </c>
      <c r="H66" s="1">
        <v>4037.863463969592</v>
      </c>
      <c r="I66" s="1">
        <v>4961.0442003545104</v>
      </c>
    </row>
    <row r="67" spans="1:18" x14ac:dyDescent="0.3">
      <c r="A67" s="2">
        <v>45047</v>
      </c>
      <c r="B67" s="3" t="s">
        <v>130</v>
      </c>
      <c r="C67" s="3">
        <v>83173</v>
      </c>
      <c r="D67" s="3" t="s">
        <v>127</v>
      </c>
      <c r="E67" s="1">
        <v>94837.999999999069</v>
      </c>
      <c r="H67" s="1">
        <v>6455.70312499998</v>
      </c>
      <c r="I67" s="1">
        <v>5698.0142578125933</v>
      </c>
    </row>
    <row r="68" spans="1:18" x14ac:dyDescent="0.3">
      <c r="A68" s="2">
        <v>45078</v>
      </c>
      <c r="B68" s="3" t="s">
        <v>130</v>
      </c>
      <c r="C68" s="3">
        <v>83173</v>
      </c>
      <c r="D68" s="3" t="s">
        <v>127</v>
      </c>
      <c r="E68" s="1">
        <v>96736.46341463484</v>
      </c>
      <c r="H68" s="1">
        <v>6693.064024390259</v>
      </c>
      <c r="I68" s="1">
        <v>22904.952667683301</v>
      </c>
    </row>
    <row r="69" spans="1:18" x14ac:dyDescent="0.3">
      <c r="A69" s="2">
        <v>45108</v>
      </c>
      <c r="B69" s="3" t="s">
        <v>130</v>
      </c>
      <c r="C69" s="3">
        <v>83173</v>
      </c>
      <c r="D69" s="3" t="s">
        <v>127</v>
      </c>
      <c r="E69" s="1">
        <v>94350.53658536615</v>
      </c>
      <c r="H69" s="1">
        <v>6492.639100609761</v>
      </c>
      <c r="I69" s="1">
        <v>51267.2105354425</v>
      </c>
    </row>
    <row r="70" spans="1:18" x14ac:dyDescent="0.3">
      <c r="A70" s="2">
        <v>45139</v>
      </c>
      <c r="B70" s="3" t="s">
        <v>130</v>
      </c>
      <c r="C70" s="3">
        <v>83173</v>
      </c>
      <c r="D70" s="3" t="s">
        <v>127</v>
      </c>
      <c r="E70" s="1">
        <v>91171.000000000495</v>
      </c>
      <c r="H70" s="1">
        <v>2586.424107142861</v>
      </c>
      <c r="I70" s="1">
        <v>58428.856948659923</v>
      </c>
    </row>
    <row r="71" spans="1:18" x14ac:dyDescent="0.3">
      <c r="A71" s="2">
        <v>45170</v>
      </c>
      <c r="B71" s="3" t="s">
        <v>130</v>
      </c>
      <c r="C71" s="3">
        <v>83173</v>
      </c>
      <c r="D71" s="3" t="s">
        <v>127</v>
      </c>
      <c r="E71" s="1">
        <v>96784.96296296161</v>
      </c>
      <c r="H71" s="1">
        <v>1156.990244708998</v>
      </c>
      <c r="I71" s="1">
        <v>41662.842348214392</v>
      </c>
    </row>
    <row r="72" spans="1:18" x14ac:dyDescent="0.3">
      <c r="A72" s="2">
        <v>45200</v>
      </c>
      <c r="B72" s="3" t="s">
        <v>130</v>
      </c>
      <c r="C72" s="3">
        <v>83173</v>
      </c>
      <c r="D72" s="3" t="s">
        <v>127</v>
      </c>
      <c r="E72" s="1">
        <v>96859.037037035945</v>
      </c>
      <c r="H72" s="1">
        <v>3717.913773148111</v>
      </c>
      <c r="I72" s="1">
        <v>37645.466777344052</v>
      </c>
    </row>
    <row r="73" spans="1:18" x14ac:dyDescent="0.3">
      <c r="A73" s="2">
        <v>45231</v>
      </c>
      <c r="B73" s="3" t="s">
        <v>130</v>
      </c>
      <c r="C73" s="3">
        <v>83173</v>
      </c>
      <c r="D73" s="3" t="s">
        <v>127</v>
      </c>
      <c r="E73" s="1">
        <v>89570.839218157795</v>
      </c>
      <c r="H73" s="1">
        <v>5359.9798037515047</v>
      </c>
      <c r="I73" s="1">
        <v>6787.2498037269952</v>
      </c>
    </row>
    <row r="74" spans="1:18" s="69" customFormat="1" x14ac:dyDescent="0.3">
      <c r="A74" s="65">
        <v>45261</v>
      </c>
      <c r="B74" s="64" t="s">
        <v>130</v>
      </c>
      <c r="C74" s="64">
        <v>83173</v>
      </c>
      <c r="D74" s="64" t="s">
        <v>127</v>
      </c>
      <c r="E74" s="66">
        <v>89067.626299082156</v>
      </c>
      <c r="F74" s="66"/>
      <c r="G74" s="66"/>
      <c r="H74" s="66">
        <v>7831.5476746967952</v>
      </c>
      <c r="I74" s="66">
        <v>2907.310090534861</v>
      </c>
      <c r="J74" s="67"/>
      <c r="K74" s="66"/>
      <c r="L74" s="66"/>
      <c r="M74" s="66"/>
      <c r="N74" s="66"/>
      <c r="O74" s="66"/>
      <c r="P74" s="68"/>
      <c r="Q74" s="66"/>
      <c r="R74" s="67"/>
    </row>
    <row r="75" spans="1:18" x14ac:dyDescent="0.3">
      <c r="A75" s="2">
        <v>44197</v>
      </c>
      <c r="B75" s="3" t="s">
        <v>367</v>
      </c>
      <c r="D75" s="3" t="s">
        <v>123</v>
      </c>
      <c r="E75" s="1">
        <v>134.20001220703247</v>
      </c>
      <c r="Q75" s="25" t="s">
        <v>368</v>
      </c>
    </row>
    <row r="76" spans="1:18" x14ac:dyDescent="0.3">
      <c r="A76" s="2">
        <v>44228</v>
      </c>
      <c r="B76" s="3" t="s">
        <v>367</v>
      </c>
      <c r="D76" s="3" t="s">
        <v>123</v>
      </c>
      <c r="E76" s="1">
        <v>999.99993896483227</v>
      </c>
    </row>
    <row r="77" spans="1:18" x14ac:dyDescent="0.3">
      <c r="A77" s="2">
        <v>44256</v>
      </c>
      <c r="B77" s="3" t="s">
        <v>367</v>
      </c>
      <c r="D77" s="3" t="s">
        <v>123</v>
      </c>
      <c r="E77" s="1">
        <v>715.80004882811886</v>
      </c>
    </row>
    <row r="78" spans="1:18" x14ac:dyDescent="0.3">
      <c r="A78" s="2">
        <v>44287</v>
      </c>
      <c r="B78" s="3" t="s">
        <v>367</v>
      </c>
      <c r="D78" s="3" t="s">
        <v>123</v>
      </c>
      <c r="E78" s="1">
        <v>427.99999999999523</v>
      </c>
    </row>
    <row r="79" spans="1:18" x14ac:dyDescent="0.3">
      <c r="A79" s="2">
        <v>44317</v>
      </c>
      <c r="B79" s="3" t="s">
        <v>367</v>
      </c>
      <c r="D79" s="3" t="s">
        <v>123</v>
      </c>
      <c r="E79" s="1">
        <v>491.00000000000779</v>
      </c>
    </row>
    <row r="80" spans="1:18" x14ac:dyDescent="0.3">
      <c r="A80" s="2">
        <v>44348</v>
      </c>
      <c r="B80" s="3" t="s">
        <v>367</v>
      </c>
      <c r="D80" s="3" t="s">
        <v>123</v>
      </c>
      <c r="E80" s="1">
        <v>191.00000000000225</v>
      </c>
    </row>
    <row r="81" spans="1:18" x14ac:dyDescent="0.3">
      <c r="A81" s="2">
        <v>44378</v>
      </c>
      <c r="B81" s="3" t="s">
        <v>367</v>
      </c>
      <c r="D81" s="3" t="s">
        <v>123</v>
      </c>
      <c r="E81" s="1">
        <v>368.0000000000029</v>
      </c>
    </row>
    <row r="82" spans="1:18" x14ac:dyDescent="0.3">
      <c r="A82" s="2">
        <v>44409</v>
      </c>
      <c r="B82" s="3" t="s">
        <v>367</v>
      </c>
      <c r="D82" s="3" t="s">
        <v>123</v>
      </c>
      <c r="E82" s="1">
        <v>343.99999999999795</v>
      </c>
    </row>
    <row r="83" spans="1:18" x14ac:dyDescent="0.3">
      <c r="A83" s="2">
        <v>44440</v>
      </c>
      <c r="B83" s="3" t="s">
        <v>367</v>
      </c>
      <c r="D83" s="3" t="s">
        <v>123</v>
      </c>
      <c r="E83" s="1">
        <v>424.00000000000693</v>
      </c>
    </row>
    <row r="84" spans="1:18" x14ac:dyDescent="0.3">
      <c r="A84" s="2">
        <v>44470</v>
      </c>
      <c r="B84" s="3" t="s">
        <v>367</v>
      </c>
      <c r="D84" s="3" t="s">
        <v>123</v>
      </c>
      <c r="E84" s="1">
        <v>589.00000000000125</v>
      </c>
    </row>
    <row r="85" spans="1:18" x14ac:dyDescent="0.3">
      <c r="A85" s="2">
        <v>44501</v>
      </c>
      <c r="B85" s="3" t="s">
        <v>367</v>
      </c>
      <c r="D85" s="3" t="s">
        <v>123</v>
      </c>
      <c r="E85" s="1">
        <v>458.00000000000409</v>
      </c>
    </row>
    <row r="86" spans="1:18" x14ac:dyDescent="0.3">
      <c r="A86" s="2">
        <v>44531</v>
      </c>
      <c r="B86" s="64" t="s">
        <v>367</v>
      </c>
      <c r="D86" s="3" t="s">
        <v>123</v>
      </c>
      <c r="E86" s="1">
        <v>937.99999999999397</v>
      </c>
    </row>
    <row r="87" spans="1:18" s="15" customFormat="1" x14ac:dyDescent="0.3">
      <c r="A87" s="38">
        <v>44927</v>
      </c>
      <c r="B87" s="22" t="s">
        <v>132</v>
      </c>
      <c r="C87" s="42">
        <v>960662</v>
      </c>
      <c r="D87" s="22" t="s">
        <v>134</v>
      </c>
      <c r="E87" s="32">
        <v>63615.840770236573</v>
      </c>
      <c r="F87" s="21"/>
      <c r="G87" s="21"/>
      <c r="H87" s="21">
        <v>37562.999999999884</v>
      </c>
      <c r="I87" s="21">
        <v>26803.00000000044</v>
      </c>
      <c r="J87" s="20"/>
      <c r="K87" s="21">
        <f>(SUM(E87:E98)*3.412)/C87</f>
        <v>2.1729831084649507</v>
      </c>
      <c r="L87" s="21"/>
      <c r="M87" s="21">
        <f>(SUM(H87:H98)*100)/C87</f>
        <v>23.889047344435436</v>
      </c>
      <c r="N87" s="21">
        <f>(SUM(I87:I98)*12)/C87</f>
        <v>10.394319750338862</v>
      </c>
      <c r="O87" s="21"/>
      <c r="P87" s="34">
        <f>SUM(K87:N87)</f>
        <v>36.456350203239253</v>
      </c>
      <c r="Q87" s="19" t="s">
        <v>261</v>
      </c>
      <c r="R87" s="20" t="s">
        <v>265</v>
      </c>
    </row>
    <row r="88" spans="1:18" x14ac:dyDescent="0.3">
      <c r="A88" s="2">
        <v>44958</v>
      </c>
      <c r="B88" s="3" t="s">
        <v>132</v>
      </c>
      <c r="C88" s="6">
        <v>960662</v>
      </c>
      <c r="D88" s="3" t="s">
        <v>134</v>
      </c>
      <c r="E88" s="4">
        <v>60833.878168844691</v>
      </c>
      <c r="H88" s="1">
        <v>35962.999999999673</v>
      </c>
      <c r="I88" s="1">
        <v>39259.000000000342</v>
      </c>
      <c r="Q88" s="10" t="s">
        <v>262</v>
      </c>
      <c r="R88" s="23" t="s">
        <v>336</v>
      </c>
    </row>
    <row r="89" spans="1:18" x14ac:dyDescent="0.3">
      <c r="A89" s="2">
        <v>44986</v>
      </c>
      <c r="B89" s="3" t="s">
        <v>132</v>
      </c>
      <c r="C89" s="6">
        <v>960662</v>
      </c>
      <c r="D89" s="3" t="s">
        <v>134</v>
      </c>
      <c r="E89" s="4">
        <v>78010.41235840405</v>
      </c>
      <c r="H89" s="1">
        <v>28489.000000000531</v>
      </c>
      <c r="I89" s="1">
        <v>57813.00000000056</v>
      </c>
      <c r="Q89" s="10" t="s">
        <v>264</v>
      </c>
    </row>
    <row r="90" spans="1:18" x14ac:dyDescent="0.3">
      <c r="A90" s="2">
        <v>45017</v>
      </c>
      <c r="B90" s="3" t="s">
        <v>132</v>
      </c>
      <c r="C90" s="6">
        <v>960662</v>
      </c>
      <c r="D90" s="3" t="s">
        <v>134</v>
      </c>
      <c r="E90" s="4">
        <v>66419.64476186609</v>
      </c>
      <c r="H90" s="1">
        <v>30032.000000000269</v>
      </c>
      <c r="I90" s="1">
        <v>53645.00000000048</v>
      </c>
    </row>
    <row r="91" spans="1:18" x14ac:dyDescent="0.3">
      <c r="A91" s="2">
        <v>45047</v>
      </c>
      <c r="B91" s="3" t="s">
        <v>132</v>
      </c>
      <c r="C91" s="6">
        <v>960662</v>
      </c>
      <c r="D91" s="3" t="s">
        <v>134</v>
      </c>
      <c r="E91" s="4">
        <v>64431.543214952144</v>
      </c>
      <c r="H91" s="1">
        <v>1557.0000000000109</v>
      </c>
      <c r="I91" s="1">
        <v>84490.000000000407</v>
      </c>
    </row>
    <row r="92" spans="1:18" x14ac:dyDescent="0.3">
      <c r="A92" s="2">
        <v>45078</v>
      </c>
      <c r="B92" s="3" t="s">
        <v>132</v>
      </c>
      <c r="C92" s="6">
        <v>960662</v>
      </c>
      <c r="D92" s="3" t="s">
        <v>134</v>
      </c>
      <c r="E92" s="4" t="s">
        <v>189</v>
      </c>
      <c r="H92" s="1">
        <v>1154.999999999997</v>
      </c>
      <c r="I92" s="1">
        <v>91714.00000000163</v>
      </c>
    </row>
    <row r="93" spans="1:18" x14ac:dyDescent="0.3">
      <c r="A93" s="2">
        <v>45108</v>
      </c>
      <c r="B93" s="3" t="s">
        <v>132</v>
      </c>
      <c r="C93" s="6">
        <v>960662</v>
      </c>
      <c r="D93" s="3" t="s">
        <v>134</v>
      </c>
      <c r="E93" s="4" t="s">
        <v>189</v>
      </c>
      <c r="H93" s="1">
        <v>1189.0000000000141</v>
      </c>
      <c r="I93" s="1">
        <v>121751.9999999991</v>
      </c>
    </row>
    <row r="94" spans="1:18" x14ac:dyDescent="0.3">
      <c r="A94" s="2">
        <v>45139</v>
      </c>
      <c r="B94" s="3" t="s">
        <v>132</v>
      </c>
      <c r="C94" s="6">
        <v>960662</v>
      </c>
      <c r="D94" s="3" t="s">
        <v>134</v>
      </c>
      <c r="E94" s="4" t="s">
        <v>189</v>
      </c>
      <c r="H94" s="1">
        <v>1203.999999999992</v>
      </c>
      <c r="I94" s="1">
        <v>112109.0000000016</v>
      </c>
    </row>
    <row r="95" spans="1:18" x14ac:dyDescent="0.3">
      <c r="A95" s="2">
        <v>45170</v>
      </c>
      <c r="B95" s="3" t="s">
        <v>132</v>
      </c>
      <c r="C95" s="6">
        <v>960662</v>
      </c>
      <c r="D95" s="3" t="s">
        <v>134</v>
      </c>
      <c r="E95" s="4">
        <v>72434.999999999694</v>
      </c>
      <c r="H95" s="1">
        <v>13996.00000000026</v>
      </c>
      <c r="I95" s="1">
        <v>88371.999999998749</v>
      </c>
    </row>
    <row r="96" spans="1:18" x14ac:dyDescent="0.3">
      <c r="A96" s="2">
        <v>45200</v>
      </c>
      <c r="B96" s="3" t="s">
        <v>132</v>
      </c>
      <c r="C96" s="6">
        <v>960662</v>
      </c>
      <c r="D96" s="3" t="s">
        <v>134</v>
      </c>
      <c r="E96" s="4">
        <v>73541.99999999904</v>
      </c>
      <c r="H96" s="1">
        <v>21030.999999999771</v>
      </c>
      <c r="I96" s="1">
        <v>77880.999999999709</v>
      </c>
    </row>
    <row r="97" spans="1:18" x14ac:dyDescent="0.3">
      <c r="A97" s="2">
        <v>45231</v>
      </c>
      <c r="B97" s="3" t="s">
        <v>132</v>
      </c>
      <c r="C97" s="6">
        <v>960662</v>
      </c>
      <c r="D97" s="3" t="s">
        <v>134</v>
      </c>
      <c r="E97" s="4">
        <v>76718.999999998938</v>
      </c>
      <c r="H97" s="1">
        <v>24095.00000000028</v>
      </c>
      <c r="I97" s="1">
        <v>43204.999999999724</v>
      </c>
    </row>
    <row r="98" spans="1:18" x14ac:dyDescent="0.3">
      <c r="A98" s="2">
        <v>45261</v>
      </c>
      <c r="B98" s="3" t="s">
        <v>132</v>
      </c>
      <c r="C98" s="6">
        <v>960662</v>
      </c>
      <c r="D98" s="3" t="s">
        <v>134</v>
      </c>
      <c r="E98" s="4">
        <v>55804.608903939108</v>
      </c>
      <c r="H98" s="1">
        <v>33218.999999999643</v>
      </c>
      <c r="I98" s="1">
        <v>35075.999999999869</v>
      </c>
    </row>
    <row r="99" spans="1:18" s="15" customFormat="1" x14ac:dyDescent="0.3">
      <c r="A99" s="38">
        <v>44927</v>
      </c>
      <c r="B99" s="22" t="s">
        <v>190</v>
      </c>
      <c r="C99" s="22"/>
      <c r="D99" s="42" t="s">
        <v>145</v>
      </c>
      <c r="E99" s="21">
        <v>10458.909090909199</v>
      </c>
      <c r="F99" s="21"/>
      <c r="G99" s="21"/>
      <c r="H99" s="21"/>
      <c r="I99" s="21"/>
      <c r="J99" s="20"/>
      <c r="K99" s="21" t="e">
        <f>(SUM(E99:E110)*3.412)/C99</f>
        <v>#DIV/0!</v>
      </c>
      <c r="L99" s="21"/>
      <c r="M99" s="21"/>
      <c r="N99" s="21"/>
      <c r="O99" s="21"/>
      <c r="P99" s="34" t="e">
        <f>SUM(K99:N99)</f>
        <v>#DIV/0!</v>
      </c>
      <c r="Q99" s="19" t="s">
        <v>263</v>
      </c>
      <c r="R99" s="20"/>
    </row>
    <row r="100" spans="1:18" x14ac:dyDescent="0.3">
      <c r="A100" s="2">
        <v>44958</v>
      </c>
      <c r="B100" s="3" t="s">
        <v>190</v>
      </c>
      <c r="D100" s="6" t="s">
        <v>145</v>
      </c>
      <c r="E100" s="1">
        <v>13945.0000000002</v>
      </c>
    </row>
    <row r="101" spans="1:18" x14ac:dyDescent="0.3">
      <c r="A101" s="2">
        <v>44986</v>
      </c>
      <c r="B101" s="3" t="s">
        <v>190</v>
      </c>
      <c r="D101" s="6" t="s">
        <v>145</v>
      </c>
      <c r="E101" s="1">
        <v>13020.8166877372</v>
      </c>
    </row>
    <row r="102" spans="1:18" x14ac:dyDescent="0.3">
      <c r="A102" s="2">
        <v>45017</v>
      </c>
      <c r="B102" s="3" t="s">
        <v>190</v>
      </c>
      <c r="D102" s="6" t="s">
        <v>145</v>
      </c>
      <c r="E102" s="1">
        <v>14584.183312263071</v>
      </c>
    </row>
    <row r="103" spans="1:18" x14ac:dyDescent="0.3">
      <c r="A103" s="2">
        <v>45047</v>
      </c>
      <c r="B103" s="3" t="s">
        <v>190</v>
      </c>
      <c r="D103" s="6" t="s">
        <v>145</v>
      </c>
      <c r="E103" s="1">
        <v>13604.00000000012</v>
      </c>
    </row>
    <row r="104" spans="1:18" x14ac:dyDescent="0.3">
      <c r="A104" s="2">
        <v>45078</v>
      </c>
      <c r="B104" s="3" t="s">
        <v>190</v>
      </c>
      <c r="D104" s="6" t="s">
        <v>145</v>
      </c>
      <c r="E104" s="1">
        <v>8669.142857142926</v>
      </c>
    </row>
    <row r="105" spans="1:18" x14ac:dyDescent="0.3">
      <c r="A105" s="2">
        <v>45108</v>
      </c>
      <c r="B105" s="3" t="s">
        <v>190</v>
      </c>
      <c r="D105" s="6" t="s">
        <v>145</v>
      </c>
      <c r="E105" s="1">
        <v>9065.8571428570121</v>
      </c>
    </row>
    <row r="106" spans="1:18" x14ac:dyDescent="0.3">
      <c r="A106" s="2">
        <v>45139</v>
      </c>
      <c r="B106" s="3" t="s">
        <v>190</v>
      </c>
      <c r="D106" s="6" t="s">
        <v>145</v>
      </c>
      <c r="E106" s="1">
        <v>13082.000000000109</v>
      </c>
    </row>
    <row r="107" spans="1:18" x14ac:dyDescent="0.3">
      <c r="A107" s="2">
        <v>45170</v>
      </c>
      <c r="B107" s="3" t="s">
        <v>190</v>
      </c>
      <c r="D107" s="6" t="s">
        <v>145</v>
      </c>
      <c r="E107" s="1">
        <v>15324.99999999984</v>
      </c>
    </row>
    <row r="108" spans="1:18" x14ac:dyDescent="0.3">
      <c r="A108" s="2">
        <v>45200</v>
      </c>
      <c r="B108" s="3" t="s">
        <v>190</v>
      </c>
      <c r="D108" s="6" t="s">
        <v>145</v>
      </c>
      <c r="E108" s="1">
        <v>15584.00000000018</v>
      </c>
    </row>
    <row r="109" spans="1:18" x14ac:dyDescent="0.3">
      <c r="A109" s="2">
        <v>45231</v>
      </c>
      <c r="B109" s="3" t="s">
        <v>190</v>
      </c>
      <c r="D109" s="6" t="s">
        <v>145</v>
      </c>
      <c r="E109" s="1">
        <v>12983.45523329121</v>
      </c>
    </row>
    <row r="110" spans="1:18" x14ac:dyDescent="0.3">
      <c r="A110" s="2">
        <v>45261</v>
      </c>
      <c r="B110" s="3" t="s">
        <v>190</v>
      </c>
      <c r="D110" s="6" t="s">
        <v>145</v>
      </c>
      <c r="E110" s="1">
        <v>10577.096490846699</v>
      </c>
    </row>
    <row r="111" spans="1:18" s="15" customFormat="1" x14ac:dyDescent="0.3">
      <c r="A111" s="38">
        <v>44927</v>
      </c>
      <c r="B111" s="22" t="s">
        <v>133</v>
      </c>
      <c r="C111" s="22">
        <v>186318</v>
      </c>
      <c r="D111" s="22" t="s">
        <v>134</v>
      </c>
      <c r="E111" s="21">
        <v>83762.939393939494</v>
      </c>
      <c r="F111" s="21"/>
      <c r="G111" s="21"/>
      <c r="H111" s="21">
        <v>11923.333333333179</v>
      </c>
      <c r="I111" s="21">
        <v>3923.685875355035</v>
      </c>
      <c r="J111" s="20"/>
      <c r="K111" s="21">
        <f>(SUM(E111:E122)*3.412)/C111</f>
        <v>20.783899267724205</v>
      </c>
      <c r="L111" s="21"/>
      <c r="M111" s="21">
        <f>(SUM(H111:H122)*100)/C111</f>
        <v>44.061055915649305</v>
      </c>
      <c r="N111" s="21">
        <f>(SUM(I111:I122)*12)/C111</f>
        <v>15.925926331088087</v>
      </c>
      <c r="O111" s="21"/>
      <c r="P111" s="34">
        <f>SUM(K111:N111)</f>
        <v>80.770881514461607</v>
      </c>
      <c r="Q111" s="19" t="s">
        <v>266</v>
      </c>
      <c r="R111" s="20"/>
    </row>
    <row r="112" spans="1:18" x14ac:dyDescent="0.3">
      <c r="A112" s="2">
        <v>44958</v>
      </c>
      <c r="B112" s="3" t="s">
        <v>133</v>
      </c>
      <c r="C112" s="3">
        <v>186318</v>
      </c>
      <c r="D112" s="3" t="s">
        <v>134</v>
      </c>
      <c r="E112" s="1">
        <v>97841.999999999709</v>
      </c>
      <c r="H112" s="1">
        <v>12279.99999999986</v>
      </c>
      <c r="I112" s="1">
        <v>8169.0943359374141</v>
      </c>
      <c r="Q112" s="10" t="s">
        <v>267</v>
      </c>
    </row>
    <row r="113" spans="1:37" x14ac:dyDescent="0.3">
      <c r="A113" s="2">
        <v>44986</v>
      </c>
      <c r="B113" s="3" t="s">
        <v>133</v>
      </c>
      <c r="C113" s="3">
        <v>186318</v>
      </c>
      <c r="D113" s="3" t="s">
        <v>134</v>
      </c>
      <c r="E113" s="1">
        <v>103142.6776232617</v>
      </c>
      <c r="H113" s="1">
        <v>12060.83438685225</v>
      </c>
      <c r="I113" s="1">
        <v>9228.111754182848</v>
      </c>
      <c r="Q113" t="s">
        <v>268</v>
      </c>
    </row>
    <row r="114" spans="1:37" x14ac:dyDescent="0.3">
      <c r="A114" s="2">
        <v>45017</v>
      </c>
      <c r="B114" s="3" t="s">
        <v>133</v>
      </c>
      <c r="C114" s="3">
        <v>186318</v>
      </c>
      <c r="D114" s="3" t="s">
        <v>134</v>
      </c>
      <c r="E114" s="1">
        <v>106302.32237673691</v>
      </c>
      <c r="H114" s="1">
        <v>8269.1656131478285</v>
      </c>
      <c r="I114" s="1">
        <v>17378.103480192309</v>
      </c>
      <c r="Q114"/>
    </row>
    <row r="115" spans="1:37" x14ac:dyDescent="0.3">
      <c r="A115" s="2">
        <v>45047</v>
      </c>
      <c r="B115" s="3" t="s">
        <v>133</v>
      </c>
      <c r="C115" s="3">
        <v>186318</v>
      </c>
      <c r="D115" s="3" t="s">
        <v>134</v>
      </c>
      <c r="E115" s="1">
        <v>96874.999999999316</v>
      </c>
      <c r="H115" s="1">
        <v>5989.9999999999727</v>
      </c>
      <c r="I115" s="1">
        <v>17364.958789062501</v>
      </c>
    </row>
    <row r="116" spans="1:37" x14ac:dyDescent="0.3">
      <c r="A116" s="2">
        <v>45078</v>
      </c>
      <c r="B116" s="3" t="s">
        <v>133</v>
      </c>
      <c r="C116" s="3">
        <v>186318</v>
      </c>
      <c r="D116" s="3" t="s">
        <v>134</v>
      </c>
      <c r="E116" s="1">
        <v>70182.857142857029</v>
      </c>
      <c r="H116" s="1">
        <v>3394.285714285742</v>
      </c>
      <c r="I116" s="1">
        <v>17248.88730468724</v>
      </c>
    </row>
    <row r="117" spans="1:37" x14ac:dyDescent="0.3">
      <c r="A117" s="2">
        <v>45108</v>
      </c>
      <c r="B117" s="3" t="s">
        <v>133</v>
      </c>
      <c r="C117" s="3">
        <v>186318</v>
      </c>
      <c r="D117" s="3" t="s">
        <v>134</v>
      </c>
      <c r="E117" s="1">
        <v>75508.142857143335</v>
      </c>
      <c r="H117" s="1">
        <v>2435.714285714314</v>
      </c>
      <c r="I117" s="1">
        <v>30211.36904296912</v>
      </c>
    </row>
    <row r="118" spans="1:37" x14ac:dyDescent="0.3">
      <c r="A118" s="2">
        <v>45139</v>
      </c>
      <c r="B118" s="3" t="s">
        <v>133</v>
      </c>
      <c r="C118" s="3">
        <v>186318</v>
      </c>
      <c r="D118" s="3" t="s">
        <v>134</v>
      </c>
      <c r="E118" s="1">
        <v>92632.428571428041</v>
      </c>
      <c r="H118" s="1">
        <v>1549.9999999999879</v>
      </c>
      <c r="I118" s="1">
        <v>46773.133613282029</v>
      </c>
    </row>
    <row r="119" spans="1:37" x14ac:dyDescent="0.3">
      <c r="A119" s="2">
        <v>45170</v>
      </c>
      <c r="B119" s="3" t="s">
        <v>133</v>
      </c>
      <c r="C119" s="3">
        <v>186318</v>
      </c>
      <c r="D119" s="3" t="s">
        <v>134</v>
      </c>
      <c r="E119" s="1">
        <v>105804.67857142939</v>
      </c>
      <c r="H119" s="1">
        <v>2985.714285714309</v>
      </c>
      <c r="I119" s="1">
        <v>37017.166142578018</v>
      </c>
    </row>
    <row r="120" spans="1:37" x14ac:dyDescent="0.3">
      <c r="A120" s="2">
        <v>45200</v>
      </c>
      <c r="B120" s="3" t="s">
        <v>133</v>
      </c>
      <c r="C120" s="3">
        <v>186318</v>
      </c>
      <c r="D120" s="3" t="s">
        <v>134</v>
      </c>
      <c r="E120" s="1">
        <v>112315.8928571415</v>
      </c>
      <c r="H120" s="1">
        <v>4154.2857142856919</v>
      </c>
      <c r="I120" s="1">
        <v>36016.901416015797</v>
      </c>
    </row>
    <row r="121" spans="1:37" x14ac:dyDescent="0.3">
      <c r="A121" s="2">
        <v>45231</v>
      </c>
      <c r="B121" s="3" t="s">
        <v>133</v>
      </c>
      <c r="C121" s="3">
        <v>186318</v>
      </c>
      <c r="D121" s="3" t="s">
        <v>134</v>
      </c>
      <c r="E121" s="1">
        <v>104591.8240857513</v>
      </c>
      <c r="H121" s="1">
        <v>7619.1424968474612</v>
      </c>
      <c r="I121" s="1">
        <v>15659.32760605471</v>
      </c>
    </row>
    <row r="122" spans="1:37" x14ac:dyDescent="0.3">
      <c r="A122" s="2">
        <v>45261</v>
      </c>
      <c r="B122" s="3" t="s">
        <v>133</v>
      </c>
      <c r="C122" s="3">
        <v>186318</v>
      </c>
      <c r="D122" s="3" t="s">
        <v>134</v>
      </c>
      <c r="E122" s="1">
        <v>85979.020741836022</v>
      </c>
      <c r="H122" s="1">
        <v>9431.2023307388827</v>
      </c>
      <c r="I122" s="1">
        <v>8283.1558193221917</v>
      </c>
    </row>
    <row r="123" spans="1:37" s="15" customFormat="1" x14ac:dyDescent="0.3">
      <c r="A123" s="38">
        <v>44927</v>
      </c>
      <c r="B123" s="22" t="s">
        <v>135</v>
      </c>
      <c r="C123" s="22">
        <v>11541</v>
      </c>
      <c r="D123" s="22" t="s">
        <v>136</v>
      </c>
      <c r="E123" s="21">
        <v>27899.088912300766</v>
      </c>
      <c r="F123" s="21"/>
      <c r="G123" s="21"/>
      <c r="H123" s="21"/>
      <c r="I123" s="21"/>
      <c r="J123" s="20"/>
      <c r="K123" s="21">
        <f>(SUM(E123:E134)*3.412)/C123</f>
        <v>141.10980920008882</v>
      </c>
      <c r="L123" s="21"/>
      <c r="M123" s="21"/>
      <c r="N123" s="21"/>
      <c r="O123" s="21"/>
      <c r="P123" s="34">
        <f>SUM(K123:N123)</f>
        <v>141.10980920008882</v>
      </c>
      <c r="Q123" s="30" t="s">
        <v>21</v>
      </c>
      <c r="R123" s="20" t="s">
        <v>271</v>
      </c>
      <c r="S123" s="15">
        <v>1.54599859810382</v>
      </c>
      <c r="AJ123" s="15">
        <v>3.426944878020548</v>
      </c>
      <c r="AK123" s="15">
        <v>4433.2526881720532</v>
      </c>
    </row>
    <row r="124" spans="1:37" x14ac:dyDescent="0.3">
      <c r="A124" s="2">
        <v>44958</v>
      </c>
      <c r="B124" s="3" t="s">
        <v>135</v>
      </c>
      <c r="C124" s="3">
        <v>11541</v>
      </c>
      <c r="D124" s="3" t="s">
        <v>136</v>
      </c>
      <c r="E124" s="1">
        <v>46542.034238509834</v>
      </c>
      <c r="Q124" s="25" t="s">
        <v>23</v>
      </c>
      <c r="S124">
        <v>2.9592976830517581</v>
      </c>
      <c r="AJ124">
        <v>4.2035268017152996</v>
      </c>
      <c r="AK124">
        <v>7377.7139784945584</v>
      </c>
    </row>
    <row r="125" spans="1:37" x14ac:dyDescent="0.3">
      <c r="A125" s="2">
        <v>44986</v>
      </c>
      <c r="B125" s="3" t="s">
        <v>135</v>
      </c>
      <c r="C125" s="3">
        <v>11541</v>
      </c>
      <c r="D125" s="3" t="s">
        <v>136</v>
      </c>
      <c r="E125" s="1">
        <v>49277.504723399878</v>
      </c>
      <c r="Q125" s="25" t="s">
        <v>24</v>
      </c>
      <c r="S125">
        <v>1.793250798015686</v>
      </c>
      <c r="AJ125">
        <v>4.4224066700878124</v>
      </c>
      <c r="AK125">
        <v>6828.8378896882268</v>
      </c>
    </row>
    <row r="126" spans="1:37" x14ac:dyDescent="0.3">
      <c r="A126" s="2">
        <v>45017</v>
      </c>
      <c r="B126" s="3" t="s">
        <v>135</v>
      </c>
      <c r="C126" s="3">
        <v>11541</v>
      </c>
      <c r="D126" s="3" t="s">
        <v>136</v>
      </c>
      <c r="E126" s="1">
        <v>43874.384895041585</v>
      </c>
      <c r="Q126" s="25" t="s">
        <v>25</v>
      </c>
      <c r="S126">
        <v>1.1197365607514069</v>
      </c>
      <c r="AJ126">
        <v>3.532745587904679</v>
      </c>
      <c r="AK126">
        <v>-570.97122302158493</v>
      </c>
    </row>
    <row r="127" spans="1:37" x14ac:dyDescent="0.3">
      <c r="A127" s="2">
        <v>45047</v>
      </c>
      <c r="B127" s="3" t="s">
        <v>135</v>
      </c>
      <c r="C127" s="3">
        <v>11541</v>
      </c>
      <c r="D127" s="3" t="s">
        <v>136</v>
      </c>
      <c r="E127" s="1">
        <v>31404.850536465645</v>
      </c>
      <c r="Q127" s="25" t="s">
        <v>269</v>
      </c>
      <c r="S127">
        <v>0.9705255376344013</v>
      </c>
      <c r="AJ127">
        <v>0.83594282485691207</v>
      </c>
      <c r="AK127">
        <v>-6701.9032258063453</v>
      </c>
    </row>
    <row r="128" spans="1:37" x14ac:dyDescent="0.3">
      <c r="A128" s="2">
        <v>45078</v>
      </c>
      <c r="B128" s="3" t="s">
        <v>135</v>
      </c>
      <c r="C128" s="3">
        <v>11541</v>
      </c>
      <c r="D128" s="3" t="s">
        <v>136</v>
      </c>
      <c r="E128" s="1">
        <v>30659.128949142992</v>
      </c>
      <c r="Q128" s="25" t="s">
        <v>270</v>
      </c>
      <c r="S128">
        <v>0.89413939393939745</v>
      </c>
      <c r="AJ128">
        <v>1.505750140008965</v>
      </c>
      <c r="AK128">
        <v>-6766.784274193491</v>
      </c>
    </row>
    <row r="129" spans="1:37" x14ac:dyDescent="0.3">
      <c r="A129" s="2">
        <v>45108</v>
      </c>
      <c r="B129" s="3" t="s">
        <v>135</v>
      </c>
      <c r="C129" s="3">
        <v>11541</v>
      </c>
      <c r="D129" s="3" t="s">
        <v>136</v>
      </c>
      <c r="E129" s="1">
        <v>36575.70892766118</v>
      </c>
      <c r="S129">
        <v>1.335310319546992</v>
      </c>
      <c r="AJ129">
        <v>2.4850352532906741</v>
      </c>
      <c r="AK129">
        <v>-4099.9331896550657</v>
      </c>
    </row>
    <row r="130" spans="1:37" x14ac:dyDescent="0.3">
      <c r="A130" s="2">
        <v>45139</v>
      </c>
      <c r="B130" s="3" t="s">
        <v>135</v>
      </c>
      <c r="C130" s="3">
        <v>11541</v>
      </c>
      <c r="D130" s="3" t="s">
        <v>136</v>
      </c>
      <c r="E130" s="1">
        <v>43618.082468301058</v>
      </c>
      <c r="S130">
        <v>2.352635428253584</v>
      </c>
      <c r="AJ130">
        <v>3.3413399147200509</v>
      </c>
      <c r="AK130">
        <v>3869.0206896551308</v>
      </c>
    </row>
    <row r="131" spans="1:37" x14ac:dyDescent="0.3">
      <c r="A131" s="2">
        <v>45170</v>
      </c>
      <c r="B131" s="3" t="s">
        <v>135</v>
      </c>
      <c r="C131" s="3">
        <v>11541</v>
      </c>
      <c r="D131" s="3" t="s">
        <v>136</v>
      </c>
      <c r="E131" s="1">
        <v>42041.164421446621</v>
      </c>
      <c r="S131">
        <v>2.4762458333333419</v>
      </c>
      <c r="AJ131">
        <v>3.7394166666666679</v>
      </c>
      <c r="AK131">
        <v>5431.8500000000204</v>
      </c>
    </row>
    <row r="132" spans="1:37" x14ac:dyDescent="0.3">
      <c r="A132" s="2">
        <v>45200</v>
      </c>
      <c r="B132" s="3" t="s">
        <v>135</v>
      </c>
      <c r="C132" s="3">
        <v>11541</v>
      </c>
      <c r="D132" s="3" t="s">
        <v>136</v>
      </c>
      <c r="E132" s="1">
        <v>48474.59506097436</v>
      </c>
      <c r="S132">
        <v>2.3655290627265622</v>
      </c>
      <c r="AJ132">
        <v>3.825489135465312</v>
      </c>
      <c r="AK132">
        <v>6215.8059540889972</v>
      </c>
    </row>
    <row r="133" spans="1:37" x14ac:dyDescent="0.3">
      <c r="A133" s="2">
        <v>45231</v>
      </c>
      <c r="B133" s="3" t="s">
        <v>135</v>
      </c>
      <c r="C133" s="3">
        <v>11541</v>
      </c>
      <c r="D133" s="3" t="s">
        <v>136</v>
      </c>
      <c r="E133" s="1">
        <v>45983.657850564865</v>
      </c>
      <c r="S133">
        <v>2.257964417577452</v>
      </c>
      <c r="AJ133">
        <v>4.0288997619626734</v>
      </c>
      <c r="AK133">
        <v>7770.2343684916132</v>
      </c>
    </row>
    <row r="134" spans="1:37" x14ac:dyDescent="0.3">
      <c r="A134" s="2">
        <v>45261</v>
      </c>
      <c r="B134" s="3" t="s">
        <v>135</v>
      </c>
      <c r="C134" s="3">
        <v>11541</v>
      </c>
      <c r="D134" s="3" t="s">
        <v>136</v>
      </c>
      <c r="E134" s="1">
        <v>30950.006512740161</v>
      </c>
      <c r="S134">
        <v>1.733443895248026</v>
      </c>
      <c r="AJ134">
        <v>2.9390998959417858</v>
      </c>
      <c r="AK134">
        <v>4584.6129032257322</v>
      </c>
    </row>
    <row r="135" spans="1:37" s="15" customFormat="1" x14ac:dyDescent="0.3">
      <c r="A135" s="38">
        <v>44927</v>
      </c>
      <c r="B135" s="22" t="s">
        <v>137</v>
      </c>
      <c r="C135" s="22">
        <v>33407</v>
      </c>
      <c r="D135" s="22" t="s">
        <v>127</v>
      </c>
      <c r="E135" s="21">
        <v>22429.43103448267</v>
      </c>
      <c r="F135" s="21"/>
      <c r="G135" s="21">
        <v>12.706171631813049</v>
      </c>
      <c r="H135" s="21">
        <v>797.56835937499443</v>
      </c>
      <c r="I135" s="21">
        <v>1408.6126097791021</v>
      </c>
      <c r="J135" s="20"/>
      <c r="K135" s="21">
        <f>(SUM(E135:E146)*3.412)/C135</f>
        <v>31.007827514984893</v>
      </c>
      <c r="L135" s="21">
        <f>(SUM(G135:G146)*100)/C135</f>
        <v>0.80855948270146916</v>
      </c>
      <c r="M135" s="21">
        <f>(SUM(H135:H146)*100)/C135</f>
        <v>29.644690648537434</v>
      </c>
      <c r="N135" s="21">
        <f>(SUM(I135:I146)*12)/C135</f>
        <v>41.719078883377627</v>
      </c>
      <c r="O135" s="21"/>
      <c r="P135" s="34">
        <f>SUM(K135:N135)</f>
        <v>103.18015652960142</v>
      </c>
      <c r="Q135" s="19" t="s">
        <v>272</v>
      </c>
      <c r="R135" s="20"/>
    </row>
    <row r="136" spans="1:37" x14ac:dyDescent="0.3">
      <c r="A136" s="2">
        <v>44958</v>
      </c>
      <c r="B136" s="3" t="s">
        <v>137</v>
      </c>
      <c r="C136" s="3">
        <v>33407</v>
      </c>
      <c r="D136" s="3" t="s">
        <v>127</v>
      </c>
      <c r="E136" s="1">
        <v>25594.499999999902</v>
      </c>
      <c r="G136" s="1">
        <v>21.129968047142029</v>
      </c>
      <c r="H136" s="1">
        <v>875.56640625001148</v>
      </c>
      <c r="I136" s="1">
        <v>781.62563476563287</v>
      </c>
      <c r="Q136" s="10" t="s">
        <v>273</v>
      </c>
    </row>
    <row r="137" spans="1:37" x14ac:dyDescent="0.3">
      <c r="A137" s="2">
        <v>44986</v>
      </c>
      <c r="B137" s="3" t="s">
        <v>137</v>
      </c>
      <c r="C137" s="3">
        <v>33407</v>
      </c>
      <c r="D137" s="3" t="s">
        <v>127</v>
      </c>
      <c r="E137" s="1">
        <v>27439.337547408151</v>
      </c>
      <c r="G137" s="1">
        <v>24.075812339782711</v>
      </c>
      <c r="H137" s="1">
        <v>1054.466248716034</v>
      </c>
      <c r="I137" s="1">
        <v>843.9605866165183</v>
      </c>
      <c r="Q137" s="10" t="s">
        <v>274</v>
      </c>
    </row>
    <row r="138" spans="1:37" x14ac:dyDescent="0.3">
      <c r="A138" s="2">
        <v>45017</v>
      </c>
      <c r="B138" s="3" t="s">
        <v>137</v>
      </c>
      <c r="C138" s="3">
        <v>33407</v>
      </c>
      <c r="D138" s="3" t="s">
        <v>127</v>
      </c>
      <c r="E138" s="1">
        <v>27463.662452591539</v>
      </c>
      <c r="G138" s="1">
        <v>27.106162756681439</v>
      </c>
      <c r="H138" s="1">
        <v>849.75250128397965</v>
      </c>
      <c r="I138" s="1">
        <v>5577.9016692428859</v>
      </c>
      <c r="Q138" s="10" t="s">
        <v>275</v>
      </c>
    </row>
    <row r="139" spans="1:37" x14ac:dyDescent="0.3">
      <c r="A139" s="2">
        <v>45047</v>
      </c>
      <c r="B139" s="3" t="s">
        <v>137</v>
      </c>
      <c r="C139" s="3">
        <v>33407</v>
      </c>
      <c r="D139" s="3" t="s">
        <v>127</v>
      </c>
      <c r="E139" s="1">
        <v>26857.49999999984</v>
      </c>
      <c r="G139" s="1">
        <v>23.008007764816281</v>
      </c>
      <c r="H139" s="1">
        <v>877.19726562501046</v>
      </c>
      <c r="I139" s="1">
        <v>8922.9015332030194</v>
      </c>
    </row>
    <row r="140" spans="1:37" x14ac:dyDescent="0.3">
      <c r="A140" s="2">
        <v>45078</v>
      </c>
      <c r="B140" s="3" t="s">
        <v>137</v>
      </c>
      <c r="C140" s="3">
        <v>33407</v>
      </c>
      <c r="D140" s="3" t="s">
        <v>127</v>
      </c>
      <c r="E140" s="1">
        <v>23764.02439024351</v>
      </c>
      <c r="G140" s="1">
        <v>19.81864678859711</v>
      </c>
      <c r="H140" s="1">
        <v>795.96751143293363</v>
      </c>
      <c r="I140" s="1">
        <v>14833.271927400931</v>
      </c>
    </row>
    <row r="141" spans="1:37" x14ac:dyDescent="0.3">
      <c r="A141" s="2">
        <v>45108</v>
      </c>
      <c r="B141" s="3" t="s">
        <v>137</v>
      </c>
      <c r="C141" s="3">
        <v>33407</v>
      </c>
      <c r="D141" s="3" t="s">
        <v>127</v>
      </c>
      <c r="E141" s="1">
        <v>24717.47560975633</v>
      </c>
      <c r="G141" s="1">
        <v>20.960620403289791</v>
      </c>
      <c r="H141" s="1">
        <v>644.93092606707251</v>
      </c>
      <c r="I141" s="1">
        <v>16982.34992806779</v>
      </c>
    </row>
    <row r="142" spans="1:37" x14ac:dyDescent="0.3">
      <c r="A142" s="2">
        <v>45139</v>
      </c>
      <c r="B142" s="3" t="s">
        <v>137</v>
      </c>
      <c r="C142" s="3">
        <v>33407</v>
      </c>
      <c r="D142" s="3" t="s">
        <v>127</v>
      </c>
      <c r="E142" s="1">
        <v>24128.185714285792</v>
      </c>
      <c r="G142" s="1">
        <v>21.05898380279541</v>
      </c>
      <c r="H142" s="1">
        <v>582.27064732141775</v>
      </c>
      <c r="I142" s="1">
        <v>16814.63616741039</v>
      </c>
    </row>
    <row r="143" spans="1:37" x14ac:dyDescent="0.3">
      <c r="A143" s="2">
        <v>45170</v>
      </c>
      <c r="B143" s="3" t="s">
        <v>137</v>
      </c>
      <c r="C143" s="3">
        <v>33407</v>
      </c>
      <c r="D143" s="3" t="s">
        <v>127</v>
      </c>
      <c r="E143" s="1">
        <v>25513.277248676979</v>
      </c>
      <c r="G143" s="1">
        <v>27.345758646726608</v>
      </c>
      <c r="H143" s="1">
        <v>743.24367559523102</v>
      </c>
      <c r="I143" s="1">
        <v>14955.57132029168</v>
      </c>
    </row>
    <row r="144" spans="1:37" x14ac:dyDescent="0.3">
      <c r="A144" s="2">
        <v>45200</v>
      </c>
      <c r="B144" s="3" t="s">
        <v>137</v>
      </c>
      <c r="C144" s="3">
        <v>33407</v>
      </c>
      <c r="D144" s="3" t="s">
        <v>127</v>
      </c>
      <c r="E144" s="1">
        <v>26114.537037036931</v>
      </c>
      <c r="G144" s="1">
        <v>27.011189371347431</v>
      </c>
      <c r="H144" s="1">
        <v>743.38216145833826</v>
      </c>
      <c r="I144" s="1">
        <v>15094.454309172221</v>
      </c>
    </row>
    <row r="145" spans="1:38" x14ac:dyDescent="0.3">
      <c r="A145" s="2">
        <v>45231</v>
      </c>
      <c r="B145" s="3" t="s">
        <v>137</v>
      </c>
      <c r="C145" s="3">
        <v>33407</v>
      </c>
      <c r="D145" s="3" t="s">
        <v>127</v>
      </c>
      <c r="E145" s="1">
        <v>25032.247162673419</v>
      </c>
      <c r="G145" s="1">
        <v>24.106285035610199</v>
      </c>
      <c r="H145" s="1">
        <v>982.44809317857926</v>
      </c>
      <c r="I145" s="1">
        <v>9242.110174340427</v>
      </c>
    </row>
    <row r="146" spans="1:38" x14ac:dyDescent="0.3">
      <c r="A146" s="2">
        <v>45261</v>
      </c>
      <c r="B146" s="3" t="s">
        <v>137</v>
      </c>
      <c r="C146" s="3">
        <v>33407</v>
      </c>
      <c r="D146" s="3" t="s">
        <v>127</v>
      </c>
      <c r="E146" s="1">
        <v>24544.44249249922</v>
      </c>
      <c r="G146" s="1">
        <v>21.787859797477719</v>
      </c>
      <c r="H146" s="1">
        <v>956.60800865329759</v>
      </c>
      <c r="I146" s="1">
        <v>10685.043161125761</v>
      </c>
    </row>
    <row r="147" spans="1:38" s="15" customFormat="1" x14ac:dyDescent="0.3">
      <c r="A147" s="38">
        <v>44927</v>
      </c>
      <c r="B147" s="22" t="s">
        <v>138</v>
      </c>
      <c r="C147" s="22">
        <v>12889</v>
      </c>
      <c r="D147" s="22" t="s">
        <v>127</v>
      </c>
      <c r="E147" s="21">
        <v>2434.8879999999958</v>
      </c>
      <c r="F147" s="21"/>
      <c r="G147" s="21">
        <v>124.193939393939</v>
      </c>
      <c r="H147" s="21"/>
      <c r="I147" s="21"/>
      <c r="J147" s="20"/>
      <c r="K147" s="21">
        <f>(SUM(E147:E158)*3.412)/C147</f>
        <v>10.064787529888052</v>
      </c>
      <c r="L147" s="21">
        <f>(SUM(G147:G158)*100)/C147</f>
        <v>7.1905336239264388</v>
      </c>
      <c r="M147" s="21"/>
      <c r="N147" s="21"/>
      <c r="O147" s="21"/>
      <c r="P147" s="34">
        <f>SUM(K147:N147)</f>
        <v>17.255321153814492</v>
      </c>
      <c r="Q147" s="19" t="s">
        <v>276</v>
      </c>
      <c r="R147" s="20"/>
      <c r="T147" s="15">
        <v>0.419255294884331</v>
      </c>
      <c r="AL147" s="15">
        <v>1.038790770609324</v>
      </c>
    </row>
    <row r="148" spans="1:38" x14ac:dyDescent="0.3">
      <c r="A148" s="2">
        <v>44958</v>
      </c>
      <c r="B148" s="3" t="s">
        <v>138</v>
      </c>
      <c r="C148" s="3">
        <v>12889</v>
      </c>
      <c r="D148" s="3" t="s">
        <v>127</v>
      </c>
      <c r="E148" s="1">
        <v>2802.191251798537</v>
      </c>
      <c r="G148" s="1">
        <v>156.49544364508179</v>
      </c>
      <c r="Q148" s="10" t="s">
        <v>277</v>
      </c>
      <c r="T148">
        <v>0.58646602004111004</v>
      </c>
      <c r="AL148">
        <v>1.320859937050356</v>
      </c>
    </row>
    <row r="149" spans="1:38" x14ac:dyDescent="0.3">
      <c r="A149" s="2">
        <v>44986</v>
      </c>
      <c r="B149" s="3" t="s">
        <v>138</v>
      </c>
      <c r="C149" s="3">
        <v>12889</v>
      </c>
      <c r="D149" s="3" t="s">
        <v>127</v>
      </c>
      <c r="E149" s="1">
        <v>2705.1182482014519</v>
      </c>
      <c r="G149" s="1">
        <v>136.62122302158309</v>
      </c>
      <c r="T149">
        <v>0.37002063867075968</v>
      </c>
      <c r="AL149">
        <v>1.1832189566650839</v>
      </c>
    </row>
    <row r="150" spans="1:38" x14ac:dyDescent="0.3">
      <c r="A150" s="2">
        <v>45017</v>
      </c>
      <c r="B150" s="3" t="s">
        <v>138</v>
      </c>
      <c r="C150" s="3">
        <v>12889</v>
      </c>
      <c r="D150" s="3" t="s">
        <v>127</v>
      </c>
      <c r="E150" s="1">
        <v>2485.0769827585918</v>
      </c>
      <c r="G150" s="1">
        <v>82.163793103449052</v>
      </c>
      <c r="T150">
        <v>0.17151041666666919</v>
      </c>
      <c r="AL150">
        <v>1.1281709620450251</v>
      </c>
    </row>
    <row r="151" spans="1:38" x14ac:dyDescent="0.3">
      <c r="A151" s="2">
        <v>45047</v>
      </c>
      <c r="B151" s="3" t="s">
        <v>138</v>
      </c>
      <c r="C151" s="3">
        <v>12889</v>
      </c>
      <c r="D151" s="3" t="s">
        <v>127</v>
      </c>
      <c r="E151" s="1">
        <v>2952.37454949944</v>
      </c>
      <c r="G151" s="1">
        <v>60.48943270300326</v>
      </c>
      <c r="T151">
        <v>0.113970690253207</v>
      </c>
      <c r="AL151">
        <v>1.323078420467181</v>
      </c>
    </row>
    <row r="152" spans="1:38" x14ac:dyDescent="0.3">
      <c r="A152" s="2">
        <v>45078</v>
      </c>
      <c r="B152" s="3" t="s">
        <v>138</v>
      </c>
      <c r="C152" s="3">
        <v>12889</v>
      </c>
      <c r="D152" s="3" t="s">
        <v>127</v>
      </c>
      <c r="E152" s="1">
        <v>3149.4409677419412</v>
      </c>
      <c r="G152" s="1">
        <v>41.034274193548363</v>
      </c>
      <c r="T152">
        <v>8.7673429099462324E-2</v>
      </c>
      <c r="AL152">
        <v>1.5718055555555319</v>
      </c>
    </row>
    <row r="153" spans="1:38" x14ac:dyDescent="0.3">
      <c r="A153" s="2">
        <v>45108</v>
      </c>
      <c r="B153" s="3" t="s">
        <v>138</v>
      </c>
      <c r="C153" s="3">
        <v>12889</v>
      </c>
      <c r="D153" s="3" t="s">
        <v>127</v>
      </c>
      <c r="E153" s="1">
        <v>4118.3941379310018</v>
      </c>
      <c r="G153" s="1">
        <v>18.20043103448263</v>
      </c>
      <c r="T153">
        <v>5.1824118812569653E-2</v>
      </c>
      <c r="AL153">
        <v>2.0741745457915872</v>
      </c>
    </row>
    <row r="154" spans="1:38" x14ac:dyDescent="0.3">
      <c r="A154" s="2">
        <v>45139</v>
      </c>
      <c r="B154" s="3" t="s">
        <v>138</v>
      </c>
      <c r="C154" s="3">
        <v>12889</v>
      </c>
      <c r="D154" s="3" t="s">
        <v>127</v>
      </c>
      <c r="E154" s="1">
        <v>5179.6238620689273</v>
      </c>
      <c r="G154" s="1">
        <v>31.062068965517071</v>
      </c>
      <c r="T154">
        <v>7.7109936967000761E-2</v>
      </c>
      <c r="AL154">
        <v>2.6251493789395668</v>
      </c>
    </row>
    <row r="155" spans="1:38" x14ac:dyDescent="0.3">
      <c r="A155" s="2">
        <v>45170</v>
      </c>
      <c r="B155" s="3" t="s">
        <v>138</v>
      </c>
      <c r="C155" s="3">
        <v>12889</v>
      </c>
      <c r="D155" s="3" t="s">
        <v>127</v>
      </c>
      <c r="E155" s="1">
        <v>4087.564500000015</v>
      </c>
      <c r="G155" s="1">
        <v>56.79999999999977</v>
      </c>
      <c r="T155">
        <v>0.1354638888888898</v>
      </c>
      <c r="AL155">
        <v>2.128320572916683</v>
      </c>
    </row>
    <row r="156" spans="1:38" x14ac:dyDescent="0.3">
      <c r="A156" s="2">
        <v>45200</v>
      </c>
      <c r="B156" s="3" t="s">
        <v>138</v>
      </c>
      <c r="C156" s="3">
        <v>12889</v>
      </c>
      <c r="D156" s="3" t="s">
        <v>127</v>
      </c>
      <c r="E156" s="1">
        <v>3258.6876721664512</v>
      </c>
      <c r="G156" s="1">
        <v>60.4261119081782</v>
      </c>
      <c r="T156">
        <v>0.153790843245245</v>
      </c>
      <c r="AL156">
        <v>1.5588626847154301</v>
      </c>
    </row>
    <row r="157" spans="1:38" x14ac:dyDescent="0.3">
      <c r="A157" s="2">
        <v>45231</v>
      </c>
      <c r="B157" s="3" t="s">
        <v>138</v>
      </c>
      <c r="C157" s="3">
        <v>12889</v>
      </c>
      <c r="D157" s="3" t="s">
        <v>127</v>
      </c>
      <c r="E157" s="1">
        <v>2455.3438278335698</v>
      </c>
      <c r="G157" s="1">
        <v>69.373888091822892</v>
      </c>
      <c r="T157">
        <v>0.1990128700307976</v>
      </c>
      <c r="AL157">
        <v>1.193176629780492</v>
      </c>
    </row>
    <row r="158" spans="1:38" x14ac:dyDescent="0.3">
      <c r="A158" s="2">
        <v>45261</v>
      </c>
      <c r="B158" s="3" t="s">
        <v>138</v>
      </c>
      <c r="C158" s="3">
        <v>12889</v>
      </c>
      <c r="D158" s="3" t="s">
        <v>127</v>
      </c>
      <c r="E158" s="1">
        <v>2391.5323636363878</v>
      </c>
      <c r="G158" s="1">
        <v>89.927272727273646</v>
      </c>
      <c r="T158">
        <v>0.26812495927012198</v>
      </c>
      <c r="AL158">
        <v>1.17851963180189</v>
      </c>
    </row>
    <row r="159" spans="1:38" s="15" customFormat="1" x14ac:dyDescent="0.3">
      <c r="A159" s="38">
        <v>43101</v>
      </c>
      <c r="B159" s="22" t="s">
        <v>139</v>
      </c>
      <c r="C159" s="22">
        <v>192428</v>
      </c>
      <c r="D159" s="22" t="s">
        <v>127</v>
      </c>
      <c r="E159" s="21">
        <v>74519.000000000131</v>
      </c>
      <c r="F159" s="21"/>
      <c r="G159" s="21"/>
      <c r="H159" s="21">
        <v>874.328000000011</v>
      </c>
      <c r="I159" s="21">
        <v>7866.6352000000461</v>
      </c>
      <c r="J159" s="20"/>
      <c r="K159" s="21">
        <f>(SUM(E159:E170)*3.412)/C159</f>
        <v>16.636543589807911</v>
      </c>
      <c r="L159" s="21"/>
      <c r="M159" s="21">
        <f>(SUM(H159:H170)*100)/C159</f>
        <v>37.486952633355784</v>
      </c>
      <c r="N159" s="21">
        <f>(SUM(I159:I170)*12)/C159</f>
        <v>12.770985555051181</v>
      </c>
      <c r="O159" s="21"/>
      <c r="P159" s="34">
        <f>SUM(K159:N159)</f>
        <v>66.894481778214882</v>
      </c>
      <c r="Q159" s="30" t="s">
        <v>278</v>
      </c>
      <c r="R159" s="20"/>
    </row>
    <row r="160" spans="1:38" x14ac:dyDescent="0.3">
      <c r="A160" s="2">
        <v>43132</v>
      </c>
      <c r="B160" s="3" t="s">
        <v>139</v>
      </c>
      <c r="C160" s="3">
        <v>192428</v>
      </c>
      <c r="D160" s="3" t="s">
        <v>127</v>
      </c>
      <c r="E160" s="1">
        <v>80851.500000000509</v>
      </c>
      <c r="H160" s="1">
        <v>1256.8296000000039</v>
      </c>
      <c r="I160" s="1">
        <v>10766.62360000011</v>
      </c>
      <c r="Q160" s="25" t="s">
        <v>279</v>
      </c>
    </row>
    <row r="161" spans="1:19" x14ac:dyDescent="0.3">
      <c r="A161" s="2">
        <v>43160</v>
      </c>
      <c r="B161" s="3" t="s">
        <v>139</v>
      </c>
      <c r="C161" s="3">
        <v>192428</v>
      </c>
      <c r="D161" s="3" t="s">
        <v>127</v>
      </c>
      <c r="E161" s="1">
        <v>82979.500000000058</v>
      </c>
      <c r="H161" s="1">
        <v>1835.984800000009</v>
      </c>
      <c r="I161" s="1">
        <v>11466.620800000181</v>
      </c>
      <c r="Q161" s="25" t="s">
        <v>280</v>
      </c>
    </row>
    <row r="162" spans="1:19" x14ac:dyDescent="0.3">
      <c r="A162" s="2">
        <v>43191</v>
      </c>
      <c r="B162" s="3" t="s">
        <v>139</v>
      </c>
      <c r="C162" s="3">
        <v>192428</v>
      </c>
      <c r="D162" s="3" t="s">
        <v>127</v>
      </c>
      <c r="E162" s="1">
        <v>86780.000000000626</v>
      </c>
      <c r="H162" s="1">
        <v>1600.5704000000101</v>
      </c>
      <c r="I162" s="1">
        <v>13249.94700000008</v>
      </c>
      <c r="Q162" s="25" t="s">
        <v>281</v>
      </c>
    </row>
    <row r="163" spans="1:19" x14ac:dyDescent="0.3">
      <c r="A163" s="2">
        <v>43221</v>
      </c>
      <c r="B163" s="3" t="s">
        <v>139</v>
      </c>
      <c r="C163" s="3">
        <v>192428</v>
      </c>
      <c r="D163" s="3" t="s">
        <v>127</v>
      </c>
      <c r="E163" s="1">
        <v>74308.999999999229</v>
      </c>
      <c r="H163" s="1">
        <v>751.5559999999947</v>
      </c>
      <c r="I163" s="1">
        <v>12074.95170000008</v>
      </c>
    </row>
    <row r="164" spans="1:19" x14ac:dyDescent="0.3">
      <c r="A164" s="2">
        <v>43252</v>
      </c>
      <c r="B164" s="3" t="s">
        <v>139</v>
      </c>
      <c r="C164" s="3">
        <v>192428</v>
      </c>
      <c r="D164" s="3" t="s">
        <v>127</v>
      </c>
      <c r="E164" s="1">
        <v>71804.500000000146</v>
      </c>
      <c r="H164" s="1">
        <v>369.82399999999649</v>
      </c>
      <c r="I164" s="1">
        <v>24849.900599999761</v>
      </c>
    </row>
    <row r="165" spans="1:19" x14ac:dyDescent="0.3">
      <c r="A165" s="2">
        <v>43282</v>
      </c>
      <c r="B165" s="3" t="s">
        <v>139</v>
      </c>
      <c r="C165" s="3">
        <v>192428</v>
      </c>
      <c r="D165" s="3" t="s">
        <v>127</v>
      </c>
      <c r="E165" s="1">
        <v>69897.999999999534</v>
      </c>
      <c r="H165" s="1">
        <v>72.467199999999096</v>
      </c>
      <c r="I165" s="1">
        <v>33241.53370000024</v>
      </c>
    </row>
    <row r="166" spans="1:19" x14ac:dyDescent="0.3">
      <c r="A166" s="2">
        <v>43313</v>
      </c>
      <c r="B166" s="3" t="s">
        <v>139</v>
      </c>
      <c r="C166" s="3">
        <v>192428</v>
      </c>
      <c r="D166" s="3" t="s">
        <v>127</v>
      </c>
      <c r="E166" s="1">
        <v>78989.999999999651</v>
      </c>
      <c r="H166" s="1">
        <v>756.95360000000949</v>
      </c>
      <c r="I166" s="1">
        <v>29858.213900000079</v>
      </c>
    </row>
    <row r="167" spans="1:19" x14ac:dyDescent="0.3">
      <c r="A167" s="2">
        <v>43344</v>
      </c>
      <c r="B167" s="3" t="s">
        <v>139</v>
      </c>
      <c r="C167" s="3">
        <v>192428</v>
      </c>
      <c r="D167" s="3" t="s">
        <v>127</v>
      </c>
      <c r="E167" s="1">
        <v>85187.999999998865</v>
      </c>
      <c r="H167" s="1">
        <v>1164.654399999981</v>
      </c>
      <c r="I167" s="1">
        <v>22574.90970000024</v>
      </c>
    </row>
    <row r="168" spans="1:19" x14ac:dyDescent="0.3">
      <c r="A168" s="2">
        <v>43374</v>
      </c>
      <c r="B168" s="3" t="s">
        <v>139</v>
      </c>
      <c r="C168" s="3">
        <v>192428</v>
      </c>
      <c r="D168" s="3" t="s">
        <v>127</v>
      </c>
      <c r="E168" s="1">
        <v>88696.999999999942</v>
      </c>
      <c r="H168" s="1">
        <v>2771.0383999999649</v>
      </c>
      <c r="I168" s="1">
        <v>20333.25199999976</v>
      </c>
    </row>
    <row r="169" spans="1:19" x14ac:dyDescent="0.3">
      <c r="A169" s="2">
        <v>43405</v>
      </c>
      <c r="B169" s="3" t="s">
        <v>139</v>
      </c>
      <c r="C169" s="3">
        <v>192428</v>
      </c>
      <c r="D169" s="3" t="s">
        <v>127</v>
      </c>
      <c r="E169" s="1">
        <v>86551.999999999563</v>
      </c>
      <c r="H169" s="1">
        <v>60423.75039999927</v>
      </c>
      <c r="I169" s="1">
        <v>12424.95030000013</v>
      </c>
    </row>
    <row r="170" spans="1:19" x14ac:dyDescent="0.3">
      <c r="A170" s="2">
        <v>43435</v>
      </c>
      <c r="B170" s="3" t="s">
        <v>139</v>
      </c>
      <c r="C170" s="3">
        <v>192428</v>
      </c>
      <c r="D170" s="3" t="s">
        <v>127</v>
      </c>
      <c r="E170" s="1">
        <v>57689.650615346633</v>
      </c>
      <c r="H170" s="1">
        <v>257.43641331460952</v>
      </c>
      <c r="I170" s="1">
        <v>6083.728865615014</v>
      </c>
    </row>
    <row r="171" spans="1:19" s="15" customFormat="1" x14ac:dyDescent="0.3">
      <c r="A171" s="38">
        <v>44927</v>
      </c>
      <c r="B171" s="22" t="s">
        <v>140</v>
      </c>
      <c r="C171" s="22">
        <v>4320</v>
      </c>
      <c r="D171" s="22" t="s">
        <v>125</v>
      </c>
      <c r="E171" s="21"/>
      <c r="F171" s="21"/>
      <c r="G171" s="21"/>
      <c r="H171" s="21"/>
      <c r="I171" s="21"/>
      <c r="J171" s="20"/>
      <c r="K171" s="21"/>
      <c r="L171" s="21"/>
      <c r="M171" s="21"/>
      <c r="N171" s="21"/>
      <c r="O171" s="21"/>
      <c r="P171" s="34"/>
      <c r="Q171" s="21"/>
      <c r="R171" s="20" t="s">
        <v>282</v>
      </c>
      <c r="S171" s="15">
        <v>2.0250038299225488</v>
      </c>
    </row>
    <row r="172" spans="1:19" x14ac:dyDescent="0.3">
      <c r="A172" s="2">
        <v>44958</v>
      </c>
      <c r="B172" s="3" t="s">
        <v>140</v>
      </c>
      <c r="C172" s="3">
        <v>4320</v>
      </c>
      <c r="D172" s="3" t="s">
        <v>125</v>
      </c>
      <c r="S172">
        <v>1.8349917914746401</v>
      </c>
    </row>
    <row r="173" spans="1:19" x14ac:dyDescent="0.3">
      <c r="A173" s="2">
        <v>44986</v>
      </c>
      <c r="B173" s="3" t="s">
        <v>140</v>
      </c>
      <c r="C173" s="3">
        <v>4320</v>
      </c>
      <c r="D173" s="3" t="s">
        <v>125</v>
      </c>
      <c r="S173">
        <v>1.7325418921928359</v>
      </c>
    </row>
    <row r="174" spans="1:19" x14ac:dyDescent="0.3">
      <c r="A174" s="2">
        <v>45017</v>
      </c>
      <c r="B174" s="3" t="s">
        <v>140</v>
      </c>
      <c r="C174" s="3">
        <v>4320</v>
      </c>
      <c r="D174" s="3" t="s">
        <v>125</v>
      </c>
      <c r="S174">
        <v>1.539621352917651</v>
      </c>
    </row>
    <row r="175" spans="1:19" x14ac:dyDescent="0.3">
      <c r="A175" s="2">
        <v>45047</v>
      </c>
      <c r="B175" s="3" t="s">
        <v>140</v>
      </c>
      <c r="C175" s="3">
        <v>4320</v>
      </c>
      <c r="D175" s="3" t="s">
        <v>125</v>
      </c>
      <c r="S175">
        <v>1.3846303763441119</v>
      </c>
    </row>
    <row r="176" spans="1:19" x14ac:dyDescent="0.3">
      <c r="A176" s="2">
        <v>45078</v>
      </c>
      <c r="B176" s="3" t="s">
        <v>140</v>
      </c>
      <c r="C176" s="3">
        <v>4320</v>
      </c>
      <c r="D176" s="3" t="s">
        <v>125</v>
      </c>
      <c r="S176">
        <v>1.4127434895833471</v>
      </c>
    </row>
    <row r="177" spans="1:20" x14ac:dyDescent="0.3">
      <c r="A177" s="2">
        <v>45108</v>
      </c>
      <c r="B177" s="3" t="s">
        <v>140</v>
      </c>
      <c r="C177" s="3">
        <v>4320</v>
      </c>
      <c r="D177" s="3" t="s">
        <v>125</v>
      </c>
      <c r="S177">
        <v>1.5036288439701619</v>
      </c>
    </row>
    <row r="178" spans="1:20" x14ac:dyDescent="0.3">
      <c r="A178" s="2">
        <v>45139</v>
      </c>
      <c r="B178" s="3" t="s">
        <v>140</v>
      </c>
      <c r="C178" s="3">
        <v>4320</v>
      </c>
      <c r="D178" s="3" t="s">
        <v>125</v>
      </c>
      <c r="S178">
        <v>1.7099876714868441</v>
      </c>
    </row>
    <row r="179" spans="1:20" x14ac:dyDescent="0.3">
      <c r="A179" s="2">
        <v>45170</v>
      </c>
      <c r="B179" s="3" t="s">
        <v>140</v>
      </c>
      <c r="C179" s="3">
        <v>4320</v>
      </c>
      <c r="D179" s="3" t="s">
        <v>125</v>
      </c>
      <c r="S179">
        <v>1.8359187500000009</v>
      </c>
    </row>
    <row r="180" spans="1:20" x14ac:dyDescent="0.3">
      <c r="A180" s="2">
        <v>45200</v>
      </c>
      <c r="B180" s="3" t="s">
        <v>140</v>
      </c>
      <c r="C180" s="3">
        <v>4320</v>
      </c>
      <c r="D180" s="3" t="s">
        <v>125</v>
      </c>
      <c r="S180">
        <v>1.889874042555665</v>
      </c>
    </row>
    <row r="181" spans="1:20" x14ac:dyDescent="0.3">
      <c r="A181" s="2">
        <v>45231</v>
      </c>
      <c r="B181" s="3" t="s">
        <v>140</v>
      </c>
      <c r="C181" s="3">
        <v>4320</v>
      </c>
      <c r="D181" s="3" t="s">
        <v>125</v>
      </c>
      <c r="S181">
        <v>1.8640375187909251</v>
      </c>
    </row>
    <row r="182" spans="1:20" x14ac:dyDescent="0.3">
      <c r="A182" s="2">
        <v>45261</v>
      </c>
      <c r="B182" s="3" t="s">
        <v>140</v>
      </c>
      <c r="C182" s="3">
        <v>4320</v>
      </c>
      <c r="D182" s="3" t="s">
        <v>125</v>
      </c>
      <c r="S182">
        <v>1.897911030176882</v>
      </c>
    </row>
    <row r="183" spans="1:20" s="15" customFormat="1" x14ac:dyDescent="0.3">
      <c r="A183" s="38">
        <v>44927</v>
      </c>
      <c r="B183" s="22" t="s">
        <v>141</v>
      </c>
      <c r="C183" s="22">
        <v>12837</v>
      </c>
      <c r="D183" s="22" t="s">
        <v>123</v>
      </c>
      <c r="E183" s="21"/>
      <c r="F183" s="21"/>
      <c r="G183" s="21">
        <v>583.26344086020731</v>
      </c>
      <c r="H183" s="21"/>
      <c r="I183" s="21"/>
      <c r="J183" s="20"/>
      <c r="K183" s="21"/>
      <c r="L183" s="21">
        <f>(SUM(G183:G194)*100)/C183</f>
        <v>21.716652385032795</v>
      </c>
      <c r="M183" s="21"/>
      <c r="N183" s="21"/>
      <c r="O183" s="21"/>
      <c r="P183" s="34">
        <f>SUM(K183:N183)</f>
        <v>21.716652385032795</v>
      </c>
      <c r="Q183" s="19" t="s">
        <v>283</v>
      </c>
      <c r="R183" s="20"/>
      <c r="T183" s="15">
        <v>1.945009610937698</v>
      </c>
    </row>
    <row r="184" spans="1:20" x14ac:dyDescent="0.3">
      <c r="A184" s="2">
        <v>44958</v>
      </c>
      <c r="B184" s="3" t="s">
        <v>141</v>
      </c>
      <c r="C184" s="3">
        <v>12837</v>
      </c>
      <c r="D184" s="3" t="s">
        <v>123</v>
      </c>
      <c r="G184" s="1">
        <v>698.04115684093131</v>
      </c>
      <c r="T184">
        <v>2.5298250701838212</v>
      </c>
    </row>
    <row r="185" spans="1:20" x14ac:dyDescent="0.3">
      <c r="A185" s="2">
        <v>44986</v>
      </c>
      <c r="B185" s="3" t="s">
        <v>141</v>
      </c>
      <c r="C185" s="3">
        <v>12837</v>
      </c>
      <c r="D185" s="3" t="s">
        <v>123</v>
      </c>
      <c r="G185" s="1">
        <v>570.24732626733055</v>
      </c>
      <c r="T185">
        <v>1.520178275094604</v>
      </c>
    </row>
    <row r="186" spans="1:20" x14ac:dyDescent="0.3">
      <c r="A186" s="2">
        <v>45017</v>
      </c>
      <c r="B186" s="3" t="s">
        <v>141</v>
      </c>
      <c r="C186" s="3">
        <v>12837</v>
      </c>
      <c r="D186" s="3" t="s">
        <v>123</v>
      </c>
      <c r="G186" s="1">
        <v>145.8959926981918</v>
      </c>
      <c r="T186">
        <v>0.34419607370866162</v>
      </c>
    </row>
    <row r="187" spans="1:20" x14ac:dyDescent="0.3">
      <c r="A187" s="2">
        <v>45047</v>
      </c>
      <c r="B187" s="3" t="s">
        <v>141</v>
      </c>
      <c r="C187" s="3">
        <v>12837</v>
      </c>
      <c r="D187" s="3" t="s">
        <v>123</v>
      </c>
      <c r="G187" s="1">
        <v>19.31874999999923</v>
      </c>
      <c r="T187">
        <v>7.0242523521505798E-2</v>
      </c>
    </row>
    <row r="188" spans="1:20" x14ac:dyDescent="0.3">
      <c r="A188" s="2">
        <v>45078</v>
      </c>
      <c r="B188" s="3" t="s">
        <v>141</v>
      </c>
      <c r="C188" s="3">
        <v>12837</v>
      </c>
      <c r="D188" s="3" t="s">
        <v>123</v>
      </c>
      <c r="G188" s="1">
        <v>0.39999999999999908</v>
      </c>
      <c r="T188">
        <v>3.9500806451613218E-2</v>
      </c>
    </row>
    <row r="189" spans="1:20" x14ac:dyDescent="0.3">
      <c r="A189" s="2">
        <v>45108</v>
      </c>
      <c r="B189" s="3" t="s">
        <v>141</v>
      </c>
      <c r="C189" s="3">
        <v>12837</v>
      </c>
      <c r="D189" s="3" t="s">
        <v>123</v>
      </c>
      <c r="G189" s="1">
        <v>0</v>
      </c>
      <c r="T189">
        <v>3.9614550815122621E-2</v>
      </c>
    </row>
    <row r="190" spans="1:20" x14ac:dyDescent="0.3">
      <c r="A190" s="2">
        <v>45139</v>
      </c>
      <c r="B190" s="3" t="s">
        <v>141</v>
      </c>
      <c r="C190" s="3">
        <v>12837</v>
      </c>
      <c r="D190" s="3" t="s">
        <v>123</v>
      </c>
      <c r="G190" s="1">
        <v>0</v>
      </c>
      <c r="T190">
        <v>3.9914238640305202E-2</v>
      </c>
    </row>
    <row r="191" spans="1:20" x14ac:dyDescent="0.3">
      <c r="A191" s="2">
        <v>45170</v>
      </c>
      <c r="B191" s="3" t="s">
        <v>141</v>
      </c>
      <c r="C191" s="3">
        <v>12837</v>
      </c>
      <c r="D191" s="3" t="s">
        <v>123</v>
      </c>
      <c r="G191" s="1">
        <v>0.79999999999999749</v>
      </c>
      <c r="T191">
        <v>4.1561111111110348E-2</v>
      </c>
    </row>
    <row r="192" spans="1:20" x14ac:dyDescent="0.3">
      <c r="A192" s="2">
        <v>45200</v>
      </c>
      <c r="B192" s="3" t="s">
        <v>141</v>
      </c>
      <c r="C192" s="3">
        <v>12837</v>
      </c>
      <c r="D192" s="3" t="s">
        <v>123</v>
      </c>
      <c r="G192" s="1">
        <v>42.079194630872799</v>
      </c>
      <c r="T192">
        <v>0.13358371220321871</v>
      </c>
    </row>
    <row r="193" spans="1:40" x14ac:dyDescent="0.3">
      <c r="A193" s="2">
        <v>45231</v>
      </c>
      <c r="B193" s="3" t="s">
        <v>141</v>
      </c>
      <c r="C193" s="3">
        <v>12837</v>
      </c>
      <c r="D193" s="3" t="s">
        <v>123</v>
      </c>
      <c r="G193" s="1">
        <v>174.24983762719029</v>
      </c>
      <c r="T193">
        <v>0.49140035174018287</v>
      </c>
    </row>
    <row r="194" spans="1:40" x14ac:dyDescent="0.3">
      <c r="A194" s="2">
        <v>45261</v>
      </c>
      <c r="B194" s="3" t="s">
        <v>141</v>
      </c>
      <c r="C194" s="3">
        <v>12837</v>
      </c>
      <c r="D194" s="3" t="s">
        <v>123</v>
      </c>
      <c r="G194" s="1">
        <v>553.47096774193665</v>
      </c>
      <c r="T194">
        <v>1.5615027748872741</v>
      </c>
    </row>
    <row r="195" spans="1:40" s="15" customFormat="1" x14ac:dyDescent="0.3">
      <c r="A195" s="38">
        <v>43101</v>
      </c>
      <c r="B195" s="22" t="s">
        <v>142</v>
      </c>
      <c r="C195" s="22">
        <v>29182</v>
      </c>
      <c r="D195" s="22" t="s">
        <v>143</v>
      </c>
      <c r="E195" s="21"/>
      <c r="F195" s="21"/>
      <c r="G195" s="21"/>
      <c r="H195" s="21"/>
      <c r="I195" s="21"/>
      <c r="J195" s="20">
        <v>163.19999999999959</v>
      </c>
      <c r="K195" s="21"/>
      <c r="L195" s="21"/>
      <c r="M195" s="21"/>
      <c r="N195" s="21"/>
      <c r="O195" s="21">
        <f>(SUM(J195:J206)*92)/C195</f>
        <v>5.3822301418683134</v>
      </c>
      <c r="P195" s="34">
        <f>SUM(K195:O195)</f>
        <v>5.3822301418683134</v>
      </c>
      <c r="Q195" s="19" t="s">
        <v>31</v>
      </c>
      <c r="R195" s="20"/>
      <c r="AN195" s="15">
        <v>1.276532258064526</v>
      </c>
    </row>
    <row r="196" spans="1:40" x14ac:dyDescent="0.3">
      <c r="A196" s="2">
        <v>43132</v>
      </c>
      <c r="B196" s="3" t="s">
        <v>142</v>
      </c>
      <c r="C196" s="3">
        <v>29182</v>
      </c>
      <c r="D196" s="3" t="s">
        <v>143</v>
      </c>
      <c r="J196" s="23">
        <v>175.60000000000241</v>
      </c>
      <c r="AN196">
        <v>1.519880952380958</v>
      </c>
    </row>
    <row r="197" spans="1:40" x14ac:dyDescent="0.3">
      <c r="A197" s="2">
        <v>43160</v>
      </c>
      <c r="B197" s="3" t="s">
        <v>142</v>
      </c>
      <c r="C197" s="3">
        <v>29182</v>
      </c>
      <c r="D197" s="3" t="s">
        <v>143</v>
      </c>
      <c r="J197" s="23">
        <v>143.1000000000013</v>
      </c>
      <c r="AN197">
        <v>1.130215343203218</v>
      </c>
    </row>
    <row r="198" spans="1:40" x14ac:dyDescent="0.3">
      <c r="A198" s="2">
        <v>43191</v>
      </c>
      <c r="B198" s="3" t="s">
        <v>142</v>
      </c>
      <c r="C198" s="3">
        <v>29182</v>
      </c>
      <c r="D198" s="3" t="s">
        <v>143</v>
      </c>
      <c r="J198" s="23">
        <v>198.020000000001</v>
      </c>
      <c r="AN198">
        <v>1.6074861111111109</v>
      </c>
    </row>
    <row r="199" spans="1:40" x14ac:dyDescent="0.3">
      <c r="A199" s="2">
        <v>43221</v>
      </c>
      <c r="B199" s="3" t="s">
        <v>142</v>
      </c>
      <c r="C199" s="3">
        <v>29182</v>
      </c>
      <c r="D199" s="3" t="s">
        <v>143</v>
      </c>
      <c r="J199" s="23">
        <v>0</v>
      </c>
      <c r="AN199">
        <v>0</v>
      </c>
    </row>
    <row r="200" spans="1:40" x14ac:dyDescent="0.3">
      <c r="A200" s="2">
        <v>43252</v>
      </c>
      <c r="B200" s="3" t="s">
        <v>142</v>
      </c>
      <c r="C200" s="3">
        <v>29182</v>
      </c>
      <c r="D200" s="3" t="s">
        <v>143</v>
      </c>
      <c r="J200" s="23">
        <v>205.6000000000025</v>
      </c>
      <c r="AN200">
        <v>1.6682777777777971</v>
      </c>
    </row>
    <row r="201" spans="1:40" x14ac:dyDescent="0.3">
      <c r="A201" s="2">
        <v>43282</v>
      </c>
      <c r="B201" s="3" t="s">
        <v>142</v>
      </c>
      <c r="C201" s="3">
        <v>29182</v>
      </c>
      <c r="D201" s="3" t="s">
        <v>143</v>
      </c>
      <c r="J201" s="23">
        <v>114.6000000000009</v>
      </c>
      <c r="AN201">
        <v>0.90858870967743111</v>
      </c>
    </row>
    <row r="202" spans="1:40" x14ac:dyDescent="0.3">
      <c r="A202" s="2">
        <v>43313</v>
      </c>
      <c r="B202" s="3" t="s">
        <v>142</v>
      </c>
      <c r="C202" s="3">
        <v>29182</v>
      </c>
      <c r="D202" s="3" t="s">
        <v>143</v>
      </c>
    </row>
    <row r="203" spans="1:40" x14ac:dyDescent="0.3">
      <c r="A203" s="2">
        <v>43344</v>
      </c>
      <c r="B203" s="3" t="s">
        <v>142</v>
      </c>
      <c r="C203" s="3">
        <v>29182</v>
      </c>
      <c r="D203" s="3" t="s">
        <v>143</v>
      </c>
      <c r="J203" s="23">
        <v>383.80000000000302</v>
      </c>
      <c r="AN203">
        <v>3.1415277777777999</v>
      </c>
    </row>
    <row r="204" spans="1:40" x14ac:dyDescent="0.3">
      <c r="A204" s="2">
        <v>43374</v>
      </c>
      <c r="B204" s="3" t="s">
        <v>142</v>
      </c>
      <c r="C204" s="3">
        <v>29182</v>
      </c>
      <c r="D204" s="3" t="s">
        <v>143</v>
      </c>
      <c r="J204" s="23">
        <v>160.1000000000019</v>
      </c>
      <c r="AN204">
        <v>1.351021505376359</v>
      </c>
    </row>
    <row r="205" spans="1:40" x14ac:dyDescent="0.3">
      <c r="A205" s="2">
        <v>43405</v>
      </c>
      <c r="B205" s="3" t="s">
        <v>142</v>
      </c>
      <c r="C205" s="3">
        <v>29182</v>
      </c>
      <c r="D205" s="3" t="s">
        <v>143</v>
      </c>
    </row>
    <row r="206" spans="1:40" x14ac:dyDescent="0.3">
      <c r="A206" s="2">
        <v>43435</v>
      </c>
      <c r="B206" s="3" t="s">
        <v>142</v>
      </c>
      <c r="C206" s="3">
        <v>29182</v>
      </c>
      <c r="D206" s="3" t="s">
        <v>143</v>
      </c>
      <c r="J206" s="23">
        <v>163.19999999999959</v>
      </c>
      <c r="AN206">
        <v>1.409704301075285</v>
      </c>
    </row>
    <row r="207" spans="1:40" s="15" customFormat="1" x14ac:dyDescent="0.3">
      <c r="A207" s="38">
        <v>44927</v>
      </c>
      <c r="B207" s="22" t="s">
        <v>144</v>
      </c>
      <c r="C207" s="22">
        <v>23925</v>
      </c>
      <c r="D207" s="22" t="s">
        <v>145</v>
      </c>
      <c r="E207" s="21">
        <v>52353.377204301098</v>
      </c>
      <c r="F207" s="21"/>
      <c r="G207" s="21">
        <v>3716.8010752687869</v>
      </c>
      <c r="H207" s="21"/>
      <c r="I207" s="21"/>
      <c r="J207" s="20"/>
      <c r="K207" s="21">
        <f>(SUM(E207:E218)*3.412)/C207</f>
        <v>129.82672977722038</v>
      </c>
      <c r="L207" s="21">
        <f>(SUM(G207:G218)*100)/C207</f>
        <v>155.39993033786095</v>
      </c>
      <c r="M207" s="21"/>
      <c r="N207" s="21"/>
      <c r="O207" s="21"/>
      <c r="P207" s="34">
        <f>SUM(K207:N207)</f>
        <v>285.22666011508136</v>
      </c>
      <c r="Q207" s="19" t="s">
        <v>284</v>
      </c>
      <c r="R207" s="20"/>
      <c r="S207" s="15">
        <v>10.78081133657083</v>
      </c>
      <c r="T207" s="15">
        <v>12.88679146433107</v>
      </c>
    </row>
    <row r="208" spans="1:40" x14ac:dyDescent="0.3">
      <c r="A208" s="2">
        <v>44958</v>
      </c>
      <c r="B208" s="3" t="s">
        <v>144</v>
      </c>
      <c r="C208" s="3">
        <v>23925</v>
      </c>
      <c r="D208" s="3" t="s">
        <v>145</v>
      </c>
      <c r="E208" s="1">
        <v>74900.164129031546</v>
      </c>
      <c r="G208" s="1">
        <v>4573.1322580645028</v>
      </c>
      <c r="Q208" s="10" t="s">
        <v>285</v>
      </c>
      <c r="S208">
        <v>14.40210867895553</v>
      </c>
      <c r="T208">
        <v>16.569226414490409</v>
      </c>
    </row>
    <row r="209" spans="1:20" x14ac:dyDescent="0.3">
      <c r="A209" s="2">
        <v>44986</v>
      </c>
      <c r="B209" s="3" t="s">
        <v>144</v>
      </c>
      <c r="C209" s="3">
        <v>23925</v>
      </c>
      <c r="D209" s="3" t="s">
        <v>145</v>
      </c>
      <c r="E209" s="1">
        <v>74200.094618705451</v>
      </c>
      <c r="G209" s="1">
        <v>4173.6985611511054</v>
      </c>
      <c r="S209">
        <v>14.19676299660124</v>
      </c>
      <c r="T209">
        <v>11.29387764297315</v>
      </c>
    </row>
    <row r="210" spans="1:20" x14ac:dyDescent="0.3">
      <c r="A210" s="2">
        <v>45017</v>
      </c>
      <c r="B210" s="3" t="s">
        <v>144</v>
      </c>
      <c r="C210" s="3">
        <v>23925</v>
      </c>
      <c r="D210" s="3" t="s">
        <v>145</v>
      </c>
      <c r="E210" s="1">
        <v>85507.76738129447</v>
      </c>
      <c r="G210" s="1">
        <v>3671.763938848921</v>
      </c>
      <c r="S210">
        <v>16.418514192395939</v>
      </c>
      <c r="T210">
        <v>6.8695696973670222</v>
      </c>
    </row>
    <row r="211" spans="1:20" x14ac:dyDescent="0.3">
      <c r="A211" s="2">
        <v>45047</v>
      </c>
      <c r="B211" s="3" t="s">
        <v>144</v>
      </c>
      <c r="C211" s="3">
        <v>23925</v>
      </c>
      <c r="D211" s="3" t="s">
        <v>145</v>
      </c>
      <c r="E211" s="1">
        <v>73908.450000000928</v>
      </c>
      <c r="G211" s="1">
        <v>2648.837500000001</v>
      </c>
      <c r="S211">
        <v>14.85417142697141</v>
      </c>
      <c r="T211">
        <v>4.3538253528225379</v>
      </c>
    </row>
    <row r="212" spans="1:20" x14ac:dyDescent="0.3">
      <c r="A212" s="2">
        <v>45078</v>
      </c>
      <c r="B212" s="3" t="s">
        <v>144</v>
      </c>
      <c r="C212" s="3">
        <v>23925</v>
      </c>
      <c r="D212" s="3" t="s">
        <v>145</v>
      </c>
      <c r="E212" s="1">
        <v>53123.786666666143</v>
      </c>
      <c r="G212" s="1">
        <v>1568.858064516126</v>
      </c>
      <c r="S212">
        <v>13.825905092592521</v>
      </c>
      <c r="T212">
        <v>2.760154480286757</v>
      </c>
    </row>
    <row r="213" spans="1:20" x14ac:dyDescent="0.3">
      <c r="A213" s="2">
        <v>45108</v>
      </c>
      <c r="B213" s="3" t="s">
        <v>144</v>
      </c>
      <c r="C213" s="3">
        <v>23925</v>
      </c>
      <c r="D213" s="3" t="s">
        <v>145</v>
      </c>
      <c r="E213" s="1">
        <v>58396.533333332853</v>
      </c>
      <c r="G213" s="1">
        <v>1393.5806451612791</v>
      </c>
      <c r="S213">
        <v>14.988221326164661</v>
      </c>
      <c r="T213">
        <v>2.4990058099201939</v>
      </c>
    </row>
    <row r="214" spans="1:20" x14ac:dyDescent="0.3">
      <c r="A214" s="2">
        <v>45139</v>
      </c>
      <c r="B214" s="3" t="s">
        <v>144</v>
      </c>
      <c r="C214" s="3">
        <v>23925</v>
      </c>
      <c r="D214" s="3" t="s">
        <v>145</v>
      </c>
      <c r="E214" s="1">
        <v>92134.28000000093</v>
      </c>
      <c r="G214" s="1">
        <v>2327.161290322581</v>
      </c>
      <c r="S214">
        <v>20.038909050179068</v>
      </c>
      <c r="T214">
        <v>4.1610543704474514</v>
      </c>
    </row>
    <row r="215" spans="1:20" x14ac:dyDescent="0.3">
      <c r="A215" s="2">
        <v>45170</v>
      </c>
      <c r="B215" s="3" t="s">
        <v>144</v>
      </c>
      <c r="C215" s="3">
        <v>23925</v>
      </c>
      <c r="D215" s="3" t="s">
        <v>145</v>
      </c>
      <c r="E215" s="1">
        <v>106109.7466666657</v>
      </c>
      <c r="G215" s="1">
        <v>3204</v>
      </c>
      <c r="S215">
        <v>22.519791666666389</v>
      </c>
      <c r="T215">
        <v>6.5346361111110447</v>
      </c>
    </row>
    <row r="216" spans="1:20" x14ac:dyDescent="0.3">
      <c r="A216" s="2">
        <v>45200</v>
      </c>
      <c r="B216" s="3" t="s">
        <v>144</v>
      </c>
      <c r="C216" s="3">
        <v>23925</v>
      </c>
      <c r="D216" s="3" t="s">
        <v>145</v>
      </c>
      <c r="E216" s="1">
        <v>103674.32066219331</v>
      </c>
      <c r="G216" s="1">
        <v>3512.3154362415912</v>
      </c>
      <c r="S216">
        <v>19.885370997811151</v>
      </c>
      <c r="T216">
        <v>7.7510467272859351</v>
      </c>
    </row>
    <row r="217" spans="1:20" x14ac:dyDescent="0.3">
      <c r="A217" s="2">
        <v>45231</v>
      </c>
      <c r="B217" s="3" t="s">
        <v>144</v>
      </c>
      <c r="C217" s="3">
        <v>23925</v>
      </c>
      <c r="D217" s="3" t="s">
        <v>145</v>
      </c>
      <c r="E217" s="1">
        <v>83654.355896947134</v>
      </c>
      <c r="G217" s="1">
        <v>3536.2652089196372</v>
      </c>
      <c r="S217">
        <v>16.613078608257211</v>
      </c>
      <c r="T217">
        <v>9.1038021691145516</v>
      </c>
    </row>
    <row r="218" spans="1:20" x14ac:dyDescent="0.3">
      <c r="A218" s="2">
        <v>45261</v>
      </c>
      <c r="B218" s="3" t="s">
        <v>144</v>
      </c>
      <c r="C218" s="3">
        <v>23925</v>
      </c>
      <c r="D218" s="3" t="s">
        <v>145</v>
      </c>
      <c r="E218" s="1">
        <v>52384.283440859792</v>
      </c>
      <c r="G218" s="1">
        <v>2853.0193548387028</v>
      </c>
      <c r="S218">
        <v>11.94968768065657</v>
      </c>
      <c r="T218">
        <v>7.7919111168922486</v>
      </c>
    </row>
    <row r="219" spans="1:20" s="15" customFormat="1" x14ac:dyDescent="0.3">
      <c r="A219" s="38">
        <v>44927</v>
      </c>
      <c r="B219" s="22" t="s">
        <v>146</v>
      </c>
      <c r="C219" s="22">
        <v>499221</v>
      </c>
      <c r="D219" s="22" t="s">
        <v>147</v>
      </c>
      <c r="E219" s="21">
        <v>350.66961115056938</v>
      </c>
      <c r="F219" s="21"/>
      <c r="G219" s="21"/>
      <c r="H219" s="21">
        <v>12726.466060606241</v>
      </c>
      <c r="I219" s="37">
        <v>62484.203387878028</v>
      </c>
      <c r="J219" s="20"/>
      <c r="K219" s="21">
        <f>(SUM(E219:E230)*3.412)/C219</f>
        <v>2.6555206543755448E-2</v>
      </c>
      <c r="L219" s="21">
        <f>(SUM(G219:G230)*100)/C219</f>
        <v>0</v>
      </c>
      <c r="M219" s="21">
        <f>(SUM(H219:H230)*100)/C219</f>
        <v>13.667951673932754</v>
      </c>
      <c r="N219" s="21">
        <f>(SUM(I219:I230)*12)/C219</f>
        <v>29.273956811289949</v>
      </c>
      <c r="O219" s="21"/>
      <c r="P219" s="34">
        <f>SUM(K219:N219)</f>
        <v>42.968463691766459</v>
      </c>
      <c r="Q219" s="19" t="s">
        <v>286</v>
      </c>
      <c r="R219" s="20"/>
    </row>
    <row r="220" spans="1:20" x14ac:dyDescent="0.3">
      <c r="A220" s="2">
        <v>44958</v>
      </c>
      <c r="B220" s="3" t="s">
        <v>146</v>
      </c>
      <c r="C220" s="3">
        <v>499221</v>
      </c>
      <c r="D220" s="3" t="s">
        <v>147</v>
      </c>
      <c r="E220" s="1">
        <v>333.90039062500381</v>
      </c>
      <c r="H220" s="1">
        <v>12056.370000000181</v>
      </c>
      <c r="I220" s="7">
        <v>59577.159599999126</v>
      </c>
      <c r="Q220" s="10" t="s">
        <v>287</v>
      </c>
    </row>
    <row r="221" spans="1:20" x14ac:dyDescent="0.3">
      <c r="A221" s="2">
        <v>44986</v>
      </c>
      <c r="B221" s="3" t="s">
        <v>146</v>
      </c>
      <c r="C221" s="3">
        <v>499221</v>
      </c>
      <c r="D221" s="3" t="s">
        <v>147</v>
      </c>
      <c r="E221" s="1">
        <v>352.14951282988642</v>
      </c>
      <c r="H221" s="1">
        <v>10945.25417193427</v>
      </c>
      <c r="I221" s="7">
        <v>67979.05834690237</v>
      </c>
      <c r="Q221" s="10" t="s">
        <v>288</v>
      </c>
    </row>
    <row r="222" spans="1:20" x14ac:dyDescent="0.3">
      <c r="A222" s="2">
        <v>45017</v>
      </c>
      <c r="B222" s="3" t="s">
        <v>146</v>
      </c>
      <c r="C222" s="3">
        <v>499221</v>
      </c>
      <c r="D222" s="3" t="s">
        <v>147</v>
      </c>
      <c r="E222" s="1">
        <v>331.84999888886989</v>
      </c>
      <c r="H222" s="1">
        <v>5662.65582806573</v>
      </c>
      <c r="I222" s="7">
        <v>87620.593553097046</v>
      </c>
    </row>
    <row r="223" spans="1:20" x14ac:dyDescent="0.3">
      <c r="A223" s="2">
        <v>45047</v>
      </c>
      <c r="B223" s="3" t="s">
        <v>146</v>
      </c>
      <c r="C223" s="3">
        <v>499221</v>
      </c>
      <c r="D223" s="3" t="s">
        <v>147</v>
      </c>
      <c r="E223" s="1">
        <v>338.40039062499721</v>
      </c>
      <c r="H223" s="1">
        <v>4223.54000000002</v>
      </c>
      <c r="I223" s="7">
        <v>99531.754700000994</v>
      </c>
    </row>
    <row r="224" spans="1:20" x14ac:dyDescent="0.3">
      <c r="A224" s="2">
        <v>45078</v>
      </c>
      <c r="B224" s="3" t="s">
        <v>146</v>
      </c>
      <c r="C224" s="3">
        <v>499221</v>
      </c>
      <c r="D224" s="3" t="s">
        <v>147</v>
      </c>
      <c r="E224" s="1">
        <v>316.24368807164518</v>
      </c>
      <c r="H224" s="1">
        <v>2150.524390243927</v>
      </c>
      <c r="I224" s="7">
        <v>114970.39587804809</v>
      </c>
    </row>
    <row r="225" spans="1:18" x14ac:dyDescent="0.3">
      <c r="A225" s="2">
        <v>45108</v>
      </c>
      <c r="B225" s="3" t="s">
        <v>146</v>
      </c>
      <c r="C225" s="3">
        <v>499221</v>
      </c>
      <c r="D225" s="3" t="s">
        <v>147</v>
      </c>
      <c r="E225" s="1">
        <v>333.05611661585118</v>
      </c>
      <c r="H225" s="1">
        <v>1287.02560975607</v>
      </c>
      <c r="I225" s="7">
        <v>146697.89492195137</v>
      </c>
    </row>
    <row r="226" spans="1:18" x14ac:dyDescent="0.3">
      <c r="A226" s="2">
        <v>45139</v>
      </c>
      <c r="B226" s="3" t="s">
        <v>146</v>
      </c>
      <c r="C226" s="3">
        <v>499221</v>
      </c>
      <c r="D226" s="3" t="s">
        <v>147</v>
      </c>
      <c r="E226" s="1">
        <v>317.52857142857329</v>
      </c>
      <c r="H226" s="1">
        <v>894.36771428570648</v>
      </c>
      <c r="I226" s="7">
        <v>157307.5184799986</v>
      </c>
    </row>
    <row r="227" spans="1:18" x14ac:dyDescent="0.3">
      <c r="A227" s="2">
        <v>45170</v>
      </c>
      <c r="B227" s="3" t="s">
        <v>146</v>
      </c>
      <c r="C227" s="3">
        <v>499221</v>
      </c>
      <c r="D227" s="3" t="s">
        <v>147</v>
      </c>
      <c r="E227" s="1">
        <v>305.78624338624388</v>
      </c>
      <c r="H227" s="1">
        <v>1484.6874708994931</v>
      </c>
      <c r="I227" s="7">
        <v>136612.11353481386</v>
      </c>
    </row>
    <row r="228" spans="1:18" x14ac:dyDescent="0.3">
      <c r="A228" s="2">
        <v>45200</v>
      </c>
      <c r="B228" s="3" t="s">
        <v>146</v>
      </c>
      <c r="C228" s="3">
        <v>499221</v>
      </c>
      <c r="D228" s="3" t="s">
        <v>147</v>
      </c>
      <c r="E228" s="1">
        <v>310.4849898726863</v>
      </c>
      <c r="H228" s="1">
        <v>2290.6848148148501</v>
      </c>
      <c r="I228" s="7">
        <v>124831.8003851844</v>
      </c>
    </row>
    <row r="229" spans="1:18" x14ac:dyDescent="0.3">
      <c r="A229" s="2">
        <v>45231</v>
      </c>
      <c r="B229" s="3" t="s">
        <v>146</v>
      </c>
      <c r="C229" s="3">
        <v>499221</v>
      </c>
      <c r="D229" s="3" t="s">
        <v>147</v>
      </c>
      <c r="E229" s="1">
        <v>289.49140181667661</v>
      </c>
      <c r="H229" s="1">
        <v>5581.4673896595596</v>
      </c>
      <c r="I229" s="7">
        <v>83332.922512989113</v>
      </c>
    </row>
    <row r="230" spans="1:18" x14ac:dyDescent="0.3">
      <c r="A230" s="2">
        <v>45261</v>
      </c>
      <c r="B230" s="3" t="s">
        <v>146</v>
      </c>
      <c r="C230" s="3">
        <v>499221</v>
      </c>
      <c r="D230" s="3" t="s">
        <v>147</v>
      </c>
      <c r="E230" s="1">
        <v>305.81914505832299</v>
      </c>
      <c r="H230" s="1">
        <v>8930.2415758577863</v>
      </c>
      <c r="I230" s="7">
        <v>76902.417473218724</v>
      </c>
    </row>
    <row r="231" spans="1:18" s="15" customFormat="1" x14ac:dyDescent="0.3">
      <c r="A231" s="38">
        <v>44927</v>
      </c>
      <c r="B231" s="22" t="s">
        <v>289</v>
      </c>
      <c r="C231" s="22"/>
      <c r="D231" s="22" t="s">
        <v>147</v>
      </c>
      <c r="E231" s="21">
        <v>2781.0454545454791</v>
      </c>
      <c r="F231" s="21"/>
      <c r="G231" s="21"/>
      <c r="H231" s="21"/>
      <c r="I231" s="37"/>
      <c r="J231" s="20"/>
      <c r="K231" s="21"/>
      <c r="L231" s="21"/>
      <c r="M231" s="21"/>
      <c r="N231" s="21"/>
      <c r="O231" s="21"/>
      <c r="P231" s="34"/>
      <c r="Q231" s="19" t="s">
        <v>290</v>
      </c>
      <c r="R231" s="20"/>
    </row>
    <row r="232" spans="1:18" x14ac:dyDescent="0.3">
      <c r="A232" s="2">
        <v>44958</v>
      </c>
      <c r="B232" s="3" t="s">
        <v>289</v>
      </c>
      <c r="D232" s="3" t="s">
        <v>147</v>
      </c>
      <c r="E232" s="1">
        <v>1933.7500000000268</v>
      </c>
      <c r="I232" s="7"/>
      <c r="Q232" s="10" t="s">
        <v>291</v>
      </c>
    </row>
    <row r="233" spans="1:18" x14ac:dyDescent="0.3">
      <c r="A233" s="2">
        <v>44986</v>
      </c>
      <c r="B233" s="3" t="s">
        <v>289</v>
      </c>
      <c r="D233" s="3" t="s">
        <v>147</v>
      </c>
      <c r="E233" s="1">
        <v>1837.8917509481803</v>
      </c>
      <c r="I233" s="7"/>
      <c r="Q233" s="10"/>
    </row>
    <row r="234" spans="1:18" x14ac:dyDescent="0.3">
      <c r="A234" s="2">
        <v>45017</v>
      </c>
      <c r="B234" s="3" t="s">
        <v>289</v>
      </c>
      <c r="D234" s="3" t="s">
        <v>147</v>
      </c>
      <c r="E234" s="1">
        <v>1796.8582490518015</v>
      </c>
      <c r="I234" s="7"/>
    </row>
    <row r="235" spans="1:18" x14ac:dyDescent="0.3">
      <c r="A235" s="2">
        <v>45047</v>
      </c>
      <c r="B235" s="3" t="s">
        <v>289</v>
      </c>
      <c r="D235" s="3" t="s">
        <v>147</v>
      </c>
      <c r="E235" s="1">
        <v>1852.2500000000196</v>
      </c>
      <c r="I235" s="7"/>
    </row>
    <row r="236" spans="1:18" x14ac:dyDescent="0.3">
      <c r="A236" s="2">
        <v>45078</v>
      </c>
      <c r="B236" s="3" t="s">
        <v>289</v>
      </c>
      <c r="D236" s="3" t="s">
        <v>147</v>
      </c>
      <c r="E236" s="1">
        <v>1293.2865853658548</v>
      </c>
      <c r="I236" s="7"/>
    </row>
    <row r="237" spans="1:18" x14ac:dyDescent="0.3">
      <c r="A237" s="2">
        <v>45108</v>
      </c>
      <c r="B237" s="3" t="s">
        <v>289</v>
      </c>
      <c r="D237" s="3" t="s">
        <v>147</v>
      </c>
      <c r="E237" s="1">
        <v>1344.5884146341302</v>
      </c>
      <c r="I237" s="7"/>
    </row>
    <row r="238" spans="1:18" x14ac:dyDescent="0.3">
      <c r="A238" s="2">
        <v>45139</v>
      </c>
      <c r="B238" s="3" t="s">
        <v>289</v>
      </c>
      <c r="D238" s="3" t="s">
        <v>147</v>
      </c>
      <c r="E238" s="1">
        <v>1198.4821428571399</v>
      </c>
      <c r="I238" s="7"/>
    </row>
    <row r="239" spans="1:18" x14ac:dyDescent="0.3">
      <c r="A239" s="2">
        <v>45170</v>
      </c>
      <c r="B239" s="3" t="s">
        <v>289</v>
      </c>
      <c r="D239" s="3" t="s">
        <v>147</v>
      </c>
      <c r="E239" s="1">
        <v>1659.1521164021401</v>
      </c>
      <c r="I239" s="7"/>
    </row>
    <row r="240" spans="1:18" x14ac:dyDescent="0.3">
      <c r="A240" s="2">
        <v>45200</v>
      </c>
      <c r="B240" s="3" t="s">
        <v>289</v>
      </c>
      <c r="D240" s="3" t="s">
        <v>147</v>
      </c>
      <c r="E240" s="1">
        <v>1868.2407407407213</v>
      </c>
      <c r="I240" s="7"/>
    </row>
    <row r="241" spans="1:45" x14ac:dyDescent="0.3">
      <c r="A241" s="2">
        <v>45231</v>
      </c>
      <c r="B241" s="3" t="s">
        <v>289</v>
      </c>
      <c r="D241" s="3" t="s">
        <v>147</v>
      </c>
      <c r="E241" s="1">
        <v>2136.0647856241899</v>
      </c>
      <c r="I241" s="7"/>
    </row>
    <row r="242" spans="1:45" x14ac:dyDescent="0.3">
      <c r="A242" s="2">
        <v>45261</v>
      </c>
      <c r="B242" s="3" t="s">
        <v>289</v>
      </c>
      <c r="D242" s="3" t="s">
        <v>147</v>
      </c>
      <c r="E242" s="1">
        <v>2065.5343523067886</v>
      </c>
      <c r="I242" s="7"/>
    </row>
    <row r="243" spans="1:45" s="15" customFormat="1" x14ac:dyDescent="0.3">
      <c r="A243" s="38">
        <v>44927</v>
      </c>
      <c r="B243" s="22" t="s">
        <v>148</v>
      </c>
      <c r="C243" s="22">
        <v>345715</v>
      </c>
      <c r="D243" s="22" t="s">
        <v>149</v>
      </c>
      <c r="E243" s="21">
        <v>262459.82304014161</v>
      </c>
      <c r="F243" s="21"/>
      <c r="G243" s="21">
        <v>10.00163471698761</v>
      </c>
      <c r="H243" s="21">
        <v>30776.551724137898</v>
      </c>
      <c r="I243" s="21">
        <v>33783.131379309947</v>
      </c>
      <c r="J243" s="20"/>
      <c r="K243" s="21">
        <f>(SUM(E243:E254)*3.412)/C243</f>
        <v>30.927041111276875</v>
      </c>
      <c r="L243" s="21">
        <f>(SUM(G243:G254)*100)/C243</f>
        <v>7.5595472770094957E-2</v>
      </c>
      <c r="M243" s="21">
        <f>(SUM(H243:H254)*100)/C243</f>
        <v>69.754309160375755</v>
      </c>
      <c r="N243" s="21">
        <f>(SUM(I243:I254)*12)/C243</f>
        <v>23.730692977996267</v>
      </c>
      <c r="O243" s="21"/>
      <c r="P243" s="34">
        <f>SUM(K243:N243)</f>
        <v>124.48763872241899</v>
      </c>
      <c r="Q243" s="30" t="s">
        <v>292</v>
      </c>
      <c r="R243" s="20" t="s">
        <v>296</v>
      </c>
      <c r="AR243" s="15">
        <v>1086606.90625</v>
      </c>
      <c r="AS243" s="15">
        <v>153413.44372979531</v>
      </c>
    </row>
    <row r="244" spans="1:45" x14ac:dyDescent="0.3">
      <c r="A244" s="2">
        <v>44958</v>
      </c>
      <c r="B244" s="3" t="s">
        <v>148</v>
      </c>
      <c r="C244" s="3">
        <v>345715</v>
      </c>
      <c r="D244" s="3" t="s">
        <v>149</v>
      </c>
      <c r="E244" s="1">
        <v>260747.68664550729</v>
      </c>
      <c r="G244" s="1">
        <v>31.060229539871219</v>
      </c>
      <c r="H244" s="1">
        <v>30749.9999999998</v>
      </c>
      <c r="I244" s="1">
        <v>30563.230546874838</v>
      </c>
      <c r="Q244" s="25" t="s">
        <v>35</v>
      </c>
      <c r="AR244">
        <v>1040767.01953125</v>
      </c>
      <c r="AS244">
        <v>155000.6866455081</v>
      </c>
    </row>
    <row r="245" spans="1:45" x14ac:dyDescent="0.3">
      <c r="A245" s="2">
        <v>44986</v>
      </c>
      <c r="B245" s="3" t="s">
        <v>148</v>
      </c>
      <c r="C245" s="3">
        <v>345715</v>
      </c>
      <c r="D245" s="3" t="s">
        <v>149</v>
      </c>
      <c r="E245" s="1">
        <v>280758.79212884081</v>
      </c>
      <c r="G245" s="1">
        <v>16.497585535049438</v>
      </c>
      <c r="H245" s="1">
        <v>32716.42225031586</v>
      </c>
      <c r="I245" s="1">
        <v>36002.666089700397</v>
      </c>
      <c r="Q245" s="25" t="s">
        <v>293</v>
      </c>
      <c r="AR245">
        <v>1144308.206542969</v>
      </c>
      <c r="AS245">
        <v>165319.51147144649</v>
      </c>
    </row>
    <row r="246" spans="1:45" x14ac:dyDescent="0.3">
      <c r="A246" s="2">
        <v>45017</v>
      </c>
      <c r="B246" s="3" t="s">
        <v>148</v>
      </c>
      <c r="C246" s="3">
        <v>345715</v>
      </c>
      <c r="D246" s="3" t="s">
        <v>149</v>
      </c>
      <c r="E246" s="1">
        <v>274008.37217779824</v>
      </c>
      <c r="G246" s="1">
        <v>14.22719776630402</v>
      </c>
      <c r="H246" s="1">
        <v>25953.89024968438</v>
      </c>
      <c r="I246" s="1">
        <v>53678.642347800269</v>
      </c>
      <c r="Q246" s="25" t="s">
        <v>294</v>
      </c>
      <c r="AR246">
        <v>1095087.269042969</v>
      </c>
      <c r="AS246">
        <v>161680.15283519289</v>
      </c>
    </row>
    <row r="247" spans="1:45" x14ac:dyDescent="0.3">
      <c r="A247" s="2">
        <v>45047</v>
      </c>
      <c r="B247" s="3" t="s">
        <v>148</v>
      </c>
      <c r="C247" s="3">
        <v>345715</v>
      </c>
      <c r="D247" s="3" t="s">
        <v>149</v>
      </c>
      <c r="E247" s="1">
        <v>258912.10681152259</v>
      </c>
      <c r="G247" s="1">
        <v>9.896208643913269</v>
      </c>
      <c r="H247" s="1">
        <v>14236.250000000009</v>
      </c>
      <c r="I247" s="1">
        <v>41924.104218749613</v>
      </c>
      <c r="Q247" s="25" t="s">
        <v>295</v>
      </c>
      <c r="AR247">
        <v>962386.0302734375</v>
      </c>
      <c r="AS247">
        <v>163000.10681152431</v>
      </c>
    </row>
    <row r="248" spans="1:45" x14ac:dyDescent="0.3">
      <c r="A248" s="2">
        <v>45078</v>
      </c>
      <c r="B248" s="3" t="s">
        <v>148</v>
      </c>
      <c r="C248" s="3">
        <v>345715</v>
      </c>
      <c r="D248" s="3" t="s">
        <v>149</v>
      </c>
      <c r="E248" s="1">
        <v>239491.54729352929</v>
      </c>
      <c r="G248" s="1">
        <v>12.05052161216736</v>
      </c>
      <c r="H248" s="1">
        <v>11494.553571428671</v>
      </c>
      <c r="I248" s="1">
        <v>58037.298950892313</v>
      </c>
      <c r="AR248">
        <v>825196.11352539063</v>
      </c>
      <c r="AS248">
        <v>154285.97586495811</v>
      </c>
    </row>
    <row r="249" spans="1:45" x14ac:dyDescent="0.3">
      <c r="A249" s="2">
        <v>45108</v>
      </c>
      <c r="B249" s="3" t="s">
        <v>148</v>
      </c>
      <c r="C249" s="3">
        <v>345715</v>
      </c>
      <c r="D249" s="3" t="s">
        <v>149</v>
      </c>
      <c r="E249" s="1">
        <v>239370.70856584958</v>
      </c>
      <c r="G249" s="1">
        <v>3.30228579044342</v>
      </c>
      <c r="H249" s="1">
        <v>10124.508928571429</v>
      </c>
      <c r="I249" s="1">
        <v>80692.177689732634</v>
      </c>
      <c r="AR249">
        <v>855515.49609375</v>
      </c>
      <c r="AS249">
        <v>151713.77999442109</v>
      </c>
    </row>
    <row r="250" spans="1:45" x14ac:dyDescent="0.3">
      <c r="A250" s="2">
        <v>45139</v>
      </c>
      <c r="B250" s="3" t="s">
        <v>148</v>
      </c>
      <c r="C250" s="3">
        <v>345715</v>
      </c>
      <c r="D250" s="3" t="s">
        <v>149</v>
      </c>
      <c r="E250" s="1">
        <v>233172.79460448964</v>
      </c>
      <c r="G250" s="1">
        <v>24.38430833816528</v>
      </c>
      <c r="H250" s="1">
        <v>8876.5178571428423</v>
      </c>
      <c r="I250" s="1">
        <v>94908.331491072386</v>
      </c>
      <c r="AR250">
        <v>796085.5703125</v>
      </c>
      <c r="AS250">
        <v>144371.5231759189</v>
      </c>
    </row>
    <row r="251" spans="1:45" x14ac:dyDescent="0.3">
      <c r="A251" s="2">
        <v>45170</v>
      </c>
      <c r="B251" s="3" t="s">
        <v>148</v>
      </c>
      <c r="C251" s="3">
        <v>345715</v>
      </c>
      <c r="D251" s="3" t="s">
        <v>149</v>
      </c>
      <c r="E251" s="1">
        <v>246823.49599066569</v>
      </c>
      <c r="G251" s="1">
        <v>19.751950860023499</v>
      </c>
      <c r="H251" s="1">
        <v>10843.898809523969</v>
      </c>
      <c r="I251" s="1">
        <v>72012.749886244696</v>
      </c>
      <c r="AR251">
        <v>1024787.767578125</v>
      </c>
      <c r="AS251">
        <v>142850.52667849799</v>
      </c>
    </row>
    <row r="252" spans="1:45" x14ac:dyDescent="0.3">
      <c r="A252" s="2">
        <v>45200</v>
      </c>
      <c r="B252" s="3" t="s">
        <v>148</v>
      </c>
      <c r="C252" s="3">
        <v>345715</v>
      </c>
      <c r="D252" s="3" t="s">
        <v>149</v>
      </c>
      <c r="E252" s="1">
        <v>270900.12902153889</v>
      </c>
      <c r="G252" s="1">
        <v>25.142525434494019</v>
      </c>
      <c r="H252" s="1">
        <v>15682.708333333459</v>
      </c>
      <c r="I252" s="1">
        <v>84458.185966436737</v>
      </c>
      <c r="AR252">
        <v>1193448.595703125</v>
      </c>
      <c r="AS252">
        <v>147778.3697622818</v>
      </c>
    </row>
    <row r="253" spans="1:45" x14ac:dyDescent="0.3">
      <c r="A253" s="2">
        <v>45231</v>
      </c>
      <c r="B253" s="3" t="s">
        <v>148</v>
      </c>
      <c r="C253" s="3">
        <v>345715</v>
      </c>
      <c r="D253" s="3" t="s">
        <v>149</v>
      </c>
      <c r="E253" s="1">
        <v>277303.3618167172</v>
      </c>
      <c r="G253" s="1">
        <v>8.7418460845947266</v>
      </c>
      <c r="H253" s="1">
        <v>25116.519151954461</v>
      </c>
      <c r="I253" s="1">
        <v>56136.46162909823</v>
      </c>
      <c r="AR253">
        <v>1162598.015625</v>
      </c>
      <c r="AS253">
        <v>159110.2773274339</v>
      </c>
    </row>
    <row r="254" spans="1:45" x14ac:dyDescent="0.3">
      <c r="A254" s="2">
        <v>45261</v>
      </c>
      <c r="B254" s="3" t="s">
        <v>148</v>
      </c>
      <c r="C254" s="3">
        <v>345715</v>
      </c>
      <c r="D254" s="3" t="s">
        <v>149</v>
      </c>
      <c r="E254" s="1">
        <v>289680.14373959112</v>
      </c>
      <c r="G254" s="1">
        <v>86.288594365119934</v>
      </c>
      <c r="H254" s="1">
        <v>24579.289037700259</v>
      </c>
      <c r="I254" s="1">
        <v>41474.396711419438</v>
      </c>
      <c r="AR254">
        <v>1192768.87890625</v>
      </c>
      <c r="AS254">
        <v>168440.67650473549</v>
      </c>
    </row>
    <row r="255" spans="1:45" s="15" customFormat="1" x14ac:dyDescent="0.3">
      <c r="A255" s="38">
        <v>44927</v>
      </c>
      <c r="B255" s="22" t="s">
        <v>150</v>
      </c>
      <c r="C255" s="22">
        <v>36691</v>
      </c>
      <c r="D255" s="22" t="s">
        <v>127</v>
      </c>
      <c r="E255" s="21">
        <v>15064.655172413961</v>
      </c>
      <c r="F255" s="21"/>
      <c r="G255" s="21"/>
      <c r="H255" s="21">
        <v>3065.9758890085918</v>
      </c>
      <c r="I255" s="21">
        <v>51.645593261719142</v>
      </c>
      <c r="J255" s="20"/>
      <c r="K255" s="21">
        <f>(SUM(E255:E266)*3.412)/C255</f>
        <v>19.063243570959273</v>
      </c>
      <c r="L255" s="21">
        <f>(SUM(G255:G266)*100)/C255</f>
        <v>0</v>
      </c>
      <c r="M255" s="21">
        <f>(SUM(H255:H266)*100)/C255</f>
        <v>40.780957555949456</v>
      </c>
      <c r="N255" s="21">
        <f>(SUM(I255:I266)*12)/C255</f>
        <v>3.1597282297174374</v>
      </c>
      <c r="O255" s="21"/>
      <c r="P255" s="34">
        <f>SUM(K255:N255)</f>
        <v>63.003929356626166</v>
      </c>
      <c r="Q255" s="19" t="s">
        <v>297</v>
      </c>
      <c r="R255" s="20" t="s">
        <v>300</v>
      </c>
    </row>
    <row r="256" spans="1:45" x14ac:dyDescent="0.3">
      <c r="A256" s="2">
        <v>44958</v>
      </c>
      <c r="B256" s="3" t="s">
        <v>150</v>
      </c>
      <c r="C256" s="3">
        <v>36691</v>
      </c>
      <c r="D256" s="3" t="s">
        <v>127</v>
      </c>
      <c r="E256" s="1">
        <v>16889.00000000016</v>
      </c>
      <c r="H256" s="1">
        <v>2823.8085937499782</v>
      </c>
      <c r="I256" s="1">
        <v>201.58966064452974</v>
      </c>
      <c r="Q256" s="10" t="s">
        <v>298</v>
      </c>
    </row>
    <row r="257" spans="1:46" x14ac:dyDescent="0.3">
      <c r="A257" s="2">
        <v>44986</v>
      </c>
      <c r="B257" s="3" t="s">
        <v>150</v>
      </c>
      <c r="C257" s="3">
        <v>36691</v>
      </c>
      <c r="D257" s="3" t="s">
        <v>127</v>
      </c>
      <c r="E257" s="1">
        <v>16249.719974715499</v>
      </c>
      <c r="H257" s="1">
        <v>2383.9213120259301</v>
      </c>
      <c r="I257" s="1">
        <v>154.93677978515547</v>
      </c>
      <c r="Q257" s="25" t="s">
        <v>299</v>
      </c>
    </row>
    <row r="258" spans="1:46" x14ac:dyDescent="0.3">
      <c r="A258" s="2">
        <v>45017</v>
      </c>
      <c r="B258" s="3" t="s">
        <v>150</v>
      </c>
      <c r="C258" s="3">
        <v>36691</v>
      </c>
      <c r="D258" s="3" t="s">
        <v>127</v>
      </c>
      <c r="E258" s="1">
        <v>17378.780025284399</v>
      </c>
      <c r="H258" s="1">
        <v>1413.0904067240961</v>
      </c>
      <c r="I258" s="1">
        <v>376.50745849609143</v>
      </c>
    </row>
    <row r="259" spans="1:46" x14ac:dyDescent="0.3">
      <c r="A259" s="2">
        <v>45047</v>
      </c>
      <c r="B259" s="3" t="s">
        <v>150</v>
      </c>
      <c r="C259" s="3">
        <v>36691</v>
      </c>
      <c r="D259" s="3" t="s">
        <v>127</v>
      </c>
      <c r="E259" s="1">
        <v>16966.999999999789</v>
      </c>
      <c r="H259" s="1">
        <v>851.01562499999307</v>
      </c>
      <c r="I259" s="1">
        <v>432.33228759765177</v>
      </c>
    </row>
    <row r="260" spans="1:46" x14ac:dyDescent="0.3">
      <c r="A260" s="2">
        <v>45078</v>
      </c>
      <c r="B260" s="3" t="s">
        <v>150</v>
      </c>
      <c r="C260" s="3">
        <v>36691</v>
      </c>
      <c r="D260" s="3" t="s">
        <v>127</v>
      </c>
      <c r="E260" s="1">
        <v>16645.28571428547</v>
      </c>
      <c r="H260" s="1">
        <v>421.95870535714602</v>
      </c>
      <c r="I260" s="1">
        <v>1363.6205932617199</v>
      </c>
    </row>
    <row r="261" spans="1:46" x14ac:dyDescent="0.3">
      <c r="A261" s="2">
        <v>45108</v>
      </c>
      <c r="B261" s="3" t="s">
        <v>150</v>
      </c>
      <c r="C261" s="3">
        <v>36691</v>
      </c>
      <c r="D261" s="3" t="s">
        <v>127</v>
      </c>
      <c r="E261" s="1">
        <v>18801.529100529209</v>
      </c>
      <c r="H261" s="1">
        <v>161.78912450396851</v>
      </c>
      <c r="I261" s="1">
        <v>2082.5000000000055</v>
      </c>
    </row>
    <row r="262" spans="1:46" x14ac:dyDescent="0.3">
      <c r="A262" s="2">
        <v>45139</v>
      </c>
      <c r="B262" s="3" t="s">
        <v>150</v>
      </c>
      <c r="C262" s="3">
        <v>36691</v>
      </c>
      <c r="D262" s="3" t="s">
        <v>127</v>
      </c>
      <c r="E262" s="1">
        <v>20676.729302832071</v>
      </c>
      <c r="H262" s="1">
        <v>3.5177951388888888</v>
      </c>
      <c r="I262" s="1">
        <v>1999.20000000001</v>
      </c>
    </row>
    <row r="263" spans="1:46" x14ac:dyDescent="0.3">
      <c r="A263" s="2">
        <v>45170</v>
      </c>
      <c r="B263" s="3" t="s">
        <v>150</v>
      </c>
      <c r="C263" s="3">
        <v>36691</v>
      </c>
      <c r="D263" s="3" t="s">
        <v>127</v>
      </c>
      <c r="E263" s="1">
        <v>17616.279956427039</v>
      </c>
      <c r="H263" s="1">
        <v>0</v>
      </c>
      <c r="I263" s="1">
        <v>1749.2999999999877</v>
      </c>
    </row>
    <row r="264" spans="1:46" x14ac:dyDescent="0.3">
      <c r="A264" s="2">
        <v>45200</v>
      </c>
      <c r="B264" s="3" t="s">
        <v>150</v>
      </c>
      <c r="C264" s="3">
        <v>36691</v>
      </c>
      <c r="D264" s="3" t="s">
        <v>127</v>
      </c>
      <c r="E264" s="1">
        <v>18687.9259259258</v>
      </c>
      <c r="H264" s="1">
        <v>174.10156250000171</v>
      </c>
      <c r="I264" s="1">
        <v>999.60000000000502</v>
      </c>
    </row>
    <row r="265" spans="1:46" x14ac:dyDescent="0.3">
      <c r="A265" s="2">
        <v>45231</v>
      </c>
      <c r="B265" s="3" t="s">
        <v>150</v>
      </c>
      <c r="C265" s="3">
        <v>36691</v>
      </c>
      <c r="D265" s="3" t="s">
        <v>127</v>
      </c>
      <c r="E265" s="1">
        <v>18976.256305169882</v>
      </c>
      <c r="H265" s="1">
        <v>2543.8221646437669</v>
      </c>
      <c r="I265" s="1">
        <v>249.8999999999983</v>
      </c>
    </row>
    <row r="266" spans="1:46" x14ac:dyDescent="0.3">
      <c r="A266" s="2">
        <v>45261</v>
      </c>
      <c r="B266" s="3" t="s">
        <v>150</v>
      </c>
      <c r="C266" s="3">
        <v>36691</v>
      </c>
      <c r="D266" s="3" t="s">
        <v>127</v>
      </c>
      <c r="E266" s="1">
        <v>11043.752315519499</v>
      </c>
      <c r="H266" s="1">
        <v>1119.9399582010551</v>
      </c>
      <c r="I266" s="1">
        <v>0</v>
      </c>
    </row>
    <row r="267" spans="1:46" s="15" customFormat="1" x14ac:dyDescent="0.3">
      <c r="A267" s="38">
        <v>44927</v>
      </c>
      <c r="B267" s="22" t="s">
        <v>151</v>
      </c>
      <c r="C267" s="22">
        <v>341415</v>
      </c>
      <c r="D267" s="22" t="s">
        <v>127</v>
      </c>
      <c r="E267" s="16">
        <v>286377.33798828127</v>
      </c>
      <c r="F267" s="21"/>
      <c r="G267" s="21"/>
      <c r="H267" s="21">
        <v>14567.230603448121</v>
      </c>
      <c r="I267" s="21">
        <v>19374.69642510793</v>
      </c>
      <c r="J267" s="20"/>
      <c r="K267" s="21">
        <f>(SUM(E267:E278)*3.412)/C267</f>
        <v>36.385667204187783</v>
      </c>
      <c r="L267" s="21">
        <f>(SUM(G267:G278)*100)/C267</f>
        <v>0</v>
      </c>
      <c r="M267" s="21">
        <f>(SUM(H267:H278)*100)/C267</f>
        <v>35.777473327283431</v>
      </c>
      <c r="N267" s="21">
        <f>(SUM(I267:I278)*12)/C267</f>
        <v>36.979088812590071</v>
      </c>
      <c r="O267" s="21"/>
      <c r="P267" s="34">
        <f>SUM(K267:N267)</f>
        <v>109.14222934406129</v>
      </c>
      <c r="Q267" s="30" t="s">
        <v>36</v>
      </c>
      <c r="R267" s="20"/>
      <c r="AT267" s="15">
        <v>2863773.379882812</v>
      </c>
    </row>
    <row r="268" spans="1:46" x14ac:dyDescent="0.3">
      <c r="A268" s="2">
        <v>44958</v>
      </c>
      <c r="B268" s="3" t="s">
        <v>151</v>
      </c>
      <c r="C268" s="3">
        <v>341415</v>
      </c>
      <c r="D268" s="3" t="s">
        <v>127</v>
      </c>
      <c r="E268" s="9">
        <v>278527.37412109377</v>
      </c>
      <c r="H268" s="1">
        <v>14797.499999999911</v>
      </c>
      <c r="I268" s="1">
        <v>19665.880000000081</v>
      </c>
      <c r="Q268" s="25" t="s">
        <v>302</v>
      </c>
      <c r="AT268">
        <v>2785273.741210938</v>
      </c>
    </row>
    <row r="269" spans="1:46" x14ac:dyDescent="0.3">
      <c r="A269" s="2">
        <v>44986</v>
      </c>
      <c r="B269" s="3" t="s">
        <v>151</v>
      </c>
      <c r="C269" s="3">
        <v>341415</v>
      </c>
      <c r="D269" s="3" t="s">
        <v>127</v>
      </c>
      <c r="E269" s="9">
        <v>312884.63037109375</v>
      </c>
      <c r="H269" s="1">
        <v>16078.91099083446</v>
      </c>
      <c r="I269" s="1">
        <v>22997.677559260799</v>
      </c>
      <c r="Q269" s="25" t="s">
        <v>301</v>
      </c>
      <c r="AT269">
        <v>3128846.303710938</v>
      </c>
    </row>
    <row r="270" spans="1:46" x14ac:dyDescent="0.3">
      <c r="A270" s="2">
        <v>45017</v>
      </c>
      <c r="B270" s="3" t="s">
        <v>151</v>
      </c>
      <c r="C270" s="3">
        <v>341415</v>
      </c>
      <c r="D270" s="3" t="s">
        <v>127</v>
      </c>
      <c r="E270" s="9">
        <v>314388.72756347654</v>
      </c>
      <c r="H270" s="1">
        <v>12523.58900916572</v>
      </c>
      <c r="I270" s="1">
        <v>71887.849784489328</v>
      </c>
      <c r="AT270">
        <v>3143887.2756347661</v>
      </c>
    </row>
    <row r="271" spans="1:46" x14ac:dyDescent="0.3">
      <c r="A271" s="2">
        <v>45047</v>
      </c>
      <c r="B271" s="3" t="s">
        <v>151</v>
      </c>
      <c r="C271" s="3">
        <v>341415</v>
      </c>
      <c r="D271" s="3" t="s">
        <v>127</v>
      </c>
      <c r="E271" s="9">
        <v>320838.94467468263</v>
      </c>
      <c r="H271" s="1">
        <v>12476.562499999971</v>
      </c>
      <c r="I271" s="1">
        <v>101593.5923437489</v>
      </c>
      <c r="AT271">
        <v>3208389.4467468262</v>
      </c>
    </row>
    <row r="272" spans="1:46" x14ac:dyDescent="0.3">
      <c r="A272" s="2">
        <v>45078</v>
      </c>
      <c r="B272" s="3" t="s">
        <v>151</v>
      </c>
      <c r="C272" s="3">
        <v>341415</v>
      </c>
      <c r="D272" s="3" t="s">
        <v>127</v>
      </c>
      <c r="E272" s="9">
        <v>275332.61118469236</v>
      </c>
      <c r="H272" s="1">
        <v>3432.5076219511948</v>
      </c>
      <c r="I272" s="1">
        <v>109602.6088605181</v>
      </c>
      <c r="AT272">
        <v>2753326.1118469238</v>
      </c>
    </row>
    <row r="273" spans="1:50" x14ac:dyDescent="0.3">
      <c r="A273" s="2">
        <v>45108</v>
      </c>
      <c r="B273" s="3" t="s">
        <v>151</v>
      </c>
      <c r="C273" s="3">
        <v>341415</v>
      </c>
      <c r="D273" s="3" t="s">
        <v>127</v>
      </c>
      <c r="E273" s="9">
        <v>302103.00898437499</v>
      </c>
      <c r="H273" s="1">
        <v>4968.2736280487752</v>
      </c>
      <c r="I273" s="1">
        <v>148445.0115301061</v>
      </c>
      <c r="AT273">
        <v>3021030.08984375</v>
      </c>
    </row>
    <row r="274" spans="1:50" x14ac:dyDescent="0.3">
      <c r="A274" s="2">
        <v>45139</v>
      </c>
      <c r="B274" s="3" t="s">
        <v>151</v>
      </c>
      <c r="C274" s="3">
        <v>341415</v>
      </c>
      <c r="D274" s="3" t="s">
        <v>127</v>
      </c>
      <c r="E274" s="9">
        <v>285617.07622070314</v>
      </c>
      <c r="H274" s="1">
        <v>3959.5580357142239</v>
      </c>
      <c r="I274" s="1">
        <v>170042.2679776813</v>
      </c>
      <c r="AT274">
        <v>2856170.7622070308</v>
      </c>
    </row>
    <row r="275" spans="1:50" x14ac:dyDescent="0.3">
      <c r="A275" s="2">
        <v>45170</v>
      </c>
      <c r="B275" s="3" t="s">
        <v>151</v>
      </c>
      <c r="C275" s="3">
        <v>341415</v>
      </c>
      <c r="D275" s="3" t="s">
        <v>127</v>
      </c>
      <c r="E275" s="9">
        <v>323797.34433593752</v>
      </c>
      <c r="H275" s="1">
        <v>4429.7185846560442</v>
      </c>
      <c r="I275" s="1">
        <v>130659.2451473221</v>
      </c>
      <c r="AT275">
        <v>3237973.443359375</v>
      </c>
    </row>
    <row r="276" spans="1:50" x14ac:dyDescent="0.3">
      <c r="A276" s="2">
        <v>45200</v>
      </c>
      <c r="B276" s="3" t="s">
        <v>151</v>
      </c>
      <c r="C276" s="3">
        <v>341415</v>
      </c>
      <c r="D276" s="3" t="s">
        <v>127</v>
      </c>
      <c r="E276" s="9">
        <v>322579.45195312501</v>
      </c>
      <c r="H276" s="1">
        <v>5037.1296296296596</v>
      </c>
      <c r="I276" s="1">
        <v>117834.4791406242</v>
      </c>
      <c r="AT276">
        <v>3225794.51953125</v>
      </c>
    </row>
    <row r="277" spans="1:50" x14ac:dyDescent="0.3">
      <c r="A277" s="2">
        <v>45231</v>
      </c>
      <c r="B277" s="3" t="s">
        <v>151</v>
      </c>
      <c r="C277" s="3">
        <v>341415</v>
      </c>
      <c r="D277" s="3" t="s">
        <v>127</v>
      </c>
      <c r="E277" s="9">
        <v>306935.40078124998</v>
      </c>
      <c r="H277" s="1">
        <v>12502.002482660761</v>
      </c>
      <c r="I277" s="1">
        <v>75735.686823771015</v>
      </c>
      <c r="AT277">
        <v>3069354.0078125</v>
      </c>
    </row>
    <row r="278" spans="1:50" x14ac:dyDescent="0.3">
      <c r="A278" s="2">
        <v>45261</v>
      </c>
      <c r="B278" s="3" t="s">
        <v>151</v>
      </c>
      <c r="C278" s="3">
        <v>341415</v>
      </c>
      <c r="D278" s="3" t="s">
        <v>127</v>
      </c>
      <c r="E278" s="9">
        <v>311477.57849121094</v>
      </c>
      <c r="H278" s="1">
        <v>17376.677474235908</v>
      </c>
      <c r="I278" s="1">
        <v>64262.304986573647</v>
      </c>
      <c r="AT278">
        <v>3114775.7849121089</v>
      </c>
    </row>
    <row r="279" spans="1:50" s="15" customFormat="1" x14ac:dyDescent="0.3">
      <c r="A279" s="38">
        <v>44927</v>
      </c>
      <c r="B279" s="22" t="s">
        <v>152</v>
      </c>
      <c r="C279" s="22">
        <v>15667</v>
      </c>
      <c r="D279" s="22" t="s">
        <v>153</v>
      </c>
      <c r="E279" s="16">
        <v>12199.611184735608</v>
      </c>
      <c r="F279" s="21"/>
      <c r="G279" s="21">
        <v>456.58187007904053</v>
      </c>
      <c r="H279" s="21"/>
      <c r="I279" s="21"/>
      <c r="J279" s="20"/>
      <c r="K279" s="21">
        <f>(SUM(E279:E290)*3.412)/C279</f>
        <v>35.106719253932518</v>
      </c>
      <c r="L279" s="21">
        <f>(SUM(G279:G290)*100)/C279</f>
        <v>32.927271310581716</v>
      </c>
      <c r="M279" s="21">
        <f>(SUM(H279:H290)*100)/C279</f>
        <v>0</v>
      </c>
      <c r="N279" s="21">
        <f>(SUM(I279:I290)*12)/C279</f>
        <v>0</v>
      </c>
      <c r="O279" s="21"/>
      <c r="P279" s="34">
        <f>SUM(K279:N279)</f>
        <v>68.033990564514227</v>
      </c>
      <c r="Q279" s="40" t="s">
        <v>40</v>
      </c>
      <c r="R279" s="20" t="s">
        <v>304</v>
      </c>
      <c r="S279" s="15">
        <v>3.4340097121054958E-2</v>
      </c>
      <c r="AU279" s="15">
        <v>1.599964446756863</v>
      </c>
      <c r="AV279" s="15">
        <v>5483.2311827957737</v>
      </c>
      <c r="AW279" s="15">
        <v>3.9999999105930328E-2</v>
      </c>
      <c r="AX279" s="15">
        <v>6716.3400019407272</v>
      </c>
    </row>
    <row r="280" spans="1:50" x14ac:dyDescent="0.3">
      <c r="A280" s="2">
        <v>44958</v>
      </c>
      <c r="B280" s="3" t="s">
        <v>152</v>
      </c>
      <c r="C280" s="3">
        <v>15667</v>
      </c>
      <c r="D280" s="3" t="s">
        <v>153</v>
      </c>
      <c r="E280" s="9">
        <v>14116.748811411928</v>
      </c>
      <c r="G280" s="1">
        <v>1447.014949798584</v>
      </c>
      <c r="Q280" s="24" t="s">
        <v>39</v>
      </c>
      <c r="S280">
        <v>3.4334773425498823E-2</v>
      </c>
      <c r="AU280">
        <v>1.622310691884284</v>
      </c>
      <c r="AV280">
        <v>4382.2688172043072</v>
      </c>
      <c r="AW280">
        <v>0.15999999642372131</v>
      </c>
      <c r="AX280">
        <v>9734.3199942111969</v>
      </c>
    </row>
    <row r="281" spans="1:50" x14ac:dyDescent="0.3">
      <c r="A281" s="2">
        <v>44986</v>
      </c>
      <c r="B281" s="3" t="s">
        <v>152</v>
      </c>
      <c r="C281" s="3">
        <v>15667</v>
      </c>
      <c r="D281" s="3" t="s">
        <v>153</v>
      </c>
      <c r="E281" s="9">
        <v>16645.894595769478</v>
      </c>
      <c r="G281" s="1">
        <v>2037.4592485427861</v>
      </c>
      <c r="Q281" s="18" t="s">
        <v>38</v>
      </c>
      <c r="S281">
        <v>3.4364882790940972E-2</v>
      </c>
      <c r="AU281">
        <v>1.7064885663474481</v>
      </c>
      <c r="AV281">
        <v>3852.724220623506</v>
      </c>
      <c r="AW281">
        <v>3.9999999105930328E-2</v>
      </c>
      <c r="AX281">
        <v>12793.130375146869</v>
      </c>
    </row>
    <row r="282" spans="1:50" x14ac:dyDescent="0.3">
      <c r="A282" s="2">
        <v>45017</v>
      </c>
      <c r="B282" s="3" t="s">
        <v>152</v>
      </c>
      <c r="C282" s="3">
        <v>15667</v>
      </c>
      <c r="D282" s="3" t="s">
        <v>153</v>
      </c>
      <c r="E282" s="9">
        <v>11947.102412295912</v>
      </c>
      <c r="G282" s="1">
        <v>283.70254850387568</v>
      </c>
      <c r="Q282" s="25" t="s">
        <v>303</v>
      </c>
      <c r="S282">
        <v>3.4396551508792769E-2</v>
      </c>
      <c r="AU282">
        <v>1.391182082459022</v>
      </c>
      <c r="AV282">
        <v>83.942446043166782</v>
      </c>
      <c r="AW282">
        <v>0.2799999937415123</v>
      </c>
      <c r="AX282">
        <v>11862.879966259001</v>
      </c>
    </row>
    <row r="283" spans="1:50" x14ac:dyDescent="0.3">
      <c r="A283" s="2">
        <v>45047</v>
      </c>
      <c r="B283" s="3" t="s">
        <v>152</v>
      </c>
      <c r="C283" s="3">
        <v>15667</v>
      </c>
      <c r="D283" s="3" t="s">
        <v>153</v>
      </c>
      <c r="E283" s="9">
        <v>7183.0399910598408</v>
      </c>
      <c r="G283" s="1">
        <v>172.25862812995911</v>
      </c>
      <c r="S283">
        <v>3.3564022936178127E-2</v>
      </c>
      <c r="AU283">
        <v>1.0288488743279629</v>
      </c>
      <c r="AV283">
        <v>-4073.600000000059</v>
      </c>
      <c r="AW283">
        <v>0.39999999105930328</v>
      </c>
      <c r="AX283">
        <v>11256.23999106884</v>
      </c>
    </row>
    <row r="284" spans="1:50" x14ac:dyDescent="0.3">
      <c r="A284" s="2">
        <v>45078</v>
      </c>
      <c r="B284" s="3" t="s">
        <v>152</v>
      </c>
      <c r="C284" s="3">
        <v>15667</v>
      </c>
      <c r="D284" s="3" t="s">
        <v>153</v>
      </c>
      <c r="E284" s="9">
        <v>4638.6070796561216</v>
      </c>
      <c r="G284" s="1">
        <v>68.871699571609497</v>
      </c>
      <c r="S284">
        <v>3.4268565188171743E-2</v>
      </c>
      <c r="AU284">
        <v>0.79204393939393691</v>
      </c>
      <c r="AV284">
        <v>-5268.4909090909387</v>
      </c>
      <c r="AW284">
        <v>0.91999997943639755</v>
      </c>
      <c r="AX284">
        <v>9906.1779887676239</v>
      </c>
    </row>
    <row r="285" spans="1:50" x14ac:dyDescent="0.3">
      <c r="A285" s="2">
        <v>45108</v>
      </c>
      <c r="B285" s="3" t="s">
        <v>152</v>
      </c>
      <c r="C285" s="3">
        <v>15667</v>
      </c>
      <c r="D285" s="3" t="s">
        <v>153</v>
      </c>
      <c r="E285" s="9">
        <v>7177.7378657255213</v>
      </c>
      <c r="G285" s="1">
        <v>60.186226397752762</v>
      </c>
      <c r="S285">
        <v>3.4555379820170221E-2</v>
      </c>
      <c r="AU285">
        <v>1.188019769440803</v>
      </c>
      <c r="AV285">
        <v>-3851.6677115988091</v>
      </c>
      <c r="AW285">
        <v>0.91999997943639755</v>
      </c>
      <c r="AX285">
        <v>11028.485577344891</v>
      </c>
    </row>
    <row r="286" spans="1:50" x14ac:dyDescent="0.3">
      <c r="A286" s="2">
        <v>45139</v>
      </c>
      <c r="B286" s="3" t="s">
        <v>152</v>
      </c>
      <c r="C286" s="3">
        <v>15667</v>
      </c>
      <c r="D286" s="3" t="s">
        <v>153</v>
      </c>
      <c r="E286" s="9">
        <v>15955.853421388463</v>
      </c>
      <c r="G286" s="1">
        <v>41.247929096221917</v>
      </c>
      <c r="S286">
        <v>3.4576844642195327E-2</v>
      </c>
      <c r="AU286">
        <v>1.9323113644790679</v>
      </c>
      <c r="AV286">
        <v>5290.558620689706</v>
      </c>
      <c r="AW286">
        <v>0.95999997854232788</v>
      </c>
      <c r="AX286">
        <v>10664.334800720209</v>
      </c>
    </row>
    <row r="287" spans="1:50" x14ac:dyDescent="0.3">
      <c r="A287" s="2">
        <v>45170</v>
      </c>
      <c r="B287" s="3" t="s">
        <v>152</v>
      </c>
      <c r="C287" s="3">
        <v>15667</v>
      </c>
      <c r="D287" s="3" t="s">
        <v>153</v>
      </c>
      <c r="E287" s="9">
        <v>17787.449980375168</v>
      </c>
      <c r="G287" s="1">
        <v>13.85492956638336</v>
      </c>
      <c r="S287">
        <v>-5.7499999999999279E-3</v>
      </c>
      <c r="AU287">
        <v>2.0212361111111292</v>
      </c>
      <c r="AV287">
        <v>7645.9499999999962</v>
      </c>
      <c r="AW287">
        <v>0.5599999874830246</v>
      </c>
      <c r="AX287">
        <v>10140.93998038769</v>
      </c>
    </row>
    <row r="288" spans="1:50" x14ac:dyDescent="0.3">
      <c r="A288" s="2">
        <v>45200</v>
      </c>
      <c r="B288" s="3" t="s">
        <v>152</v>
      </c>
      <c r="C288" s="3">
        <v>15667</v>
      </c>
      <c r="D288" s="3" t="s">
        <v>153</v>
      </c>
      <c r="E288" s="9">
        <v>17888.823099090856</v>
      </c>
      <c r="G288" s="1">
        <v>34.876039624214172</v>
      </c>
      <c r="S288">
        <v>2.1408031347865859E-2</v>
      </c>
      <c r="AU288">
        <v>1.9269429852979889</v>
      </c>
      <c r="AV288">
        <v>7819.3030846483543</v>
      </c>
      <c r="AW288">
        <v>0.35999999195337301</v>
      </c>
      <c r="AX288">
        <v>10069.16001445055</v>
      </c>
    </row>
    <row r="289" spans="1:59" x14ac:dyDescent="0.3">
      <c r="A289" s="2">
        <v>45231</v>
      </c>
      <c r="B289" s="3" t="s">
        <v>152</v>
      </c>
      <c r="C289" s="3">
        <v>15667</v>
      </c>
      <c r="D289" s="3" t="s">
        <v>153</v>
      </c>
      <c r="E289" s="9">
        <v>17324.687546025358</v>
      </c>
      <c r="G289" s="1">
        <v>283.25867390632629</v>
      </c>
      <c r="S289">
        <v>5.4575417878073962E-2</v>
      </c>
      <c r="AU289">
        <v>1.859430315739226</v>
      </c>
      <c r="AV289">
        <v>7894.5275605128636</v>
      </c>
      <c r="AW289">
        <v>0.15999999642372131</v>
      </c>
      <c r="AX289">
        <v>9429.9999855160713</v>
      </c>
    </row>
    <row r="290" spans="1:59" x14ac:dyDescent="0.3">
      <c r="A290" s="2">
        <v>45261</v>
      </c>
      <c r="B290" s="3" t="s">
        <v>152</v>
      </c>
      <c r="C290" s="3">
        <v>15667</v>
      </c>
      <c r="D290" s="3" t="s">
        <v>153</v>
      </c>
      <c r="E290" s="9">
        <v>18335.197397975939</v>
      </c>
      <c r="G290" s="1">
        <v>259.40285301208502</v>
      </c>
      <c r="S290">
        <v>0.12073577870274101</v>
      </c>
      <c r="AU290">
        <v>1.934689993062801</v>
      </c>
      <c r="AV290">
        <v>7996.6774193548936</v>
      </c>
      <c r="AW290">
        <v>381.87999159935862</v>
      </c>
      <c r="AX290">
        <v>9956.6399870216846</v>
      </c>
    </row>
    <row r="291" spans="1:59" s="15" customFormat="1" x14ac:dyDescent="0.3">
      <c r="A291" s="38">
        <v>44927</v>
      </c>
      <c r="B291" s="22" t="s">
        <v>154</v>
      </c>
      <c r="C291" s="22"/>
      <c r="D291" s="42" t="s">
        <v>136</v>
      </c>
      <c r="E291" s="16">
        <v>8213.7862526882764</v>
      </c>
      <c r="F291" s="21"/>
      <c r="G291" s="21"/>
      <c r="H291" s="21"/>
      <c r="I291" s="21"/>
      <c r="J291" s="20"/>
      <c r="K291" s="21"/>
      <c r="L291" s="21"/>
      <c r="M291" s="21"/>
      <c r="N291" s="21"/>
      <c r="O291" s="21"/>
      <c r="P291" s="34">
        <f>SUM(K291:N291)</f>
        <v>0</v>
      </c>
      <c r="Q291" s="30" t="s">
        <v>305</v>
      </c>
      <c r="R291" s="20" t="s">
        <v>306</v>
      </c>
      <c r="S291" s="15">
        <v>1.9061085096542709</v>
      </c>
      <c r="AY291" s="15">
        <v>5170.8409942574799</v>
      </c>
    </row>
    <row r="292" spans="1:59" x14ac:dyDescent="0.3">
      <c r="A292" s="2">
        <v>44958</v>
      </c>
      <c r="B292" s="3" t="s">
        <v>154</v>
      </c>
      <c r="D292" s="6" t="s">
        <v>136</v>
      </c>
      <c r="E292" s="9">
        <v>7195.4463139783984</v>
      </c>
      <c r="S292">
        <v>1.870505360343069</v>
      </c>
      <c r="AY292">
        <v>6856.5199689939618</v>
      </c>
    </row>
    <row r="293" spans="1:59" x14ac:dyDescent="0.3">
      <c r="A293" s="2">
        <v>44986</v>
      </c>
      <c r="B293" s="3" t="s">
        <v>154</v>
      </c>
      <c r="D293" s="6" t="s">
        <v>136</v>
      </c>
      <c r="E293" s="9">
        <v>7207.3435760192724</v>
      </c>
      <c r="S293">
        <v>1.783967430631533</v>
      </c>
      <c r="AY293">
        <v>7202.1979988142848</v>
      </c>
    </row>
    <row r="294" spans="1:59" x14ac:dyDescent="0.3">
      <c r="A294" s="2">
        <v>45017</v>
      </c>
      <c r="B294" s="3" t="s">
        <v>154</v>
      </c>
      <c r="D294" s="6" t="s">
        <v>136</v>
      </c>
      <c r="E294" s="9">
        <v>5541.9066906474309</v>
      </c>
      <c r="S294">
        <v>1.4395184477417911</v>
      </c>
      <c r="AY294">
        <v>5803.6289898194373</v>
      </c>
    </row>
    <row r="295" spans="1:59" x14ac:dyDescent="0.3">
      <c r="A295" s="2">
        <v>45047</v>
      </c>
      <c r="B295" s="3" t="s">
        <v>154</v>
      </c>
      <c r="D295" s="6" t="s">
        <v>136</v>
      </c>
      <c r="E295" s="9">
        <v>4869.7212000000181</v>
      </c>
      <c r="S295">
        <v>1.2406414650537749</v>
      </c>
      <c r="AY295">
        <v>4551.7579932026574</v>
      </c>
    </row>
    <row r="296" spans="1:59" x14ac:dyDescent="0.3">
      <c r="A296" s="2">
        <v>45078</v>
      </c>
      <c r="B296" s="3" t="s">
        <v>154</v>
      </c>
      <c r="D296" s="6" t="s">
        <v>136</v>
      </c>
      <c r="E296" s="9">
        <v>4455.6500727272814</v>
      </c>
      <c r="S296">
        <v>1.2588351010100871</v>
      </c>
      <c r="AY296">
        <v>4410.6199949607253</v>
      </c>
    </row>
    <row r="297" spans="1:59" x14ac:dyDescent="0.3">
      <c r="A297" s="2">
        <v>45108</v>
      </c>
      <c r="B297" s="3" t="s">
        <v>154</v>
      </c>
      <c r="D297" s="6" t="s">
        <v>136</v>
      </c>
      <c r="E297" s="9">
        <v>5139.3361755486112</v>
      </c>
      <c r="S297">
        <v>1.495335979371023</v>
      </c>
      <c r="AY297">
        <v>5259.8759885430336</v>
      </c>
    </row>
    <row r="298" spans="1:59" x14ac:dyDescent="0.3">
      <c r="A298" s="2">
        <v>45139</v>
      </c>
      <c r="B298" s="3" t="s">
        <v>154</v>
      </c>
      <c r="D298" s="6" t="s">
        <v>136</v>
      </c>
      <c r="E298" s="9">
        <v>5119.5483517240527</v>
      </c>
      <c r="S298">
        <v>1.520218761586944</v>
      </c>
      <c r="AY298">
        <v>5010.7743678689003</v>
      </c>
    </row>
    <row r="299" spans="1:59" x14ac:dyDescent="0.3">
      <c r="A299" s="2">
        <v>45170</v>
      </c>
      <c r="B299" s="3" t="s">
        <v>154</v>
      </c>
      <c r="D299" s="6" t="s">
        <v>136</v>
      </c>
      <c r="E299" s="9">
        <v>5700.5024499999599</v>
      </c>
      <c r="S299">
        <v>1.7406006944444239</v>
      </c>
      <c r="AY299">
        <v>5584.6539909988642</v>
      </c>
    </row>
    <row r="300" spans="1:59" x14ac:dyDescent="0.3">
      <c r="A300" s="2">
        <v>45200</v>
      </c>
      <c r="B300" s="3" t="s">
        <v>154</v>
      </c>
      <c r="D300" s="6" t="s">
        <v>136</v>
      </c>
      <c r="E300" s="9">
        <v>7119.998483141937</v>
      </c>
      <c r="S300">
        <v>1.991096939070637</v>
      </c>
      <c r="AY300">
        <v>7268.8409738987684</v>
      </c>
    </row>
    <row r="301" spans="1:59" x14ac:dyDescent="0.3">
      <c r="A301" s="2">
        <v>45231</v>
      </c>
      <c r="B301" s="3" t="s">
        <v>154</v>
      </c>
      <c r="D301" s="6" t="s">
        <v>136</v>
      </c>
      <c r="E301" s="9">
        <v>8211.0746216968128</v>
      </c>
      <c r="S301">
        <v>2.330485557571174</v>
      </c>
      <c r="AY301">
        <v>8253.6269451826811</v>
      </c>
    </row>
    <row r="302" spans="1:59" x14ac:dyDescent="0.3">
      <c r="A302" s="2">
        <v>45261</v>
      </c>
      <c r="B302" s="3" t="s">
        <v>154</v>
      </c>
      <c r="D302" s="6" t="s">
        <v>136</v>
      </c>
      <c r="E302" s="9">
        <v>8718.053129032136</v>
      </c>
      <c r="S302">
        <v>2.5263514568158389</v>
      </c>
      <c r="AY302">
        <v>8815.9839423298836</v>
      </c>
    </row>
    <row r="303" spans="1:59" s="15" customFormat="1" x14ac:dyDescent="0.3">
      <c r="A303" s="38">
        <v>44927</v>
      </c>
      <c r="B303" s="22" t="s">
        <v>155</v>
      </c>
      <c r="C303" s="22">
        <v>52851</v>
      </c>
      <c r="D303" s="22" t="s">
        <v>156</v>
      </c>
      <c r="E303" s="39">
        <v>72853.939799999469</v>
      </c>
      <c r="F303" s="21"/>
      <c r="G303" s="21">
        <v>1539.5393939394</v>
      </c>
      <c r="H303" s="21"/>
      <c r="I303" s="21"/>
      <c r="J303" s="20"/>
      <c r="K303" s="21">
        <f>(SUM(E303:E314)*3.412)/C303</f>
        <v>68.143473120970597</v>
      </c>
      <c r="L303" s="21">
        <f>(SUM(G303:G314)*100)/C303</f>
        <v>18.548314501087454</v>
      </c>
      <c r="M303" s="21">
        <f>(SUM(H303:H314)*100)/C303</f>
        <v>0</v>
      </c>
      <c r="N303" s="21">
        <f>(SUM(I303:I314)*12)/C303</f>
        <v>0</v>
      </c>
      <c r="O303" s="21"/>
      <c r="P303" s="34">
        <f>SUM(K303:N303)</f>
        <v>86.691787622058058</v>
      </c>
      <c r="Q303" s="30" t="s">
        <v>47</v>
      </c>
      <c r="R303" s="59" t="s">
        <v>308</v>
      </c>
      <c r="T303" s="15">
        <v>5.0938011567284978</v>
      </c>
      <c r="AZ303" s="15">
        <v>2.0110663082437551E-2</v>
      </c>
      <c r="BA303" s="15">
        <v>5.7448000000000041</v>
      </c>
      <c r="BB303" s="15">
        <v>27.050365143369209</v>
      </c>
      <c r="BC303" s="15">
        <v>72853.939799999469</v>
      </c>
      <c r="BD303" s="15">
        <v>11.58180017921133</v>
      </c>
      <c r="BE303" s="15">
        <v>72848.195000000924</v>
      </c>
      <c r="BF303" s="15">
        <v>1198.0772399902339</v>
      </c>
      <c r="BG303" s="15">
        <v>70363.050031661987</v>
      </c>
    </row>
    <row r="304" spans="1:59" x14ac:dyDescent="0.3">
      <c r="A304" s="2">
        <v>44958</v>
      </c>
      <c r="B304" s="3" t="s">
        <v>155</v>
      </c>
      <c r="C304" s="3">
        <v>52851</v>
      </c>
      <c r="D304" s="3" t="s">
        <v>156</v>
      </c>
      <c r="E304" s="11">
        <v>67513.498392230424</v>
      </c>
      <c r="G304" s="1">
        <v>1948.6292565947381</v>
      </c>
      <c r="Q304" s="25" t="s">
        <v>307</v>
      </c>
      <c r="T304">
        <v>7.1020332876555514</v>
      </c>
      <c r="AZ304">
        <v>-1.7834982014387211E-3</v>
      </c>
      <c r="BA304">
        <v>15.09821237410068</v>
      </c>
      <c r="BB304">
        <v>26.53860182211363</v>
      </c>
      <c r="BC304">
        <v>67513.498392230424</v>
      </c>
      <c r="BD304">
        <v>12.82471567745802</v>
      </c>
      <c r="BE304">
        <v>67498.400179856442</v>
      </c>
      <c r="BF304">
        <v>2308.3687267303471</v>
      </c>
      <c r="BG304">
        <v>70710.75008392334</v>
      </c>
    </row>
    <row r="305" spans="1:59" x14ac:dyDescent="0.3">
      <c r="A305" s="2">
        <v>44986</v>
      </c>
      <c r="B305" s="3" t="s">
        <v>155</v>
      </c>
      <c r="C305" s="3">
        <v>52851</v>
      </c>
      <c r="D305" s="3" t="s">
        <v>156</v>
      </c>
      <c r="E305" s="11">
        <v>81000.505907769446</v>
      </c>
      <c r="G305" s="1">
        <v>1661.9374100719649</v>
      </c>
      <c r="T305">
        <v>4.329902374197518</v>
      </c>
      <c r="AZ305">
        <v>4.6728396085285069E-2</v>
      </c>
      <c r="BA305">
        <v>50.926087625899832</v>
      </c>
      <c r="BB305">
        <v>27.951858025624819</v>
      </c>
      <c r="BC305">
        <v>81000.505907769446</v>
      </c>
      <c r="BD305">
        <v>14.63452397678113</v>
      </c>
      <c r="BE305">
        <v>80949.579820144107</v>
      </c>
      <c r="BF305">
        <v>1604.7857685089109</v>
      </c>
      <c r="BG305">
        <v>74742.000028610229</v>
      </c>
    </row>
    <row r="306" spans="1:59" x14ac:dyDescent="0.3">
      <c r="A306" s="2">
        <v>45017</v>
      </c>
      <c r="B306" s="3" t="s">
        <v>155</v>
      </c>
      <c r="C306" s="3">
        <v>52851</v>
      </c>
      <c r="D306" s="3" t="s">
        <v>156</v>
      </c>
      <c r="E306" s="11">
        <v>88848.629375861448</v>
      </c>
      <c r="G306" s="1">
        <v>873.46551724138158</v>
      </c>
      <c r="T306">
        <v>1.668721623563195</v>
      </c>
      <c r="AZ306">
        <v>4.514842253352485E-2</v>
      </c>
      <c r="BA306">
        <v>42.244031034482632</v>
      </c>
      <c r="BB306">
        <v>32.60342805615376</v>
      </c>
      <c r="BC306">
        <v>88848.629375861448</v>
      </c>
      <c r="BD306">
        <v>17.022043522509691</v>
      </c>
      <c r="BE306">
        <v>88806.385344828348</v>
      </c>
      <c r="BF306">
        <v>764.24960553646088</v>
      </c>
      <c r="BG306">
        <v>94538.099927902222</v>
      </c>
    </row>
    <row r="307" spans="1:59" x14ac:dyDescent="0.3">
      <c r="A307" s="2">
        <v>45047</v>
      </c>
      <c r="B307" s="3" t="s">
        <v>155</v>
      </c>
      <c r="C307" s="3">
        <v>52851</v>
      </c>
      <c r="D307" s="3" t="s">
        <v>156</v>
      </c>
      <c r="E307" s="11">
        <v>99004.489491879998</v>
      </c>
      <c r="G307" s="1">
        <v>589.38932146829018</v>
      </c>
      <c r="T307">
        <v>0.97122684105397927</v>
      </c>
      <c r="AZ307">
        <v>4.7115716985420067E-2</v>
      </c>
      <c r="BA307">
        <v>52.069191546162948</v>
      </c>
      <c r="BB307">
        <v>36.951601271425318</v>
      </c>
      <c r="BC307">
        <v>99004.489491879998</v>
      </c>
      <c r="BD307">
        <v>18.686286629708061</v>
      </c>
      <c r="BE307">
        <v>98952.420300335114</v>
      </c>
      <c r="BF307">
        <v>623.17975890636444</v>
      </c>
      <c r="BG307">
        <v>96440.700084686279</v>
      </c>
    </row>
    <row r="308" spans="1:59" x14ac:dyDescent="0.3">
      <c r="A308" s="2">
        <v>45078</v>
      </c>
      <c r="B308" s="3" t="s">
        <v>155</v>
      </c>
      <c r="C308" s="3">
        <v>52851</v>
      </c>
      <c r="D308" s="3" t="s">
        <v>156</v>
      </c>
      <c r="E308" s="11">
        <v>87662.431332258915</v>
      </c>
      <c r="G308" s="1">
        <v>543.41935483870486</v>
      </c>
      <c r="T308">
        <v>0.94552329749102537</v>
      </c>
      <c r="AZ308">
        <v>4.41518817204299E-2</v>
      </c>
      <c r="BA308">
        <v>38.749477419355117</v>
      </c>
      <c r="BB308">
        <v>34.977252800179777</v>
      </c>
      <c r="BC308">
        <v>87662.431332258915</v>
      </c>
      <c r="BD308">
        <v>18.08183702956995</v>
      </c>
      <c r="BE308">
        <v>87623.681854837414</v>
      </c>
      <c r="BF308">
        <v>657.34682464599609</v>
      </c>
      <c r="BG308">
        <v>90105.299977302551</v>
      </c>
    </row>
    <row r="309" spans="1:59" x14ac:dyDescent="0.3">
      <c r="A309" s="2">
        <v>45108</v>
      </c>
      <c r="B309" s="3" t="s">
        <v>155</v>
      </c>
      <c r="C309" s="3">
        <v>52851</v>
      </c>
      <c r="D309" s="3" t="s">
        <v>156</v>
      </c>
      <c r="E309" s="11">
        <v>96533.125258620421</v>
      </c>
      <c r="G309" s="1">
        <v>100.77753058954519</v>
      </c>
      <c r="T309">
        <v>0.23492460260504719</v>
      </c>
      <c r="AZ309">
        <v>4.329022988505804E-2</v>
      </c>
      <c r="BA309">
        <v>31.275689655172311</v>
      </c>
      <c r="BB309">
        <v>38.19673584074846</v>
      </c>
      <c r="BC309">
        <v>96533.125258620421</v>
      </c>
      <c r="BD309">
        <v>20.541321954950231</v>
      </c>
      <c r="BE309">
        <v>96501.849568964826</v>
      </c>
      <c r="BF309">
        <v>33.549577236175537</v>
      </c>
      <c r="BG309">
        <v>98781.599970817566</v>
      </c>
    </row>
    <row r="310" spans="1:59" x14ac:dyDescent="0.3">
      <c r="A310" s="2">
        <v>45139</v>
      </c>
      <c r="B310" s="3" t="s">
        <v>155</v>
      </c>
      <c r="C310" s="3">
        <v>52851</v>
      </c>
      <c r="D310" s="3" t="s">
        <v>156</v>
      </c>
      <c r="E310" s="11">
        <v>99021.607401380155</v>
      </c>
      <c r="G310" s="1">
        <v>35.738598442714178</v>
      </c>
      <c r="T310">
        <v>0.133267384907963</v>
      </c>
      <c r="AZ310">
        <v>4.5985307749351383E-2</v>
      </c>
      <c r="BA310">
        <v>39.639470344827153</v>
      </c>
      <c r="BB310">
        <v>40.132908648498848</v>
      </c>
      <c r="BC310">
        <v>99021.607401380155</v>
      </c>
      <c r="BD310">
        <v>21.663966351501799</v>
      </c>
      <c r="BE310">
        <v>98981.967931033723</v>
      </c>
      <c r="BF310">
        <v>26.319099545478821</v>
      </c>
      <c r="BG310">
        <v>100604.99999237061</v>
      </c>
    </row>
    <row r="311" spans="1:59" x14ac:dyDescent="0.3">
      <c r="A311" s="2">
        <v>45170</v>
      </c>
      <c r="B311" s="3" t="s">
        <v>155</v>
      </c>
      <c r="C311" s="3">
        <v>52851</v>
      </c>
      <c r="D311" s="3" t="s">
        <v>156</v>
      </c>
      <c r="E311" s="11">
        <v>91521.54243999999</v>
      </c>
      <c r="G311" s="1">
        <v>89.459677419355501</v>
      </c>
      <c r="T311">
        <v>0.25356742831541129</v>
      </c>
      <c r="AZ311">
        <v>3.019175347222226E-2</v>
      </c>
      <c r="BA311">
        <v>36.047439999999987</v>
      </c>
      <c r="BB311">
        <v>35.561362152777932</v>
      </c>
      <c r="BC311">
        <v>91521.54243999999</v>
      </c>
      <c r="BD311">
        <v>19.9384203993055</v>
      </c>
      <c r="BE311">
        <v>91485.495000000054</v>
      </c>
      <c r="BF311">
        <v>147.55811619758609</v>
      </c>
      <c r="BG311">
        <v>90392.399971008301</v>
      </c>
    </row>
    <row r="312" spans="1:59" x14ac:dyDescent="0.3">
      <c r="A312" s="2">
        <v>45200</v>
      </c>
      <c r="B312" s="3" t="s">
        <v>155</v>
      </c>
      <c r="C312" s="3">
        <v>52851</v>
      </c>
      <c r="D312" s="3" t="s">
        <v>156</v>
      </c>
      <c r="E312" s="11">
        <v>97234.527413774587</v>
      </c>
      <c r="G312" s="1">
        <v>253.80236728838071</v>
      </c>
      <c r="T312">
        <v>0.63973038251491854</v>
      </c>
      <c r="AZ312">
        <v>7.0749900447000403E-3</v>
      </c>
      <c r="BA312">
        <v>35.523719368722602</v>
      </c>
      <c r="BB312">
        <v>36.442796733022817</v>
      </c>
      <c r="BC312">
        <v>97234.527413774587</v>
      </c>
      <c r="BD312">
        <v>19.398530882762611</v>
      </c>
      <c r="BE312">
        <v>97199.003694402782</v>
      </c>
      <c r="BF312">
        <v>93.838030934333801</v>
      </c>
      <c r="BG312">
        <v>94773.900055885315</v>
      </c>
    </row>
    <row r="313" spans="1:59" x14ac:dyDescent="0.3">
      <c r="A313" s="2">
        <v>45231</v>
      </c>
      <c r="B313" s="3" t="s">
        <v>155</v>
      </c>
      <c r="C313" s="3">
        <v>52851</v>
      </c>
      <c r="D313" s="3" t="s">
        <v>156</v>
      </c>
      <c r="E313" s="11">
        <v>88614.279386225477</v>
      </c>
      <c r="G313" s="1">
        <v>740.7142993782893</v>
      </c>
      <c r="T313">
        <v>2.0006337430543928</v>
      </c>
      <c r="AZ313">
        <v>4.265623426732771E-2</v>
      </c>
      <c r="BA313">
        <v>29.62808063127704</v>
      </c>
      <c r="BB313">
        <v>32.664532797916891</v>
      </c>
      <c r="BC313">
        <v>88614.279386225477</v>
      </c>
      <c r="BD313">
        <v>18.19919047950717</v>
      </c>
      <c r="BE313">
        <v>88584.651305595777</v>
      </c>
      <c r="BF313">
        <v>830.40071678161621</v>
      </c>
      <c r="BG313">
        <v>89486.400085449219</v>
      </c>
    </row>
    <row r="314" spans="1:59" x14ac:dyDescent="0.3">
      <c r="A314" s="2">
        <v>45261</v>
      </c>
      <c r="B314" s="3" t="s">
        <v>155</v>
      </c>
      <c r="C314" s="3">
        <v>52851</v>
      </c>
      <c r="D314" s="3" t="s">
        <v>156</v>
      </c>
      <c r="E314" s="11">
        <v>85716.247339394933</v>
      </c>
      <c r="G314" s="1">
        <v>1426.0969696969671</v>
      </c>
      <c r="T314">
        <v>3.9556543662429968</v>
      </c>
      <c r="AZ314">
        <v>4.0425464320625562E-2</v>
      </c>
      <c r="BA314">
        <v>21.327339393939472</v>
      </c>
      <c r="BB314">
        <v>33.947207233626308</v>
      </c>
      <c r="BC314">
        <v>85716.247339394933</v>
      </c>
      <c r="BD314">
        <v>17.188488758553031</v>
      </c>
      <c r="BE314">
        <v>85694.9200000001</v>
      </c>
      <c r="BF314">
        <v>1221.4325580596919</v>
      </c>
      <c r="BG314">
        <v>82120.199981689453</v>
      </c>
    </row>
    <row r="315" spans="1:59" s="15" customFormat="1" x14ac:dyDescent="0.3">
      <c r="A315" s="38">
        <v>44927</v>
      </c>
      <c r="B315" s="22" t="s">
        <v>157</v>
      </c>
      <c r="C315" s="22">
        <v>42445</v>
      </c>
      <c r="D315" s="22" t="s">
        <v>127</v>
      </c>
      <c r="E315" s="21">
        <v>28607.202990301339</v>
      </c>
      <c r="F315" s="21"/>
      <c r="G315" s="21"/>
      <c r="H315" s="21">
        <v>2920.491034482789</v>
      </c>
      <c r="I315" s="21">
        <v>3871.7983620690188</v>
      </c>
      <c r="J315" s="20"/>
      <c r="K315" s="21">
        <f>(SUM(E315:E326)*3.412)/C315</f>
        <v>28.430750595511014</v>
      </c>
      <c r="L315" s="21">
        <f>(SUM(G315:G326)*100)/C315</f>
        <v>0</v>
      </c>
      <c r="M315" s="21">
        <f>(SUM(H315:H326)*100)/C315</f>
        <v>36.537840450725355</v>
      </c>
      <c r="N315" s="21">
        <f>(SUM(I315:I326)*12)/C315</f>
        <v>34.795783608645742</v>
      </c>
      <c r="O315" s="21"/>
      <c r="P315" s="34">
        <f>SUM(K315:N315)</f>
        <v>99.764374654882118</v>
      </c>
      <c r="Q315" s="30" t="s">
        <v>309</v>
      </c>
      <c r="R315" s="20"/>
    </row>
    <row r="316" spans="1:59" x14ac:dyDescent="0.3">
      <c r="A316" s="2">
        <v>44958</v>
      </c>
      <c r="B316" s="3" t="s">
        <v>157</v>
      </c>
      <c r="C316" s="3">
        <v>42445</v>
      </c>
      <c r="D316" s="3" t="s">
        <v>127</v>
      </c>
      <c r="E316" s="1">
        <v>27489.990234374789</v>
      </c>
      <c r="H316" s="1">
        <v>2547.239999999998</v>
      </c>
      <c r="I316" s="1">
        <v>3255.1141000000321</v>
      </c>
      <c r="Q316" s="25" t="s">
        <v>310</v>
      </c>
    </row>
    <row r="317" spans="1:59" x14ac:dyDescent="0.3">
      <c r="A317" s="2">
        <v>44986</v>
      </c>
      <c r="B317" s="3" t="s">
        <v>157</v>
      </c>
      <c r="C317" s="3">
        <v>42445</v>
      </c>
      <c r="D317" s="3" t="s">
        <v>127</v>
      </c>
      <c r="E317" s="1">
        <v>29663.657013595559</v>
      </c>
      <c r="H317" s="1">
        <v>2671.672073324894</v>
      </c>
      <c r="I317" s="1">
        <v>5646.1296561947966</v>
      </c>
      <c r="Q317" s="25" t="s">
        <v>311</v>
      </c>
    </row>
    <row r="318" spans="1:59" x14ac:dyDescent="0.3">
      <c r="A318" s="2">
        <v>45017</v>
      </c>
      <c r="B318" s="3" t="s">
        <v>157</v>
      </c>
      <c r="C318" s="3">
        <v>42445</v>
      </c>
      <c r="D318" s="3" t="s">
        <v>127</v>
      </c>
      <c r="E318" s="1">
        <v>28106.362517654779</v>
      </c>
      <c r="H318" s="1">
        <v>1990.152926675102</v>
      </c>
      <c r="I318" s="1">
        <v>11236.98939380549</v>
      </c>
    </row>
    <row r="319" spans="1:59" x14ac:dyDescent="0.3">
      <c r="A319" s="2">
        <v>45047</v>
      </c>
      <c r="B319" s="3" t="s">
        <v>157</v>
      </c>
      <c r="C319" s="3">
        <v>42445</v>
      </c>
      <c r="D319" s="3" t="s">
        <v>127</v>
      </c>
      <c r="E319" s="1">
        <v>30470.031738280672</v>
      </c>
      <c r="H319" s="1">
        <v>1572.8850000000159</v>
      </c>
      <c r="I319" s="1">
        <v>14028.76124999986</v>
      </c>
    </row>
    <row r="320" spans="1:59" x14ac:dyDescent="0.3">
      <c r="A320" s="2">
        <v>45078</v>
      </c>
      <c r="B320" s="3" t="s">
        <v>157</v>
      </c>
      <c r="C320" s="3">
        <v>42445</v>
      </c>
      <c r="D320" s="3" t="s">
        <v>127</v>
      </c>
      <c r="E320" s="1">
        <v>29117.11774553539</v>
      </c>
      <c r="H320" s="1">
        <v>976.00714285713502</v>
      </c>
      <c r="I320" s="1">
        <v>16709.759849999758</v>
      </c>
    </row>
    <row r="321" spans="1:18" x14ac:dyDescent="0.3">
      <c r="A321" s="2">
        <v>45108</v>
      </c>
      <c r="B321" s="3" t="s">
        <v>157</v>
      </c>
      <c r="C321" s="3">
        <v>42445</v>
      </c>
      <c r="D321" s="3" t="s">
        <v>127</v>
      </c>
      <c r="E321" s="1">
        <v>29932.87004743324</v>
      </c>
      <c r="H321" s="1">
        <v>709.47035714284664</v>
      </c>
      <c r="I321" s="1">
        <v>19793.3205750001</v>
      </c>
    </row>
    <row r="322" spans="1:18" x14ac:dyDescent="0.3">
      <c r="A322" s="2">
        <v>45139</v>
      </c>
      <c r="B322" s="3" t="s">
        <v>157</v>
      </c>
      <c r="C322" s="3">
        <v>42445</v>
      </c>
      <c r="D322" s="3" t="s">
        <v>127</v>
      </c>
      <c r="E322" s="1">
        <v>26739.716448103001</v>
      </c>
      <c r="H322" s="1">
        <v>166.538642857144</v>
      </c>
      <c r="I322" s="1">
        <v>13280.898015000061</v>
      </c>
    </row>
    <row r="323" spans="1:18" x14ac:dyDescent="0.3">
      <c r="A323" s="2">
        <v>45170</v>
      </c>
      <c r="B323" s="3" t="s">
        <v>157</v>
      </c>
      <c r="C323" s="3">
        <v>42445</v>
      </c>
      <c r="D323" s="3" t="s">
        <v>127</v>
      </c>
      <c r="E323" s="1">
        <v>30128.124999999789</v>
      </c>
      <c r="H323" s="1">
        <v>73.614214285713416</v>
      </c>
      <c r="I323" s="1">
        <v>11969.82949749991</v>
      </c>
    </row>
    <row r="324" spans="1:18" x14ac:dyDescent="0.3">
      <c r="A324" s="2">
        <v>45200</v>
      </c>
      <c r="B324" s="3" t="s">
        <v>157</v>
      </c>
      <c r="C324" s="3">
        <v>42445</v>
      </c>
      <c r="D324" s="3" t="s">
        <v>127</v>
      </c>
      <c r="E324" s="1">
        <v>32052.141462053729</v>
      </c>
      <c r="H324" s="1">
        <v>219.08464285714109</v>
      </c>
      <c r="I324" s="1">
        <v>12346.040262500161</v>
      </c>
    </row>
    <row r="325" spans="1:18" x14ac:dyDescent="0.3">
      <c r="A325" s="2">
        <v>45231</v>
      </c>
      <c r="B325" s="3" t="s">
        <v>157</v>
      </c>
      <c r="C325" s="3">
        <v>42445</v>
      </c>
      <c r="D325" s="3" t="s">
        <v>127</v>
      </c>
      <c r="E325" s="1">
        <v>29549.180327868511</v>
      </c>
      <c r="H325" s="1">
        <v>680.44943253467693</v>
      </c>
      <c r="I325" s="1">
        <v>7059.5806703657036</v>
      </c>
    </row>
    <row r="326" spans="1:18" x14ac:dyDescent="0.3">
      <c r="A326" s="2">
        <v>45261</v>
      </c>
      <c r="B326" s="3" t="s">
        <v>157</v>
      </c>
      <c r="C326" s="3">
        <v>42445</v>
      </c>
      <c r="D326" s="3" t="s">
        <v>127</v>
      </c>
      <c r="E326" s="1">
        <v>31819.80876157089</v>
      </c>
      <c r="H326" s="1">
        <v>980.88091229291877</v>
      </c>
      <c r="I326" s="1">
        <v>3877.3646399791551</v>
      </c>
    </row>
    <row r="327" spans="1:18" s="15" customFormat="1" x14ac:dyDescent="0.3">
      <c r="A327" s="38">
        <v>44927</v>
      </c>
      <c r="B327" s="22" t="s">
        <v>158</v>
      </c>
      <c r="C327" s="22">
        <v>73315</v>
      </c>
      <c r="D327" s="22" t="s">
        <v>127</v>
      </c>
      <c r="E327" s="16">
        <v>41521.352833714918</v>
      </c>
      <c r="F327" s="21"/>
      <c r="G327" s="21"/>
      <c r="H327" s="21">
        <v>29324.379310345339</v>
      </c>
      <c r="I327" s="21">
        <v>4237.287165517153</v>
      </c>
      <c r="J327" s="20"/>
      <c r="K327" s="21">
        <f>(SUM(E327:E338)*3.412)/C327</f>
        <v>27.031274631834517</v>
      </c>
      <c r="L327" s="21">
        <f>(SUM(G327:G338)*100)/C327</f>
        <v>0</v>
      </c>
      <c r="M327" s="21">
        <f>(SUM(H327:H338)*100)/C327</f>
        <v>957.23769598356114</v>
      </c>
      <c r="N327" s="21">
        <f>(SUM(I327:I338)*12)/C327</f>
        <v>16.250115700037863</v>
      </c>
      <c r="O327" s="21"/>
      <c r="P327" s="34">
        <f>SUM(K327:N327)</f>
        <v>1000.5190863154336</v>
      </c>
      <c r="Q327" s="30" t="s">
        <v>312</v>
      </c>
      <c r="R327" s="20" t="s">
        <v>316</v>
      </c>
    </row>
    <row r="328" spans="1:18" x14ac:dyDescent="0.3">
      <c r="A328" s="2">
        <v>44958</v>
      </c>
      <c r="B328" s="3" t="s">
        <v>158</v>
      </c>
      <c r="C328" s="3">
        <v>73315</v>
      </c>
      <c r="D328" s="3" t="s">
        <v>127</v>
      </c>
      <c r="E328" s="9">
        <v>41570.007324219296</v>
      </c>
      <c r="H328" s="1">
        <v>28129.999999999702</v>
      </c>
      <c r="I328" s="1">
        <v>5228.9075999999386</v>
      </c>
      <c r="Q328" s="25" t="s">
        <v>313</v>
      </c>
      <c r="R328" s="23" t="s">
        <v>323</v>
      </c>
    </row>
    <row r="329" spans="1:18" x14ac:dyDescent="0.3">
      <c r="A329" s="2">
        <v>44986</v>
      </c>
      <c r="B329" s="3" t="s">
        <v>158</v>
      </c>
      <c r="C329" s="3">
        <v>73315</v>
      </c>
      <c r="D329" s="3" t="s">
        <v>127</v>
      </c>
      <c r="E329" s="9">
        <v>47980.287419257802</v>
      </c>
      <c r="H329" s="1">
        <v>20825.163993362588</v>
      </c>
      <c r="I329" s="1">
        <v>7140.0639756638011</v>
      </c>
      <c r="Q329" s="25" t="s">
        <v>314</v>
      </c>
    </row>
    <row r="330" spans="1:18" x14ac:dyDescent="0.3">
      <c r="A330" s="2">
        <v>45017</v>
      </c>
      <c r="B330" s="3" t="s">
        <v>158</v>
      </c>
      <c r="C330" s="3">
        <v>73315</v>
      </c>
      <c r="D330" s="3" t="s">
        <v>127</v>
      </c>
      <c r="E330" s="9">
        <v>45639.707697929654</v>
      </c>
      <c r="H330" s="1">
        <v>30047.961006637601</v>
      </c>
      <c r="I330" s="1">
        <v>7214.275324336234</v>
      </c>
      <c r="Q330" s="25" t="s">
        <v>315</v>
      </c>
    </row>
    <row r="331" spans="1:18" x14ac:dyDescent="0.3">
      <c r="A331" s="2">
        <v>45047</v>
      </c>
      <c r="B331" s="3" t="s">
        <v>158</v>
      </c>
      <c r="C331" s="3">
        <v>73315</v>
      </c>
      <c r="D331" s="3" t="s">
        <v>127</v>
      </c>
      <c r="E331" s="9">
        <v>44350.03662109431</v>
      </c>
      <c r="H331" s="1">
        <v>26824.125000000331</v>
      </c>
      <c r="I331" s="1">
        <v>7305.4099999999771</v>
      </c>
    </row>
    <row r="332" spans="1:18" x14ac:dyDescent="0.3">
      <c r="A332" s="2">
        <v>45078</v>
      </c>
      <c r="B332" s="3" t="s">
        <v>158</v>
      </c>
      <c r="C332" s="3">
        <v>73315</v>
      </c>
      <c r="D332" s="3" t="s">
        <v>127</v>
      </c>
      <c r="E332" s="9">
        <v>42468.231945503197</v>
      </c>
      <c r="H332" s="1">
        <v>19.024390243902779</v>
      </c>
      <c r="I332" s="1">
        <v>9466.6234207316393</v>
      </c>
    </row>
    <row r="333" spans="1:18" x14ac:dyDescent="0.3">
      <c r="A333" s="2">
        <v>45108</v>
      </c>
      <c r="B333" s="3" t="s">
        <v>158</v>
      </c>
      <c r="C333" s="3">
        <v>73315</v>
      </c>
      <c r="D333" s="3" t="s">
        <v>127</v>
      </c>
      <c r="E333" s="9">
        <v>44341.765613090778</v>
      </c>
      <c r="H333" s="1">
        <v>566628.16310975852</v>
      </c>
      <c r="I333" s="1">
        <v>11782.31110426844</v>
      </c>
    </row>
    <row r="334" spans="1:18" x14ac:dyDescent="0.3">
      <c r="A334" s="2">
        <v>45139</v>
      </c>
      <c r="B334" s="3" t="s">
        <v>158</v>
      </c>
      <c r="C334" s="3">
        <v>73315</v>
      </c>
      <c r="D334" s="3" t="s">
        <v>127</v>
      </c>
      <c r="E334" s="9">
        <v>48935.687255858698</v>
      </c>
      <c r="H334" s="1">
        <v>0</v>
      </c>
      <c r="I334" s="1">
        <v>13633.455744999799</v>
      </c>
    </row>
    <row r="335" spans="1:18" x14ac:dyDescent="0.3">
      <c r="A335" s="2">
        <v>45170</v>
      </c>
      <c r="B335" s="3" t="s">
        <v>158</v>
      </c>
      <c r="C335" s="3">
        <v>73315</v>
      </c>
      <c r="D335" s="3" t="s">
        <v>127</v>
      </c>
      <c r="E335" s="9">
        <v>54626.117621527374</v>
      </c>
      <c r="H335" s="1">
        <v>0</v>
      </c>
      <c r="I335" s="1">
        <v>10639.797889259429</v>
      </c>
    </row>
    <row r="336" spans="1:18" x14ac:dyDescent="0.3">
      <c r="A336" s="2">
        <v>45200</v>
      </c>
      <c r="B336" s="3" t="s">
        <v>158</v>
      </c>
      <c r="C336" s="3">
        <v>73315</v>
      </c>
      <c r="D336" s="3" t="s">
        <v>127</v>
      </c>
      <c r="E336" s="9">
        <v>59338.097466362269</v>
      </c>
      <c r="H336" s="1">
        <v>0</v>
      </c>
      <c r="I336" s="1">
        <v>9489.2151407408255</v>
      </c>
    </row>
    <row r="337" spans="1:18" x14ac:dyDescent="0.3">
      <c r="A337" s="2">
        <v>45231</v>
      </c>
      <c r="B337" s="3" t="s">
        <v>158</v>
      </c>
      <c r="C337" s="3">
        <v>73315</v>
      </c>
      <c r="D337" s="3" t="s">
        <v>127</v>
      </c>
      <c r="E337" s="9">
        <v>53488.6057061174</v>
      </c>
      <c r="H337" s="1">
        <v>0</v>
      </c>
      <c r="I337" s="1">
        <v>6660.0878674968944</v>
      </c>
    </row>
    <row r="338" spans="1:18" x14ac:dyDescent="0.3">
      <c r="A338" s="2">
        <v>45261</v>
      </c>
      <c r="B338" s="3" t="s">
        <v>158</v>
      </c>
      <c r="C338" s="3">
        <v>73315</v>
      </c>
      <c r="D338" s="3" t="s">
        <v>127</v>
      </c>
      <c r="E338" s="9">
        <v>56571.843302167108</v>
      </c>
      <c r="H338" s="1">
        <v>0</v>
      </c>
      <c r="I338" s="1">
        <v>6484.0008126755301</v>
      </c>
    </row>
    <row r="339" spans="1:18" s="15" customFormat="1" x14ac:dyDescent="0.3">
      <c r="A339" s="38">
        <v>44927</v>
      </c>
      <c r="B339" s="22" t="s">
        <v>159</v>
      </c>
      <c r="C339" s="22">
        <v>113302</v>
      </c>
      <c r="D339" s="22" t="s">
        <v>149</v>
      </c>
      <c r="E339" s="21">
        <v>28101.72245420282</v>
      </c>
      <c r="F339" s="21"/>
      <c r="G339" s="21">
        <v>764.46232032775879</v>
      </c>
      <c r="H339" s="21">
        <v>230.14780172413461</v>
      </c>
      <c r="I339" s="21"/>
      <c r="J339" s="20"/>
      <c r="K339" s="21">
        <f>(SUM(E339:E350)*3.412)/C339</f>
        <v>11.982288961920334</v>
      </c>
      <c r="L339" s="21">
        <f>(SUM(G339:G350)*100)/C339</f>
        <v>12.481936200004153</v>
      </c>
      <c r="M339" s="21">
        <f>(SUM(H339:H350)*100)/C339</f>
        <v>2.6920602110684775</v>
      </c>
      <c r="N339" s="21">
        <f>(SUM(I339:I350)*12)/C339</f>
        <v>0</v>
      </c>
      <c r="O339" s="21"/>
      <c r="P339" s="34">
        <f>SUM(K339:N339)</f>
        <v>27.156285372992965</v>
      </c>
      <c r="Q339" s="30" t="s">
        <v>319</v>
      </c>
      <c r="R339" s="20"/>
    </row>
    <row r="340" spans="1:18" x14ac:dyDescent="0.3">
      <c r="A340" s="2">
        <v>44958</v>
      </c>
      <c r="B340" s="3" t="s">
        <v>159</v>
      </c>
      <c r="C340" s="3">
        <v>113302</v>
      </c>
      <c r="D340" s="3" t="s">
        <v>149</v>
      </c>
      <c r="E340" s="1">
        <v>33390.014648437689</v>
      </c>
      <c r="G340" s="1">
        <v>1681.5710754394529</v>
      </c>
      <c r="H340" s="1">
        <v>937.90999999999656</v>
      </c>
      <c r="Q340" s="25" t="s">
        <v>318</v>
      </c>
    </row>
    <row r="341" spans="1:18" x14ac:dyDescent="0.3">
      <c r="A341" s="2">
        <v>44986</v>
      </c>
      <c r="B341" s="3" t="s">
        <v>159</v>
      </c>
      <c r="C341" s="3">
        <v>113302</v>
      </c>
      <c r="D341" s="3" t="s">
        <v>149</v>
      </c>
      <c r="E341" s="1">
        <v>33956.286713688503</v>
      </c>
      <c r="G341" s="1">
        <v>1994.6699886322019</v>
      </c>
      <c r="H341" s="1">
        <v>1180.2856755688849</v>
      </c>
      <c r="Q341" s="25" t="s">
        <v>317</v>
      </c>
    </row>
    <row r="342" spans="1:18" x14ac:dyDescent="0.3">
      <c r="A342" s="2">
        <v>45017</v>
      </c>
      <c r="B342" s="3" t="s">
        <v>159</v>
      </c>
      <c r="C342" s="3">
        <v>113302</v>
      </c>
      <c r="D342" s="3" t="s">
        <v>149</v>
      </c>
      <c r="E342" s="1">
        <v>36440.603860799783</v>
      </c>
      <c r="G342" s="1">
        <v>1807.988876342773</v>
      </c>
      <c r="H342" s="1">
        <v>269.48012184489272</v>
      </c>
    </row>
    <row r="343" spans="1:18" x14ac:dyDescent="0.3">
      <c r="A343" s="2">
        <v>45047</v>
      </c>
      <c r="B343" s="3" t="s">
        <v>159</v>
      </c>
      <c r="C343" s="3">
        <v>113302</v>
      </c>
      <c r="D343" s="3" t="s">
        <v>149</v>
      </c>
      <c r="E343" s="1">
        <v>34013.082570043392</v>
      </c>
      <c r="G343" s="1">
        <v>1229.109680175781</v>
      </c>
      <c r="H343" s="1">
        <v>55.47170258620578</v>
      </c>
    </row>
    <row r="344" spans="1:18" x14ac:dyDescent="0.3">
      <c r="A344" s="2">
        <v>45078</v>
      </c>
      <c r="B344" s="3" t="s">
        <v>159</v>
      </c>
      <c r="C344" s="3">
        <v>113302</v>
      </c>
      <c r="D344" s="3" t="s">
        <v>149</v>
      </c>
      <c r="E344" s="1">
        <v>23341.436618711919</v>
      </c>
      <c r="G344" s="1">
        <v>244.41685247421259</v>
      </c>
      <c r="H344" s="1">
        <v>57.364481707316187</v>
      </c>
    </row>
    <row r="345" spans="1:18" x14ac:dyDescent="0.3">
      <c r="A345" s="2">
        <v>45108</v>
      </c>
      <c r="B345" s="3" t="s">
        <v>159</v>
      </c>
      <c r="C345" s="3">
        <v>113302</v>
      </c>
      <c r="D345" s="3" t="s">
        <v>149</v>
      </c>
      <c r="E345" s="1">
        <v>28939.50239263515</v>
      </c>
      <c r="G345" s="1">
        <v>230.68647813797</v>
      </c>
      <c r="H345" s="1">
        <v>38.580071864111048</v>
      </c>
    </row>
    <row r="346" spans="1:18" x14ac:dyDescent="0.3">
      <c r="A346" s="2">
        <v>45139</v>
      </c>
      <c r="B346" s="3" t="s">
        <v>159</v>
      </c>
      <c r="C346" s="3">
        <v>113302</v>
      </c>
      <c r="D346" s="3" t="s">
        <v>149</v>
      </c>
      <c r="E346" s="1">
        <v>34460.246794030019</v>
      </c>
      <c r="G346" s="1">
        <v>929.17710161209106</v>
      </c>
      <c r="H346" s="1">
        <v>0.8795273109243682</v>
      </c>
    </row>
    <row r="347" spans="1:18" x14ac:dyDescent="0.3">
      <c r="A347" s="2">
        <v>45170</v>
      </c>
      <c r="B347" s="3" t="s">
        <v>159</v>
      </c>
      <c r="C347" s="3">
        <v>113302</v>
      </c>
      <c r="D347" s="3" t="s">
        <v>149</v>
      </c>
      <c r="E347" s="1">
        <v>36044.058606515253</v>
      </c>
      <c r="G347" s="1">
        <v>1212.44359588623</v>
      </c>
      <c r="H347" s="1">
        <v>7.2730718954247804</v>
      </c>
    </row>
    <row r="348" spans="1:18" x14ac:dyDescent="0.3">
      <c r="A348" s="2">
        <v>45200</v>
      </c>
      <c r="B348" s="3" t="s">
        <v>159</v>
      </c>
      <c r="C348" s="3">
        <v>113302</v>
      </c>
      <c r="D348" s="3" t="s">
        <v>149</v>
      </c>
      <c r="E348" s="1">
        <v>39814.79220920118</v>
      </c>
      <c r="G348" s="1">
        <v>1574.900089263916</v>
      </c>
      <c r="H348" s="1">
        <v>13.52409722222237</v>
      </c>
    </row>
    <row r="349" spans="1:18" x14ac:dyDescent="0.3">
      <c r="A349" s="2">
        <v>45231</v>
      </c>
      <c r="B349" s="3" t="s">
        <v>159</v>
      </c>
      <c r="C349" s="3">
        <v>113302</v>
      </c>
      <c r="D349" s="3" t="s">
        <v>149</v>
      </c>
      <c r="E349" s="1">
        <v>37459.224205450111</v>
      </c>
      <c r="G349" s="1">
        <v>1598.289367675781</v>
      </c>
      <c r="H349" s="1">
        <v>120.1162815258519</v>
      </c>
    </row>
    <row r="350" spans="1:18" x14ac:dyDescent="0.3">
      <c r="A350" s="2">
        <v>45261</v>
      </c>
      <c r="B350" s="3" t="s">
        <v>159</v>
      </c>
      <c r="C350" s="3">
        <v>113302</v>
      </c>
      <c r="D350" s="3" t="s">
        <v>149</v>
      </c>
      <c r="E350" s="1">
        <v>31933.901131295221</v>
      </c>
      <c r="G350" s="1">
        <v>874.56792736053467</v>
      </c>
      <c r="H350" s="1">
        <v>139.1252270948404</v>
      </c>
    </row>
    <row r="351" spans="1:18" s="15" customFormat="1" x14ac:dyDescent="0.3">
      <c r="A351" s="38">
        <v>44927</v>
      </c>
      <c r="B351" s="22" t="s">
        <v>160</v>
      </c>
      <c r="C351" s="22">
        <v>163476</v>
      </c>
      <c r="D351" s="22" t="s">
        <v>149</v>
      </c>
      <c r="E351" s="21">
        <v>55682.318485144802</v>
      </c>
      <c r="F351" s="21"/>
      <c r="G351" s="21"/>
      <c r="H351" s="21"/>
      <c r="I351" s="21"/>
      <c r="J351" s="20"/>
      <c r="K351" s="21">
        <f>(SUM(E351:E362)*3.412)/C351</f>
        <v>45.125135626267713</v>
      </c>
      <c r="L351" s="21">
        <f>(SUM(G351:G362)*100)/C351</f>
        <v>0</v>
      </c>
      <c r="M351" s="21">
        <f>(SUM(H351:H362)*100)/C351</f>
        <v>42.162151223013502</v>
      </c>
      <c r="N351" s="21">
        <f>(SUM(I351:I362)*12)/C351</f>
        <v>58.138702311286849</v>
      </c>
      <c r="O351" s="21"/>
      <c r="P351" s="34">
        <f>SUM(K351:N351)</f>
        <v>145.42598916056807</v>
      </c>
      <c r="Q351" s="30" t="s">
        <v>322</v>
      </c>
      <c r="R351" s="20" t="s">
        <v>323</v>
      </c>
    </row>
    <row r="352" spans="1:18" x14ac:dyDescent="0.3">
      <c r="A352" s="2">
        <v>44958</v>
      </c>
      <c r="B352" s="3" t="s">
        <v>160</v>
      </c>
      <c r="C352" s="3">
        <v>163476</v>
      </c>
      <c r="D352" s="3" t="s">
        <v>149</v>
      </c>
      <c r="E352" s="1">
        <v>58473.327636718219</v>
      </c>
      <c r="Q352" s="25" t="s">
        <v>321</v>
      </c>
    </row>
    <row r="353" spans="1:20" x14ac:dyDescent="0.3">
      <c r="A353" s="2">
        <v>44986</v>
      </c>
      <c r="B353" s="3" t="s">
        <v>160</v>
      </c>
      <c r="C353" s="3">
        <v>163476</v>
      </c>
      <c r="D353" s="3" t="s">
        <v>149</v>
      </c>
      <c r="E353" s="1">
        <v>183932.668267726</v>
      </c>
      <c r="Q353" s="25" t="s">
        <v>320</v>
      </c>
    </row>
    <row r="354" spans="1:20" x14ac:dyDescent="0.3">
      <c r="A354" s="2">
        <v>45017</v>
      </c>
      <c r="B354" s="3" t="s">
        <v>160</v>
      </c>
      <c r="C354" s="3">
        <v>163476</v>
      </c>
      <c r="D354" s="3" t="s">
        <v>149</v>
      </c>
      <c r="E354" s="1">
        <v>192719.17637220881</v>
      </c>
      <c r="H354" s="1">
        <v>4292.6021341463602</v>
      </c>
      <c r="I354" s="1">
        <v>22277.17550304878</v>
      </c>
    </row>
    <row r="355" spans="1:20" x14ac:dyDescent="0.3">
      <c r="A355" s="2">
        <v>45047</v>
      </c>
      <c r="B355" s="3" t="s">
        <v>160</v>
      </c>
      <c r="C355" s="3">
        <v>163476</v>
      </c>
      <c r="D355" s="3" t="s">
        <v>149</v>
      </c>
      <c r="E355" s="1">
        <v>199647.72026659449</v>
      </c>
      <c r="H355" s="1">
        <v>8595.9559015679006</v>
      </c>
      <c r="I355" s="1">
        <v>67825.853684450616</v>
      </c>
    </row>
    <row r="356" spans="1:20" x14ac:dyDescent="0.3">
      <c r="A356" s="2">
        <v>45078</v>
      </c>
      <c r="B356" s="3" t="s">
        <v>160</v>
      </c>
      <c r="C356" s="3">
        <v>163476</v>
      </c>
      <c r="D356" s="3" t="s">
        <v>149</v>
      </c>
      <c r="E356" s="1">
        <v>191985.83548409501</v>
      </c>
      <c r="H356" s="1">
        <v>10371.750167410761</v>
      </c>
      <c r="I356" s="1">
        <v>104291.5054507798</v>
      </c>
    </row>
    <row r="357" spans="1:20" x14ac:dyDescent="0.3">
      <c r="A357" s="2">
        <v>45108</v>
      </c>
      <c r="B357" s="3" t="s">
        <v>160</v>
      </c>
      <c r="C357" s="3">
        <v>163476</v>
      </c>
      <c r="D357" s="3" t="s">
        <v>149</v>
      </c>
      <c r="E357" s="1">
        <v>198248.61078676631</v>
      </c>
      <c r="H357" s="1">
        <v>9616.2626664403251</v>
      </c>
      <c r="I357" s="1">
        <v>153533.27477910771</v>
      </c>
    </row>
    <row r="358" spans="1:20" x14ac:dyDescent="0.3">
      <c r="A358" s="2">
        <v>45139</v>
      </c>
      <c r="B358" s="3" t="s">
        <v>160</v>
      </c>
      <c r="C358" s="3">
        <v>163476</v>
      </c>
      <c r="D358" s="3" t="s">
        <v>149</v>
      </c>
      <c r="E358" s="1">
        <v>190209.90287770721</v>
      </c>
      <c r="H358" s="1">
        <v>8927.2127667984569</v>
      </c>
      <c r="I358" s="1">
        <v>195080.35368412259</v>
      </c>
    </row>
    <row r="359" spans="1:20" x14ac:dyDescent="0.3">
      <c r="A359" s="2">
        <v>45170</v>
      </c>
      <c r="B359" s="3" t="s">
        <v>160</v>
      </c>
      <c r="C359" s="3">
        <v>163476</v>
      </c>
      <c r="D359" s="3" t="s">
        <v>149</v>
      </c>
      <c r="E359" s="1">
        <v>204257.98594670941</v>
      </c>
      <c r="H359" s="1">
        <v>9264.0637710438295</v>
      </c>
      <c r="I359" s="1">
        <v>131362.26319292889</v>
      </c>
    </row>
    <row r="360" spans="1:20" x14ac:dyDescent="0.3">
      <c r="A360" s="2">
        <v>45200</v>
      </c>
      <c r="B360" s="3" t="s">
        <v>160</v>
      </c>
      <c r="C360" s="3">
        <v>163476</v>
      </c>
      <c r="D360" s="3" t="s">
        <v>149</v>
      </c>
      <c r="E360" s="1">
        <v>230914.81752749201</v>
      </c>
      <c r="H360" s="1">
        <v>6662.6025925925278</v>
      </c>
      <c r="I360" s="1">
        <v>86088.268505555796</v>
      </c>
    </row>
    <row r="361" spans="1:20" x14ac:dyDescent="0.3">
      <c r="A361" s="2">
        <v>45231</v>
      </c>
      <c r="B361" s="3" t="s">
        <v>160</v>
      </c>
      <c r="C361" s="3">
        <v>163476</v>
      </c>
      <c r="D361" s="3" t="s">
        <v>149</v>
      </c>
      <c r="E361" s="1">
        <v>234665.81889630159</v>
      </c>
      <c r="H361" s="1">
        <v>5034.8302837326773</v>
      </c>
      <c r="I361" s="1">
        <v>22466.116514754089</v>
      </c>
    </row>
    <row r="362" spans="1:20" x14ac:dyDescent="0.3">
      <c r="A362" s="2">
        <v>45261</v>
      </c>
      <c r="B362" s="3" t="s">
        <v>160</v>
      </c>
      <c r="C362" s="3">
        <v>163476</v>
      </c>
      <c r="D362" s="3" t="s">
        <v>149</v>
      </c>
      <c r="E362" s="1">
        <v>221300.7012859887</v>
      </c>
      <c r="H362" s="1">
        <v>6159.7180496007113</v>
      </c>
      <c r="I362" s="1">
        <v>9098.7302719125364</v>
      </c>
    </row>
    <row r="363" spans="1:20" s="15" customFormat="1" x14ac:dyDescent="0.3">
      <c r="A363" s="38">
        <v>44927</v>
      </c>
      <c r="B363" s="22" t="s">
        <v>161</v>
      </c>
      <c r="C363" s="22">
        <v>25320</v>
      </c>
      <c r="D363" s="22" t="s">
        <v>123</v>
      </c>
      <c r="E363" s="21">
        <v>8470.6003440859131</v>
      </c>
      <c r="F363" s="21"/>
      <c r="G363" s="21">
        <v>948.54838709676017</v>
      </c>
      <c r="H363" s="21"/>
      <c r="I363" s="21"/>
      <c r="J363" s="20"/>
      <c r="K363" s="21">
        <f>(SUM(E363:E374)*3.412)/C363</f>
        <v>15.090256370784639</v>
      </c>
      <c r="L363" s="21">
        <f>(SUM(G363:G374)*100)/C363</f>
        <v>33.444707740916165</v>
      </c>
      <c r="M363" s="21">
        <f>(SUM(H363:H374)*100)/C363</f>
        <v>0</v>
      </c>
      <c r="N363" s="21">
        <f>(SUM(I363:I374)*12)/C363</f>
        <v>0</v>
      </c>
      <c r="O363" s="21"/>
      <c r="P363" s="34">
        <f>SUM(K363:N363)</f>
        <v>48.534964111700802</v>
      </c>
      <c r="Q363" s="30" t="s">
        <v>324</v>
      </c>
      <c r="R363" s="20"/>
      <c r="S363" s="15">
        <v>3.167289166377576</v>
      </c>
      <c r="T363" s="15">
        <v>3.3006859897097609</v>
      </c>
    </row>
    <row r="364" spans="1:20" x14ac:dyDescent="0.3">
      <c r="A364" s="2">
        <v>44958</v>
      </c>
      <c r="B364" s="3" t="s">
        <v>161</v>
      </c>
      <c r="C364" s="3">
        <v>25320</v>
      </c>
      <c r="D364" s="3" t="s">
        <v>123</v>
      </c>
      <c r="E364" s="1">
        <v>8602.3079225807869</v>
      </c>
      <c r="G364" s="1">
        <v>1038.884946236569</v>
      </c>
      <c r="Q364" s="25" t="s">
        <v>325</v>
      </c>
      <c r="S364">
        <v>3.3925330261137039</v>
      </c>
      <c r="T364">
        <v>3.9060406105991352</v>
      </c>
    </row>
    <row r="365" spans="1:20" x14ac:dyDescent="0.3">
      <c r="A365" s="2">
        <v>44986</v>
      </c>
      <c r="B365" s="3" t="s">
        <v>161</v>
      </c>
      <c r="C365" s="3">
        <v>25320</v>
      </c>
      <c r="D365" s="3" t="s">
        <v>123</v>
      </c>
      <c r="E365" s="1">
        <v>9671.6720460430515</v>
      </c>
      <c r="G365" s="1">
        <v>964.3580335731308</v>
      </c>
      <c r="S365">
        <v>3.4532844486187919</v>
      </c>
      <c r="T365">
        <v>2.654959942678464</v>
      </c>
    </row>
    <row r="366" spans="1:20" x14ac:dyDescent="0.3">
      <c r="A366" s="2">
        <v>45017</v>
      </c>
      <c r="B366" s="3" t="s">
        <v>161</v>
      </c>
      <c r="C366" s="3">
        <v>25320</v>
      </c>
      <c r="D366" s="3" t="s">
        <v>123</v>
      </c>
      <c r="E366" s="1">
        <v>9632.5277539568287</v>
      </c>
      <c r="G366" s="1">
        <v>753.80238309352001</v>
      </c>
      <c r="S366">
        <v>3.4221628884392841</v>
      </c>
      <c r="T366">
        <v>1.447880486236014</v>
      </c>
    </row>
    <row r="367" spans="1:20" x14ac:dyDescent="0.3">
      <c r="A367" s="2">
        <v>45047</v>
      </c>
      <c r="B367" s="3" t="s">
        <v>161</v>
      </c>
      <c r="C367" s="3">
        <v>25320</v>
      </c>
      <c r="D367" s="3" t="s">
        <v>123</v>
      </c>
      <c r="E367" s="1">
        <v>9385.8527333333222</v>
      </c>
      <c r="G367" s="1">
        <v>620.00625000000559</v>
      </c>
      <c r="S367">
        <v>3.3839126904122221</v>
      </c>
      <c r="T367">
        <v>1.0371489415322619</v>
      </c>
    </row>
    <row r="368" spans="1:20" x14ac:dyDescent="0.3">
      <c r="A368" s="2">
        <v>45078</v>
      </c>
      <c r="B368" s="3" t="s">
        <v>161</v>
      </c>
      <c r="C368" s="3">
        <v>25320</v>
      </c>
      <c r="D368" s="3" t="s">
        <v>123</v>
      </c>
      <c r="E368" s="1">
        <v>8647.2546666666403</v>
      </c>
      <c r="G368" s="1">
        <v>471.62580645161341</v>
      </c>
      <c r="S368">
        <v>4.4384804360812016</v>
      </c>
      <c r="T368">
        <v>0.84477482078853694</v>
      </c>
    </row>
    <row r="369" spans="1:20" x14ac:dyDescent="0.3">
      <c r="A369" s="2">
        <v>45108</v>
      </c>
      <c r="B369" s="3" t="s">
        <v>161</v>
      </c>
      <c r="C369" s="3">
        <v>25320</v>
      </c>
      <c r="D369" s="3" t="s">
        <v>123</v>
      </c>
      <c r="E369" s="1">
        <v>9297.2929032259217</v>
      </c>
      <c r="G369" s="1">
        <v>400.51612903225191</v>
      </c>
      <c r="S369">
        <v>4.9723642906694918</v>
      </c>
      <c r="T369">
        <v>0.73207206035380545</v>
      </c>
    </row>
    <row r="370" spans="1:20" x14ac:dyDescent="0.3">
      <c r="A370" s="2">
        <v>45139</v>
      </c>
      <c r="B370" s="3" t="s">
        <v>161</v>
      </c>
      <c r="C370" s="3">
        <v>25320</v>
      </c>
      <c r="D370" s="3" t="s">
        <v>123</v>
      </c>
      <c r="E370" s="1">
        <v>10461.907096774219</v>
      </c>
      <c r="G370" s="1">
        <v>408.6580645161273</v>
      </c>
      <c r="S370">
        <v>5.3491196959186436</v>
      </c>
      <c r="T370">
        <v>0.75490123135622833</v>
      </c>
    </row>
    <row r="371" spans="1:20" x14ac:dyDescent="0.3">
      <c r="A371" s="2">
        <v>45170</v>
      </c>
      <c r="B371" s="3" t="s">
        <v>161</v>
      </c>
      <c r="C371" s="3">
        <v>25320</v>
      </c>
      <c r="D371" s="3" t="s">
        <v>123</v>
      </c>
      <c r="E371" s="1">
        <v>10509.32666666671</v>
      </c>
      <c r="G371" s="1">
        <v>566.99999999999488</v>
      </c>
      <c r="S371">
        <v>5.3195810185185506</v>
      </c>
      <c r="T371">
        <v>1.182486111111126</v>
      </c>
    </row>
    <row r="372" spans="1:20" x14ac:dyDescent="0.3">
      <c r="A372" s="2">
        <v>45200</v>
      </c>
      <c r="B372" s="3" t="s">
        <v>161</v>
      </c>
      <c r="C372" s="3">
        <v>25320</v>
      </c>
      <c r="D372" s="3" t="s">
        <v>123</v>
      </c>
      <c r="E372" s="1">
        <v>10329.280119910531</v>
      </c>
      <c r="G372" s="1">
        <v>662.80805369127324</v>
      </c>
      <c r="S372">
        <v>3.944080600057688</v>
      </c>
      <c r="T372">
        <v>1.4870527711625909</v>
      </c>
    </row>
    <row r="373" spans="1:20" x14ac:dyDescent="0.3">
      <c r="A373" s="2">
        <v>45231</v>
      </c>
      <c r="B373" s="3" t="s">
        <v>161</v>
      </c>
      <c r="C373" s="3">
        <v>25320</v>
      </c>
      <c r="D373" s="3" t="s">
        <v>123</v>
      </c>
      <c r="E373" s="1">
        <v>9081.9204392292613</v>
      </c>
      <c r="G373" s="1">
        <v>791.95323663129693</v>
      </c>
      <c r="S373">
        <v>3.45677687979365</v>
      </c>
      <c r="T373">
        <v>2.065659831144314</v>
      </c>
    </row>
    <row r="374" spans="1:20" x14ac:dyDescent="0.3">
      <c r="A374" s="2">
        <v>45261</v>
      </c>
      <c r="B374" s="3" t="s">
        <v>161</v>
      </c>
      <c r="C374" s="3">
        <v>25320</v>
      </c>
      <c r="D374" s="3" t="s">
        <v>123</v>
      </c>
      <c r="E374" s="1">
        <v>7892.8507741936073</v>
      </c>
      <c r="G374" s="1">
        <v>840.03870967742944</v>
      </c>
      <c r="S374">
        <v>3.1551315903572599</v>
      </c>
      <c r="T374">
        <v>2.3202634408601859</v>
      </c>
    </row>
    <row r="375" spans="1:20" s="15" customFormat="1" x14ac:dyDescent="0.3">
      <c r="A375" s="38">
        <v>43466</v>
      </c>
      <c r="B375" s="22" t="s">
        <v>162</v>
      </c>
      <c r="C375" s="22">
        <v>130000</v>
      </c>
      <c r="D375" s="22" t="s">
        <v>134</v>
      </c>
      <c r="E375" s="21">
        <v>49745.400012016296</v>
      </c>
      <c r="F375" s="21"/>
      <c r="G375" s="21">
        <v>4265.6994552612296</v>
      </c>
      <c r="H375" s="21"/>
      <c r="I375" s="21"/>
      <c r="J375" s="20"/>
      <c r="K375" s="21"/>
      <c r="L375" s="21"/>
      <c r="M375" s="21"/>
      <c r="N375" s="21"/>
      <c r="O375" s="21"/>
      <c r="P375" s="34"/>
      <c r="Q375" s="30" t="s">
        <v>326</v>
      </c>
      <c r="R375" s="20"/>
    </row>
    <row r="376" spans="1:20" x14ac:dyDescent="0.3">
      <c r="A376" s="2">
        <v>43497</v>
      </c>
      <c r="B376" s="3" t="s">
        <v>162</v>
      </c>
      <c r="C376" s="3">
        <v>130000</v>
      </c>
      <c r="D376" s="3" t="s">
        <v>134</v>
      </c>
      <c r="E376" s="1">
        <v>67316.0999584198</v>
      </c>
      <c r="G376" s="1">
        <v>6382.6745300292969</v>
      </c>
      <c r="Q376" s="25" t="s">
        <v>327</v>
      </c>
    </row>
    <row r="377" spans="1:20" x14ac:dyDescent="0.3">
      <c r="A377" s="2">
        <v>43525</v>
      </c>
      <c r="B377" s="3" t="s">
        <v>162</v>
      </c>
      <c r="C377" s="3">
        <v>130000</v>
      </c>
      <c r="D377" s="3" t="s">
        <v>134</v>
      </c>
      <c r="E377" s="1">
        <v>68645.099959373474</v>
      </c>
      <c r="G377" s="1">
        <v>5266.6689529418954</v>
      </c>
    </row>
    <row r="378" spans="1:20" x14ac:dyDescent="0.3">
      <c r="A378" s="2">
        <v>43556</v>
      </c>
      <c r="B378" s="3" t="s">
        <v>162</v>
      </c>
      <c r="C378" s="3">
        <v>130000</v>
      </c>
      <c r="D378" s="3" t="s">
        <v>134</v>
      </c>
      <c r="E378" s="1">
        <v>63880.499975204468</v>
      </c>
      <c r="G378" s="1">
        <v>3307.636596679688</v>
      </c>
    </row>
    <row r="379" spans="1:20" x14ac:dyDescent="0.3">
      <c r="A379" s="2">
        <v>43586</v>
      </c>
      <c r="B379" s="3" t="s">
        <v>162</v>
      </c>
      <c r="C379" s="3">
        <v>130000</v>
      </c>
      <c r="D379" s="3" t="s">
        <v>134</v>
      </c>
      <c r="E379" s="1">
        <v>59289.599984169014</v>
      </c>
      <c r="G379" s="1">
        <v>2967.1136226654048</v>
      </c>
    </row>
    <row r="380" spans="1:20" x14ac:dyDescent="0.3">
      <c r="A380" s="2">
        <v>43617</v>
      </c>
      <c r="B380" s="3" t="s">
        <v>162</v>
      </c>
      <c r="C380" s="3">
        <v>130000</v>
      </c>
      <c r="D380" s="3" t="s">
        <v>134</v>
      </c>
      <c r="E380" s="1">
        <v>39449.249979972839</v>
      </c>
      <c r="G380" s="1">
        <v>1402.440955638885</v>
      </c>
    </row>
    <row r="381" spans="1:20" x14ac:dyDescent="0.3">
      <c r="A381" s="2">
        <v>43647</v>
      </c>
      <c r="B381" s="3" t="s">
        <v>162</v>
      </c>
      <c r="C381" s="3">
        <v>130000</v>
      </c>
      <c r="D381" s="3" t="s">
        <v>134</v>
      </c>
      <c r="E381" s="1">
        <v>42106.499981880188</v>
      </c>
      <c r="G381" s="1">
        <v>1506.715084075928</v>
      </c>
    </row>
    <row r="382" spans="1:20" x14ac:dyDescent="0.3">
      <c r="A382" s="2">
        <v>43678</v>
      </c>
      <c r="B382" s="3" t="s">
        <v>162</v>
      </c>
      <c r="C382" s="3">
        <v>130000</v>
      </c>
      <c r="D382" s="3" t="s">
        <v>134</v>
      </c>
      <c r="E382" s="1">
        <v>59153.700042724609</v>
      </c>
      <c r="G382" s="1">
        <v>1522.900796890259</v>
      </c>
    </row>
    <row r="383" spans="1:20" x14ac:dyDescent="0.3">
      <c r="A383" s="2">
        <v>43709</v>
      </c>
      <c r="B383" s="3" t="s">
        <v>162</v>
      </c>
      <c r="C383" s="3">
        <v>130000</v>
      </c>
      <c r="D383" s="3" t="s">
        <v>134</v>
      </c>
      <c r="E383" s="1">
        <v>74686.799945831299</v>
      </c>
      <c r="G383" s="1">
        <v>2198.041633605957</v>
      </c>
    </row>
    <row r="384" spans="1:20" x14ac:dyDescent="0.3">
      <c r="A384" s="2">
        <v>43739</v>
      </c>
      <c r="B384" s="3" t="s">
        <v>162</v>
      </c>
      <c r="C384" s="3">
        <v>130000</v>
      </c>
      <c r="D384" s="3" t="s">
        <v>134</v>
      </c>
      <c r="E384" s="1">
        <v>70525.350023269653</v>
      </c>
      <c r="G384" s="1">
        <v>3221.429695129395</v>
      </c>
    </row>
    <row r="385" spans="1:71" x14ac:dyDescent="0.3">
      <c r="A385" s="2">
        <v>43770</v>
      </c>
      <c r="B385" s="3" t="s">
        <v>162</v>
      </c>
      <c r="C385" s="3">
        <v>130000</v>
      </c>
      <c r="D385" s="3" t="s">
        <v>134</v>
      </c>
      <c r="E385" s="1">
        <v>63027.750016212463</v>
      </c>
      <c r="G385" s="1">
        <v>4157.9168548583984</v>
      </c>
    </row>
    <row r="386" spans="1:71" x14ac:dyDescent="0.3">
      <c r="A386" s="2">
        <v>43800</v>
      </c>
      <c r="B386" s="3" t="s">
        <v>162</v>
      </c>
      <c r="C386" s="3">
        <v>130000</v>
      </c>
      <c r="D386" s="3" t="s">
        <v>134</v>
      </c>
      <c r="E386" s="1">
        <v>54628.949951171882</v>
      </c>
      <c r="G386" s="1">
        <v>4941.0768280029297</v>
      </c>
    </row>
    <row r="387" spans="1:71" s="15" customFormat="1" x14ac:dyDescent="0.3">
      <c r="A387" s="38">
        <v>44927</v>
      </c>
      <c r="B387" s="22" t="s">
        <v>163</v>
      </c>
      <c r="C387" s="22">
        <v>15358</v>
      </c>
      <c r="D387" s="22" t="s">
        <v>153</v>
      </c>
      <c r="E387" s="16">
        <v>6278.1876181811094</v>
      </c>
      <c r="F387" s="21"/>
      <c r="G387" s="27">
        <v>1599.9161290322754</v>
      </c>
      <c r="H387" s="21"/>
      <c r="I387" s="21"/>
      <c r="J387" s="20"/>
      <c r="K387" s="21">
        <f>(SUM(E387:E398)*3.412)/C387</f>
        <v>27.031270733079463</v>
      </c>
      <c r="L387" s="21">
        <f>(SUM(G387:G398)*100)/C387</f>
        <v>43.335825817373973</v>
      </c>
      <c r="M387" s="21">
        <f>(SUM(H387:H398)*100)/C387</f>
        <v>0</v>
      </c>
      <c r="N387" s="21">
        <f>(SUM(I387:I398)*12)/C387</f>
        <v>0</v>
      </c>
      <c r="O387" s="21"/>
      <c r="P387" s="34">
        <f>SUM(K387:N387)</f>
        <v>70.367096550453439</v>
      </c>
      <c r="Q387" s="21" t="s">
        <v>192</v>
      </c>
      <c r="R387" s="20"/>
    </row>
    <row r="388" spans="1:71" x14ac:dyDescent="0.3">
      <c r="A388" s="2">
        <v>44958</v>
      </c>
      <c r="B388" s="3" t="s">
        <v>163</v>
      </c>
      <c r="C388" s="3">
        <v>15358</v>
      </c>
      <c r="D388" s="3" t="s">
        <v>153</v>
      </c>
      <c r="E388" s="9">
        <v>9043.4400380253792</v>
      </c>
      <c r="G388" s="5">
        <v>1722.8000000000181</v>
      </c>
      <c r="Q388" s="8" t="s">
        <v>193</v>
      </c>
      <c r="R388" s="60"/>
    </row>
    <row r="389" spans="1:71" x14ac:dyDescent="0.3">
      <c r="A389" s="2">
        <v>44986</v>
      </c>
      <c r="B389" s="3" t="s">
        <v>163</v>
      </c>
      <c r="C389" s="3">
        <v>15358</v>
      </c>
      <c r="D389" s="3" t="s">
        <v>153</v>
      </c>
      <c r="E389" s="9">
        <v>10192.07999563217</v>
      </c>
      <c r="G389" s="5">
        <v>1344.4172661870477</v>
      </c>
    </row>
    <row r="390" spans="1:71" x14ac:dyDescent="0.3">
      <c r="A390" s="2">
        <v>45017</v>
      </c>
      <c r="B390" s="3" t="s">
        <v>163</v>
      </c>
      <c r="C390" s="3">
        <v>15358</v>
      </c>
      <c r="D390" s="3" t="s">
        <v>153</v>
      </c>
      <c r="E390" s="9">
        <v>10455.17999315262</v>
      </c>
      <c r="G390" s="5">
        <v>690.88273381295016</v>
      </c>
    </row>
    <row r="391" spans="1:71" x14ac:dyDescent="0.3">
      <c r="A391" s="2">
        <v>45047</v>
      </c>
      <c r="B391" s="3" t="s">
        <v>163</v>
      </c>
      <c r="C391" s="3">
        <v>15358</v>
      </c>
      <c r="D391" s="3" t="s">
        <v>153</v>
      </c>
      <c r="E391" s="9">
        <v>9990.6000347137451</v>
      </c>
      <c r="G391" s="5">
        <v>296.26666666666665</v>
      </c>
    </row>
    <row r="392" spans="1:71" x14ac:dyDescent="0.3">
      <c r="A392" s="2">
        <v>45078</v>
      </c>
      <c r="B392" s="3" t="s">
        <v>163</v>
      </c>
      <c r="C392" s="3">
        <v>15358</v>
      </c>
      <c r="D392" s="3" t="s">
        <v>153</v>
      </c>
      <c r="E392" s="9">
        <v>11448.9600174427</v>
      </c>
      <c r="G392" s="5">
        <v>104.26363636363881</v>
      </c>
    </row>
    <row r="393" spans="1:71" x14ac:dyDescent="0.3">
      <c r="A393" s="2">
        <v>45108</v>
      </c>
      <c r="B393" s="3" t="s">
        <v>163</v>
      </c>
      <c r="C393" s="3">
        <v>15358</v>
      </c>
      <c r="D393" s="3" t="s">
        <v>153</v>
      </c>
      <c r="E393" s="9">
        <v>14388.36001491547</v>
      </c>
      <c r="G393" s="5">
        <v>71.142110762801252</v>
      </c>
    </row>
    <row r="394" spans="1:71" x14ac:dyDescent="0.3">
      <c r="A394" s="2">
        <v>45139</v>
      </c>
      <c r="B394" s="3" t="s">
        <v>163</v>
      </c>
      <c r="C394" s="3">
        <v>15358</v>
      </c>
      <c r="D394" s="3" t="s">
        <v>153</v>
      </c>
      <c r="E394" s="9">
        <v>15583.68000531197</v>
      </c>
      <c r="G394" s="5">
        <v>67.427586206896976</v>
      </c>
    </row>
    <row r="395" spans="1:71" x14ac:dyDescent="0.3">
      <c r="A395" s="2">
        <v>45170</v>
      </c>
      <c r="B395" s="3" t="s">
        <v>163</v>
      </c>
      <c r="C395" s="3">
        <v>15358</v>
      </c>
      <c r="D395" s="3" t="s">
        <v>153</v>
      </c>
      <c r="E395" s="9">
        <v>12240.240015268329</v>
      </c>
      <c r="G395" s="5">
        <v>151.96249999999992</v>
      </c>
    </row>
    <row r="396" spans="1:71" x14ac:dyDescent="0.3">
      <c r="A396" s="2">
        <v>45200</v>
      </c>
      <c r="B396" s="3" t="s">
        <v>163</v>
      </c>
      <c r="C396" s="3">
        <v>15358</v>
      </c>
      <c r="D396" s="3" t="s">
        <v>153</v>
      </c>
      <c r="E396" s="9">
        <v>11220.90002083778</v>
      </c>
      <c r="G396" s="5">
        <v>295.84782998565299</v>
      </c>
    </row>
    <row r="397" spans="1:71" x14ac:dyDescent="0.3">
      <c r="A397" s="2">
        <v>45231</v>
      </c>
      <c r="B397" s="3" t="s">
        <v>163</v>
      </c>
      <c r="C397" s="3">
        <v>15358</v>
      </c>
      <c r="D397" s="3" t="s">
        <v>153</v>
      </c>
      <c r="E397" s="9">
        <v>6088.9200835824013</v>
      </c>
      <c r="G397" s="5">
        <v>165.13805711112022</v>
      </c>
    </row>
    <row r="398" spans="1:71" x14ac:dyDescent="0.3">
      <c r="A398" s="2">
        <v>45261</v>
      </c>
      <c r="B398" s="3" t="s">
        <v>163</v>
      </c>
      <c r="C398" s="3">
        <v>15358</v>
      </c>
      <c r="D398" s="3" t="s">
        <v>153</v>
      </c>
      <c r="E398" s="9">
        <v>4741.8601109534502</v>
      </c>
      <c r="G398" s="5">
        <v>145.45161290322559</v>
      </c>
    </row>
    <row r="399" spans="1:71" s="15" customFormat="1" x14ac:dyDescent="0.3">
      <c r="A399" s="38">
        <v>44927</v>
      </c>
      <c r="B399" s="22" t="s">
        <v>164</v>
      </c>
      <c r="C399" s="22">
        <v>107302</v>
      </c>
      <c r="D399" s="22" t="s">
        <v>127</v>
      </c>
      <c r="E399" s="21">
        <v>99102.586206895678</v>
      </c>
      <c r="F399" s="21"/>
      <c r="G399" s="21"/>
      <c r="H399" s="21">
        <v>2243.770541487082</v>
      </c>
      <c r="I399" s="21">
        <v>24.298035762392718</v>
      </c>
      <c r="J399" s="20"/>
      <c r="K399" s="21">
        <f>(SUM(E399:E410)*3.412)/C399</f>
        <v>36.465996024112194</v>
      </c>
      <c r="L399" s="21">
        <f>(SUM(G399:G410)*100)/C399</f>
        <v>0</v>
      </c>
      <c r="M399" s="21">
        <f>(SUM(H399:H410)*100)/C399</f>
        <v>17.908307566313894</v>
      </c>
      <c r="N399" s="21">
        <f>(SUM(I399:I410)*12)/C399</f>
        <v>8.4124794778511127</v>
      </c>
      <c r="O399" s="21"/>
      <c r="P399" s="34">
        <f>SUM(K399:N399)</f>
        <v>62.786783068277202</v>
      </c>
      <c r="Q399" s="19" t="s">
        <v>195</v>
      </c>
      <c r="R399" s="61" t="s">
        <v>196</v>
      </c>
      <c r="BK399" s="15">
        <v>2243.770541487082</v>
      </c>
      <c r="BM399" s="15">
        <v>156.1455936316307</v>
      </c>
      <c r="BN399" s="15">
        <v>0.2421875</v>
      </c>
      <c r="BO399" s="15">
        <v>5534.8030303031246</v>
      </c>
      <c r="BP399" s="15">
        <v>23199.088068181929</v>
      </c>
      <c r="BR399" s="15">
        <v>-5534.8030303031246</v>
      </c>
      <c r="BS399" s="15">
        <v>980778.33984375</v>
      </c>
    </row>
    <row r="400" spans="1:71" x14ac:dyDescent="0.3">
      <c r="A400" s="2">
        <v>44958</v>
      </c>
      <c r="B400" s="3" t="s">
        <v>164</v>
      </c>
      <c r="C400" s="3">
        <v>107302</v>
      </c>
      <c r="D400" s="3" t="s">
        <v>127</v>
      </c>
      <c r="E400" s="1">
        <v>94912.999999999447</v>
      </c>
      <c r="H400" s="1">
        <v>2246.1425781250382</v>
      </c>
      <c r="I400" s="1">
        <v>43.536669921874847</v>
      </c>
      <c r="Q400" s="10" t="s">
        <v>197</v>
      </c>
      <c r="BK400">
        <v>2246.1425781250382</v>
      </c>
      <c r="BM400">
        <v>148.78486328124899</v>
      </c>
      <c r="BN400">
        <v>0.5205078125</v>
      </c>
      <c r="BO400">
        <v>2129.1250000000359</v>
      </c>
      <c r="BP400">
        <v>25904.8125</v>
      </c>
      <c r="BR400">
        <v>-2129.1250000000359</v>
      </c>
      <c r="BS400">
        <v>934117.63623046875</v>
      </c>
    </row>
    <row r="401" spans="1:71" x14ac:dyDescent="0.3">
      <c r="A401" s="2">
        <v>44986</v>
      </c>
      <c r="B401" s="3" t="s">
        <v>164</v>
      </c>
      <c r="C401" s="3">
        <v>107302</v>
      </c>
      <c r="D401" s="3" t="s">
        <v>127</v>
      </c>
      <c r="E401" s="1">
        <v>101673.58533501789</v>
      </c>
      <c r="H401" s="1">
        <v>3244.68088258534</v>
      </c>
      <c r="I401" s="1">
        <v>1326.2892979243991</v>
      </c>
      <c r="Q401" s="10" t="s">
        <v>198</v>
      </c>
      <c r="BK401">
        <v>3244.68088258534</v>
      </c>
      <c r="BM401">
        <v>360.39371932037977</v>
      </c>
      <c r="BN401">
        <v>15.6650390625</v>
      </c>
      <c r="BO401">
        <v>2303.9105562578638</v>
      </c>
      <c r="BP401">
        <v>27293.919484829639</v>
      </c>
      <c r="BR401">
        <v>-2303.9105562578638</v>
      </c>
      <c r="BS401">
        <v>1000308.570922852</v>
      </c>
    </row>
    <row r="402" spans="1:71" x14ac:dyDescent="0.3">
      <c r="A402" s="2">
        <v>45017</v>
      </c>
      <c r="B402" s="3" t="s">
        <v>164</v>
      </c>
      <c r="C402" s="3">
        <v>107302</v>
      </c>
      <c r="D402" s="3" t="s">
        <v>127</v>
      </c>
      <c r="E402" s="1">
        <v>97246.414664981043</v>
      </c>
      <c r="H402" s="1">
        <v>2151.3640392896814</v>
      </c>
      <c r="I402" s="1">
        <v>5109.3256630131327</v>
      </c>
      <c r="BK402">
        <v>2151.3640392896809</v>
      </c>
      <c r="BM402">
        <v>1094.997198648382</v>
      </c>
      <c r="BN402">
        <v>48.8994140625</v>
      </c>
      <c r="BO402">
        <v>1249.964443742098</v>
      </c>
      <c r="BP402">
        <v>29053.768015170372</v>
      </c>
      <c r="BR402">
        <v>-1249.964443742098</v>
      </c>
      <c r="BS402">
        <v>951498.6640625</v>
      </c>
    </row>
    <row r="403" spans="1:71" x14ac:dyDescent="0.3">
      <c r="A403" s="2">
        <v>45047</v>
      </c>
      <c r="B403" s="3" t="s">
        <v>164</v>
      </c>
      <c r="C403" s="3">
        <v>107302</v>
      </c>
      <c r="D403" s="3" t="s">
        <v>127</v>
      </c>
      <c r="E403" s="1">
        <v>94933.999999999069</v>
      </c>
      <c r="H403" s="1">
        <v>1720.4980468750016</v>
      </c>
      <c r="I403" s="1">
        <v>5744.8873828124724</v>
      </c>
      <c r="BK403">
        <v>1720.498046875002</v>
      </c>
      <c r="BM403">
        <v>1259.5057617187649</v>
      </c>
      <c r="BN403">
        <v>65.8486328125</v>
      </c>
      <c r="BO403">
        <v>0.62500000000000766</v>
      </c>
      <c r="BP403">
        <v>26800.500000000211</v>
      </c>
      <c r="BR403">
        <v>-0.62500000000000766</v>
      </c>
      <c r="BS403">
        <v>951998.7763671875</v>
      </c>
    </row>
    <row r="404" spans="1:71" x14ac:dyDescent="0.3">
      <c r="A404" s="2">
        <v>45078</v>
      </c>
      <c r="B404" s="3" t="s">
        <v>164</v>
      </c>
      <c r="C404" s="3">
        <v>107302</v>
      </c>
      <c r="D404" s="3" t="s">
        <v>127</v>
      </c>
      <c r="E404" s="1">
        <v>85041.428571427081</v>
      </c>
      <c r="H404" s="1">
        <v>790.82310267858077</v>
      </c>
      <c r="I404" s="1">
        <v>8364.0627455357171</v>
      </c>
      <c r="BK404">
        <v>790.82310267858077</v>
      </c>
      <c r="BM404">
        <v>1240.574999999985</v>
      </c>
      <c r="BN404">
        <v>92.4921875</v>
      </c>
      <c r="BO404">
        <v>0</v>
      </c>
      <c r="BP404">
        <v>19164.910714285481</v>
      </c>
      <c r="BR404">
        <v>0</v>
      </c>
      <c r="BS404">
        <v>817897.0888671875</v>
      </c>
    </row>
    <row r="405" spans="1:71" x14ac:dyDescent="0.3">
      <c r="A405" s="2">
        <v>45108</v>
      </c>
      <c r="B405" s="3" t="s">
        <v>164</v>
      </c>
      <c r="C405" s="3">
        <v>107302</v>
      </c>
      <c r="D405" s="3" t="s">
        <v>127</v>
      </c>
      <c r="E405" s="1">
        <v>91992.571428572337</v>
      </c>
      <c r="H405" s="1">
        <v>465.06556919642026</v>
      </c>
      <c r="I405" s="1">
        <v>11513.80421735498</v>
      </c>
      <c r="BK405">
        <v>465.06556919642031</v>
      </c>
      <c r="BM405">
        <v>1669.6780761718951</v>
      </c>
      <c r="BN405">
        <v>126.953125</v>
      </c>
      <c r="BO405">
        <v>0</v>
      </c>
      <c r="BP405">
        <v>20535.33928571425</v>
      </c>
      <c r="BR405">
        <v>0</v>
      </c>
      <c r="BS405">
        <v>896158.05078125</v>
      </c>
    </row>
    <row r="406" spans="1:71" x14ac:dyDescent="0.3">
      <c r="A406" s="2">
        <v>45139</v>
      </c>
      <c r="B406" s="3" t="s">
        <v>164</v>
      </c>
      <c r="C406" s="3">
        <v>107302</v>
      </c>
      <c r="D406" s="3" t="s">
        <v>127</v>
      </c>
      <c r="E406" s="1">
        <v>101298.2571428568</v>
      </c>
      <c r="H406" s="1">
        <v>339.7198660714256</v>
      </c>
      <c r="I406" s="1">
        <v>15554.08623800201</v>
      </c>
      <c r="BK406">
        <v>339.7198660714256</v>
      </c>
      <c r="BM406">
        <v>2682.558662109353</v>
      </c>
      <c r="BN406">
        <v>185.4755859375</v>
      </c>
      <c r="BO406">
        <v>0</v>
      </c>
      <c r="BP406">
        <v>172.5743386404848</v>
      </c>
      <c r="BR406">
        <v>0</v>
      </c>
      <c r="BS406">
        <v>929779.03125</v>
      </c>
    </row>
    <row r="407" spans="1:71" x14ac:dyDescent="0.3">
      <c r="A407" s="2">
        <v>45170</v>
      </c>
      <c r="B407" s="3" t="s">
        <v>164</v>
      </c>
      <c r="C407" s="3">
        <v>107302</v>
      </c>
      <c r="D407" s="3" t="s">
        <v>127</v>
      </c>
      <c r="E407" s="1">
        <v>98493.742857142119</v>
      </c>
      <c r="H407" s="1">
        <v>719.77859933035029</v>
      </c>
      <c r="I407" s="1">
        <v>12823.70810630592</v>
      </c>
      <c r="BK407">
        <v>719.77859933035029</v>
      </c>
      <c r="BM407">
        <v>2638.196879882777</v>
      </c>
      <c r="BN407">
        <v>140.2275390625</v>
      </c>
      <c r="BO407">
        <v>0</v>
      </c>
      <c r="BP407">
        <v>232.47302791050899</v>
      </c>
      <c r="BR407">
        <v>0</v>
      </c>
      <c r="BS407">
        <v>969288.21875</v>
      </c>
    </row>
    <row r="408" spans="1:71" x14ac:dyDescent="0.3">
      <c r="A408" s="2">
        <v>45200</v>
      </c>
      <c r="B408" s="3" t="s">
        <v>164</v>
      </c>
      <c r="C408" s="3">
        <v>107302</v>
      </c>
      <c r="D408" s="3" t="s">
        <v>127</v>
      </c>
      <c r="E408" s="1">
        <v>103233.9999999986</v>
      </c>
      <c r="H408" s="1">
        <v>971.03864397321695</v>
      </c>
      <c r="I408" s="1">
        <v>10158.343184988789</v>
      </c>
      <c r="BK408">
        <v>971.03864397321695</v>
      </c>
      <c r="BM408">
        <v>2489.3922607421669</v>
      </c>
      <c r="BN408">
        <v>98.1669921875</v>
      </c>
      <c r="BO408">
        <v>0</v>
      </c>
      <c r="BP408">
        <v>252.99663979666289</v>
      </c>
      <c r="BR408">
        <v>0</v>
      </c>
      <c r="BS408">
        <v>996540.15625</v>
      </c>
    </row>
    <row r="409" spans="1:71" x14ac:dyDescent="0.3">
      <c r="A409" s="2">
        <v>45231</v>
      </c>
      <c r="B409" s="3" t="s">
        <v>164</v>
      </c>
      <c r="C409" s="3">
        <v>107302</v>
      </c>
      <c r="D409" s="3" t="s">
        <v>127</v>
      </c>
      <c r="E409" s="1">
        <v>93899.112232030369</v>
      </c>
      <c r="H409" s="1">
        <v>1922.9075824598096</v>
      </c>
      <c r="I409" s="1">
        <v>3231.8863090740019</v>
      </c>
      <c r="BK409">
        <v>1922.9075824598101</v>
      </c>
      <c r="BM409">
        <v>1092.9326382457759</v>
      </c>
      <c r="BN409">
        <v>33.2314453125</v>
      </c>
      <c r="BO409">
        <v>0</v>
      </c>
      <c r="BP409">
        <v>233.85494783457159</v>
      </c>
      <c r="BR409">
        <v>0</v>
      </c>
      <c r="BS409">
        <v>921938.400390625</v>
      </c>
    </row>
    <row r="410" spans="1:71" x14ac:dyDescent="0.3">
      <c r="A410" s="2">
        <v>45261</v>
      </c>
      <c r="B410" s="3" t="s">
        <v>164</v>
      </c>
      <c r="C410" s="3">
        <v>107302</v>
      </c>
      <c r="D410" s="3" t="s">
        <v>127</v>
      </c>
      <c r="E410" s="1">
        <v>84969.163630038151</v>
      </c>
      <c r="H410" s="1">
        <v>2400.1827327341839</v>
      </c>
      <c r="I410" s="1">
        <v>1328.761560335987</v>
      </c>
      <c r="BK410">
        <v>2400.1827327341839</v>
      </c>
      <c r="BM410">
        <v>556.08814233072826</v>
      </c>
      <c r="BN410">
        <v>13.197265625</v>
      </c>
      <c r="BO410">
        <v>0</v>
      </c>
      <c r="BP410">
        <v>194.32003364441991</v>
      </c>
      <c r="BR410">
        <v>0</v>
      </c>
      <c r="BS410">
        <v>848278.47509765625</v>
      </c>
    </row>
    <row r="411" spans="1:71" s="15" customFormat="1" x14ac:dyDescent="0.3">
      <c r="A411" s="38">
        <v>44927</v>
      </c>
      <c r="B411" s="22" t="s">
        <v>194</v>
      </c>
      <c r="C411" s="22"/>
      <c r="D411" s="22" t="s">
        <v>127</v>
      </c>
      <c r="E411" s="21">
        <v>23199.088068181925</v>
      </c>
      <c r="F411" s="21"/>
      <c r="G411" s="21"/>
      <c r="H411" s="21"/>
      <c r="I411" s="21"/>
      <c r="J411" s="20"/>
      <c r="K411" s="21"/>
      <c r="L411" s="21"/>
      <c r="M411" s="21"/>
      <c r="N411" s="21"/>
      <c r="O411" s="21"/>
      <c r="P411" s="34">
        <f>SUM(K411:N411)</f>
        <v>0</v>
      </c>
      <c r="Q411" s="19" t="s">
        <v>58</v>
      </c>
      <c r="R411" s="61"/>
      <c r="BK411" s="15">
        <v>2243.770541487082</v>
      </c>
      <c r="BM411" s="15">
        <v>156.1455936316307</v>
      </c>
      <c r="BN411" s="15">
        <v>0.2421875</v>
      </c>
      <c r="BO411" s="15">
        <v>5534.8030303031246</v>
      </c>
      <c r="BP411" s="15">
        <v>23199.088068181929</v>
      </c>
      <c r="BR411" s="15">
        <v>-5534.8030303031246</v>
      </c>
      <c r="BS411" s="15">
        <v>980778.33984375</v>
      </c>
    </row>
    <row r="412" spans="1:71" x14ac:dyDescent="0.3">
      <c r="A412" s="2">
        <v>44958</v>
      </c>
      <c r="B412" s="3" t="s">
        <v>194</v>
      </c>
      <c r="D412" s="3" t="s">
        <v>127</v>
      </c>
      <c r="E412" s="1">
        <v>25904.8125</v>
      </c>
      <c r="BK412">
        <v>2246.1425781250382</v>
      </c>
      <c r="BM412">
        <v>148.78486328124899</v>
      </c>
      <c r="BN412">
        <v>0.5205078125</v>
      </c>
      <c r="BO412">
        <v>2129.1250000000359</v>
      </c>
      <c r="BP412">
        <v>25904.8125</v>
      </c>
      <c r="BR412">
        <v>-2129.1250000000359</v>
      </c>
      <c r="BS412">
        <v>934117.63623046875</v>
      </c>
    </row>
    <row r="413" spans="1:71" x14ac:dyDescent="0.3">
      <c r="A413" s="2">
        <v>44986</v>
      </c>
      <c r="B413" s="3" t="s">
        <v>194</v>
      </c>
      <c r="D413" s="3" t="s">
        <v>127</v>
      </c>
      <c r="E413" s="1">
        <v>27293.919484829643</v>
      </c>
      <c r="BK413">
        <v>3244.68088258534</v>
      </c>
      <c r="BM413">
        <v>360.39371932037977</v>
      </c>
      <c r="BN413">
        <v>15.6650390625</v>
      </c>
      <c r="BO413">
        <v>2303.9105562578638</v>
      </c>
      <c r="BP413">
        <v>27293.919484829639</v>
      </c>
      <c r="BR413">
        <v>-2303.9105562578638</v>
      </c>
      <c r="BS413">
        <v>1000308.570922852</v>
      </c>
    </row>
    <row r="414" spans="1:71" x14ac:dyDescent="0.3">
      <c r="A414" s="2">
        <v>45017</v>
      </c>
      <c r="B414" s="3" t="s">
        <v>194</v>
      </c>
      <c r="D414" s="3" t="s">
        <v>127</v>
      </c>
      <c r="E414" s="1">
        <v>29053.768015170368</v>
      </c>
      <c r="BK414">
        <v>2151.3640392896809</v>
      </c>
      <c r="BM414">
        <v>1094.997198648382</v>
      </c>
      <c r="BN414">
        <v>48.8994140625</v>
      </c>
      <c r="BO414">
        <v>1249.964443742098</v>
      </c>
      <c r="BP414">
        <v>29053.768015170372</v>
      </c>
      <c r="BR414">
        <v>-1249.964443742098</v>
      </c>
      <c r="BS414">
        <v>951498.6640625</v>
      </c>
    </row>
    <row r="415" spans="1:71" x14ac:dyDescent="0.3">
      <c r="A415" s="2">
        <v>45047</v>
      </c>
      <c r="B415" s="3" t="s">
        <v>194</v>
      </c>
      <c r="D415" s="3" t="s">
        <v>127</v>
      </c>
      <c r="E415" s="1">
        <v>26800.500000000215</v>
      </c>
      <c r="BK415">
        <v>1720.498046875002</v>
      </c>
      <c r="BM415">
        <v>1259.5057617187649</v>
      </c>
      <c r="BN415">
        <v>65.8486328125</v>
      </c>
      <c r="BO415">
        <v>0.62500000000000766</v>
      </c>
      <c r="BP415">
        <v>26800.500000000211</v>
      </c>
      <c r="BR415">
        <v>-0.62500000000000766</v>
      </c>
      <c r="BS415">
        <v>951998.7763671875</v>
      </c>
    </row>
    <row r="416" spans="1:71" x14ac:dyDescent="0.3">
      <c r="A416" s="2">
        <v>45078</v>
      </c>
      <c r="B416" s="3" t="s">
        <v>194</v>
      </c>
      <c r="D416" s="3" t="s">
        <v>127</v>
      </c>
      <c r="E416" s="1">
        <v>19164.910714285477</v>
      </c>
      <c r="BK416">
        <v>790.82310267858077</v>
      </c>
      <c r="BM416">
        <v>1240.574999999985</v>
      </c>
      <c r="BN416">
        <v>92.4921875</v>
      </c>
      <c r="BO416">
        <v>0</v>
      </c>
      <c r="BP416">
        <v>19164.910714285481</v>
      </c>
      <c r="BR416">
        <v>0</v>
      </c>
      <c r="BS416">
        <v>817897.0888671875</v>
      </c>
    </row>
    <row r="417" spans="1:71" x14ac:dyDescent="0.3">
      <c r="A417" s="2">
        <v>45108</v>
      </c>
      <c r="B417" s="3" t="s">
        <v>194</v>
      </c>
      <c r="D417" s="3" t="s">
        <v>127</v>
      </c>
      <c r="E417" s="1">
        <v>20535.339285714253</v>
      </c>
      <c r="BK417">
        <v>465.06556919642031</v>
      </c>
      <c r="BM417">
        <v>1669.6780761718951</v>
      </c>
      <c r="BN417">
        <v>126.953125</v>
      </c>
      <c r="BO417">
        <v>0</v>
      </c>
      <c r="BP417">
        <v>20535.33928571425</v>
      </c>
      <c r="BR417">
        <v>0</v>
      </c>
      <c r="BS417">
        <v>896158.05078125</v>
      </c>
    </row>
    <row r="418" spans="1:71" x14ac:dyDescent="0.3">
      <c r="A418" s="2">
        <v>45139</v>
      </c>
      <c r="B418" s="3" t="s">
        <v>194</v>
      </c>
      <c r="D418" s="3" t="s">
        <v>127</v>
      </c>
      <c r="E418" s="1">
        <v>172.5743386404848</v>
      </c>
      <c r="BK418">
        <v>339.7198660714256</v>
      </c>
      <c r="BM418">
        <v>2682.558662109353</v>
      </c>
      <c r="BN418">
        <v>185.4755859375</v>
      </c>
      <c r="BO418">
        <v>0</v>
      </c>
      <c r="BP418">
        <v>172.5743386404848</v>
      </c>
      <c r="BR418">
        <v>0</v>
      </c>
      <c r="BS418">
        <v>929779.03125</v>
      </c>
    </row>
    <row r="419" spans="1:71" x14ac:dyDescent="0.3">
      <c r="A419" s="2">
        <v>45170</v>
      </c>
      <c r="B419" s="3" t="s">
        <v>194</v>
      </c>
      <c r="D419" s="3" t="s">
        <v>127</v>
      </c>
      <c r="E419" s="1">
        <v>232.47302791050902</v>
      </c>
      <c r="BK419">
        <v>719.77859933035029</v>
      </c>
      <c r="BM419">
        <v>2638.196879882777</v>
      </c>
      <c r="BN419">
        <v>140.2275390625</v>
      </c>
      <c r="BO419">
        <v>0</v>
      </c>
      <c r="BP419">
        <v>232.47302791050899</v>
      </c>
      <c r="BR419">
        <v>0</v>
      </c>
      <c r="BS419">
        <v>969288.21875</v>
      </c>
    </row>
    <row r="420" spans="1:71" x14ac:dyDescent="0.3">
      <c r="A420" s="2">
        <v>45200</v>
      </c>
      <c r="B420" s="3" t="s">
        <v>194</v>
      </c>
      <c r="D420" s="3" t="s">
        <v>127</v>
      </c>
      <c r="E420" s="1">
        <v>252.99663979666286</v>
      </c>
      <c r="BK420">
        <v>971.03864397321695</v>
      </c>
      <c r="BM420">
        <v>2489.3922607421669</v>
      </c>
      <c r="BN420">
        <v>98.1669921875</v>
      </c>
      <c r="BO420">
        <v>0</v>
      </c>
      <c r="BP420">
        <v>252.99663979666289</v>
      </c>
      <c r="BR420">
        <v>0</v>
      </c>
      <c r="BS420">
        <v>996540.15625</v>
      </c>
    </row>
    <row r="421" spans="1:71" x14ac:dyDescent="0.3">
      <c r="A421" s="2">
        <v>45231</v>
      </c>
      <c r="B421" s="3" t="s">
        <v>194</v>
      </c>
      <c r="D421" s="3" t="s">
        <v>127</v>
      </c>
      <c r="E421" s="1">
        <v>233.85494783457156</v>
      </c>
      <c r="BK421">
        <v>1922.9075824598101</v>
      </c>
      <c r="BM421">
        <v>1092.9326382457759</v>
      </c>
      <c r="BN421">
        <v>33.2314453125</v>
      </c>
      <c r="BO421">
        <v>0</v>
      </c>
      <c r="BP421">
        <v>233.85494783457159</v>
      </c>
      <c r="BR421">
        <v>0</v>
      </c>
      <c r="BS421">
        <v>921938.400390625</v>
      </c>
    </row>
    <row r="422" spans="1:71" x14ac:dyDescent="0.3">
      <c r="A422" s="2">
        <v>45261</v>
      </c>
      <c r="B422" s="3" t="s">
        <v>194</v>
      </c>
      <c r="D422" s="3" t="s">
        <v>127</v>
      </c>
      <c r="E422" s="1">
        <v>194.32003364441994</v>
      </c>
      <c r="BK422">
        <v>2400.1827327341839</v>
      </c>
      <c r="BM422">
        <v>556.08814233072826</v>
      </c>
      <c r="BN422">
        <v>13.197265625</v>
      </c>
      <c r="BO422">
        <v>0</v>
      </c>
      <c r="BP422">
        <v>194.32003364441991</v>
      </c>
      <c r="BR422">
        <v>0</v>
      </c>
      <c r="BS422">
        <v>848278.47509765625</v>
      </c>
    </row>
    <row r="423" spans="1:71" s="15" customFormat="1" x14ac:dyDescent="0.3">
      <c r="A423" s="38">
        <v>44927</v>
      </c>
      <c r="B423" s="22" t="s">
        <v>165</v>
      </c>
      <c r="C423" s="22">
        <v>6451</v>
      </c>
      <c r="D423" s="22" t="s">
        <v>123</v>
      </c>
      <c r="E423" s="21">
        <v>6799.4327225806783</v>
      </c>
      <c r="F423" s="21"/>
      <c r="G423" s="21"/>
      <c r="H423" s="21"/>
      <c r="I423" s="21"/>
      <c r="J423" s="20"/>
      <c r="K423" s="21">
        <f>(SUM(E423:E434)*3.412)/C423</f>
        <v>39.724114778525333</v>
      </c>
      <c r="L423" s="21">
        <f>(SUM(G423:G434)*100)/C423</f>
        <v>0</v>
      </c>
      <c r="M423" s="21">
        <f>(SUM(H423:H434)*100)/C423</f>
        <v>0</v>
      </c>
      <c r="N423" s="21">
        <f>(SUM(I423:I434)*12)/C423</f>
        <v>0</v>
      </c>
      <c r="O423" s="21"/>
      <c r="P423" s="34">
        <f>SUM(K423:N423)</f>
        <v>39.724114778525333</v>
      </c>
      <c r="Q423" s="19" t="s">
        <v>199</v>
      </c>
      <c r="R423" s="62" t="s">
        <v>200</v>
      </c>
      <c r="S423" s="15">
        <v>2.849897589316662</v>
      </c>
    </row>
    <row r="424" spans="1:71" x14ac:dyDescent="0.3">
      <c r="A424" s="2">
        <v>44958</v>
      </c>
      <c r="B424" s="3" t="s">
        <v>165</v>
      </c>
      <c r="C424" s="3">
        <v>6451</v>
      </c>
      <c r="D424" s="3" t="s">
        <v>123</v>
      </c>
      <c r="E424" s="1">
        <v>7317.3944774193578</v>
      </c>
      <c r="R424" s="23" t="s">
        <v>338</v>
      </c>
      <c r="S424">
        <v>3.4298901689708128</v>
      </c>
    </row>
    <row r="425" spans="1:71" x14ac:dyDescent="0.3">
      <c r="A425" s="2">
        <v>44986</v>
      </c>
      <c r="B425" s="3" t="s">
        <v>165</v>
      </c>
      <c r="C425" s="3">
        <v>6451</v>
      </c>
      <c r="D425" s="3" t="s">
        <v>123</v>
      </c>
      <c r="E425" s="1">
        <v>7572.5787280576506</v>
      </c>
      <c r="S425">
        <v>3.2899841784714829</v>
      </c>
    </row>
    <row r="426" spans="1:71" x14ac:dyDescent="0.3">
      <c r="A426" s="2">
        <v>45017</v>
      </c>
      <c r="B426" s="3" t="s">
        <v>165</v>
      </c>
      <c r="C426" s="3">
        <v>6451</v>
      </c>
      <c r="D426" s="3" t="s">
        <v>123</v>
      </c>
      <c r="E426" s="1">
        <v>6446.9296719424992</v>
      </c>
      <c r="S426">
        <v>2.9137305630495671</v>
      </c>
    </row>
    <row r="427" spans="1:71" x14ac:dyDescent="0.3">
      <c r="A427" s="2">
        <v>45047</v>
      </c>
      <c r="B427" s="3" t="s">
        <v>165</v>
      </c>
      <c r="C427" s="3">
        <v>6451</v>
      </c>
      <c r="D427" s="3" t="s">
        <v>123</v>
      </c>
      <c r="E427" s="1">
        <v>5945.5358666666461</v>
      </c>
      <c r="S427">
        <v>2.6504732302866891</v>
      </c>
    </row>
    <row r="428" spans="1:71" x14ac:dyDescent="0.3">
      <c r="A428" s="2">
        <v>45078</v>
      </c>
      <c r="B428" s="3" t="s">
        <v>165</v>
      </c>
      <c r="C428" s="3">
        <v>6451</v>
      </c>
      <c r="D428" s="3" t="s">
        <v>123</v>
      </c>
      <c r="E428" s="1">
        <v>5593.1733333333623</v>
      </c>
      <c r="S428">
        <v>2.8059282407407959</v>
      </c>
    </row>
    <row r="429" spans="1:71" x14ac:dyDescent="0.3">
      <c r="A429" s="2">
        <v>45108</v>
      </c>
      <c r="B429" s="3" t="s">
        <v>165</v>
      </c>
      <c r="C429" s="3">
        <v>6451</v>
      </c>
      <c r="D429" s="3" t="s">
        <v>123</v>
      </c>
      <c r="E429" s="1">
        <v>6015.1655000000192</v>
      </c>
      <c r="S429">
        <v>3.0644693660393951</v>
      </c>
    </row>
    <row r="430" spans="1:71" x14ac:dyDescent="0.3">
      <c r="A430" s="2">
        <v>45139</v>
      </c>
      <c r="B430" s="3" t="s">
        <v>165</v>
      </c>
      <c r="C430" s="3">
        <v>6451</v>
      </c>
      <c r="D430" s="3" t="s">
        <v>123</v>
      </c>
      <c r="E430" s="1">
        <v>6428.5878333332976</v>
      </c>
      <c r="S430">
        <v>3.2985077844982338</v>
      </c>
    </row>
    <row r="431" spans="1:71" x14ac:dyDescent="0.3">
      <c r="A431" s="2">
        <v>45170</v>
      </c>
      <c r="B431" s="3" t="s">
        <v>165</v>
      </c>
      <c r="C431" s="3">
        <v>6451</v>
      </c>
      <c r="D431" s="3" t="s">
        <v>123</v>
      </c>
      <c r="E431" s="1">
        <v>5866.7433333333192</v>
      </c>
      <c r="S431">
        <v>3.096712962963001</v>
      </c>
    </row>
    <row r="432" spans="1:71" x14ac:dyDescent="0.3">
      <c r="A432" s="2">
        <v>45200</v>
      </c>
      <c r="B432" s="3" t="s">
        <v>165</v>
      </c>
      <c r="C432" s="3">
        <v>6451</v>
      </c>
      <c r="D432" s="3" t="s">
        <v>123</v>
      </c>
      <c r="E432" s="1">
        <v>5715.5019319909679</v>
      </c>
      <c r="S432">
        <v>2.7098757577397481</v>
      </c>
    </row>
    <row r="433" spans="1:94" x14ac:dyDescent="0.3">
      <c r="A433" s="2">
        <v>45231</v>
      </c>
      <c r="B433" s="3" t="s">
        <v>165</v>
      </c>
      <c r="C433" s="3">
        <v>6451</v>
      </c>
      <c r="D433" s="3" t="s">
        <v>123</v>
      </c>
      <c r="E433" s="1">
        <v>5548.9721110196242</v>
      </c>
      <c r="S433">
        <v>2.6683356683588642</v>
      </c>
    </row>
    <row r="434" spans="1:94" x14ac:dyDescent="0.3">
      <c r="A434" s="2">
        <v>45261</v>
      </c>
      <c r="B434" s="3" t="s">
        <v>165</v>
      </c>
      <c r="C434" s="3">
        <v>6451</v>
      </c>
      <c r="D434" s="3" t="s">
        <v>123</v>
      </c>
      <c r="E434" s="1">
        <v>5855.5719569893281</v>
      </c>
      <c r="S434">
        <v>2.81890782171351</v>
      </c>
    </row>
    <row r="435" spans="1:94" s="15" customFormat="1" x14ac:dyDescent="0.3">
      <c r="A435" s="38">
        <v>44927</v>
      </c>
      <c r="B435" s="22" t="s">
        <v>166</v>
      </c>
      <c r="C435" s="22">
        <v>56704</v>
      </c>
      <c r="D435" s="22" t="s">
        <v>149</v>
      </c>
      <c r="E435" s="21">
        <v>69646.445161290234</v>
      </c>
      <c r="F435" s="16">
        <v>14562.71635483878</v>
      </c>
      <c r="G435" s="16">
        <v>4720.193548387073</v>
      </c>
      <c r="H435" s="21"/>
      <c r="I435" s="21"/>
      <c r="J435" s="20"/>
      <c r="K435" s="21">
        <f>(SUM(E435:E446)*3.412)/C435</f>
        <v>50.282515332592965</v>
      </c>
      <c r="L435" s="21">
        <f>(SUM(G435:G446)*100)/C435</f>
        <v>68.925831027452361</v>
      </c>
      <c r="M435" s="21">
        <f>(SUM(H435:H446)*100)/C435</f>
        <v>0</v>
      </c>
      <c r="N435" s="21">
        <f>(SUM(I435:I446)*12)/C435</f>
        <v>0</v>
      </c>
      <c r="O435" s="21"/>
      <c r="P435" s="34">
        <f>SUM(K435:N435)</f>
        <v>119.20834636004533</v>
      </c>
      <c r="Q435" s="19" t="s">
        <v>201</v>
      </c>
      <c r="R435" s="20" t="s">
        <v>204</v>
      </c>
      <c r="S435" s="15">
        <v>16.193407648283191</v>
      </c>
      <c r="T435" s="15">
        <v>14.190769164065159</v>
      </c>
      <c r="BV435" s="15">
        <v>6.3858875303502058</v>
      </c>
      <c r="BW435" s="15">
        <v>26050.670023656199</v>
      </c>
      <c r="BX435" s="15">
        <v>4.3336021505376347E-2</v>
      </c>
      <c r="BY435" s="15">
        <v>85.382376344087191</v>
      </c>
      <c r="BZ435" s="15">
        <v>3.7185243380738222</v>
      </c>
      <c r="CA435" s="15">
        <v>14477.333978494689</v>
      </c>
      <c r="CB435" s="15">
        <v>1.131612975488508</v>
      </c>
      <c r="CC435" s="15">
        <v>340.96774193547878</v>
      </c>
      <c r="CD435" s="15">
        <v>0.412464793617764</v>
      </c>
      <c r="CE435" s="15">
        <v>1087.185118279579</v>
      </c>
      <c r="CF435" s="15">
        <v>0.13324350358422801</v>
      </c>
      <c r="CG435" s="15">
        <v>37.616666666665942</v>
      </c>
      <c r="CH435" s="15">
        <v>70026.869970321655</v>
      </c>
      <c r="CK435" s="15">
        <v>48.835000108811073</v>
      </c>
    </row>
    <row r="436" spans="1:94" x14ac:dyDescent="0.3">
      <c r="A436" s="2">
        <v>44958</v>
      </c>
      <c r="B436" s="3" t="s">
        <v>166</v>
      </c>
      <c r="C436" s="3">
        <v>56704</v>
      </c>
      <c r="D436" s="3" t="s">
        <v>149</v>
      </c>
      <c r="E436" s="1">
        <v>66994.000000001019</v>
      </c>
      <c r="F436" s="9">
        <v>13477.803845161498</v>
      </c>
      <c r="G436" s="9">
        <v>4739.2763440860681</v>
      </c>
      <c r="Q436" s="10" t="s">
        <v>67</v>
      </c>
      <c r="R436" s="23" t="s">
        <v>202</v>
      </c>
      <c r="S436">
        <v>16.652057539682371</v>
      </c>
      <c r="T436">
        <v>15.287395737327049</v>
      </c>
      <c r="BV436">
        <v>5.8837584485407923</v>
      </c>
      <c r="BW436">
        <v>23967.304309677289</v>
      </c>
      <c r="BX436">
        <v>-1.6666666666666639E-2</v>
      </c>
      <c r="BY436">
        <v>40.304490322580357</v>
      </c>
      <c r="BZ436">
        <v>3.7819155145929408</v>
      </c>
      <c r="CA436">
        <v>13437.499354838919</v>
      </c>
      <c r="CB436">
        <v>1.2145440668202929</v>
      </c>
      <c r="CC436">
        <v>336.93225806451198</v>
      </c>
      <c r="CD436">
        <v>0.45955683563747529</v>
      </c>
      <c r="CE436">
        <v>1114.705548387095</v>
      </c>
      <c r="CF436">
        <v>0.21698263888888769</v>
      </c>
      <c r="CG436">
        <v>59.033333333333921</v>
      </c>
      <c r="CH436">
        <v>67420.959966659546</v>
      </c>
      <c r="CK436">
        <v>18.36500020173844</v>
      </c>
    </row>
    <row r="437" spans="1:94" x14ac:dyDescent="0.3">
      <c r="A437" s="2">
        <v>44986</v>
      </c>
      <c r="B437" s="3" t="s">
        <v>166</v>
      </c>
      <c r="C437" s="3">
        <v>56704</v>
      </c>
      <c r="D437" s="3" t="s">
        <v>149</v>
      </c>
      <c r="E437" s="1">
        <v>73143.622611036044</v>
      </c>
      <c r="F437" s="9">
        <v>14108.208089208676</v>
      </c>
      <c r="G437" s="9">
        <v>4919.2248610649885</v>
      </c>
      <c r="Q437" s="10" t="s">
        <v>69</v>
      </c>
      <c r="S437">
        <v>16.50013603261085</v>
      </c>
      <c r="T437">
        <v>11.840985175096559</v>
      </c>
      <c r="BV437">
        <v>6.7312607066432744</v>
      </c>
      <c r="BW437">
        <v>28103.597218704639</v>
      </c>
      <c r="BX437">
        <v>8.6026704881048757E-3</v>
      </c>
      <c r="BY437">
        <v>15.67053525179808</v>
      </c>
      <c r="BZ437">
        <v>3.7520285445936472</v>
      </c>
      <c r="CA437">
        <v>14092.537553956879</v>
      </c>
      <c r="CB437">
        <v>0.78289475875557979</v>
      </c>
      <c r="CC437">
        <v>293.76187050360028</v>
      </c>
      <c r="CD437">
        <v>0.48194260096633262</v>
      </c>
      <c r="CE437">
        <v>1272.398733812933</v>
      </c>
      <c r="CF437">
        <v>0.14218662836088511</v>
      </c>
      <c r="CG437">
        <v>49.971467025570867</v>
      </c>
      <c r="CH437">
        <v>72577.080005645752</v>
      </c>
      <c r="CK437">
        <v>29.231000410858542</v>
      </c>
    </row>
    <row r="438" spans="1:94" x14ac:dyDescent="0.3">
      <c r="A438" s="2">
        <v>45017</v>
      </c>
      <c r="B438" s="3" t="s">
        <v>166</v>
      </c>
      <c r="C438" s="3">
        <v>56704</v>
      </c>
      <c r="D438" s="3" t="s">
        <v>149</v>
      </c>
      <c r="E438" s="1">
        <v>69803.577388964084</v>
      </c>
      <c r="F438" s="9">
        <v>12865.0100857916</v>
      </c>
      <c r="G438" s="9">
        <v>4257.1147222683867</v>
      </c>
      <c r="Q438" s="10" t="s">
        <v>203</v>
      </c>
      <c r="S438">
        <v>16.328870733014291</v>
      </c>
      <c r="T438">
        <v>7.0650738054209068</v>
      </c>
      <c r="BV438">
        <v>6.1188191596722277</v>
      </c>
      <c r="BW438">
        <v>27020.774181295292</v>
      </c>
      <c r="BX438">
        <v>1.7690230315747239E-2</v>
      </c>
      <c r="BY438">
        <v>12.04013974820151</v>
      </c>
      <c r="BZ438">
        <v>3.4439748838429209</v>
      </c>
      <c r="CA438">
        <v>12852.9699460434</v>
      </c>
      <c r="CB438">
        <v>0.37907466214528662</v>
      </c>
      <c r="CC438">
        <v>198.80687949640441</v>
      </c>
      <c r="CD438">
        <v>0.44576635066946502</v>
      </c>
      <c r="CE438">
        <v>1123.6642661870289</v>
      </c>
      <c r="CF438">
        <v>5.7342132122027017E-2</v>
      </c>
      <c r="CG438">
        <v>23.528532974428181</v>
      </c>
      <c r="CH438">
        <v>70166.199995040894</v>
      </c>
      <c r="CK438">
        <v>10.10300008615013</v>
      </c>
    </row>
    <row r="439" spans="1:94" x14ac:dyDescent="0.3">
      <c r="A439" s="2">
        <v>45047</v>
      </c>
      <c r="B439" s="3" t="s">
        <v>166</v>
      </c>
      <c r="C439" s="3">
        <v>56704</v>
      </c>
      <c r="D439" s="3" t="s">
        <v>149</v>
      </c>
      <c r="E439" s="1">
        <v>69574.580645162292</v>
      </c>
      <c r="F439" s="9">
        <v>12786.115958333348</v>
      </c>
      <c r="G439" s="9">
        <v>3241.2421370967804</v>
      </c>
      <c r="Q439" s="10" t="s">
        <v>71</v>
      </c>
      <c r="S439">
        <v>16.478765839981449</v>
      </c>
      <c r="T439">
        <v>4.8395119287635247</v>
      </c>
      <c r="BV439">
        <v>6.7662802419354069</v>
      </c>
      <c r="BW439">
        <v>28123.53749999962</v>
      </c>
      <c r="BX439">
        <v>1.7141017025089321E-2</v>
      </c>
      <c r="BY439">
        <v>10.70012500000005</v>
      </c>
      <c r="BZ439">
        <v>3.5060553875447811</v>
      </c>
      <c r="CA439">
        <v>12775.415833333351</v>
      </c>
      <c r="CB439">
        <v>0.20763902889784849</v>
      </c>
      <c r="CC439">
        <v>121.13125000000041</v>
      </c>
      <c r="CD439">
        <v>0.45999131944444688</v>
      </c>
      <c r="CE439">
        <v>1186.598333333355</v>
      </c>
      <c r="CF439">
        <v>2.8142025089606289E-2</v>
      </c>
      <c r="CG439">
        <v>10.96666666666666</v>
      </c>
      <c r="CH439">
        <v>71262.540004730225</v>
      </c>
      <c r="CK439">
        <v>11.92000011284836</v>
      </c>
    </row>
    <row r="440" spans="1:94" x14ac:dyDescent="0.3">
      <c r="A440" s="2">
        <v>45078</v>
      </c>
      <c r="B440" s="3" t="s">
        <v>166</v>
      </c>
      <c r="C440" s="3">
        <v>56704</v>
      </c>
      <c r="D440" s="3" t="s">
        <v>149</v>
      </c>
      <c r="E440" s="1">
        <v>67851.919354838639</v>
      </c>
      <c r="F440" s="9">
        <v>12016.582505376144</v>
      </c>
      <c r="G440" s="9">
        <v>2128.1096774193129</v>
      </c>
      <c r="S440">
        <v>18.732973678315471</v>
      </c>
      <c r="T440">
        <v>3.4389919354838439</v>
      </c>
      <c r="BV440">
        <v>7.7392615740739643</v>
      </c>
      <c r="BW440">
        <v>26212.36933333363</v>
      </c>
      <c r="BX440">
        <v>1.8733796296296071E-2</v>
      </c>
      <c r="BY440">
        <v>13.49099999999993</v>
      </c>
      <c r="BZ440">
        <v>3.896618802270023</v>
      </c>
      <c r="CA440">
        <v>12003.09150537614</v>
      </c>
      <c r="CB440">
        <v>0.121482526881721</v>
      </c>
      <c r="CC440">
        <v>61.980645161289083</v>
      </c>
      <c r="CD440">
        <v>0.5469675925925882</v>
      </c>
      <c r="CE440">
        <v>1284.933333333322</v>
      </c>
      <c r="CF440">
        <v>1.9879629629629272E-2</v>
      </c>
      <c r="CG440">
        <v>5.4666666666667556</v>
      </c>
      <c r="CH440">
        <v>68657.720010757446</v>
      </c>
      <c r="CK440">
        <v>13.15800007677171</v>
      </c>
    </row>
    <row r="441" spans="1:94" x14ac:dyDescent="0.3">
      <c r="A441" s="2">
        <v>45108</v>
      </c>
      <c r="B441" s="3" t="s">
        <v>166</v>
      </c>
      <c r="C441" s="3">
        <v>56704</v>
      </c>
      <c r="D441" s="3" t="s">
        <v>149</v>
      </c>
      <c r="E441" s="1">
        <v>69741.465517240547</v>
      </c>
      <c r="F441" s="9">
        <v>12515.780689516016</v>
      </c>
      <c r="G441" s="9">
        <v>1871.4115684093354</v>
      </c>
      <c r="S441">
        <v>20.497548781053428</v>
      </c>
      <c r="T441">
        <v>3.0776985778702448</v>
      </c>
      <c r="BV441">
        <v>7.152624047939149</v>
      </c>
      <c r="BW441">
        <v>25623.66938541644</v>
      </c>
      <c r="BX441">
        <v>1.6619623655913931E-2</v>
      </c>
      <c r="BY441">
        <v>8.6626250000001335</v>
      </c>
      <c r="BZ441">
        <v>4.233777748872658</v>
      </c>
      <c r="CA441">
        <v>12507.118064516009</v>
      </c>
      <c r="CB441">
        <v>0.10995433994761129</v>
      </c>
      <c r="CC441">
        <v>53.798665183536663</v>
      </c>
      <c r="CD441">
        <v>0.514559531810037</v>
      </c>
      <c r="CE441">
        <v>1187.3608333333241</v>
      </c>
      <c r="CF441">
        <v>1.7261308861698431E-2</v>
      </c>
      <c r="CG441">
        <v>3.7356321839080828</v>
      </c>
      <c r="CH441">
        <v>69408.670066833496</v>
      </c>
      <c r="CK441">
        <v>8.2430000358726829</v>
      </c>
    </row>
    <row r="442" spans="1:94" x14ac:dyDescent="0.3">
      <c r="A442" s="2">
        <v>45139</v>
      </c>
      <c r="B442" s="3" t="s">
        <v>166</v>
      </c>
      <c r="C442" s="3">
        <v>56704</v>
      </c>
      <c r="D442" s="3" t="s">
        <v>149</v>
      </c>
      <c r="E442" s="1">
        <v>70459.834482757738</v>
      </c>
      <c r="F442" s="9">
        <v>12295.61113844076</v>
      </c>
      <c r="G442" s="9">
        <v>1693.7803670745504</v>
      </c>
      <c r="S442">
        <v>20.976894095290909</v>
      </c>
      <c r="T442">
        <v>2.9682581512313599</v>
      </c>
      <c r="BV442">
        <v>8.1725126008063889</v>
      </c>
      <c r="BW442">
        <v>26894.83511458286</v>
      </c>
      <c r="BX442">
        <v>2.5425627240143519E-2</v>
      </c>
      <c r="BY442">
        <v>29.38737500000008</v>
      </c>
      <c r="BZ442">
        <v>4.2156973349520781</v>
      </c>
      <c r="CA442">
        <v>12266.223763440759</v>
      </c>
      <c r="CB442">
        <v>6.4337603123840056E-2</v>
      </c>
      <c r="CC442">
        <v>24.870689655172651</v>
      </c>
      <c r="CD442">
        <v>0.56323168682794944</v>
      </c>
      <c r="CE442">
        <v>1290.245833333317</v>
      </c>
      <c r="CF442">
        <v>1.668940798418013E-2</v>
      </c>
      <c r="CG442">
        <v>3.13103448275867</v>
      </c>
      <c r="CH442">
        <v>70122.900014877319</v>
      </c>
      <c r="CK442">
        <v>34.942000239621848</v>
      </c>
    </row>
    <row r="443" spans="1:94" x14ac:dyDescent="0.3">
      <c r="A443" s="2">
        <v>45170</v>
      </c>
      <c r="B443" s="3" t="s">
        <v>166</v>
      </c>
      <c r="C443" s="3">
        <v>56704</v>
      </c>
      <c r="D443" s="3" t="s">
        <v>149</v>
      </c>
      <c r="E443" s="1">
        <v>69127.762500000463</v>
      </c>
      <c r="F443" s="9">
        <v>11529.364499999905</v>
      </c>
      <c r="G443" s="9">
        <v>1199.9346153846191</v>
      </c>
      <c r="S443">
        <v>20.59791336805544</v>
      </c>
      <c r="T443">
        <v>2.41834444444443</v>
      </c>
      <c r="BV443">
        <v>7.948974537037083</v>
      </c>
      <c r="BW443">
        <v>25743.52783333369</v>
      </c>
      <c r="BX443">
        <v>-2.1155092592592389E-2</v>
      </c>
      <c r="BY443">
        <v>23.207833333333362</v>
      </c>
      <c r="BZ443">
        <v>4.0696805555556166</v>
      </c>
      <c r="CA443">
        <v>11506.156666666569</v>
      </c>
      <c r="CB443">
        <v>6.7493790064101861E-2</v>
      </c>
      <c r="CC443">
        <v>23.134615384615579</v>
      </c>
      <c r="CD443">
        <v>0.56676157407408367</v>
      </c>
      <c r="CE443">
        <v>1242.493333333354</v>
      </c>
      <c r="CF443">
        <v>1.8428877314814761E-2</v>
      </c>
      <c r="CG443">
        <v>3.55000000000003</v>
      </c>
      <c r="CH443">
        <v>69547.870014190674</v>
      </c>
      <c r="CK443">
        <v>18.68000003462657</v>
      </c>
    </row>
    <row r="444" spans="1:94" x14ac:dyDescent="0.3">
      <c r="A444" s="2">
        <v>45200</v>
      </c>
      <c r="B444" s="3" t="s">
        <v>166</v>
      </c>
      <c r="C444" s="3">
        <v>56704</v>
      </c>
      <c r="D444" s="3" t="s">
        <v>149</v>
      </c>
      <c r="E444" s="1">
        <v>71846.355720946085</v>
      </c>
      <c r="F444" s="9">
        <v>11818.204943400358</v>
      </c>
      <c r="G444" s="9">
        <v>2005.4735193064496</v>
      </c>
      <c r="S444">
        <v>19.06661254526874</v>
      </c>
      <c r="T444">
        <v>4.4785626759038113</v>
      </c>
      <c r="BV444">
        <v>6.9154040076013912</v>
      </c>
      <c r="BW444">
        <v>27226.452425950451</v>
      </c>
      <c r="BX444">
        <v>1.257568376993581E-2</v>
      </c>
      <c r="BY444">
        <v>19.168558612975271</v>
      </c>
      <c r="BZ444">
        <v>3.5638592167616752</v>
      </c>
      <c r="CA444">
        <v>11799.03638478738</v>
      </c>
      <c r="CB444">
        <v>3.5838502894953883E-2</v>
      </c>
      <c r="CC444">
        <v>6.580901856763961</v>
      </c>
      <c r="CD444">
        <v>0.5376538241803237</v>
      </c>
      <c r="CE444">
        <v>1233.6492796420671</v>
      </c>
      <c r="CF444">
        <v>2.1880171693972779E-2</v>
      </c>
      <c r="CG444">
        <v>4.8654949784791883</v>
      </c>
      <c r="CH444">
        <v>71916.520002365112</v>
      </c>
      <c r="CK444">
        <v>18.644000050728209</v>
      </c>
    </row>
    <row r="445" spans="1:94" x14ac:dyDescent="0.3">
      <c r="A445" s="2">
        <v>45231</v>
      </c>
      <c r="B445" s="3" t="s">
        <v>166</v>
      </c>
      <c r="C445" s="3">
        <v>56704</v>
      </c>
      <c r="D445" s="3" t="s">
        <v>149</v>
      </c>
      <c r="E445" s="1">
        <v>70198.436617761676</v>
      </c>
      <c r="F445" s="9">
        <v>11917.737277029702</v>
      </c>
      <c r="G445" s="9">
        <v>3940.012833050871</v>
      </c>
      <c r="S445">
        <v>18.303149249739299</v>
      </c>
      <c r="T445">
        <v>9.7666939485012385</v>
      </c>
      <c r="BV445">
        <v>7.6270249788382589</v>
      </c>
      <c r="BW445">
        <v>27276.52329447899</v>
      </c>
      <c r="BX445">
        <v>1.642183479621508E-2</v>
      </c>
      <c r="BY445">
        <v>6.8682854730462948</v>
      </c>
      <c r="BZ445">
        <v>3.6181113905988949</v>
      </c>
      <c r="CA445">
        <v>11910.868991556659</v>
      </c>
      <c r="CB445">
        <v>0.28994631112701669</v>
      </c>
      <c r="CC445">
        <v>103.2280311457166</v>
      </c>
      <c r="CD445">
        <v>0.49435120870529192</v>
      </c>
      <c r="CE445">
        <v>1093.691150465474</v>
      </c>
      <c r="CF445">
        <v>3.6770338913257643E-2</v>
      </c>
      <c r="CG445">
        <v>9.9006340537789157</v>
      </c>
      <c r="CH445">
        <v>69202.519992828369</v>
      </c>
      <c r="CK445">
        <v>7.8680000350577757</v>
      </c>
    </row>
    <row r="446" spans="1:94" x14ac:dyDescent="0.3">
      <c r="A446" s="2">
        <v>45261</v>
      </c>
      <c r="B446" s="3" t="s">
        <v>166</v>
      </c>
      <c r="C446" s="3">
        <v>56704</v>
      </c>
      <c r="D446" s="3" t="s">
        <v>149</v>
      </c>
      <c r="E446" s="1">
        <v>67256.709677419567</v>
      </c>
      <c r="F446" s="9">
        <v>12177.764946236655</v>
      </c>
      <c r="G446" s="9">
        <v>4367.9290322581473</v>
      </c>
      <c r="S446">
        <v>17.759769771072051</v>
      </c>
      <c r="T446">
        <v>11.37092343045434</v>
      </c>
      <c r="BV446">
        <v>7.6941658717770833</v>
      </c>
      <c r="BW446">
        <v>29715.20494623611</v>
      </c>
      <c r="BX446">
        <v>1.71597872586426E-2</v>
      </c>
      <c r="BY446">
        <v>8.2669892473119013</v>
      </c>
      <c r="BZ446">
        <v>3.7476148254133439</v>
      </c>
      <c r="CA446">
        <v>12169.49795698934</v>
      </c>
      <c r="CB446">
        <v>0.51007353451266224</v>
      </c>
      <c r="CC446">
        <v>179.40645161290351</v>
      </c>
      <c r="CD446">
        <v>0.49232302867383582</v>
      </c>
      <c r="CE446">
        <v>1084.0529032257959</v>
      </c>
      <c r="CF446">
        <v>6.9430280957335555E-2</v>
      </c>
      <c r="CG446">
        <v>21.225806451612989</v>
      </c>
      <c r="CH446">
        <v>67347.730000734329</v>
      </c>
      <c r="CK446">
        <v>5.5590000514639542</v>
      </c>
    </row>
    <row r="447" spans="1:94" s="15" customFormat="1" x14ac:dyDescent="0.3">
      <c r="A447" s="38">
        <v>44927</v>
      </c>
      <c r="B447" s="22" t="s">
        <v>167</v>
      </c>
      <c r="C447" s="22">
        <v>64072</v>
      </c>
      <c r="D447" s="22" t="s">
        <v>127</v>
      </c>
      <c r="E447" s="21">
        <v>15674.10344827597</v>
      </c>
      <c r="F447" s="21"/>
      <c r="G447" s="21"/>
      <c r="H447" s="21">
        <v>6544.5800781250764</v>
      </c>
      <c r="I447" s="16">
        <v>0</v>
      </c>
      <c r="J447" s="20"/>
      <c r="K447" s="21">
        <f>(SUM(E447:E458)*3.412)/C447</f>
        <v>7.7122522969848477</v>
      </c>
      <c r="L447" s="21">
        <f>(SUM(G447:G458)*100)/C447</f>
        <v>0</v>
      </c>
      <c r="M447" s="21">
        <f>(SUM(H447:H458)*100)/C447</f>
        <v>80.780547118529967</v>
      </c>
      <c r="N447" s="21">
        <f>(SUM(I447:I458)*12)/C447</f>
        <v>1.2192826039455707E-4</v>
      </c>
      <c r="O447" s="21"/>
      <c r="P447" s="34">
        <f>SUM(K447:N447)</f>
        <v>88.492921343775208</v>
      </c>
      <c r="Q447" s="19" t="s">
        <v>205</v>
      </c>
      <c r="R447" s="63" t="s">
        <v>207</v>
      </c>
      <c r="CM447" s="15">
        <v>4068.2415140086741</v>
      </c>
      <c r="CN447" s="15">
        <v>2476.3385641164032</v>
      </c>
      <c r="CP447" s="15">
        <v>158580.80078125</v>
      </c>
    </row>
    <row r="448" spans="1:94" x14ac:dyDescent="0.3">
      <c r="A448" s="2">
        <v>44958</v>
      </c>
      <c r="B448" s="3" t="s">
        <v>167</v>
      </c>
      <c r="C448" s="3">
        <v>64072</v>
      </c>
      <c r="D448" s="3" t="s">
        <v>127</v>
      </c>
      <c r="E448" s="1">
        <v>14051.99999999992</v>
      </c>
      <c r="H448" s="1">
        <v>5881.35742187504</v>
      </c>
      <c r="I448" s="9">
        <v>0</v>
      </c>
      <c r="Q448" s="10" t="s">
        <v>81</v>
      </c>
      <c r="CM448">
        <v>3676.4453125000241</v>
      </c>
      <c r="CN448">
        <v>2204.9121093750159</v>
      </c>
      <c r="CP448">
        <v>143310.39453125</v>
      </c>
    </row>
    <row r="449" spans="1:94" x14ac:dyDescent="0.3">
      <c r="A449" s="2">
        <v>44986</v>
      </c>
      <c r="B449" s="3" t="s">
        <v>167</v>
      </c>
      <c r="C449" s="3">
        <v>64072</v>
      </c>
      <c r="D449" s="3" t="s">
        <v>127</v>
      </c>
      <c r="E449" s="1">
        <v>13510.201011377931</v>
      </c>
      <c r="H449" s="1">
        <v>6260.1004587745756</v>
      </c>
      <c r="I449" s="9">
        <v>0</v>
      </c>
      <c r="Q449" s="10" t="s">
        <v>82</v>
      </c>
      <c r="CM449">
        <v>3822.6178788717448</v>
      </c>
      <c r="CN449">
        <v>2437.4825799028308</v>
      </c>
      <c r="CP449">
        <v>151671.87890625</v>
      </c>
    </row>
    <row r="450" spans="1:94" x14ac:dyDescent="0.3">
      <c r="A450" s="2">
        <v>45017</v>
      </c>
      <c r="B450" s="3" t="s">
        <v>167</v>
      </c>
      <c r="C450" s="3">
        <v>64072</v>
      </c>
      <c r="D450" s="3" t="s">
        <v>127</v>
      </c>
      <c r="E450" s="1">
        <v>9574.798988621902</v>
      </c>
      <c r="H450" s="1">
        <v>5573.4151662254999</v>
      </c>
      <c r="I450" s="9">
        <v>0</v>
      </c>
      <c r="Q450" s="12" t="s">
        <v>206</v>
      </c>
      <c r="CM450">
        <v>3040.9172773782821</v>
      </c>
      <c r="CN450">
        <v>2532.4978888472178</v>
      </c>
      <c r="CP450">
        <v>126524.69140625</v>
      </c>
    </row>
    <row r="451" spans="1:94" x14ac:dyDescent="0.3">
      <c r="A451" s="2">
        <v>45047</v>
      </c>
      <c r="B451" s="3" t="s">
        <v>167</v>
      </c>
      <c r="C451" s="3">
        <v>64072</v>
      </c>
      <c r="D451" s="3" t="s">
        <v>127</v>
      </c>
      <c r="E451" s="1">
        <v>9148.4999999998945</v>
      </c>
      <c r="H451" s="1">
        <v>3726.2011718749695</v>
      </c>
      <c r="I451" s="9">
        <v>0</v>
      </c>
      <c r="CM451">
        <v>2331.3476562499882</v>
      </c>
      <c r="CN451">
        <v>1394.853515624982</v>
      </c>
      <c r="CP451">
        <v>132556.166015625</v>
      </c>
    </row>
    <row r="452" spans="1:94" x14ac:dyDescent="0.3">
      <c r="A452" s="2">
        <v>45078</v>
      </c>
      <c r="B452" s="3" t="s">
        <v>167</v>
      </c>
      <c r="C452" s="3">
        <v>64072</v>
      </c>
      <c r="D452" s="3" t="s">
        <v>127</v>
      </c>
      <c r="E452" s="1">
        <v>6513.1097560976423</v>
      </c>
      <c r="H452" s="1">
        <v>2906.5072408536689</v>
      </c>
      <c r="I452" s="9">
        <v>0</v>
      </c>
      <c r="CM452">
        <v>1452.2103658536771</v>
      </c>
      <c r="CN452">
        <v>1454.296874999992</v>
      </c>
      <c r="CP452">
        <v>116282.5450439453</v>
      </c>
    </row>
    <row r="453" spans="1:94" x14ac:dyDescent="0.3">
      <c r="A453" s="2">
        <v>45108</v>
      </c>
      <c r="B453" s="3" t="s">
        <v>167</v>
      </c>
      <c r="C453" s="3">
        <v>64072</v>
      </c>
      <c r="D453" s="3" t="s">
        <v>127</v>
      </c>
      <c r="E453" s="1">
        <v>7158.8902439023341</v>
      </c>
      <c r="H453" s="1">
        <v>2558.1704935213293</v>
      </c>
      <c r="I453" s="9">
        <v>0</v>
      </c>
      <c r="CM453">
        <v>1362.1646341463399</v>
      </c>
      <c r="CN453">
        <v>1196.0058593749891</v>
      </c>
      <c r="CP453">
        <v>118623.63671875</v>
      </c>
    </row>
    <row r="454" spans="1:94" x14ac:dyDescent="0.3">
      <c r="A454" s="2">
        <v>45139</v>
      </c>
      <c r="B454" s="3" t="s">
        <v>167</v>
      </c>
      <c r="C454" s="3">
        <v>64072</v>
      </c>
      <c r="D454" s="3" t="s">
        <v>127</v>
      </c>
      <c r="E454" s="1">
        <v>9543.3500000000713</v>
      </c>
      <c r="H454" s="1">
        <v>2110.6467633928705</v>
      </c>
      <c r="I454" s="9">
        <v>0.57661383928571952</v>
      </c>
      <c r="CM454">
        <v>1066.766741071435</v>
      </c>
      <c r="CN454">
        <v>1043.880022321435</v>
      </c>
      <c r="CP454">
        <v>108481.3084716797</v>
      </c>
    </row>
    <row r="455" spans="1:94" x14ac:dyDescent="0.3">
      <c r="A455" s="2">
        <v>45170</v>
      </c>
      <c r="B455" s="3" t="s">
        <v>167</v>
      </c>
      <c r="C455" s="3">
        <v>64072</v>
      </c>
      <c r="D455" s="3" t="s">
        <v>127</v>
      </c>
      <c r="E455" s="1">
        <v>11769.06071428569</v>
      </c>
      <c r="H455" s="1">
        <v>2042.7663225446208</v>
      </c>
      <c r="I455" s="9">
        <v>7.4401785714285615E-2</v>
      </c>
      <c r="CM455">
        <v>497.99469866070473</v>
      </c>
      <c r="CN455">
        <v>1544.7716238839159</v>
      </c>
      <c r="CP455">
        <v>130467.2802734375</v>
      </c>
    </row>
    <row r="456" spans="1:94" x14ac:dyDescent="0.3">
      <c r="A456" s="2">
        <v>45200</v>
      </c>
      <c r="B456" s="3" t="s">
        <v>167</v>
      </c>
      <c r="C456" s="3">
        <v>64072</v>
      </c>
      <c r="D456" s="3" t="s">
        <v>127</v>
      </c>
      <c r="E456" s="1">
        <v>14087.33928571409</v>
      </c>
      <c r="H456" s="1">
        <v>2289.3603515624686</v>
      </c>
      <c r="I456" s="9">
        <v>0</v>
      </c>
      <c r="CM456">
        <v>425.45340401785592</v>
      </c>
      <c r="CN456">
        <v>1863.9069475446131</v>
      </c>
      <c r="CP456">
        <v>139665.3349609375</v>
      </c>
    </row>
    <row r="457" spans="1:94" x14ac:dyDescent="0.3">
      <c r="A457" s="2">
        <v>45231</v>
      </c>
      <c r="B457" s="3" t="s">
        <v>167</v>
      </c>
      <c r="C457" s="3">
        <v>64072</v>
      </c>
      <c r="D457" s="3" t="s">
        <v>127</v>
      </c>
      <c r="E457" s="1">
        <v>17368.78089533417</v>
      </c>
      <c r="H457" s="1">
        <v>5600.2799889659564</v>
      </c>
      <c r="I457" s="9">
        <v>0</v>
      </c>
      <c r="CM457">
        <v>3260.3720296737301</v>
      </c>
      <c r="CN457">
        <v>2339.9079592922262</v>
      </c>
      <c r="CP457">
        <v>170937.2138671875</v>
      </c>
    </row>
    <row r="458" spans="1:94" x14ac:dyDescent="0.3">
      <c r="A458" s="2">
        <v>45261</v>
      </c>
      <c r="B458" s="3" t="s">
        <v>167</v>
      </c>
      <c r="C458" s="3">
        <v>64072</v>
      </c>
      <c r="D458" s="3" t="s">
        <v>127</v>
      </c>
      <c r="E458" s="1">
        <v>16423.848415010882</v>
      </c>
      <c r="H458" s="1">
        <v>6264.3266920684327</v>
      </c>
      <c r="I458" s="9">
        <v>0</v>
      </c>
      <c r="CM458">
        <v>3732.7105403693249</v>
      </c>
      <c r="CN458">
        <v>2531.6161516991078</v>
      </c>
      <c r="CP458">
        <v>167020.412109375</v>
      </c>
    </row>
    <row r="459" spans="1:94" s="16" customFormat="1" x14ac:dyDescent="0.3">
      <c r="A459" s="36">
        <v>44927</v>
      </c>
      <c r="B459" s="42" t="s">
        <v>169</v>
      </c>
      <c r="C459" s="42">
        <v>123650</v>
      </c>
      <c r="D459" s="42" t="s">
        <v>136</v>
      </c>
      <c r="F459" s="16">
        <v>6418.8333333332776</v>
      </c>
      <c r="J459" s="26"/>
      <c r="P459" s="35"/>
      <c r="R459" s="26"/>
      <c r="S459" s="16">
        <v>2.628609304543859</v>
      </c>
    </row>
    <row r="460" spans="1:94" s="9" customFormat="1" x14ac:dyDescent="0.3">
      <c r="A460" s="13">
        <v>44958</v>
      </c>
      <c r="B460" s="6" t="s">
        <v>169</v>
      </c>
      <c r="C460" s="6">
        <v>123650</v>
      </c>
      <c r="D460" s="6" t="s">
        <v>136</v>
      </c>
      <c r="F460" s="9">
        <v>5902.8333333332803</v>
      </c>
      <c r="J460" s="17"/>
      <c r="P460" s="41"/>
      <c r="R460" s="17"/>
      <c r="S460" s="9">
        <v>3.6841289842550178</v>
      </c>
    </row>
    <row r="461" spans="1:94" s="9" customFormat="1" x14ac:dyDescent="0.3">
      <c r="A461" s="13">
        <v>44986</v>
      </c>
      <c r="B461" s="6" t="s">
        <v>169</v>
      </c>
      <c r="C461" s="6">
        <v>123650</v>
      </c>
      <c r="D461" s="6" t="s">
        <v>136</v>
      </c>
      <c r="F461" s="9">
        <v>4736.9868105515416</v>
      </c>
      <c r="J461" s="17"/>
      <c r="P461" s="41"/>
      <c r="R461" s="17"/>
      <c r="S461" s="9">
        <v>4.3676861740754784</v>
      </c>
    </row>
    <row r="462" spans="1:94" s="9" customFormat="1" x14ac:dyDescent="0.3">
      <c r="A462" s="13">
        <v>45017</v>
      </c>
      <c r="B462" s="6" t="s">
        <v>169</v>
      </c>
      <c r="C462" s="6">
        <v>123650</v>
      </c>
      <c r="D462" s="6" t="s">
        <v>136</v>
      </c>
      <c r="F462" s="9">
        <v>-350.94514388489142</v>
      </c>
      <c r="J462" s="17"/>
      <c r="P462" s="41"/>
      <c r="R462" s="17"/>
      <c r="S462" s="9">
        <v>3.4958204655025589</v>
      </c>
    </row>
    <row r="463" spans="1:94" s="9" customFormat="1" x14ac:dyDescent="0.3">
      <c r="A463" s="13">
        <v>45047</v>
      </c>
      <c r="B463" s="6" t="s">
        <v>169</v>
      </c>
      <c r="C463" s="6">
        <v>123650</v>
      </c>
      <c r="D463" s="6" t="s">
        <v>136</v>
      </c>
      <c r="F463" s="9">
        <v>19747.824999999979</v>
      </c>
      <c r="J463" s="17"/>
      <c r="P463" s="41"/>
      <c r="R463" s="17"/>
      <c r="S463" s="9">
        <v>3.544744807022473</v>
      </c>
    </row>
    <row r="464" spans="1:94" s="9" customFormat="1" x14ac:dyDescent="0.3">
      <c r="A464" s="13">
        <v>45078</v>
      </c>
      <c r="B464" s="6" t="s">
        <v>169</v>
      </c>
      <c r="C464" s="6">
        <v>123650</v>
      </c>
      <c r="D464" s="6" t="s">
        <v>136</v>
      </c>
      <c r="F464" s="9">
        <v>1398.3000000000141</v>
      </c>
      <c r="J464" s="17"/>
      <c r="P464" s="41"/>
      <c r="R464" s="17"/>
      <c r="S464" s="9">
        <v>1.9794564077434009</v>
      </c>
    </row>
    <row r="465" spans="1:101" s="9" customFormat="1" x14ac:dyDescent="0.3">
      <c r="A465" s="13">
        <v>45108</v>
      </c>
      <c r="B465" s="6" t="s">
        <v>169</v>
      </c>
      <c r="C465" s="6">
        <v>123650</v>
      </c>
      <c r="D465" s="6" t="s">
        <v>136</v>
      </c>
      <c r="F465" s="9">
        <v>-4273.8965517240622</v>
      </c>
      <c r="J465" s="17"/>
      <c r="P465" s="41"/>
      <c r="R465" s="17"/>
      <c r="S465" s="9">
        <v>2.8281125295467411</v>
      </c>
    </row>
    <row r="466" spans="1:101" s="9" customFormat="1" x14ac:dyDescent="0.3">
      <c r="A466" s="13">
        <v>45139</v>
      </c>
      <c r="B466" s="6" t="s">
        <v>169</v>
      </c>
      <c r="C466" s="6">
        <v>123650</v>
      </c>
      <c r="D466" s="6" t="s">
        <v>136</v>
      </c>
      <c r="F466" s="9">
        <v>5085.6965517241551</v>
      </c>
      <c r="J466" s="17"/>
      <c r="P466" s="41"/>
      <c r="R466" s="17"/>
      <c r="S466" s="9">
        <v>2.9286330181683899</v>
      </c>
    </row>
    <row r="467" spans="1:101" s="9" customFormat="1" x14ac:dyDescent="0.3">
      <c r="A467" s="13">
        <v>45170</v>
      </c>
      <c r="B467" s="6" t="s">
        <v>169</v>
      </c>
      <c r="C467" s="6">
        <v>123650</v>
      </c>
      <c r="D467" s="6" t="s">
        <v>136</v>
      </c>
      <c r="F467" s="9">
        <v>7363.449999999928</v>
      </c>
      <c r="J467" s="17"/>
      <c r="P467" s="41"/>
      <c r="R467" s="17"/>
      <c r="S467" s="9">
        <v>2.5334076388888889</v>
      </c>
    </row>
    <row r="468" spans="1:101" s="9" customFormat="1" x14ac:dyDescent="0.3">
      <c r="A468" s="13">
        <v>45200</v>
      </c>
      <c r="B468" s="6" t="s">
        <v>169</v>
      </c>
      <c r="C468" s="6">
        <v>123650</v>
      </c>
      <c r="D468" s="6" t="s">
        <v>136</v>
      </c>
      <c r="F468" s="9">
        <v>7900.9479913917967</v>
      </c>
      <c r="J468" s="17"/>
      <c r="P468" s="41"/>
      <c r="R468" s="17"/>
      <c r="S468" s="9">
        <v>4.0137464373042357</v>
      </c>
    </row>
    <row r="469" spans="1:101" s="9" customFormat="1" x14ac:dyDescent="0.3">
      <c r="A469" s="13">
        <v>45231</v>
      </c>
      <c r="B469" s="6" t="s">
        <v>169</v>
      </c>
      <c r="C469" s="6">
        <v>123650</v>
      </c>
      <c r="D469" s="6" t="s">
        <v>136</v>
      </c>
      <c r="F469" s="9">
        <v>8262.5439440923055</v>
      </c>
      <c r="J469" s="17"/>
      <c r="P469" s="41"/>
      <c r="R469" s="17"/>
      <c r="S469" s="9">
        <v>3.035779592412621</v>
      </c>
    </row>
    <row r="470" spans="1:101" s="9" customFormat="1" x14ac:dyDescent="0.3">
      <c r="A470" s="13">
        <v>45261</v>
      </c>
      <c r="B470" s="6" t="s">
        <v>169</v>
      </c>
      <c r="C470" s="6">
        <v>123650</v>
      </c>
      <c r="D470" s="6" t="s">
        <v>136</v>
      </c>
      <c r="F470" s="9">
        <v>7835.258064516046</v>
      </c>
      <c r="J470" s="17"/>
      <c r="P470" s="41"/>
      <c r="R470" s="17"/>
      <c r="S470" s="9">
        <v>2.5624739854318159</v>
      </c>
    </row>
    <row r="471" spans="1:101" s="15" customFormat="1" x14ac:dyDescent="0.3">
      <c r="A471" s="38">
        <v>44927</v>
      </c>
      <c r="B471" s="22" t="s">
        <v>170</v>
      </c>
      <c r="C471" s="22">
        <v>110140</v>
      </c>
      <c r="D471" s="22" t="s">
        <v>153</v>
      </c>
      <c r="E471" s="21">
        <v>181396.96969697191</v>
      </c>
      <c r="F471" s="21"/>
      <c r="G471" s="21"/>
      <c r="H471" s="21">
        <v>15316.19030303054</v>
      </c>
      <c r="I471" s="21">
        <v>34.497330603448283</v>
      </c>
      <c r="J471" s="20"/>
      <c r="K471" s="21">
        <f>(SUM(E471:E482)*3.412)/C471</f>
        <v>63.124779671507397</v>
      </c>
      <c r="L471" s="21">
        <f>(SUM(G471:G482)*100)/C471</f>
        <v>0</v>
      </c>
      <c r="M471" s="21">
        <f>(SUM(H471:H482)*100)/C471</f>
        <v>66.565200991461992</v>
      </c>
      <c r="N471" s="21">
        <f>(SUM(I471:I482)*12)/C471</f>
        <v>6.45778581488307E-2</v>
      </c>
      <c r="O471" s="21"/>
      <c r="P471" s="34">
        <f>SUM(K471:N471)</f>
        <v>129.75455852111821</v>
      </c>
      <c r="Q471" s="30" t="s">
        <v>208</v>
      </c>
      <c r="R471" s="20" t="s">
        <v>212</v>
      </c>
      <c r="CW471" s="15">
        <v>25195.844396969551</v>
      </c>
    </row>
    <row r="472" spans="1:101" x14ac:dyDescent="0.3">
      <c r="A472" s="2">
        <v>44958</v>
      </c>
      <c r="B472" s="3" t="s">
        <v>170</v>
      </c>
      <c r="C472" s="3">
        <v>110140</v>
      </c>
      <c r="D472" s="3" t="s">
        <v>153</v>
      </c>
      <c r="E472" s="1">
        <v>167200.0000000014</v>
      </c>
      <c r="H472" s="1">
        <v>14262.960000000099</v>
      </c>
      <c r="I472" s="1">
        <v>37.022387500000001</v>
      </c>
      <c r="Q472" s="10" t="s">
        <v>209</v>
      </c>
      <c r="CW472">
        <v>24879.044400000101</v>
      </c>
    </row>
    <row r="473" spans="1:101" x14ac:dyDescent="0.3">
      <c r="A473" s="2">
        <v>44986</v>
      </c>
      <c r="B473" s="3" t="s">
        <v>170</v>
      </c>
      <c r="C473" s="3">
        <v>110140</v>
      </c>
      <c r="D473" s="3" t="s">
        <v>153</v>
      </c>
      <c r="E473" s="1">
        <v>168325.66371681131</v>
      </c>
      <c r="H473" s="1">
        <v>14067.93945638424</v>
      </c>
      <c r="I473" s="1">
        <v>22.59420353982301</v>
      </c>
      <c r="Q473" s="25" t="s">
        <v>91</v>
      </c>
      <c r="CW473">
        <v>16787.49323008877</v>
      </c>
    </row>
    <row r="474" spans="1:101" x14ac:dyDescent="0.3">
      <c r="A474" s="2">
        <v>45017</v>
      </c>
      <c r="B474" s="3" t="s">
        <v>170</v>
      </c>
      <c r="C474" s="3">
        <v>110140</v>
      </c>
      <c r="D474" s="3" t="s">
        <v>153</v>
      </c>
      <c r="E474" s="1">
        <v>148174.33628318441</v>
      </c>
      <c r="H474" s="1">
        <v>7323.0605436157084</v>
      </c>
      <c r="I474" s="1">
        <v>29.397834374999999</v>
      </c>
      <c r="CW474">
        <v>20839.866469911489</v>
      </c>
    </row>
    <row r="475" spans="1:101" x14ac:dyDescent="0.3">
      <c r="A475" s="2">
        <v>45047</v>
      </c>
      <c r="B475" s="3" t="s">
        <v>170</v>
      </c>
      <c r="C475" s="3">
        <v>110140</v>
      </c>
      <c r="D475" s="3" t="s">
        <v>153</v>
      </c>
      <c r="E475" s="1">
        <v>154999.99999999991</v>
      </c>
      <c r="H475" s="1">
        <v>0</v>
      </c>
      <c r="I475" s="1">
        <v>33.912280913978499</v>
      </c>
      <c r="CW475">
        <v>25230.736999999721</v>
      </c>
    </row>
    <row r="476" spans="1:101" x14ac:dyDescent="0.3">
      <c r="A476" s="2">
        <v>45078</v>
      </c>
      <c r="B476" s="3" t="s">
        <v>170</v>
      </c>
      <c r="C476" s="3">
        <v>110140</v>
      </c>
      <c r="D476" s="3" t="s">
        <v>153</v>
      </c>
      <c r="E476" s="1">
        <v>157285.71428571301</v>
      </c>
      <c r="H476" s="1">
        <v>8.5714285714284574E-3</v>
      </c>
      <c r="I476" s="1">
        <v>32.01853666666667</v>
      </c>
      <c r="CW476">
        <v>23053.346399999878</v>
      </c>
    </row>
    <row r="477" spans="1:101" x14ac:dyDescent="0.3">
      <c r="A477" s="2">
        <v>45108</v>
      </c>
      <c r="B477" s="3" t="s">
        <v>170</v>
      </c>
      <c r="C477" s="3">
        <v>110140</v>
      </c>
      <c r="D477" s="3" t="s">
        <v>153</v>
      </c>
      <c r="E477" s="1">
        <v>167814.28571428411</v>
      </c>
      <c r="H477" s="1">
        <v>1.142857142857154E-2</v>
      </c>
      <c r="I477" s="1">
        <v>66.815143589743585</v>
      </c>
      <c r="CW477">
        <v>45534.874000000702</v>
      </c>
    </row>
    <row r="478" spans="1:101" x14ac:dyDescent="0.3">
      <c r="A478" s="2">
        <v>45139</v>
      </c>
      <c r="B478" s="3" t="s">
        <v>170</v>
      </c>
      <c r="C478" s="3">
        <v>110140</v>
      </c>
      <c r="D478" s="3" t="s">
        <v>153</v>
      </c>
      <c r="E478" s="1">
        <v>161820</v>
      </c>
      <c r="H478" s="1">
        <v>0</v>
      </c>
      <c r="I478" s="1">
        <v>91.432459999999992</v>
      </c>
      <c r="CW478">
        <v>68025.750239998597</v>
      </c>
    </row>
    <row r="479" spans="1:101" x14ac:dyDescent="0.3">
      <c r="A479" s="2">
        <v>45170</v>
      </c>
      <c r="B479" s="3" t="s">
        <v>170</v>
      </c>
      <c r="C479" s="3">
        <v>110140</v>
      </c>
      <c r="D479" s="3" t="s">
        <v>153</v>
      </c>
      <c r="E479" s="1">
        <v>183751.42857142759</v>
      </c>
      <c r="H479" s="1">
        <v>0</v>
      </c>
      <c r="I479" s="1">
        <v>102.18232500000001</v>
      </c>
      <c r="CW479">
        <v>72539.286960000842</v>
      </c>
    </row>
    <row r="480" spans="1:101" x14ac:dyDescent="0.3">
      <c r="A480" s="2">
        <v>45200</v>
      </c>
      <c r="B480" s="3" t="s">
        <v>170</v>
      </c>
      <c r="C480" s="3">
        <v>110140</v>
      </c>
      <c r="D480" s="3" t="s">
        <v>153</v>
      </c>
      <c r="E480" s="1">
        <v>194828.57142856909</v>
      </c>
      <c r="H480" s="1">
        <v>40.570000000000093</v>
      </c>
      <c r="I480" s="1">
        <v>102.18232500000001</v>
      </c>
      <c r="CW480">
        <v>37976.017800000052</v>
      </c>
    </row>
    <row r="481" spans="1:101" x14ac:dyDescent="0.3">
      <c r="A481" s="2">
        <v>45231</v>
      </c>
      <c r="B481" s="3" t="s">
        <v>170</v>
      </c>
      <c r="C481" s="3">
        <v>110140</v>
      </c>
      <c r="D481" s="3" t="s">
        <v>153</v>
      </c>
      <c r="E481" s="1">
        <v>174567.46532156121</v>
      </c>
      <c r="H481" s="1">
        <v>9457.801601513389</v>
      </c>
      <c r="I481" s="1">
        <v>14.896729129886509</v>
      </c>
      <c r="CW481">
        <v>10740.54170264829</v>
      </c>
    </row>
    <row r="482" spans="1:101" x14ac:dyDescent="0.3">
      <c r="A482" s="2">
        <v>45261</v>
      </c>
      <c r="B482" s="3" t="s">
        <v>170</v>
      </c>
      <c r="C482" s="3">
        <v>110140</v>
      </c>
      <c r="D482" s="3" t="s">
        <v>153</v>
      </c>
      <c r="E482" s="1">
        <v>177515.29329912679</v>
      </c>
      <c r="H482" s="1">
        <v>12846.370467452251</v>
      </c>
      <c r="I482" s="1">
        <v>25.765551724137929</v>
      </c>
      <c r="CW482">
        <v>18387.01525597255</v>
      </c>
    </row>
    <row r="483" spans="1:101" s="15" customFormat="1" x14ac:dyDescent="0.3">
      <c r="A483" s="38">
        <v>44927</v>
      </c>
      <c r="B483" s="22" t="s">
        <v>171</v>
      </c>
      <c r="C483" s="22">
        <v>8420</v>
      </c>
      <c r="D483" s="22" t="s">
        <v>127</v>
      </c>
      <c r="E483" s="21">
        <v>812.72000000000207</v>
      </c>
      <c r="F483" s="21"/>
      <c r="G483" s="21">
        <v>49.500000000000853</v>
      </c>
      <c r="H483" s="21"/>
      <c r="I483" s="21"/>
      <c r="J483" s="20"/>
      <c r="K483" s="21">
        <f>(SUM(E483:E494)*3.412)/C483</f>
        <v>5.8975650071259125</v>
      </c>
      <c r="L483" s="21">
        <f>(SUM(G483:G494)*100)/C483</f>
        <v>3.8330166270784183</v>
      </c>
      <c r="M483" s="21">
        <f>(SUM(H483:H494)*100)/C483</f>
        <v>0</v>
      </c>
      <c r="N483" s="21">
        <f>(SUM(I483:I494)*12)/C483</f>
        <v>0</v>
      </c>
      <c r="O483" s="21"/>
      <c r="P483" s="34">
        <f>SUM(K483:N483)</f>
        <v>9.7305816342043308</v>
      </c>
      <c r="Q483" s="19" t="s">
        <v>210</v>
      </c>
      <c r="R483" s="20"/>
      <c r="S483" s="15">
        <v>0.5284408602150461</v>
      </c>
      <c r="T483" s="15">
        <v>0.1456720430107514</v>
      </c>
    </row>
    <row r="484" spans="1:101" x14ac:dyDescent="0.3">
      <c r="A484" s="2">
        <v>44958</v>
      </c>
      <c r="B484" s="3" t="s">
        <v>171</v>
      </c>
      <c r="C484" s="3">
        <v>8420</v>
      </c>
      <c r="D484" s="3" t="s">
        <v>127</v>
      </c>
      <c r="E484" s="1">
        <v>1055.2599999999891</v>
      </c>
      <c r="G484" s="1">
        <v>58.740000000000613</v>
      </c>
      <c r="Q484" s="10" t="s">
        <v>211</v>
      </c>
      <c r="S484">
        <v>0.72766369047617785</v>
      </c>
      <c r="T484">
        <v>0.220014880952381</v>
      </c>
    </row>
    <row r="485" spans="1:101" x14ac:dyDescent="0.3">
      <c r="A485" s="2">
        <v>44986</v>
      </c>
      <c r="B485" s="3" t="s">
        <v>171</v>
      </c>
      <c r="C485" s="3">
        <v>8420</v>
      </c>
      <c r="D485" s="3" t="s">
        <v>127</v>
      </c>
      <c r="E485" s="1">
        <v>1046.0800000000049</v>
      </c>
      <c r="G485" s="1">
        <v>76.120000000000744</v>
      </c>
      <c r="S485">
        <v>0.68531628532974742</v>
      </c>
      <c r="T485">
        <v>0.26045760430685988</v>
      </c>
    </row>
    <row r="486" spans="1:101" x14ac:dyDescent="0.3">
      <c r="A486" s="2">
        <v>45017</v>
      </c>
      <c r="B486" s="3" t="s">
        <v>171</v>
      </c>
      <c r="C486" s="3">
        <v>8420</v>
      </c>
      <c r="D486" s="3" t="s">
        <v>127</v>
      </c>
      <c r="E486" s="1">
        <v>1683.2399999999891</v>
      </c>
      <c r="G486" s="1">
        <v>67.75999999999982</v>
      </c>
      <c r="S486">
        <v>1.02925000000001</v>
      </c>
      <c r="T486">
        <v>0.18298611111110941</v>
      </c>
    </row>
    <row r="487" spans="1:101" x14ac:dyDescent="0.3">
      <c r="A487" s="2">
        <v>45047</v>
      </c>
      <c r="B487" s="3" t="s">
        <v>171</v>
      </c>
      <c r="C487" s="3">
        <v>8420</v>
      </c>
      <c r="D487" s="3" t="s">
        <v>127</v>
      </c>
      <c r="E487" s="1">
        <v>1614.1699999999919</v>
      </c>
      <c r="G487" s="1">
        <v>25.08000000000029</v>
      </c>
      <c r="S487">
        <v>0.95377688172042518</v>
      </c>
      <c r="T487">
        <v>4.491935483871061E-2</v>
      </c>
    </row>
    <row r="488" spans="1:101" x14ac:dyDescent="0.3">
      <c r="A488" s="2">
        <v>45078</v>
      </c>
      <c r="B488" s="3" t="s">
        <v>171</v>
      </c>
      <c r="C488" s="3">
        <v>8420</v>
      </c>
      <c r="D488" s="3" t="s">
        <v>127</v>
      </c>
      <c r="E488" s="1">
        <v>1850.6900000000251</v>
      </c>
      <c r="G488" s="1">
        <v>8.8000000000000682</v>
      </c>
      <c r="S488">
        <v>1.1013611111111179</v>
      </c>
      <c r="T488">
        <v>1.8472222222222039E-2</v>
      </c>
    </row>
    <row r="489" spans="1:101" x14ac:dyDescent="0.3">
      <c r="A489" s="2">
        <v>45108</v>
      </c>
      <c r="B489" s="3" t="s">
        <v>171</v>
      </c>
      <c r="C489" s="3">
        <v>8420</v>
      </c>
      <c r="D489" s="3" t="s">
        <v>127</v>
      </c>
      <c r="E489" s="1">
        <v>544.50000000000216</v>
      </c>
      <c r="G489" s="1">
        <v>4.8400000000000052</v>
      </c>
      <c r="S489">
        <v>0.52553763440859658</v>
      </c>
      <c r="T489">
        <v>1.211021505376327E-2</v>
      </c>
    </row>
    <row r="490" spans="1:101" x14ac:dyDescent="0.3">
      <c r="A490" s="2">
        <v>45139</v>
      </c>
      <c r="B490" s="3" t="s">
        <v>171</v>
      </c>
      <c r="C490" s="3">
        <v>8420</v>
      </c>
      <c r="D490" s="3" t="s">
        <v>127</v>
      </c>
      <c r="E490" s="1">
        <v>859.38000000000295</v>
      </c>
      <c r="G490" s="1">
        <v>0</v>
      </c>
      <c r="S490">
        <v>0.77270161290323114</v>
      </c>
      <c r="T490">
        <v>4.9462365591397498E-3</v>
      </c>
    </row>
    <row r="491" spans="1:101" x14ac:dyDescent="0.3">
      <c r="A491" s="2">
        <v>45170</v>
      </c>
      <c r="B491" s="3" t="s">
        <v>171</v>
      </c>
      <c r="C491" s="3">
        <v>8420</v>
      </c>
      <c r="D491" s="3" t="s">
        <v>127</v>
      </c>
      <c r="E491" s="1">
        <v>1724.450000000013</v>
      </c>
      <c r="G491" s="1">
        <v>0</v>
      </c>
      <c r="S491">
        <v>1.178666666666679</v>
      </c>
      <c r="T491">
        <v>2.105555555555574E-2</v>
      </c>
    </row>
    <row r="492" spans="1:101" x14ac:dyDescent="0.3">
      <c r="A492" s="2">
        <v>45200</v>
      </c>
      <c r="B492" s="3" t="s">
        <v>171</v>
      </c>
      <c r="C492" s="3">
        <v>8420</v>
      </c>
      <c r="D492" s="3" t="s">
        <v>127</v>
      </c>
      <c r="E492" s="1">
        <v>1184.559999999997</v>
      </c>
      <c r="G492" s="1">
        <v>0.66000000000000147</v>
      </c>
      <c r="S492">
        <v>0.91967741935483249</v>
      </c>
      <c r="T492">
        <v>5.9005376344085708E-3</v>
      </c>
    </row>
    <row r="493" spans="1:101" x14ac:dyDescent="0.3">
      <c r="A493" s="2">
        <v>45231</v>
      </c>
      <c r="B493" s="3" t="s">
        <v>171</v>
      </c>
      <c r="C493" s="3">
        <v>8420</v>
      </c>
      <c r="D493" s="3" t="s">
        <v>127</v>
      </c>
      <c r="E493" s="1">
        <v>1246.000000000023</v>
      </c>
      <c r="G493" s="1">
        <v>5.7199999999999864</v>
      </c>
      <c r="S493">
        <v>0.90291262135922012</v>
      </c>
      <c r="T493">
        <v>1.7864077669903181E-2</v>
      </c>
    </row>
    <row r="494" spans="1:101" x14ac:dyDescent="0.3">
      <c r="A494" s="2">
        <v>45261</v>
      </c>
      <c r="B494" s="3" t="s">
        <v>171</v>
      </c>
      <c r="C494" s="3">
        <v>8420</v>
      </c>
      <c r="D494" s="3" t="s">
        <v>127</v>
      </c>
      <c r="E494" s="1">
        <v>932.73000000001286</v>
      </c>
      <c r="G494" s="1">
        <v>25.520000000000369</v>
      </c>
      <c r="S494">
        <v>0.69641129032258886</v>
      </c>
      <c r="T494">
        <v>6.8037634408602513E-2</v>
      </c>
    </row>
    <row r="495" spans="1:101" s="15" customFormat="1" x14ac:dyDescent="0.3">
      <c r="A495" s="38">
        <v>44927</v>
      </c>
      <c r="B495" s="22" t="s">
        <v>172</v>
      </c>
      <c r="C495" s="22">
        <v>89180</v>
      </c>
      <c r="D495" s="22" t="s">
        <v>127</v>
      </c>
      <c r="E495" s="21">
        <v>26948.279347913449</v>
      </c>
      <c r="F495" s="21"/>
      <c r="G495" s="21"/>
      <c r="H495" s="21"/>
      <c r="I495" s="21"/>
      <c r="J495" s="20"/>
      <c r="K495" s="21">
        <f>(SUM(E495:E506)*3.412)/C495</f>
        <v>21.851171431919209</v>
      </c>
      <c r="L495" s="21">
        <f>(SUM(G495:G506)*100)/C495</f>
        <v>0</v>
      </c>
      <c r="M495" s="21">
        <f>(SUM(H495:H506)*100)/C495</f>
        <v>0</v>
      </c>
      <c r="N495" s="21">
        <f>(SUM(I495:I506)*12)/C495</f>
        <v>0</v>
      </c>
      <c r="O495" s="21"/>
      <c r="P495" s="34">
        <f>SUM(K495:N495)</f>
        <v>21.851171431919209</v>
      </c>
      <c r="Q495" s="19" t="s">
        <v>216</v>
      </c>
      <c r="R495" s="20"/>
    </row>
    <row r="496" spans="1:101" x14ac:dyDescent="0.3">
      <c r="A496" s="2">
        <v>44958</v>
      </c>
      <c r="B496" s="3" t="s">
        <v>172</v>
      </c>
      <c r="C496" s="3">
        <v>89180</v>
      </c>
      <c r="D496" s="3" t="s">
        <v>127</v>
      </c>
      <c r="E496" s="1">
        <v>41999.93610382123</v>
      </c>
    </row>
    <row r="497" spans="1:18" x14ac:dyDescent="0.3">
      <c r="A497" s="2">
        <v>44986</v>
      </c>
      <c r="B497" s="3" t="s">
        <v>172</v>
      </c>
      <c r="C497" s="3">
        <v>89180</v>
      </c>
      <c r="D497" s="3" t="s">
        <v>127</v>
      </c>
      <c r="E497" s="1">
        <v>48656.64899273849</v>
      </c>
    </row>
    <row r="498" spans="1:18" x14ac:dyDescent="0.3">
      <c r="A498" s="2">
        <v>45017</v>
      </c>
      <c r="B498" s="3" t="s">
        <v>172</v>
      </c>
      <c r="C498" s="3">
        <v>89180</v>
      </c>
      <c r="D498" s="3" t="s">
        <v>127</v>
      </c>
      <c r="E498" s="1">
        <v>48143.439889707923</v>
      </c>
    </row>
    <row r="499" spans="1:18" x14ac:dyDescent="0.3">
      <c r="A499" s="2">
        <v>45047</v>
      </c>
      <c r="B499" s="3" t="s">
        <v>172</v>
      </c>
      <c r="C499" s="3">
        <v>89180</v>
      </c>
      <c r="D499" s="3" t="s">
        <v>127</v>
      </c>
      <c r="E499" s="1">
        <v>51199.91302490214</v>
      </c>
    </row>
    <row r="500" spans="1:18" x14ac:dyDescent="0.3">
      <c r="A500" s="2">
        <v>45078</v>
      </c>
      <c r="B500" s="3" t="s">
        <v>172</v>
      </c>
      <c r="C500" s="3">
        <v>89180</v>
      </c>
      <c r="D500" s="3" t="s">
        <v>127</v>
      </c>
      <c r="E500" s="1">
        <v>51804.926337265162</v>
      </c>
    </row>
    <row r="501" spans="1:18" x14ac:dyDescent="0.3">
      <c r="A501" s="2">
        <v>45108</v>
      </c>
      <c r="B501" s="3" t="s">
        <v>172</v>
      </c>
      <c r="C501" s="3">
        <v>89180</v>
      </c>
      <c r="D501" s="3" t="s">
        <v>127</v>
      </c>
      <c r="E501" s="1">
        <v>53895.089684462677</v>
      </c>
    </row>
    <row r="502" spans="1:18" x14ac:dyDescent="0.3">
      <c r="A502" s="2">
        <v>45139</v>
      </c>
      <c r="B502" s="3" t="s">
        <v>172</v>
      </c>
      <c r="C502" s="3">
        <v>89180</v>
      </c>
      <c r="D502" s="3" t="s">
        <v>127</v>
      </c>
      <c r="E502" s="1">
        <v>55091.490064347709</v>
      </c>
    </row>
    <row r="503" spans="1:18" x14ac:dyDescent="0.3">
      <c r="A503" s="2">
        <v>45170</v>
      </c>
      <c r="B503" s="3" t="s">
        <v>172</v>
      </c>
      <c r="C503" s="3">
        <v>89180</v>
      </c>
      <c r="D503" s="3" t="s">
        <v>127</v>
      </c>
      <c r="E503" s="1">
        <v>54775.235009572818</v>
      </c>
    </row>
    <row r="504" spans="1:18" x14ac:dyDescent="0.3">
      <c r="A504" s="2">
        <v>45200</v>
      </c>
      <c r="B504" s="3" t="s">
        <v>172</v>
      </c>
      <c r="C504" s="3">
        <v>89180</v>
      </c>
      <c r="D504" s="3" t="s">
        <v>127</v>
      </c>
      <c r="E504" s="1">
        <v>53633.345497979841</v>
      </c>
    </row>
    <row r="505" spans="1:18" x14ac:dyDescent="0.3">
      <c r="A505" s="2">
        <v>45231</v>
      </c>
      <c r="B505" s="3" t="s">
        <v>172</v>
      </c>
      <c r="C505" s="3">
        <v>89180</v>
      </c>
      <c r="D505" s="3" t="s">
        <v>127</v>
      </c>
      <c r="E505" s="1">
        <v>43641.846387413148</v>
      </c>
    </row>
    <row r="506" spans="1:18" x14ac:dyDescent="0.3">
      <c r="A506" s="2">
        <v>45261</v>
      </c>
      <c r="B506" s="3" t="s">
        <v>172</v>
      </c>
      <c r="C506" s="3">
        <v>89180</v>
      </c>
      <c r="D506" s="3" t="s">
        <v>127</v>
      </c>
      <c r="E506" s="1">
        <v>41337.4781178341</v>
      </c>
    </row>
    <row r="507" spans="1:18" s="16" customFormat="1" x14ac:dyDescent="0.3">
      <c r="A507" s="36">
        <v>43101</v>
      </c>
      <c r="B507" s="42" t="s">
        <v>173</v>
      </c>
      <c r="C507" s="42"/>
      <c r="D507" s="42" t="s">
        <v>136</v>
      </c>
      <c r="E507" s="31">
        <v>18.262290994520299</v>
      </c>
      <c r="J507" s="26"/>
      <c r="P507" s="34">
        <f>SUM(K507:N507)</f>
        <v>0</v>
      </c>
      <c r="R507" s="26" t="s">
        <v>328</v>
      </c>
    </row>
    <row r="508" spans="1:18" s="9" customFormat="1" x14ac:dyDescent="0.3">
      <c r="A508" s="13">
        <v>43132</v>
      </c>
      <c r="B508" s="6" t="s">
        <v>173</v>
      </c>
      <c r="C508" s="6"/>
      <c r="D508" s="6" t="s">
        <v>136</v>
      </c>
      <c r="E508" s="14">
        <v>201.91087635204894</v>
      </c>
      <c r="J508" s="17"/>
      <c r="P508" s="41"/>
      <c r="R508" s="17"/>
    </row>
    <row r="509" spans="1:18" s="9" customFormat="1" x14ac:dyDescent="0.3">
      <c r="A509" s="13">
        <v>43160</v>
      </c>
      <c r="B509" s="6" t="s">
        <v>173</v>
      </c>
      <c r="C509" s="6"/>
      <c r="D509" s="6" t="s">
        <v>136</v>
      </c>
      <c r="E509" s="14">
        <v>2567.0349371880293</v>
      </c>
      <c r="J509" s="17"/>
      <c r="P509" s="41"/>
      <c r="R509" s="17"/>
    </row>
    <row r="510" spans="1:18" s="9" customFormat="1" x14ac:dyDescent="0.3">
      <c r="A510" s="13">
        <v>43191</v>
      </c>
      <c r="B510" s="6" t="s">
        <v>173</v>
      </c>
      <c r="C510" s="6"/>
      <c r="D510" s="6" t="s">
        <v>136</v>
      </c>
      <c r="E510" s="14">
        <v>3354.2387795029208</v>
      </c>
      <c r="J510" s="17"/>
      <c r="P510" s="41"/>
      <c r="R510" s="17"/>
    </row>
    <row r="511" spans="1:18" s="9" customFormat="1" x14ac:dyDescent="0.3">
      <c r="A511" s="13">
        <v>43221</v>
      </c>
      <c r="B511" s="6" t="s">
        <v>173</v>
      </c>
      <c r="C511" s="6"/>
      <c r="D511" s="6" t="s">
        <v>136</v>
      </c>
      <c r="E511" s="14">
        <v>3351.2219524979591</v>
      </c>
      <c r="J511" s="17"/>
      <c r="P511" s="41"/>
      <c r="R511" s="17"/>
    </row>
    <row r="512" spans="1:18" s="9" customFormat="1" x14ac:dyDescent="0.3">
      <c r="A512" s="13">
        <v>43252</v>
      </c>
      <c r="B512" s="6" t="s">
        <v>173</v>
      </c>
      <c r="C512" s="6"/>
      <c r="D512" s="6" t="s">
        <v>136</v>
      </c>
      <c r="E512" s="14">
        <v>3565.0656476616859</v>
      </c>
      <c r="J512" s="17"/>
      <c r="P512" s="41"/>
      <c r="R512" s="17"/>
    </row>
    <row r="513" spans="1:20" s="9" customFormat="1" x14ac:dyDescent="0.3">
      <c r="A513" s="13">
        <v>43282</v>
      </c>
      <c r="B513" s="6" t="s">
        <v>173</v>
      </c>
      <c r="C513" s="6"/>
      <c r="D513" s="6" t="s">
        <v>136</v>
      </c>
      <c r="E513" s="14">
        <v>5046.8180966377258</v>
      </c>
      <c r="J513" s="17"/>
      <c r="P513" s="41"/>
      <c r="R513" s="17"/>
    </row>
    <row r="514" spans="1:20" s="9" customFormat="1" x14ac:dyDescent="0.3">
      <c r="A514" s="13">
        <v>43313</v>
      </c>
      <c r="B514" s="6" t="s">
        <v>173</v>
      </c>
      <c r="C514" s="6"/>
      <c r="D514" s="6" t="s">
        <v>136</v>
      </c>
      <c r="E514" s="14">
        <v>5319.7410758882761</v>
      </c>
      <c r="J514" s="17"/>
      <c r="P514" s="41"/>
      <c r="R514" s="17"/>
    </row>
    <row r="515" spans="1:20" s="9" customFormat="1" x14ac:dyDescent="0.3">
      <c r="A515" s="13">
        <v>43344</v>
      </c>
      <c r="B515" s="6" t="s">
        <v>173</v>
      </c>
      <c r="C515" s="6"/>
      <c r="D515" s="6" t="s">
        <v>136</v>
      </c>
      <c r="E515" s="14">
        <v>4652.906029343605</v>
      </c>
      <c r="J515" s="17"/>
      <c r="P515" s="41"/>
      <c r="R515" s="17"/>
    </row>
    <row r="516" spans="1:20" s="9" customFormat="1" x14ac:dyDescent="0.3">
      <c r="A516" s="13">
        <v>43374</v>
      </c>
      <c r="B516" s="6" t="s">
        <v>173</v>
      </c>
      <c r="C516" s="6"/>
      <c r="D516" s="6" t="s">
        <v>136</v>
      </c>
      <c r="E516" s="14">
        <v>4807.7848851382732</v>
      </c>
      <c r="J516" s="17"/>
      <c r="P516" s="41"/>
      <c r="R516" s="17"/>
    </row>
    <row r="517" spans="1:20" s="9" customFormat="1" x14ac:dyDescent="0.3">
      <c r="A517" s="13">
        <v>43405</v>
      </c>
      <c r="B517" s="6" t="s">
        <v>173</v>
      </c>
      <c r="C517" s="6"/>
      <c r="D517" s="6" t="s">
        <v>136</v>
      </c>
      <c r="E517" s="14">
        <v>1911.5609739366919</v>
      </c>
      <c r="J517" s="17"/>
      <c r="P517" s="41"/>
      <c r="R517" s="17"/>
    </row>
    <row r="518" spans="1:20" s="9" customFormat="1" x14ac:dyDescent="0.3">
      <c r="A518" s="13">
        <v>43435</v>
      </c>
      <c r="B518" s="6" t="s">
        <v>173</v>
      </c>
      <c r="C518" s="6"/>
      <c r="D518" s="6" t="s">
        <v>136</v>
      </c>
      <c r="E518" s="14">
        <v>0</v>
      </c>
      <c r="J518" s="17"/>
      <c r="P518" s="41"/>
      <c r="R518" s="17"/>
    </row>
    <row r="519" spans="1:20" s="15" customFormat="1" x14ac:dyDescent="0.3">
      <c r="A519" s="38">
        <v>44927</v>
      </c>
      <c r="B519" s="22" t="s">
        <v>339</v>
      </c>
      <c r="C519" s="15">
        <v>22495</v>
      </c>
      <c r="D519" s="22" t="s">
        <v>153</v>
      </c>
      <c r="E519" s="21"/>
      <c r="F519" s="21">
        <v>3086.795698924705</v>
      </c>
      <c r="G519" s="21">
        <v>796.70000000000493</v>
      </c>
      <c r="H519" s="21"/>
      <c r="I519" s="21"/>
      <c r="J519" s="20"/>
      <c r="K519" s="21">
        <f>(SUM(E519:E530)*3.412)/C519</f>
        <v>0</v>
      </c>
      <c r="L519" s="21">
        <f>(SUM(G519:G530)*100)/C519</f>
        <v>17.240705819931247</v>
      </c>
      <c r="M519" s="21">
        <f>(SUM(H519:H530)*100)/C519</f>
        <v>0</v>
      </c>
      <c r="N519" s="21">
        <f>(SUM(I519:I530)*12)/C519</f>
        <v>0</v>
      </c>
      <c r="O519" s="21"/>
      <c r="P519" s="34">
        <f>SUM(K519:N519)</f>
        <v>17.240705819931247</v>
      </c>
      <c r="Q519" s="19" t="s">
        <v>213</v>
      </c>
      <c r="R519" s="20" t="s">
        <v>215</v>
      </c>
      <c r="S519" s="15">
        <v>0.92260217944274336</v>
      </c>
      <c r="T519" s="15">
        <v>2.63442293906808</v>
      </c>
    </row>
    <row r="520" spans="1:20" x14ac:dyDescent="0.3">
      <c r="A520" s="2">
        <v>44958</v>
      </c>
      <c r="B520" s="3" t="s">
        <v>339</v>
      </c>
      <c r="C520">
        <v>22495</v>
      </c>
      <c r="D520" s="3" t="s">
        <v>153</v>
      </c>
      <c r="F520" s="1">
        <v>2272.5709677419418</v>
      </c>
      <c r="G520" s="1">
        <v>887.72580645161054</v>
      </c>
      <c r="Q520" s="10" t="s">
        <v>214</v>
      </c>
      <c r="S520">
        <v>8.280155529953992E-2</v>
      </c>
      <c r="T520">
        <v>3.171981246799759</v>
      </c>
    </row>
    <row r="521" spans="1:20" x14ac:dyDescent="0.3">
      <c r="A521" s="2">
        <v>44986</v>
      </c>
      <c r="B521" s="3" t="s">
        <v>339</v>
      </c>
      <c r="C521">
        <v>22495</v>
      </c>
      <c r="D521" s="3" t="s">
        <v>153</v>
      </c>
      <c r="F521" s="1">
        <v>1530.278417266192</v>
      </c>
      <c r="G521" s="1">
        <v>775.34110002320199</v>
      </c>
      <c r="S521">
        <v>8.448310853336341E-2</v>
      </c>
      <c r="T521">
        <v>2.063803102648778</v>
      </c>
    </row>
    <row r="522" spans="1:20" x14ac:dyDescent="0.3">
      <c r="A522" s="2">
        <v>45017</v>
      </c>
      <c r="B522" s="3" t="s">
        <v>339</v>
      </c>
      <c r="C522">
        <v>22495</v>
      </c>
      <c r="D522" s="3" t="s">
        <v>153</v>
      </c>
      <c r="F522" s="1">
        <v>-428.13466726618668</v>
      </c>
      <c r="G522" s="1">
        <v>397.4330935251769</v>
      </c>
      <c r="S522">
        <v>8.0837049110709852E-2</v>
      </c>
      <c r="T522">
        <v>0.78849129196642154</v>
      </c>
    </row>
    <row r="523" spans="1:20" x14ac:dyDescent="0.3">
      <c r="A523" s="2">
        <v>45047</v>
      </c>
      <c r="B523" s="3" t="s">
        <v>339</v>
      </c>
      <c r="C523">
        <v>22495</v>
      </c>
      <c r="D523" s="3" t="s">
        <v>153</v>
      </c>
      <c r="F523" s="1">
        <v>-2094.6437500000002</v>
      </c>
      <c r="G523" s="1">
        <v>156.23333333333329</v>
      </c>
      <c r="S523">
        <v>8.2392977150538477E-2</v>
      </c>
      <c r="T523">
        <v>0.28206025985662397</v>
      </c>
    </row>
    <row r="524" spans="1:20" x14ac:dyDescent="0.3">
      <c r="A524" s="2">
        <v>45078</v>
      </c>
      <c r="B524" s="3" t="s">
        <v>339</v>
      </c>
      <c r="C524">
        <v>22495</v>
      </c>
      <c r="D524" s="3" t="s">
        <v>153</v>
      </c>
      <c r="F524" s="1">
        <v>-2325.018181818205</v>
      </c>
      <c r="G524" s="1">
        <v>39.584848484848223</v>
      </c>
      <c r="S524">
        <v>7.8697474747475724E-2</v>
      </c>
      <c r="T524">
        <v>0.1027781565656552</v>
      </c>
    </row>
    <row r="525" spans="1:20" x14ac:dyDescent="0.3">
      <c r="A525" s="2">
        <v>45108</v>
      </c>
      <c r="B525" s="3" t="s">
        <v>339</v>
      </c>
      <c r="C525">
        <v>22495</v>
      </c>
      <c r="D525" s="3" t="s">
        <v>153</v>
      </c>
      <c r="F525" s="1">
        <v>-1613.9059561128299</v>
      </c>
      <c r="G525" s="1">
        <v>8.1818181818181923</v>
      </c>
      <c r="S525">
        <v>8.2688761924023468E-2</v>
      </c>
      <c r="T525">
        <v>5.2619226188470238E-2</v>
      </c>
    </row>
    <row r="526" spans="1:20" x14ac:dyDescent="0.3">
      <c r="A526" s="2">
        <v>45139</v>
      </c>
      <c r="B526" s="3" t="s">
        <v>339</v>
      </c>
      <c r="C526">
        <v>22495</v>
      </c>
      <c r="D526" s="3" t="s">
        <v>153</v>
      </c>
      <c r="F526" s="1">
        <v>2218.7241379310321</v>
      </c>
      <c r="G526" s="1">
        <v>0</v>
      </c>
      <c r="S526">
        <v>8.8851316277344355E-2</v>
      </c>
      <c r="T526">
        <v>3.9901912618958577E-2</v>
      </c>
    </row>
    <row r="527" spans="1:20" x14ac:dyDescent="0.3">
      <c r="A527" s="2">
        <v>45170</v>
      </c>
      <c r="B527" s="3" t="s">
        <v>339</v>
      </c>
      <c r="C527">
        <v>22495</v>
      </c>
      <c r="D527" s="3" t="s">
        <v>153</v>
      </c>
      <c r="F527" s="1">
        <v>3322.0000000000259</v>
      </c>
      <c r="G527" s="1">
        <v>0</v>
      </c>
      <c r="S527">
        <v>8.7258333333332855E-2</v>
      </c>
      <c r="T527">
        <v>3.9907436342591897E-2</v>
      </c>
    </row>
    <row r="528" spans="1:20" x14ac:dyDescent="0.3">
      <c r="A528" s="2">
        <v>45200</v>
      </c>
      <c r="B528" s="3" t="s">
        <v>339</v>
      </c>
      <c r="C528">
        <v>22495</v>
      </c>
      <c r="D528" s="3" t="s">
        <v>153</v>
      </c>
      <c r="F528" s="1">
        <v>3581.1793400287161</v>
      </c>
      <c r="G528" s="1">
        <v>42.421807747489247</v>
      </c>
      <c r="S528">
        <v>9.0475424630907866E-2</v>
      </c>
      <c r="T528">
        <v>0.13500107567859879</v>
      </c>
    </row>
    <row r="529" spans="1:20" x14ac:dyDescent="0.3">
      <c r="A529" s="2">
        <v>45231</v>
      </c>
      <c r="B529" s="3" t="s">
        <v>339</v>
      </c>
      <c r="C529">
        <v>22495</v>
      </c>
      <c r="D529" s="3" t="s">
        <v>153</v>
      </c>
      <c r="F529" s="1">
        <v>3992.0464664229421</v>
      </c>
      <c r="G529" s="1">
        <v>260.6427083815409</v>
      </c>
      <c r="S529">
        <v>8.8973415342166046E-2</v>
      </c>
      <c r="T529">
        <v>0.7180432588272978</v>
      </c>
    </row>
    <row r="530" spans="1:20" x14ac:dyDescent="0.3">
      <c r="A530" s="2">
        <v>45261</v>
      </c>
      <c r="B530" s="3" t="s">
        <v>339</v>
      </c>
      <c r="C530">
        <v>22495</v>
      </c>
      <c r="D530" s="3" t="s">
        <v>153</v>
      </c>
      <c r="F530" s="1">
        <v>4060.193548387073</v>
      </c>
      <c r="G530" s="1">
        <v>514.03225806450973</v>
      </c>
      <c r="S530">
        <v>7.3346418661116326</v>
      </c>
      <c r="T530">
        <v>1.448896982310087</v>
      </c>
    </row>
    <row r="531" spans="1:20" s="15" customFormat="1" x14ac:dyDescent="0.3">
      <c r="A531" s="38">
        <v>44927</v>
      </c>
      <c r="B531" s="22" t="s">
        <v>174</v>
      </c>
      <c r="C531" s="22">
        <v>768</v>
      </c>
      <c r="D531" s="22" t="s">
        <v>125</v>
      </c>
      <c r="E531" s="21">
        <v>88.744594623657065</v>
      </c>
      <c r="F531" s="21"/>
      <c r="G531" s="21"/>
      <c r="H531" s="21"/>
      <c r="I531" s="21"/>
      <c r="J531" s="20"/>
      <c r="K531" s="21">
        <f>(SUM(E531:E542)*3.412)/C531</f>
        <v>4.5740575402441674</v>
      </c>
      <c r="L531" s="21">
        <f>(SUM(G531:G542)*100)/C531</f>
        <v>0</v>
      </c>
      <c r="M531" s="21">
        <f>(SUM(H531:H542)*100)/C531</f>
        <v>0</v>
      </c>
      <c r="N531" s="21">
        <f>(SUM(I531:I542)*12)/C531</f>
        <v>0</v>
      </c>
      <c r="O531" s="21"/>
      <c r="P531" s="34">
        <f>SUM(K531:N531)</f>
        <v>4.5740575402441674</v>
      </c>
      <c r="Q531" s="19" t="s">
        <v>217</v>
      </c>
      <c r="R531" s="20"/>
      <c r="S531" s="15">
        <v>3.4180830153775522E-2</v>
      </c>
    </row>
    <row r="532" spans="1:20" x14ac:dyDescent="0.3">
      <c r="A532" s="2">
        <v>44958</v>
      </c>
      <c r="B532" s="3" t="s">
        <v>174</v>
      </c>
      <c r="C532" s="3">
        <v>768</v>
      </c>
      <c r="D532" s="3" t="s">
        <v>125</v>
      </c>
      <c r="E532" s="1">
        <v>86.994768709678411</v>
      </c>
      <c r="S532">
        <v>3.6141561059908248E-2</v>
      </c>
    </row>
    <row r="533" spans="1:20" x14ac:dyDescent="0.3">
      <c r="A533" s="2">
        <v>44986</v>
      </c>
      <c r="B533" s="3" t="s">
        <v>174</v>
      </c>
      <c r="C533" s="3">
        <v>768</v>
      </c>
      <c r="D533" s="3" t="s">
        <v>125</v>
      </c>
      <c r="E533" s="1">
        <v>90.268298057552983</v>
      </c>
      <c r="S533">
        <v>3.5933179701191711E-2</v>
      </c>
    </row>
    <row r="534" spans="1:20" x14ac:dyDescent="0.3">
      <c r="A534" s="2">
        <v>45017</v>
      </c>
      <c r="B534" s="3" t="s">
        <v>174</v>
      </c>
      <c r="C534" s="3">
        <v>768</v>
      </c>
      <c r="D534" s="3" t="s">
        <v>125</v>
      </c>
      <c r="E534" s="1">
        <v>91.303290692446353</v>
      </c>
      <c r="S534">
        <v>3.7230934002797443E-2</v>
      </c>
    </row>
    <row r="535" spans="1:20" x14ac:dyDescent="0.3">
      <c r="A535" s="2">
        <v>45047</v>
      </c>
      <c r="B535" s="3" t="s">
        <v>174</v>
      </c>
      <c r="C535" s="3">
        <v>768</v>
      </c>
      <c r="D535" s="3" t="s">
        <v>125</v>
      </c>
      <c r="E535" s="1">
        <v>82.403861250000503</v>
      </c>
      <c r="S535">
        <v>3.4484375000000067E-2</v>
      </c>
    </row>
    <row r="536" spans="1:20" x14ac:dyDescent="0.3">
      <c r="A536" s="2">
        <v>45078</v>
      </c>
      <c r="B536" s="3" t="s">
        <v>174</v>
      </c>
      <c r="C536" s="3">
        <v>768</v>
      </c>
      <c r="D536" s="3" t="s">
        <v>125</v>
      </c>
      <c r="E536" s="1">
        <v>71.050701818181707</v>
      </c>
      <c r="S536">
        <v>3.3173989898989419E-2</v>
      </c>
    </row>
    <row r="537" spans="1:20" x14ac:dyDescent="0.3">
      <c r="A537" s="2">
        <v>45108</v>
      </c>
      <c r="B537" s="3" t="s">
        <v>174</v>
      </c>
      <c r="C537" s="3">
        <v>768</v>
      </c>
      <c r="D537" s="3" t="s">
        <v>125</v>
      </c>
      <c r="E537" s="1">
        <v>77.226063009403589</v>
      </c>
      <c r="S537">
        <v>3.5825875551960318E-2</v>
      </c>
    </row>
    <row r="538" spans="1:20" x14ac:dyDescent="0.3">
      <c r="A538" s="2">
        <v>45139</v>
      </c>
      <c r="B538" s="3" t="s">
        <v>174</v>
      </c>
      <c r="C538" s="3">
        <v>768</v>
      </c>
      <c r="D538" s="3" t="s">
        <v>125</v>
      </c>
      <c r="E538" s="1">
        <v>97.502015172413124</v>
      </c>
      <c r="S538">
        <v>4.2387467556544857E-2</v>
      </c>
    </row>
    <row r="539" spans="1:20" x14ac:dyDescent="0.3">
      <c r="A539" s="2">
        <v>45170</v>
      </c>
      <c r="B539" s="3" t="s">
        <v>174</v>
      </c>
      <c r="C539" s="3">
        <v>768</v>
      </c>
      <c r="D539" s="3" t="s">
        <v>125</v>
      </c>
      <c r="E539" s="1">
        <v>84.041564999998414</v>
      </c>
      <c r="S539">
        <v>-7.6805555555546818E-4</v>
      </c>
    </row>
    <row r="540" spans="1:20" x14ac:dyDescent="0.3">
      <c r="A540" s="2">
        <v>45200</v>
      </c>
      <c r="B540" s="3" t="s">
        <v>174</v>
      </c>
      <c r="C540" s="3">
        <v>768</v>
      </c>
      <c r="D540" s="3" t="s">
        <v>125</v>
      </c>
      <c r="E540" s="1">
        <v>93.637637410330157</v>
      </c>
      <c r="S540">
        <v>2.6848214698940141E-2</v>
      </c>
    </row>
    <row r="541" spans="1:20" x14ac:dyDescent="0.3">
      <c r="A541" s="2">
        <v>45231</v>
      </c>
      <c r="B541" s="3" t="s">
        <v>174</v>
      </c>
      <c r="C541" s="3">
        <v>768</v>
      </c>
      <c r="D541" s="3" t="s">
        <v>125</v>
      </c>
      <c r="E541" s="1">
        <v>85.69695371870138</v>
      </c>
      <c r="S541">
        <v>3.7900218164004199E-2</v>
      </c>
    </row>
    <row r="542" spans="1:20" x14ac:dyDescent="0.3">
      <c r="A542" s="2">
        <v>45261</v>
      </c>
      <c r="B542" s="3" t="s">
        <v>174</v>
      </c>
      <c r="C542" s="3">
        <v>768</v>
      </c>
      <c r="D542" s="3" t="s">
        <v>125</v>
      </c>
      <c r="E542" s="1">
        <v>80.695370967742178</v>
      </c>
      <c r="S542">
        <v>3.6983177245923773E-2</v>
      </c>
    </row>
    <row r="543" spans="1:20" s="15" customFormat="1" x14ac:dyDescent="0.3">
      <c r="A543" s="38">
        <v>44927</v>
      </c>
      <c r="B543" s="22" t="s">
        <v>175</v>
      </c>
      <c r="C543" s="22">
        <v>22203</v>
      </c>
      <c r="D543" s="22" t="s">
        <v>123</v>
      </c>
      <c r="E543" s="16">
        <v>11411.500755935909</v>
      </c>
      <c r="F543" s="16">
        <v>9681.4462365590916</v>
      </c>
      <c r="G543" s="21">
        <v>1373.087500000006</v>
      </c>
      <c r="H543" s="21"/>
      <c r="I543" s="21"/>
      <c r="J543" s="20"/>
      <c r="K543" s="21">
        <f>(SUM(E543:E554)*3.412)/C543</f>
        <v>32.48008558616111</v>
      </c>
      <c r="L543" s="21">
        <f>(SUM(G543:G554)*100)/C543</f>
        <v>51.848603587557918</v>
      </c>
      <c r="M543" s="21">
        <f>(SUM(H543:H554)*100)/C543</f>
        <v>0</v>
      </c>
      <c r="N543" s="21">
        <f>(SUM(I543:I554)*12)/C543</f>
        <v>0</v>
      </c>
      <c r="O543" s="21"/>
      <c r="P543" s="34">
        <f>SUM(K543:N543)</f>
        <v>84.328689173719027</v>
      </c>
      <c r="Q543" s="19" t="s">
        <v>219</v>
      </c>
      <c r="R543" s="20" t="s">
        <v>221</v>
      </c>
      <c r="S543" s="15">
        <v>2.452172216441181</v>
      </c>
      <c r="T543" s="15">
        <v>4.5653472782257971</v>
      </c>
    </row>
    <row r="544" spans="1:20" x14ac:dyDescent="0.3">
      <c r="A544" s="2">
        <v>44958</v>
      </c>
      <c r="B544" s="3" t="s">
        <v>175</v>
      </c>
      <c r="C544" s="3">
        <v>22203</v>
      </c>
      <c r="D544" s="3" t="s">
        <v>123</v>
      </c>
      <c r="E544" s="9">
        <v>17032.159942269329</v>
      </c>
      <c r="F544" s="9">
        <v>7760.2537634407199</v>
      </c>
      <c r="G544" s="1">
        <v>1383.284683588296</v>
      </c>
      <c r="Q544" s="10" t="s">
        <v>218</v>
      </c>
      <c r="S544">
        <v>2.4508822484639321</v>
      </c>
      <c r="T544">
        <v>4.8971510207112354</v>
      </c>
    </row>
    <row r="545" spans="1:106" x14ac:dyDescent="0.3">
      <c r="A545" s="2">
        <v>44986</v>
      </c>
      <c r="B545" s="3" t="s">
        <v>175</v>
      </c>
      <c r="C545" s="3">
        <v>22203</v>
      </c>
      <c r="D545" s="3" t="s">
        <v>123</v>
      </c>
      <c r="E545" s="9">
        <v>19036.559972763062</v>
      </c>
      <c r="F545" s="9">
        <v>5797.6872901679289</v>
      </c>
      <c r="G545" s="1">
        <v>1423.527816411688</v>
      </c>
      <c r="Q545" s="10" t="s">
        <v>220</v>
      </c>
      <c r="S545">
        <v>2.436592455241688</v>
      </c>
      <c r="T545">
        <v>3.617698706705327</v>
      </c>
    </row>
    <row r="546" spans="1:106" x14ac:dyDescent="0.3">
      <c r="A546" s="2">
        <v>45017</v>
      </c>
      <c r="B546" s="3" t="s">
        <v>175</v>
      </c>
      <c r="C546" s="3">
        <v>22203</v>
      </c>
      <c r="D546" s="3" t="s">
        <v>123</v>
      </c>
      <c r="E546" s="9">
        <v>20529.359933376309</v>
      </c>
      <c r="F546" s="9">
        <v>270.69604316546707</v>
      </c>
      <c r="G546" s="1">
        <v>1145.499999999998</v>
      </c>
      <c r="S546">
        <v>2.6009301121602548</v>
      </c>
      <c r="T546">
        <v>2.2726824712643401</v>
      </c>
    </row>
    <row r="547" spans="1:106" x14ac:dyDescent="0.3">
      <c r="A547" s="2">
        <v>45047</v>
      </c>
      <c r="B547" s="3" t="s">
        <v>175</v>
      </c>
      <c r="C547" s="3">
        <v>22203</v>
      </c>
      <c r="D547" s="3" t="s">
        <v>123</v>
      </c>
      <c r="E547" s="9">
        <v>16810.080001115799</v>
      </c>
      <c r="F547" s="9">
        <v>-6779.346774193652</v>
      </c>
      <c r="G547" s="1">
        <v>719.33333333334303</v>
      </c>
      <c r="S547">
        <v>1.662863201309394</v>
      </c>
      <c r="T547">
        <v>1.1780384686689189</v>
      </c>
    </row>
    <row r="548" spans="1:106" x14ac:dyDescent="0.3">
      <c r="A548" s="2">
        <v>45078</v>
      </c>
      <c r="B548" s="3" t="s">
        <v>175</v>
      </c>
      <c r="C548" s="3">
        <v>22203</v>
      </c>
      <c r="D548" s="3" t="s">
        <v>123</v>
      </c>
      <c r="E548" s="9">
        <v>19275.359949350361</v>
      </c>
      <c r="F548" s="9">
        <v>-8725.0907258064508</v>
      </c>
      <c r="G548" s="1">
        <v>532.87878787878742</v>
      </c>
      <c r="S548">
        <v>1.7644762544802819</v>
      </c>
      <c r="T548">
        <v>0.93960875420874856</v>
      </c>
    </row>
    <row r="549" spans="1:106" x14ac:dyDescent="0.3">
      <c r="A549" s="2">
        <v>45108</v>
      </c>
      <c r="B549" s="3" t="s">
        <v>175</v>
      </c>
      <c r="C549" s="3">
        <v>22203</v>
      </c>
      <c r="D549" s="3" t="s">
        <v>123</v>
      </c>
      <c r="E549" s="9">
        <v>23554.55993270874</v>
      </c>
      <c r="F549" s="9">
        <v>-6518.4331896551448</v>
      </c>
      <c r="G549" s="1">
        <v>572.13270637408061</v>
      </c>
      <c r="S549">
        <v>2.7221245828698049</v>
      </c>
      <c r="T549">
        <v>1.010948332041224</v>
      </c>
    </row>
    <row r="550" spans="1:106" x14ac:dyDescent="0.3">
      <c r="A550" s="2">
        <v>45139</v>
      </c>
      <c r="B550" s="3" t="s">
        <v>175</v>
      </c>
      <c r="C550" s="3">
        <v>22203</v>
      </c>
      <c r="D550" s="3" t="s">
        <v>123</v>
      </c>
      <c r="E550" s="9">
        <v>23375.439923763279</v>
      </c>
      <c r="F550" s="9">
        <v>10660.42068965519</v>
      </c>
      <c r="G550" s="1">
        <v>565.32183908046477</v>
      </c>
      <c r="S550">
        <v>4.0324829440119103</v>
      </c>
      <c r="T550">
        <v>1.0577501853911919</v>
      </c>
    </row>
    <row r="551" spans="1:106" x14ac:dyDescent="0.3">
      <c r="A551" s="2">
        <v>45170</v>
      </c>
      <c r="B551" s="3" t="s">
        <v>175</v>
      </c>
      <c r="C551" s="3">
        <v>22203</v>
      </c>
      <c r="D551" s="3" t="s">
        <v>123</v>
      </c>
      <c r="E551" s="9">
        <v>17492.720026016239</v>
      </c>
      <c r="F551" s="9">
        <v>13857.69999999999</v>
      </c>
      <c r="G551" s="1">
        <v>584.33333333333519</v>
      </c>
      <c r="S551">
        <v>3.8613048611111198</v>
      </c>
      <c r="T551">
        <v>1.2460597222222061</v>
      </c>
    </row>
    <row r="552" spans="1:106" x14ac:dyDescent="0.3">
      <c r="A552" s="2">
        <v>45200</v>
      </c>
      <c r="B552" s="3" t="s">
        <v>175</v>
      </c>
      <c r="C552" s="3">
        <v>22203</v>
      </c>
      <c r="D552" s="3" t="s">
        <v>123</v>
      </c>
      <c r="E552" s="9">
        <v>16562.160031795502</v>
      </c>
      <c r="F552" s="9">
        <v>13000.620516499041</v>
      </c>
      <c r="G552" s="1">
        <v>901.24820659971908</v>
      </c>
      <c r="S552">
        <v>3.3598008409697249</v>
      </c>
      <c r="T552">
        <v>2.069629084324494</v>
      </c>
    </row>
    <row r="553" spans="1:106" x14ac:dyDescent="0.3">
      <c r="A553" s="2">
        <v>45231</v>
      </c>
      <c r="B553" s="3" t="s">
        <v>175</v>
      </c>
      <c r="C553" s="3">
        <v>22203</v>
      </c>
      <c r="D553" s="3" t="s">
        <v>123</v>
      </c>
      <c r="E553" s="9">
        <v>13332.16004347801</v>
      </c>
      <c r="F553" s="9">
        <v>12438.91174156504</v>
      </c>
      <c r="G553" s="1">
        <v>1164.0851267336279</v>
      </c>
      <c r="S553">
        <v>2.985897315729702</v>
      </c>
      <c r="T553">
        <v>3.029404014696123</v>
      </c>
    </row>
    <row r="554" spans="1:106" x14ac:dyDescent="0.3">
      <c r="A554" s="2">
        <v>45261</v>
      </c>
      <c r="B554" s="3" t="s">
        <v>175</v>
      </c>
      <c r="C554" s="3">
        <v>22203</v>
      </c>
      <c r="D554" s="3" t="s">
        <v>123</v>
      </c>
      <c r="E554" s="9">
        <v>12946.4800119102</v>
      </c>
      <c r="F554" s="9">
        <v>11245.7096774195</v>
      </c>
      <c r="G554" s="1">
        <v>1147.212121212139</v>
      </c>
      <c r="S554">
        <v>2.5095330385015182</v>
      </c>
      <c r="T554">
        <v>3.183782258064543</v>
      </c>
    </row>
    <row r="555" spans="1:106" s="15" customFormat="1" x14ac:dyDescent="0.3">
      <c r="A555" s="38">
        <v>44927</v>
      </c>
      <c r="B555" s="22" t="s">
        <v>176</v>
      </c>
      <c r="C555" s="22">
        <v>121426</v>
      </c>
      <c r="D555" s="22" t="s">
        <v>153</v>
      </c>
      <c r="E555" s="21">
        <v>88851.590909090766</v>
      </c>
      <c r="F555" s="21"/>
      <c r="G555" s="21"/>
      <c r="H555" s="21">
        <v>31587.09753787837</v>
      </c>
      <c r="I555" s="21">
        <v>3801.0382605350551</v>
      </c>
      <c r="J555" s="20"/>
      <c r="K555" s="21">
        <f>(SUM(E555:E566)*3.412)/C555</f>
        <v>19.039436058763961</v>
      </c>
      <c r="L555" s="21">
        <f>(SUM(G555:G566)*100)/C555</f>
        <v>0</v>
      </c>
      <c r="M555" s="21">
        <f>(SUM(H555:H566)*100)/C555</f>
        <v>170.47389345400825</v>
      </c>
      <c r="N555" s="21">
        <f>(SUM(I555:I566)*12)/C555</f>
        <v>19.781748750195053</v>
      </c>
      <c r="O555" s="21"/>
      <c r="P555" s="34">
        <f>SUM(K555:N555)</f>
        <v>209.29507826296725</v>
      </c>
      <c r="Q555" s="19" t="s">
        <v>222</v>
      </c>
      <c r="R555" s="20"/>
      <c r="DB555" s="15">
        <v>3801.0382605350551</v>
      </c>
    </row>
    <row r="556" spans="1:106" x14ac:dyDescent="0.3">
      <c r="A556" s="2">
        <v>44958</v>
      </c>
      <c r="B556" s="3" t="s">
        <v>176</v>
      </c>
      <c r="C556" s="3">
        <v>121426</v>
      </c>
      <c r="D556" s="3" t="s">
        <v>153</v>
      </c>
      <c r="E556" s="1">
        <v>74720.750000001266</v>
      </c>
      <c r="H556" s="1">
        <v>29049.453124999742</v>
      </c>
      <c r="I556" s="1">
        <v>3699.7727539062748</v>
      </c>
      <c r="Q556" s="10" t="s">
        <v>223</v>
      </c>
      <c r="DB556">
        <v>3699.7727539062748</v>
      </c>
    </row>
    <row r="557" spans="1:106" x14ac:dyDescent="0.3">
      <c r="A557" s="2">
        <v>44986</v>
      </c>
      <c r="B557" s="3" t="s">
        <v>176</v>
      </c>
      <c r="C557" s="3">
        <v>121426</v>
      </c>
      <c r="D557" s="3" t="s">
        <v>153</v>
      </c>
      <c r="E557" s="1">
        <v>64608.12389380455</v>
      </c>
      <c r="H557" s="1">
        <v>28763.730937894721</v>
      </c>
      <c r="I557" s="1">
        <v>3075.8589584485335</v>
      </c>
      <c r="Q557" s="10" t="s">
        <v>96</v>
      </c>
      <c r="DB557">
        <v>3075.858958448533</v>
      </c>
    </row>
    <row r="558" spans="1:106" x14ac:dyDescent="0.3">
      <c r="A558" s="2">
        <v>45017</v>
      </c>
      <c r="B558" s="3" t="s">
        <v>176</v>
      </c>
      <c r="C558" s="3">
        <v>121426</v>
      </c>
      <c r="D558" s="3" t="s">
        <v>153</v>
      </c>
      <c r="E558" s="1">
        <v>35142.126106194322</v>
      </c>
      <c r="H558" s="1">
        <v>17941.737812104951</v>
      </c>
      <c r="I558" s="1">
        <v>7878.09104155157</v>
      </c>
      <c r="DB558">
        <v>7878.09104155157</v>
      </c>
    </row>
    <row r="559" spans="1:106" x14ac:dyDescent="0.3">
      <c r="A559" s="2">
        <v>45047</v>
      </c>
      <c r="B559" s="3" t="s">
        <v>176</v>
      </c>
      <c r="C559" s="3">
        <v>121426</v>
      </c>
      <c r="D559" s="3" t="s">
        <v>153</v>
      </c>
      <c r="E559" s="1">
        <v>38198.500000000611</v>
      </c>
      <c r="H559" s="1">
        <v>13205.078124999851</v>
      </c>
      <c r="I559" s="1">
        <v>14006.439453124804</v>
      </c>
      <c r="DB559">
        <v>14006.4394531248</v>
      </c>
    </row>
    <row r="560" spans="1:106" x14ac:dyDescent="0.3">
      <c r="A560" s="2">
        <v>45078</v>
      </c>
      <c r="B560" s="3" t="s">
        <v>176</v>
      </c>
      <c r="C560" s="3">
        <v>121426</v>
      </c>
      <c r="D560" s="3" t="s">
        <v>153</v>
      </c>
      <c r="E560" s="1">
        <v>22262.357142857079</v>
      </c>
      <c r="H560" s="1">
        <v>8201.25</v>
      </c>
      <c r="I560" s="1">
        <v>21896.162695312723</v>
      </c>
      <c r="DB560">
        <v>21896.16269531272</v>
      </c>
    </row>
    <row r="561" spans="1:106" x14ac:dyDescent="0.3">
      <c r="A561" s="2">
        <v>45108</v>
      </c>
      <c r="B561" s="3" t="s">
        <v>176</v>
      </c>
      <c r="C561" s="3">
        <v>121426</v>
      </c>
      <c r="D561" s="3" t="s">
        <v>153</v>
      </c>
      <c r="E561" s="1">
        <v>22687.14285714272</v>
      </c>
      <c r="H561" s="1">
        <v>4881.6406250000564</v>
      </c>
      <c r="I561" s="1">
        <v>35118.457226562627</v>
      </c>
      <c r="DB561">
        <v>35118.457226562627</v>
      </c>
    </row>
    <row r="562" spans="1:106" x14ac:dyDescent="0.3">
      <c r="A562" s="2">
        <v>45139</v>
      </c>
      <c r="B562" s="3" t="s">
        <v>176</v>
      </c>
      <c r="C562" s="3">
        <v>121426</v>
      </c>
      <c r="D562" s="3" t="s">
        <v>153</v>
      </c>
      <c r="E562" s="1">
        <v>43866.549999999923</v>
      </c>
      <c r="H562" s="1">
        <v>4396.6718750000264</v>
      </c>
      <c r="I562" s="1">
        <v>45108.400312499813</v>
      </c>
      <c r="DB562">
        <v>45108.400312499813</v>
      </c>
    </row>
    <row r="563" spans="1:106" x14ac:dyDescent="0.3">
      <c r="A563" s="2">
        <v>45170</v>
      </c>
      <c r="B563" s="3" t="s">
        <v>176</v>
      </c>
      <c r="C563" s="3">
        <v>121426</v>
      </c>
      <c r="D563" s="3" t="s">
        <v>153</v>
      </c>
      <c r="E563" s="1">
        <v>51883.325000000419</v>
      </c>
      <c r="H563" s="1">
        <v>8376.9609374999291</v>
      </c>
      <c r="I563" s="1">
        <v>27645.980058593985</v>
      </c>
      <c r="DB563">
        <v>27645.980058593981</v>
      </c>
    </row>
    <row r="564" spans="1:106" x14ac:dyDescent="0.3">
      <c r="A564" s="2">
        <v>45200</v>
      </c>
      <c r="B564" s="3" t="s">
        <v>176</v>
      </c>
      <c r="C564" s="3">
        <v>121426</v>
      </c>
      <c r="D564" s="3" t="s">
        <v>153</v>
      </c>
      <c r="E564" s="1">
        <v>70783.625000000029</v>
      </c>
      <c r="H564" s="1">
        <v>11863.39843750006</v>
      </c>
      <c r="I564" s="1">
        <v>24451.676074218649</v>
      </c>
      <c r="DB564">
        <v>24451.676074218649</v>
      </c>
    </row>
    <row r="565" spans="1:106" x14ac:dyDescent="0.3">
      <c r="A565" s="2">
        <v>45231</v>
      </c>
      <c r="B565" s="3" t="s">
        <v>176</v>
      </c>
      <c r="C565" s="3">
        <v>121426</v>
      </c>
      <c r="D565" s="3" t="s">
        <v>153</v>
      </c>
      <c r="E565" s="1">
        <v>76702.398486758684</v>
      </c>
      <c r="H565" s="1">
        <v>20983.114458543521</v>
      </c>
      <c r="I565" s="1">
        <v>7379.6066125472244</v>
      </c>
      <c r="DB565">
        <v>7379.6066125472244</v>
      </c>
    </row>
    <row r="566" spans="1:106" x14ac:dyDescent="0.3">
      <c r="A566" s="2">
        <v>45261</v>
      </c>
      <c r="B566" s="3" t="s">
        <v>176</v>
      </c>
      <c r="C566" s="3">
        <v>121426</v>
      </c>
      <c r="D566" s="3" t="s">
        <v>153</v>
      </c>
      <c r="E566" s="1">
        <v>87867.532547723065</v>
      </c>
      <c r="H566" s="1">
        <v>27749.495994042809</v>
      </c>
      <c r="I566" s="1">
        <v>6106.7351977974558</v>
      </c>
      <c r="DB566">
        <v>6106.7351977974558</v>
      </c>
    </row>
    <row r="567" spans="1:106" s="15" customFormat="1" x14ac:dyDescent="0.3">
      <c r="A567" s="38">
        <v>43101</v>
      </c>
      <c r="B567" s="22" t="s">
        <v>177</v>
      </c>
      <c r="C567" s="22">
        <v>86252</v>
      </c>
      <c r="D567" s="22" t="s">
        <v>153</v>
      </c>
      <c r="E567" s="16">
        <v>43042.749999999389</v>
      </c>
      <c r="F567" s="16"/>
      <c r="G567" s="16">
        <v>216.9999999999979</v>
      </c>
      <c r="H567" s="16">
        <v>747.73925781249136</v>
      </c>
      <c r="I567" s="16">
        <v>414.83237304687719</v>
      </c>
      <c r="J567" s="20"/>
      <c r="K567" s="21">
        <f>(SUM(E567:E578)*3.412)/C567</f>
        <v>23.998419247916484</v>
      </c>
      <c r="L567" s="21">
        <f>(SUM(G567:G578)*100)/C567</f>
        <v>0.54853800491582705</v>
      </c>
      <c r="M567" s="21">
        <f>(SUM(H567:H578)*100)/C567</f>
        <v>7.8499253775173905</v>
      </c>
      <c r="N567" s="21">
        <f>(SUM(I567:I578)*12)/C567</f>
        <v>6.5648397698148955</v>
      </c>
      <c r="O567" s="21"/>
      <c r="P567" s="34">
        <f>SUM(K567:N567)</f>
        <v>38.961722400164597</v>
      </c>
      <c r="Q567" s="19" t="s">
        <v>226</v>
      </c>
      <c r="R567" s="20" t="s">
        <v>224</v>
      </c>
      <c r="T567" s="15">
        <v>0.35897849462365</v>
      </c>
    </row>
    <row r="568" spans="1:106" x14ac:dyDescent="0.3">
      <c r="A568" s="2">
        <v>43132</v>
      </c>
      <c r="B568" s="3" t="s">
        <v>177</v>
      </c>
      <c r="C568" s="3">
        <v>86252</v>
      </c>
      <c r="D568" s="3" t="s">
        <v>153</v>
      </c>
      <c r="E568" s="9">
        <v>53340</v>
      </c>
      <c r="F568" s="9"/>
      <c r="G568" s="9">
        <v>152.00000000000179</v>
      </c>
      <c r="H568" s="9">
        <v>1518.3801269531371</v>
      </c>
      <c r="I568" s="9">
        <v>1455.258728027344</v>
      </c>
      <c r="Q568" s="10" t="s">
        <v>225</v>
      </c>
      <c r="T568">
        <v>0.28666666666666363</v>
      </c>
    </row>
    <row r="569" spans="1:106" x14ac:dyDescent="0.3">
      <c r="A569" s="2">
        <v>43160</v>
      </c>
      <c r="B569" s="3" t="s">
        <v>177</v>
      </c>
      <c r="C569" s="3">
        <v>86252</v>
      </c>
      <c r="D569" s="3" t="s">
        <v>153</v>
      </c>
      <c r="E569" s="9">
        <v>54715.874999999192</v>
      </c>
      <c r="F569" s="9"/>
      <c r="G569" s="9">
        <v>80.999999999999417</v>
      </c>
      <c r="H569" s="9">
        <v>1607.810058593765</v>
      </c>
      <c r="I569" s="9">
        <v>1825.929492187528</v>
      </c>
      <c r="Q569" s="10" t="s">
        <v>227</v>
      </c>
      <c r="T569">
        <v>0.13854643337819561</v>
      </c>
    </row>
    <row r="570" spans="1:106" x14ac:dyDescent="0.3">
      <c r="A570" s="2">
        <v>43191</v>
      </c>
      <c r="B570" s="3" t="s">
        <v>177</v>
      </c>
      <c r="C570" s="3">
        <v>86252</v>
      </c>
      <c r="D570" s="3" t="s">
        <v>153</v>
      </c>
      <c r="E570" s="9">
        <v>52914.749999999833</v>
      </c>
      <c r="F570" s="9"/>
      <c r="G570" s="9">
        <v>1.621621621621639</v>
      </c>
      <c r="H570" s="9">
        <v>797.13012695311454</v>
      </c>
      <c r="I570" s="9">
        <v>2341.5617797851519</v>
      </c>
      <c r="Q570" s="10" t="s">
        <v>228</v>
      </c>
      <c r="T570">
        <v>2.1058558558558961E-2</v>
      </c>
    </row>
    <row r="571" spans="1:106" x14ac:dyDescent="0.3">
      <c r="A571" s="2">
        <v>43221</v>
      </c>
      <c r="B571" s="3" t="s">
        <v>177</v>
      </c>
      <c r="C571" s="3">
        <v>86252</v>
      </c>
      <c r="D571" s="3" t="s">
        <v>153</v>
      </c>
      <c r="E571" s="9">
        <v>49629.999999999112</v>
      </c>
      <c r="F571" s="9"/>
      <c r="G571" s="9">
        <v>1.9783783783783719</v>
      </c>
      <c r="H571" s="9">
        <v>374.520263671875</v>
      </c>
      <c r="I571" s="9">
        <v>3097.9322875976668</v>
      </c>
      <c r="T571">
        <v>2.358311537343771E-2</v>
      </c>
    </row>
    <row r="572" spans="1:106" x14ac:dyDescent="0.3">
      <c r="A572" s="2">
        <v>43252</v>
      </c>
      <c r="B572" s="3" t="s">
        <v>177</v>
      </c>
      <c r="C572" s="3">
        <v>86252</v>
      </c>
      <c r="D572" s="3" t="s">
        <v>153</v>
      </c>
      <c r="E572" s="9">
        <v>48220.750000000109</v>
      </c>
      <c r="F572" s="9"/>
      <c r="G572" s="9">
        <v>1.999999999999994</v>
      </c>
      <c r="H572" s="9">
        <v>73.020019531249872</v>
      </c>
      <c r="I572" s="9">
        <v>5839.3279663085596</v>
      </c>
      <c r="T572">
        <v>2.4241666666666779E-2</v>
      </c>
    </row>
    <row r="573" spans="1:106" x14ac:dyDescent="0.3">
      <c r="A573" s="2">
        <v>43282</v>
      </c>
      <c r="B573" s="3" t="s">
        <v>177</v>
      </c>
      <c r="C573" s="3">
        <v>86252</v>
      </c>
      <c r="D573" s="3" t="s">
        <v>153</v>
      </c>
      <c r="E573" s="9">
        <v>47051.000000000648</v>
      </c>
      <c r="F573" s="9"/>
      <c r="G573" s="9">
        <v>2.012903225806451</v>
      </c>
      <c r="H573" s="9">
        <v>50.000000000000512</v>
      </c>
      <c r="I573" s="9">
        <v>9496.2000000001262</v>
      </c>
      <c r="T573">
        <v>2.4242455775233769E-2</v>
      </c>
    </row>
    <row r="574" spans="1:106" x14ac:dyDescent="0.3">
      <c r="A574" s="2">
        <v>43313</v>
      </c>
      <c r="B574" s="3" t="s">
        <v>177</v>
      </c>
      <c r="C574" s="3">
        <v>86252</v>
      </c>
      <c r="D574" s="3" t="s">
        <v>153</v>
      </c>
      <c r="E574" s="9">
        <v>50923.999999999469</v>
      </c>
      <c r="F574" s="9"/>
      <c r="G574" s="9">
        <v>2.8064516129032291</v>
      </c>
      <c r="H574" s="9">
        <v>100.00000000000099</v>
      </c>
      <c r="I574" s="9">
        <v>8163.4000000000706</v>
      </c>
      <c r="T574">
        <v>2.540712799167541E-2</v>
      </c>
    </row>
    <row r="575" spans="1:106" x14ac:dyDescent="0.3">
      <c r="A575" s="2">
        <v>43344</v>
      </c>
      <c r="B575" s="3" t="s">
        <v>177</v>
      </c>
      <c r="C575" s="3">
        <v>86252</v>
      </c>
      <c r="D575" s="3" t="s">
        <v>153</v>
      </c>
      <c r="E575" s="9">
        <v>52806.000000000269</v>
      </c>
      <c r="F575" s="9"/>
      <c r="G575" s="9">
        <v>2.235817575083392</v>
      </c>
      <c r="H575" s="9">
        <v>99.999999999998536</v>
      </c>
      <c r="I575" s="9">
        <v>6330.7999999999556</v>
      </c>
      <c r="T575">
        <v>2.472330367074484E-2</v>
      </c>
    </row>
    <row r="576" spans="1:106" x14ac:dyDescent="0.3">
      <c r="A576" s="2">
        <v>43374</v>
      </c>
      <c r="B576" s="3" t="s">
        <v>177</v>
      </c>
      <c r="C576" s="3">
        <v>86252</v>
      </c>
      <c r="D576" s="3" t="s">
        <v>153</v>
      </c>
      <c r="E576" s="9">
        <v>58148.000000000211</v>
      </c>
      <c r="F576" s="9"/>
      <c r="G576" s="9">
        <v>1.9677144522666909</v>
      </c>
      <c r="H576" s="9">
        <v>169.99999999999949</v>
      </c>
      <c r="I576" s="9">
        <v>6164.2000000000498</v>
      </c>
      <c r="T576">
        <v>2.4365795834412458E-2</v>
      </c>
    </row>
    <row r="577" spans="1:109" x14ac:dyDescent="0.3">
      <c r="A577" s="2">
        <v>43405</v>
      </c>
      <c r="B577" s="3" t="s">
        <v>177</v>
      </c>
      <c r="C577" s="3">
        <v>86252</v>
      </c>
      <c r="D577" s="3" t="s">
        <v>153</v>
      </c>
      <c r="E577" s="9">
        <v>53666.000000000633</v>
      </c>
      <c r="F577" s="9"/>
      <c r="G577" s="9">
        <v>4.3771131339402451</v>
      </c>
      <c r="H577" s="9">
        <v>549.99999999999341</v>
      </c>
      <c r="I577" s="9">
        <v>1749.299999999967</v>
      </c>
      <c r="T577">
        <v>2.878471419373128E-2</v>
      </c>
    </row>
    <row r="578" spans="1:109" x14ac:dyDescent="0.3">
      <c r="A578" s="2">
        <v>43435</v>
      </c>
      <c r="B578" s="3" t="s">
        <v>177</v>
      </c>
      <c r="C578" s="3">
        <v>86252</v>
      </c>
      <c r="D578" s="3" t="s">
        <v>153</v>
      </c>
      <c r="E578" s="9">
        <v>42197.280911868918</v>
      </c>
      <c r="F578" s="9"/>
      <c r="G578" s="9">
        <v>4.1250000000000329</v>
      </c>
      <c r="H578" s="9">
        <v>682.11778310067405</v>
      </c>
      <c r="I578" s="9">
        <v>307.13735855290179</v>
      </c>
      <c r="T578">
        <v>2.8574092741935411E-2</v>
      </c>
    </row>
    <row r="579" spans="1:109" s="15" customFormat="1" x14ac:dyDescent="0.3">
      <c r="A579" s="38">
        <v>44927</v>
      </c>
      <c r="B579" s="22" t="s">
        <v>178</v>
      </c>
      <c r="C579" s="22">
        <v>29240</v>
      </c>
      <c r="D579" s="22" t="s">
        <v>153</v>
      </c>
      <c r="E579" s="21"/>
      <c r="F579" s="21"/>
      <c r="G579" s="21"/>
      <c r="H579" s="21">
        <v>2124.1827182112138</v>
      </c>
      <c r="I579" s="21"/>
      <c r="J579" s="20"/>
      <c r="K579" s="21">
        <f>(SUM(E579:E590)*3.412)/C579</f>
        <v>0</v>
      </c>
      <c r="L579" s="21">
        <f>(SUM(G579:G590)*100)/C579</f>
        <v>0</v>
      </c>
      <c r="M579" s="21">
        <f>(SUM(H579:H590)*100)/C579</f>
        <v>47.419188635445643</v>
      </c>
      <c r="N579" s="21">
        <f>(SUM(I579:I590)*12)/C579</f>
        <v>0</v>
      </c>
      <c r="O579" s="21"/>
      <c r="P579" s="34">
        <f>SUM(K579:N579)</f>
        <v>47.419188635445643</v>
      </c>
      <c r="Q579" s="19" t="s">
        <v>229</v>
      </c>
      <c r="R579" s="20" t="s">
        <v>230</v>
      </c>
      <c r="DE579" s="15">
        <v>210.53515625</v>
      </c>
    </row>
    <row r="580" spans="1:109" x14ac:dyDescent="0.3">
      <c r="A580" s="2">
        <v>44958</v>
      </c>
      <c r="B580" s="3" t="s">
        <v>178</v>
      </c>
      <c r="C580" s="3">
        <v>29240</v>
      </c>
      <c r="D580" s="3" t="s">
        <v>153</v>
      </c>
      <c r="H580" s="1">
        <v>2170.7031249999982</v>
      </c>
      <c r="DE580">
        <v>213.0703125</v>
      </c>
    </row>
    <row r="581" spans="1:109" x14ac:dyDescent="0.3">
      <c r="A581" s="2">
        <v>44986</v>
      </c>
      <c r="B581" s="3" t="s">
        <v>178</v>
      </c>
      <c r="C581" s="3">
        <v>29240</v>
      </c>
      <c r="D581" s="3" t="s">
        <v>153</v>
      </c>
      <c r="H581" s="1">
        <v>2036.0253288953579</v>
      </c>
      <c r="DE581">
        <v>198.5966796875</v>
      </c>
    </row>
    <row r="582" spans="1:109" x14ac:dyDescent="0.3">
      <c r="A582" s="2">
        <v>45017</v>
      </c>
      <c r="B582" s="3" t="s">
        <v>178</v>
      </c>
      <c r="C582" s="3">
        <v>29240</v>
      </c>
      <c r="D582" s="3" t="s">
        <v>153</v>
      </c>
      <c r="H582" s="1">
        <v>1261.035217979613</v>
      </c>
      <c r="DE582">
        <v>127.2646484375</v>
      </c>
    </row>
    <row r="583" spans="1:109" x14ac:dyDescent="0.3">
      <c r="A583" s="2">
        <v>45047</v>
      </c>
      <c r="B583" s="3" t="s">
        <v>178</v>
      </c>
      <c r="C583" s="3">
        <v>29240</v>
      </c>
      <c r="D583" s="3" t="s">
        <v>153</v>
      </c>
      <c r="H583" s="1">
        <v>927.24609375000864</v>
      </c>
      <c r="DE583">
        <v>92.9375</v>
      </c>
    </row>
    <row r="584" spans="1:109" x14ac:dyDescent="0.3">
      <c r="A584" s="2">
        <v>45078</v>
      </c>
      <c r="B584" s="3" t="s">
        <v>178</v>
      </c>
      <c r="C584" s="3">
        <v>29240</v>
      </c>
      <c r="D584" s="3" t="s">
        <v>153</v>
      </c>
      <c r="H584" s="1">
        <v>811.70758928570376</v>
      </c>
      <c r="DE584">
        <v>80.7978515625</v>
      </c>
    </row>
    <row r="585" spans="1:109" x14ac:dyDescent="0.3">
      <c r="A585" s="2">
        <v>45108</v>
      </c>
      <c r="B585" s="3" t="s">
        <v>178</v>
      </c>
      <c r="C585" s="3">
        <v>29240</v>
      </c>
      <c r="D585" s="3" t="s">
        <v>153</v>
      </c>
      <c r="H585" s="1">
        <v>719.70842633929271</v>
      </c>
      <c r="DE585">
        <v>68.51171875</v>
      </c>
    </row>
    <row r="586" spans="1:109" x14ac:dyDescent="0.3">
      <c r="A586" s="2">
        <v>45139</v>
      </c>
      <c r="B586" s="3" t="s">
        <v>178</v>
      </c>
      <c r="C586" s="3">
        <v>29240</v>
      </c>
      <c r="D586" s="3" t="s">
        <v>153</v>
      </c>
      <c r="H586" s="1">
        <v>308.26768663194741</v>
      </c>
      <c r="DE586">
        <v>32.484375</v>
      </c>
    </row>
    <row r="587" spans="1:109" x14ac:dyDescent="0.3">
      <c r="A587" s="2">
        <v>45170</v>
      </c>
      <c r="B587" s="3" t="s">
        <v>178</v>
      </c>
      <c r="C587" s="3">
        <v>29240</v>
      </c>
      <c r="D587" s="3" t="s">
        <v>153</v>
      </c>
      <c r="H587" s="1">
        <v>268.31687644676202</v>
      </c>
      <c r="DE587">
        <v>24.380859375</v>
      </c>
    </row>
    <row r="588" spans="1:109" x14ac:dyDescent="0.3">
      <c r="A588" s="2">
        <v>45200</v>
      </c>
      <c r="B588" s="3" t="s">
        <v>178</v>
      </c>
      <c r="C588" s="3">
        <v>29240</v>
      </c>
      <c r="D588" s="3" t="s">
        <v>153</v>
      </c>
      <c r="H588" s="1">
        <v>543.23965567129426</v>
      </c>
      <c r="DE588">
        <v>49.39453125</v>
      </c>
    </row>
    <row r="589" spans="1:109" x14ac:dyDescent="0.3">
      <c r="A589" s="2">
        <v>45231</v>
      </c>
      <c r="B589" s="3" t="s">
        <v>178</v>
      </c>
      <c r="C589" s="3">
        <v>29240</v>
      </c>
      <c r="D589" s="3" t="s">
        <v>153</v>
      </c>
      <c r="H589" s="1">
        <v>1162.362468474143</v>
      </c>
      <c r="DE589">
        <v>112.1923828125</v>
      </c>
    </row>
    <row r="590" spans="1:109" x14ac:dyDescent="0.3">
      <c r="A590" s="2">
        <v>45261</v>
      </c>
      <c r="B590" s="3" t="s">
        <v>178</v>
      </c>
      <c r="C590" s="3">
        <v>29240</v>
      </c>
      <c r="D590" s="3" t="s">
        <v>153</v>
      </c>
      <c r="H590" s="1">
        <v>1532.5755703189709</v>
      </c>
      <c r="DE590">
        <v>153.98828125</v>
      </c>
    </row>
    <row r="591" spans="1:109" s="15" customFormat="1" x14ac:dyDescent="0.3">
      <c r="A591" s="38">
        <v>43466</v>
      </c>
      <c r="B591" s="22" t="s">
        <v>179</v>
      </c>
      <c r="C591" s="22">
        <v>3135</v>
      </c>
      <c r="D591" s="22" t="s">
        <v>125</v>
      </c>
      <c r="E591" s="21">
        <v>3598.6235000000361</v>
      </c>
      <c r="F591" s="21"/>
      <c r="G591" s="21"/>
      <c r="H591" s="21"/>
      <c r="I591" s="21"/>
      <c r="J591" s="20"/>
      <c r="K591" s="21">
        <f>(SUM(E591:E602)*3.412)/C591</f>
        <v>54.749545698883516</v>
      </c>
      <c r="L591" s="21">
        <f>(SUM(G591:G602)*100)/C591</f>
        <v>0</v>
      </c>
      <c r="M591" s="21">
        <f>(SUM(H591:H602)*100)/C591</f>
        <v>0</v>
      </c>
      <c r="N591" s="21">
        <f>(SUM(I591:I602)*12)/C591</f>
        <v>0</v>
      </c>
      <c r="O591" s="21"/>
      <c r="P591" s="34">
        <f>SUM(K591:N591)</f>
        <v>54.749545698883516</v>
      </c>
      <c r="Q591" s="19" t="s">
        <v>231</v>
      </c>
      <c r="R591" s="20"/>
      <c r="S591" s="15">
        <v>1.1273434979838759</v>
      </c>
    </row>
    <row r="592" spans="1:109" x14ac:dyDescent="0.3">
      <c r="A592" s="2">
        <v>43497</v>
      </c>
      <c r="B592" s="3" t="s">
        <v>179</v>
      </c>
      <c r="C592" s="3">
        <v>3135</v>
      </c>
      <c r="D592" s="3" t="s">
        <v>125</v>
      </c>
      <c r="E592" s="1">
        <v>3539.8026466165802</v>
      </c>
      <c r="S592">
        <v>1.238045493197276</v>
      </c>
    </row>
    <row r="593" spans="1:110" x14ac:dyDescent="0.3">
      <c r="A593" s="2">
        <v>43525</v>
      </c>
      <c r="B593" s="3" t="s">
        <v>179</v>
      </c>
      <c r="C593" s="3">
        <v>3135</v>
      </c>
      <c r="D593" s="3" t="s">
        <v>125</v>
      </c>
      <c r="E593" s="1">
        <v>3992.5254818865792</v>
      </c>
      <c r="S593">
        <v>1.265584415584408</v>
      </c>
    </row>
    <row r="594" spans="1:110" x14ac:dyDescent="0.3">
      <c r="A594" s="2">
        <v>43556</v>
      </c>
      <c r="B594" s="3" t="s">
        <v>179</v>
      </c>
      <c r="C594" s="3">
        <v>3135</v>
      </c>
      <c r="D594" s="3" t="s">
        <v>125</v>
      </c>
      <c r="E594" s="1">
        <v>3691.6478714968998</v>
      </c>
      <c r="S594">
        <v>1.250601214526212</v>
      </c>
    </row>
    <row r="595" spans="1:110" x14ac:dyDescent="0.3">
      <c r="A595" s="2">
        <v>43586</v>
      </c>
      <c r="B595" s="3" t="s">
        <v>179</v>
      </c>
      <c r="C595" s="3">
        <v>3135</v>
      </c>
      <c r="D595" s="3" t="s">
        <v>125</v>
      </c>
      <c r="E595" s="1">
        <v>3528.6717499999459</v>
      </c>
      <c r="S595">
        <v>1.195209957437291</v>
      </c>
    </row>
    <row r="596" spans="1:110" x14ac:dyDescent="0.3">
      <c r="A596" s="2">
        <v>43617</v>
      </c>
      <c r="B596" s="3" t="s">
        <v>179</v>
      </c>
      <c r="C596" s="3">
        <v>3135</v>
      </c>
      <c r="D596" s="3" t="s">
        <v>125</v>
      </c>
      <c r="E596" s="1">
        <v>3535.9462500000332</v>
      </c>
      <c r="S596">
        <v>1.2526960069444431</v>
      </c>
    </row>
    <row r="597" spans="1:110" x14ac:dyDescent="0.3">
      <c r="A597" s="2">
        <v>43647</v>
      </c>
      <c r="B597" s="3" t="s">
        <v>179</v>
      </c>
      <c r="C597" s="3">
        <v>3135</v>
      </c>
      <c r="D597" s="3" t="s">
        <v>125</v>
      </c>
      <c r="E597" s="1">
        <v>4422.4286666666258</v>
      </c>
      <c r="S597">
        <v>1.5192177419354971</v>
      </c>
    </row>
    <row r="598" spans="1:110" x14ac:dyDescent="0.3">
      <c r="A598" s="2">
        <v>43678</v>
      </c>
      <c r="B598" s="3" t="s">
        <v>179</v>
      </c>
      <c r="C598" s="3">
        <v>3135</v>
      </c>
      <c r="D598" s="3" t="s">
        <v>125</v>
      </c>
      <c r="E598" s="1">
        <v>5257.2763333332787</v>
      </c>
      <c r="S598">
        <v>1.790179267473119</v>
      </c>
    </row>
    <row r="599" spans="1:110" x14ac:dyDescent="0.3">
      <c r="A599" s="2">
        <v>43709</v>
      </c>
      <c r="B599" s="3" t="s">
        <v>179</v>
      </c>
      <c r="C599" s="3">
        <v>3135</v>
      </c>
      <c r="D599" s="3" t="s">
        <v>125</v>
      </c>
      <c r="E599" s="1">
        <v>5656.3381034482672</v>
      </c>
      <c r="S599">
        <v>1.9926134159482509</v>
      </c>
    </row>
    <row r="600" spans="1:110" x14ac:dyDescent="0.3">
      <c r="A600" s="2">
        <v>43739</v>
      </c>
      <c r="B600" s="3" t="s">
        <v>179</v>
      </c>
      <c r="C600" s="3">
        <v>3135</v>
      </c>
      <c r="D600" s="3" t="s">
        <v>125</v>
      </c>
      <c r="E600" s="1">
        <v>5177.9970830653901</v>
      </c>
      <c r="S600">
        <v>1.762171805752615</v>
      </c>
    </row>
    <row r="601" spans="1:110" x14ac:dyDescent="0.3">
      <c r="A601" s="2">
        <v>43770</v>
      </c>
      <c r="B601" s="3" t="s">
        <v>179</v>
      </c>
      <c r="C601" s="3">
        <v>3135</v>
      </c>
      <c r="D601" s="3" t="s">
        <v>125</v>
      </c>
      <c r="E601" s="1">
        <v>4257.6198134863616</v>
      </c>
      <c r="S601">
        <v>1.412455814198736</v>
      </c>
    </row>
    <row r="602" spans="1:110" x14ac:dyDescent="0.3">
      <c r="A602" s="2">
        <v>43800</v>
      </c>
      <c r="B602" s="3" t="s">
        <v>179</v>
      </c>
      <c r="C602" s="3">
        <v>3135</v>
      </c>
      <c r="D602" s="3" t="s">
        <v>125</v>
      </c>
      <c r="E602" s="1">
        <v>3645.8779999999551</v>
      </c>
      <c r="S602">
        <v>1.1615042562724109</v>
      </c>
    </row>
    <row r="603" spans="1:110" s="15" customFormat="1" x14ac:dyDescent="0.3">
      <c r="A603" s="38">
        <v>44927</v>
      </c>
      <c r="B603" s="22" t="s">
        <v>180</v>
      </c>
      <c r="C603" s="22">
        <v>99853</v>
      </c>
      <c r="D603" s="22" t="s">
        <v>123</v>
      </c>
      <c r="E603" s="21">
        <v>92265.63636363743</v>
      </c>
      <c r="F603" s="21"/>
      <c r="G603" s="21">
        <v>2307.4571746384772</v>
      </c>
      <c r="H603" s="21"/>
      <c r="I603" s="21"/>
      <c r="J603" s="20"/>
      <c r="K603" s="21">
        <f>(SUM(E603:E614)*3.412)/C603</f>
        <v>46.805604248904125</v>
      </c>
      <c r="L603" s="21">
        <f>(SUM(G603:G614)*100)/C603</f>
        <v>17.304508595377154</v>
      </c>
      <c r="M603" s="21">
        <f>(SUM(H603:H614)*100)/C603</f>
        <v>0</v>
      </c>
      <c r="N603" s="21">
        <f>(SUM(I603:I614)*12)/C603</f>
        <v>0</v>
      </c>
      <c r="O603" s="21"/>
      <c r="P603" s="34">
        <f>SUM(K603:N603)</f>
        <v>64.110112844281275</v>
      </c>
      <c r="Q603" s="19" t="s">
        <v>233</v>
      </c>
      <c r="R603" s="20" t="s">
        <v>232</v>
      </c>
      <c r="T603" s="15">
        <v>7.5795449992226134</v>
      </c>
      <c r="DF603" s="15">
        <v>29968.939393938981</v>
      </c>
    </row>
    <row r="604" spans="1:110" x14ac:dyDescent="0.3">
      <c r="A604" s="2">
        <v>44958</v>
      </c>
      <c r="B604" s="3" t="s">
        <v>180</v>
      </c>
      <c r="C604" s="3">
        <v>99853</v>
      </c>
      <c r="D604" s="3" t="s">
        <v>123</v>
      </c>
      <c r="E604" s="1">
        <v>90699</v>
      </c>
      <c r="G604" s="1">
        <v>2079.6054489052422</v>
      </c>
      <c r="Q604" s="10" t="s">
        <v>234</v>
      </c>
      <c r="T604">
        <v>7.3111348072588358</v>
      </c>
      <c r="DF604">
        <v>26565.999999999771</v>
      </c>
    </row>
    <row r="605" spans="1:110" x14ac:dyDescent="0.3">
      <c r="A605" s="2">
        <v>44986</v>
      </c>
      <c r="B605" s="3" t="s">
        <v>180</v>
      </c>
      <c r="C605" s="3">
        <v>99853</v>
      </c>
      <c r="D605" s="3" t="s">
        <v>123</v>
      </c>
      <c r="E605" s="1">
        <v>99974.829962072516</v>
      </c>
      <c r="G605" s="1">
        <v>2749.1833441981698</v>
      </c>
      <c r="T605">
        <v>6.7165874542228536</v>
      </c>
      <c r="DF605">
        <v>28881.659292035751</v>
      </c>
    </row>
    <row r="606" spans="1:110" x14ac:dyDescent="0.3">
      <c r="A606" s="2">
        <v>45017</v>
      </c>
      <c r="B606" s="3" t="s">
        <v>180</v>
      </c>
      <c r="C606" s="3">
        <v>99853</v>
      </c>
      <c r="D606" s="3" t="s">
        <v>123</v>
      </c>
      <c r="E606" s="1">
        <v>108658.67003792569</v>
      </c>
      <c r="G606" s="1">
        <v>2273.4027777778128</v>
      </c>
      <c r="T606">
        <v>4.5299709362139948</v>
      </c>
      <c r="DF606">
        <v>27422.340707964919</v>
      </c>
    </row>
    <row r="607" spans="1:110" x14ac:dyDescent="0.3">
      <c r="A607" s="2">
        <v>45047</v>
      </c>
      <c r="B607" s="3" t="s">
        <v>180</v>
      </c>
      <c r="C607" s="3">
        <v>99853</v>
      </c>
      <c r="D607" s="3" t="s">
        <v>123</v>
      </c>
      <c r="E607" s="1">
        <v>126200.0000000008</v>
      </c>
      <c r="G607" s="1">
        <v>1283.57706093192</v>
      </c>
      <c r="T607">
        <v>2.0490475938130208</v>
      </c>
      <c r="DF607">
        <v>29196.000000000138</v>
      </c>
    </row>
    <row r="608" spans="1:110" x14ac:dyDescent="0.3">
      <c r="A608" s="2">
        <v>45078</v>
      </c>
      <c r="B608" s="3" t="s">
        <v>180</v>
      </c>
      <c r="C608" s="3">
        <v>99853</v>
      </c>
      <c r="D608" s="3" t="s">
        <v>123</v>
      </c>
      <c r="E608" s="1">
        <v>119129.085365853</v>
      </c>
      <c r="G608" s="1">
        <v>974.23891129032177</v>
      </c>
      <c r="T608">
        <v>1.65714559531808</v>
      </c>
      <c r="DF608">
        <v>26113.170731707141</v>
      </c>
    </row>
    <row r="609" spans="1:112" x14ac:dyDescent="0.3">
      <c r="A609" s="2">
        <v>45108</v>
      </c>
      <c r="B609" s="3" t="s">
        <v>180</v>
      </c>
      <c r="C609" s="3">
        <v>99853</v>
      </c>
      <c r="D609" s="3" t="s">
        <v>123</v>
      </c>
      <c r="E609" s="1">
        <v>141154.9146341451</v>
      </c>
      <c r="G609" s="1">
        <v>1033.4062500000109</v>
      </c>
      <c r="T609">
        <v>1.774069640456978</v>
      </c>
      <c r="DF609">
        <v>27376.079268292691</v>
      </c>
    </row>
    <row r="610" spans="1:112" x14ac:dyDescent="0.3">
      <c r="A610" s="2">
        <v>45139</v>
      </c>
      <c r="B610" s="3" t="s">
        <v>180</v>
      </c>
      <c r="C610" s="3">
        <v>99853</v>
      </c>
      <c r="D610" s="3" t="s">
        <v>123</v>
      </c>
      <c r="E610" s="1">
        <v>146382.8857142858</v>
      </c>
      <c r="G610" s="1">
        <v>990.62068965518233</v>
      </c>
      <c r="T610">
        <v>1.7919773996570469</v>
      </c>
      <c r="DF610">
        <v>27874.53571428527</v>
      </c>
    </row>
    <row r="611" spans="1:112" x14ac:dyDescent="0.3">
      <c r="A611" s="2">
        <v>45170</v>
      </c>
      <c r="B611" s="3" t="s">
        <v>180</v>
      </c>
      <c r="C611" s="3">
        <v>99853</v>
      </c>
      <c r="D611" s="3" t="s">
        <v>123</v>
      </c>
      <c r="E611" s="1">
        <v>122037.8179894166</v>
      </c>
      <c r="G611" s="1">
        <v>470.66963292546302</v>
      </c>
      <c r="T611">
        <v>0.97336744530958075</v>
      </c>
      <c r="DF611">
        <v>27802.9550264553</v>
      </c>
    </row>
    <row r="612" spans="1:112" x14ac:dyDescent="0.3">
      <c r="A612" s="2">
        <v>45200</v>
      </c>
      <c r="B612" s="3" t="s">
        <v>180</v>
      </c>
      <c r="C612" s="3">
        <v>99853</v>
      </c>
      <c r="D612" s="3" t="s">
        <v>123</v>
      </c>
      <c r="E612" s="1">
        <v>121262.7962962957</v>
      </c>
      <c r="G612" s="1">
        <v>338.82732447817642</v>
      </c>
      <c r="T612">
        <v>0.82228421718171174</v>
      </c>
      <c r="DF612">
        <v>29214.259259259121</v>
      </c>
    </row>
    <row r="613" spans="1:112" x14ac:dyDescent="0.3">
      <c r="A613" s="2">
        <v>45231</v>
      </c>
      <c r="B613" s="3" t="s">
        <v>180</v>
      </c>
      <c r="C613" s="3">
        <v>99853</v>
      </c>
      <c r="D613" s="3" t="s">
        <v>123</v>
      </c>
      <c r="E613" s="1">
        <v>103366.66960908061</v>
      </c>
      <c r="G613" s="1">
        <v>1159.817836812156</v>
      </c>
      <c r="T613">
        <v>3.0994857865384411</v>
      </c>
      <c r="DF613">
        <v>28890.2336065571</v>
      </c>
    </row>
    <row r="614" spans="1:112" x14ac:dyDescent="0.3">
      <c r="A614" s="2">
        <v>45261</v>
      </c>
      <c r="B614" s="3" t="s">
        <v>180</v>
      </c>
      <c r="C614" s="3">
        <v>99853</v>
      </c>
      <c r="D614" s="3" t="s">
        <v>123</v>
      </c>
      <c r="E614" s="1">
        <v>98644.951080576109</v>
      </c>
      <c r="G614" s="1">
        <v>1618.2645161290191</v>
      </c>
      <c r="T614">
        <v>4.4593791478784164</v>
      </c>
      <c r="DF614">
        <v>29973.809496890612</v>
      </c>
    </row>
    <row r="615" spans="1:112" s="15" customFormat="1" x14ac:dyDescent="0.3">
      <c r="A615" s="38">
        <v>44927</v>
      </c>
      <c r="B615" s="22" t="s">
        <v>181</v>
      </c>
      <c r="C615" s="22">
        <v>52700</v>
      </c>
      <c r="D615" s="22" t="s">
        <v>123</v>
      </c>
      <c r="E615" s="21">
        <v>16215.29545454547</v>
      </c>
      <c r="F615" s="21"/>
      <c r="G615" s="21"/>
      <c r="H615" s="21">
        <v>2273.7742660984482</v>
      </c>
      <c r="I615" s="21">
        <v>1904.5963734019854</v>
      </c>
      <c r="J615" s="20"/>
      <c r="K615" s="21">
        <f>(SUM(E615:E626)*3.412)/C615</f>
        <v>11.086122381864241</v>
      </c>
      <c r="L615" s="21">
        <f>(SUM(G615:G626)*100)/C615</f>
        <v>0</v>
      </c>
      <c r="M615" s="21">
        <f>(SUM(H615:H626)*100)/C615</f>
        <v>27.686710933456911</v>
      </c>
      <c r="N615" s="21">
        <f>(SUM(I615:I626)*12)/C615</f>
        <v>8.9511196801685973</v>
      </c>
      <c r="O615" s="21"/>
      <c r="P615" s="34">
        <f>SUM(K615:N615)</f>
        <v>47.723952995489746</v>
      </c>
      <c r="Q615" s="19" t="s">
        <v>235</v>
      </c>
      <c r="R615" s="20"/>
      <c r="DH615" s="15">
        <v>1904.5963734019849</v>
      </c>
    </row>
    <row r="616" spans="1:112" x14ac:dyDescent="0.3">
      <c r="A616" s="2">
        <v>44958</v>
      </c>
      <c r="B616" s="3" t="s">
        <v>181</v>
      </c>
      <c r="C616" s="3">
        <v>52700</v>
      </c>
      <c r="D616" s="3" t="s">
        <v>123</v>
      </c>
      <c r="E616" s="1">
        <v>14668.000000000149</v>
      </c>
      <c r="H616" s="1">
        <v>2212.6562500000109</v>
      </c>
      <c r="I616" s="1">
        <v>1514.4899902343655</v>
      </c>
      <c r="Q616" s="10" t="s">
        <v>236</v>
      </c>
      <c r="DH616">
        <v>1514.489990234365</v>
      </c>
    </row>
    <row r="617" spans="1:112" x14ac:dyDescent="0.3">
      <c r="A617" s="2">
        <v>44986</v>
      </c>
      <c r="B617" s="3" t="s">
        <v>181</v>
      </c>
      <c r="C617" s="3">
        <v>52700</v>
      </c>
      <c r="D617" s="3" t="s">
        <v>123</v>
      </c>
      <c r="E617" s="1">
        <v>14941.955436157001</v>
      </c>
      <c r="H617" s="1">
        <v>1924.031919149026</v>
      </c>
      <c r="I617" s="1">
        <v>2649.9043759506339</v>
      </c>
      <c r="Q617" s="10" t="s">
        <v>102</v>
      </c>
      <c r="DH617">
        <v>2649.9043759506339</v>
      </c>
    </row>
    <row r="618" spans="1:112" x14ac:dyDescent="0.3">
      <c r="A618" s="2">
        <v>45017</v>
      </c>
      <c r="B618" s="3" t="s">
        <v>181</v>
      </c>
      <c r="C618" s="3">
        <v>52700</v>
      </c>
      <c r="D618" s="3" t="s">
        <v>123</v>
      </c>
      <c r="E618" s="1">
        <v>12311.169563843039</v>
      </c>
      <c r="H618" s="1">
        <v>1179.386049601002</v>
      </c>
      <c r="I618" s="1">
        <v>3497.293963893082</v>
      </c>
      <c r="DH618">
        <v>3497.293963893082</v>
      </c>
    </row>
    <row r="619" spans="1:112" x14ac:dyDescent="0.3">
      <c r="A619" s="2">
        <v>45047</v>
      </c>
      <c r="B619" s="3" t="s">
        <v>181</v>
      </c>
      <c r="C619" s="3">
        <v>52700</v>
      </c>
      <c r="D619" s="3" t="s">
        <v>123</v>
      </c>
      <c r="E619" s="1">
        <v>13012.12500000016</v>
      </c>
      <c r="H619" s="1">
        <v>878.73046874998363</v>
      </c>
      <c r="I619" s="1">
        <v>4064.7796875000431</v>
      </c>
      <c r="DH619">
        <v>4064.7796875000431</v>
      </c>
    </row>
    <row r="620" spans="1:112" x14ac:dyDescent="0.3">
      <c r="A620" s="2">
        <v>45078</v>
      </c>
      <c r="B620" s="3" t="s">
        <v>181</v>
      </c>
      <c r="C620" s="3">
        <v>52700</v>
      </c>
      <c r="D620" s="3" t="s">
        <v>123</v>
      </c>
      <c r="E620" s="1">
        <v>10883.59756097573</v>
      </c>
      <c r="H620" s="1">
        <v>550.25962271342132</v>
      </c>
      <c r="I620" s="1">
        <v>3816.7725085747279</v>
      </c>
      <c r="DH620">
        <v>3816.7725085747279</v>
      </c>
    </row>
    <row r="621" spans="1:112" x14ac:dyDescent="0.3">
      <c r="A621" s="2">
        <v>45108</v>
      </c>
      <c r="B621" s="3" t="s">
        <v>181</v>
      </c>
      <c r="C621" s="3">
        <v>52700</v>
      </c>
      <c r="D621" s="3" t="s">
        <v>123</v>
      </c>
      <c r="E621" s="1">
        <v>11242.55720092911</v>
      </c>
      <c r="H621" s="1">
        <v>559.39765035205858</v>
      </c>
      <c r="I621" s="1">
        <v>4324.0089692898036</v>
      </c>
      <c r="DH621">
        <v>4324.0089692898036</v>
      </c>
    </row>
    <row r="622" spans="1:112" x14ac:dyDescent="0.3">
      <c r="A622" s="2">
        <v>45139</v>
      </c>
      <c r="B622" s="3" t="s">
        <v>181</v>
      </c>
      <c r="C622" s="3">
        <v>52700</v>
      </c>
      <c r="D622" s="3" t="s">
        <v>123</v>
      </c>
      <c r="E622" s="1">
        <v>13090.97759103657</v>
      </c>
      <c r="H622" s="1">
        <v>432.27746958157582</v>
      </c>
      <c r="I622" s="1">
        <v>4472.749235025989</v>
      </c>
      <c r="DH622">
        <v>4472.749235025989</v>
      </c>
    </row>
    <row r="623" spans="1:112" x14ac:dyDescent="0.3">
      <c r="A623" s="2">
        <v>45170</v>
      </c>
      <c r="B623" s="3" t="s">
        <v>181</v>
      </c>
      <c r="C623" s="3">
        <v>52700</v>
      </c>
      <c r="D623" s="3" t="s">
        <v>123</v>
      </c>
      <c r="E623" s="1">
        <v>14713.48371848729</v>
      </c>
      <c r="H623" s="1">
        <v>513.47192587972165</v>
      </c>
      <c r="I623" s="1">
        <v>3924.0323486328602</v>
      </c>
      <c r="DH623">
        <v>3924.0323486328598</v>
      </c>
    </row>
    <row r="624" spans="1:112" x14ac:dyDescent="0.3">
      <c r="A624" s="2">
        <v>45200</v>
      </c>
      <c r="B624" s="3" t="s">
        <v>181</v>
      </c>
      <c r="C624" s="3">
        <v>52700</v>
      </c>
      <c r="D624" s="3" t="s">
        <v>123</v>
      </c>
      <c r="E624" s="1">
        <v>16622.75892857154</v>
      </c>
      <c r="H624" s="1">
        <v>753.38239397320649</v>
      </c>
      <c r="I624" s="1">
        <v>3918.4439697265511</v>
      </c>
      <c r="DH624">
        <v>3918.4439697265511</v>
      </c>
    </row>
    <row r="625" spans="1:124" x14ac:dyDescent="0.3">
      <c r="A625" s="2">
        <v>45231</v>
      </c>
      <c r="B625" s="3" t="s">
        <v>181</v>
      </c>
      <c r="C625" s="3">
        <v>52700</v>
      </c>
      <c r="D625" s="3" t="s">
        <v>123</v>
      </c>
      <c r="E625" s="1">
        <v>16182.04035308964</v>
      </c>
      <c r="H625" s="1">
        <v>1357.0958287358069</v>
      </c>
      <c r="I625" s="1">
        <v>2947.9670498206847</v>
      </c>
      <c r="DH625">
        <v>2947.9670498206851</v>
      </c>
    </row>
    <row r="626" spans="1:124" ht="15" customHeight="1" x14ac:dyDescent="0.3">
      <c r="A626" s="2">
        <v>45261</v>
      </c>
      <c r="B626" s="3" t="s">
        <v>181</v>
      </c>
      <c r="C626" s="3">
        <v>52700</v>
      </c>
      <c r="D626" s="3" t="s">
        <v>123</v>
      </c>
      <c r="E626" s="1">
        <v>17346.592980244019</v>
      </c>
      <c r="H626" s="1">
        <v>1956.432817097535</v>
      </c>
      <c r="I626" s="1">
        <v>2275.2954566896997</v>
      </c>
      <c r="DH626">
        <v>2275.2954566897001</v>
      </c>
    </row>
    <row r="627" spans="1:124" s="15" customFormat="1" x14ac:dyDescent="0.3">
      <c r="A627" s="38">
        <v>44927</v>
      </c>
      <c r="B627" s="22" t="s">
        <v>182</v>
      </c>
      <c r="C627" s="22">
        <v>101932</v>
      </c>
      <c r="D627" s="22" t="s">
        <v>127</v>
      </c>
      <c r="E627" s="21">
        <v>27602.258620689521</v>
      </c>
      <c r="F627" s="21"/>
      <c r="G627" s="21"/>
      <c r="H627" s="16">
        <v>4.8864948947642383E-3</v>
      </c>
      <c r="I627" s="21">
        <v>523.90235825047728</v>
      </c>
      <c r="J627" s="20"/>
      <c r="K627" s="21">
        <f>(SUM(E627:E638)*3.412)/C627</f>
        <v>8.4357882543737759</v>
      </c>
      <c r="L627" s="21">
        <f>(SUM(G627:G638)*100)/C627</f>
        <v>0</v>
      </c>
      <c r="M627" s="21">
        <f>(SUM(H627:H638)*100)/C627</f>
        <v>2.879651524340874E-5</v>
      </c>
      <c r="N627" s="21">
        <f>(SUM(I627:I638)*12)/C627</f>
        <v>6.4619966210343422</v>
      </c>
      <c r="O627" s="21"/>
      <c r="P627" s="34">
        <f>SUM(K627:N627)</f>
        <v>14.897813671923362</v>
      </c>
      <c r="Q627" s="19" t="s">
        <v>239</v>
      </c>
      <c r="R627" s="20" t="s">
        <v>240</v>
      </c>
      <c r="DL627" s="15">
        <v>0.48864948947642378</v>
      </c>
      <c r="DN627" s="15">
        <v>36.542567397608963</v>
      </c>
      <c r="DO627" s="15">
        <v>5.89990234375</v>
      </c>
    </row>
    <row r="628" spans="1:124" x14ac:dyDescent="0.3">
      <c r="A628" s="2">
        <v>44958</v>
      </c>
      <c r="B628" s="3" t="s">
        <v>182</v>
      </c>
      <c r="C628" s="3">
        <v>101932</v>
      </c>
      <c r="D628" s="3" t="s">
        <v>127</v>
      </c>
      <c r="E628" s="1">
        <v>26236.0000000002</v>
      </c>
      <c r="H628" s="9">
        <v>5.3778366815475957E-3</v>
      </c>
      <c r="I628" s="1">
        <v>759.38938232421719</v>
      </c>
      <c r="Q628" s="10" t="s">
        <v>106</v>
      </c>
      <c r="R628" s="23" t="s">
        <v>241</v>
      </c>
      <c r="DL628">
        <v>0.53778366815475953</v>
      </c>
      <c r="DN628">
        <v>123.16401855468921</v>
      </c>
      <c r="DO628">
        <v>6.475830078125</v>
      </c>
    </row>
    <row r="629" spans="1:124" x14ac:dyDescent="0.3">
      <c r="A629" s="2">
        <v>44986</v>
      </c>
      <c r="B629" s="3" t="s">
        <v>182</v>
      </c>
      <c r="C629" s="3">
        <v>101932</v>
      </c>
      <c r="D629" s="3" t="s">
        <v>127</v>
      </c>
      <c r="E629" s="1">
        <v>23054.13463969684</v>
      </c>
      <c r="H629" s="9">
        <v>4.1872432048040724E-3</v>
      </c>
      <c r="I629" s="1">
        <v>254.69401998064325</v>
      </c>
      <c r="DL629">
        <v>0.41872432048040731</v>
      </c>
      <c r="DN629">
        <v>207.9708147846153</v>
      </c>
    </row>
    <row r="630" spans="1:124" x14ac:dyDescent="0.3">
      <c r="A630" s="2">
        <v>45017</v>
      </c>
      <c r="B630" s="3" t="s">
        <v>182</v>
      </c>
      <c r="C630" s="3">
        <v>101932</v>
      </c>
      <c r="D630" s="3" t="s">
        <v>127</v>
      </c>
      <c r="E630" s="1">
        <v>16784.365360303262</v>
      </c>
      <c r="H630" s="9">
        <v>2.3230406060147446E-3</v>
      </c>
      <c r="I630" s="1">
        <v>2504.3508872459142</v>
      </c>
      <c r="Q630" s="10" t="s">
        <v>237</v>
      </c>
      <c r="R630" s="23" t="s">
        <v>238</v>
      </c>
      <c r="DL630">
        <v>0.23230406060147449</v>
      </c>
      <c r="DN630">
        <v>1590.0326202739629</v>
      </c>
      <c r="DO630">
        <v>14.107421875</v>
      </c>
    </row>
    <row r="631" spans="1:124" x14ac:dyDescent="0.3">
      <c r="A631" s="2">
        <v>45047</v>
      </c>
      <c r="B631" s="3" t="s">
        <v>182</v>
      </c>
      <c r="C631" s="3">
        <v>101932</v>
      </c>
      <c r="D631" s="3" t="s">
        <v>127</v>
      </c>
      <c r="E631" s="1">
        <v>16474.499999999869</v>
      </c>
      <c r="H631" s="9">
        <v>1.6025075604838524E-3</v>
      </c>
      <c r="I631" s="1">
        <v>2958.2963769531152</v>
      </c>
      <c r="Q631" s="10" t="s">
        <v>108</v>
      </c>
      <c r="DL631">
        <v>0.16025075604838521</v>
      </c>
      <c r="DN631">
        <v>1994.752563476545</v>
      </c>
      <c r="DO631">
        <v>8.0615234375</v>
      </c>
    </row>
    <row r="632" spans="1:124" x14ac:dyDescent="0.3">
      <c r="A632" s="2">
        <v>45078</v>
      </c>
      <c r="B632" s="3" t="s">
        <v>182</v>
      </c>
      <c r="C632" s="3">
        <v>101932</v>
      </c>
      <c r="D632" s="3" t="s">
        <v>127</v>
      </c>
      <c r="E632" s="1">
        <v>11786.571428571469</v>
      </c>
      <c r="H632" s="9">
        <v>1.0865187872023797E-3</v>
      </c>
      <c r="I632" s="1">
        <v>5871.6261746651544</v>
      </c>
      <c r="DL632">
        <v>0.108651878720238</v>
      </c>
      <c r="DN632">
        <v>3498.151083984344</v>
      </c>
      <c r="DO632">
        <v>23.67724609375</v>
      </c>
    </row>
    <row r="633" spans="1:124" x14ac:dyDescent="0.3">
      <c r="A633" s="2">
        <v>45108</v>
      </c>
      <c r="B633" s="3" t="s">
        <v>182</v>
      </c>
      <c r="C633" s="3">
        <v>101932</v>
      </c>
      <c r="D633" s="3" t="s">
        <v>127</v>
      </c>
      <c r="E633" s="1">
        <v>10331.928571428551</v>
      </c>
      <c r="H633" s="9">
        <v>5.3680935579877756E-4</v>
      </c>
      <c r="I633" s="1">
        <v>11047.618903459721</v>
      </c>
      <c r="DL633">
        <v>5.3680935579877749E-2</v>
      </c>
      <c r="DN633">
        <v>5508.1618261718359</v>
      </c>
      <c r="DO633">
        <v>64.1298828125</v>
      </c>
    </row>
    <row r="634" spans="1:124" x14ac:dyDescent="0.3">
      <c r="A634" s="2">
        <v>45139</v>
      </c>
      <c r="B634" s="3" t="s">
        <v>182</v>
      </c>
      <c r="C634" s="3">
        <v>101932</v>
      </c>
      <c r="D634" s="3" t="s">
        <v>127</v>
      </c>
      <c r="E634" s="1">
        <v>13404.84285714301</v>
      </c>
      <c r="H634" s="9">
        <v>4.274553571428546E-4</v>
      </c>
      <c r="I634" s="1">
        <v>11687.476004394728</v>
      </c>
      <c r="DL634">
        <v>4.2745535714285458E-2</v>
      </c>
      <c r="DN634">
        <v>4254.1307719727201</v>
      </c>
      <c r="DO634">
        <v>73.41748046875</v>
      </c>
    </row>
    <row r="635" spans="1:124" x14ac:dyDescent="0.3">
      <c r="A635" s="2">
        <v>45170</v>
      </c>
      <c r="B635" s="3" t="s">
        <v>182</v>
      </c>
      <c r="C635" s="3">
        <v>101932</v>
      </c>
      <c r="D635" s="3" t="s">
        <v>127</v>
      </c>
      <c r="E635" s="1">
        <v>21855.050000000181</v>
      </c>
      <c r="H635" s="9">
        <v>7.8687375992062198E-4</v>
      </c>
      <c r="I635" s="1">
        <v>10794.61330608248</v>
      </c>
      <c r="DL635">
        <v>7.86873759920622E-2</v>
      </c>
      <c r="DN635">
        <v>4088.4281136997779</v>
      </c>
      <c r="DO635">
        <v>82.2705078125</v>
      </c>
    </row>
    <row r="636" spans="1:124" x14ac:dyDescent="0.3">
      <c r="A636" s="2">
        <v>45200</v>
      </c>
      <c r="B636" s="3" t="s">
        <v>182</v>
      </c>
      <c r="C636" s="3">
        <v>101932</v>
      </c>
      <c r="D636" s="3" t="s">
        <v>127</v>
      </c>
      <c r="E636" s="1">
        <v>27285.10714285729</v>
      </c>
      <c r="H636" s="9">
        <v>1.603550127208162E-3</v>
      </c>
      <c r="I636" s="1">
        <v>7115.8274741909518</v>
      </c>
      <c r="DL636">
        <v>0.1603550127208162</v>
      </c>
      <c r="DN636">
        <v>3185.320638253384</v>
      </c>
      <c r="DO636">
        <v>39.7998046875</v>
      </c>
    </row>
    <row r="637" spans="1:124" x14ac:dyDescent="0.3">
      <c r="A637" s="2">
        <v>45231</v>
      </c>
      <c r="B637" s="3" t="s">
        <v>182</v>
      </c>
      <c r="C637" s="3">
        <v>101932</v>
      </c>
      <c r="D637" s="3" t="s">
        <v>127</v>
      </c>
      <c r="E637" s="1">
        <v>28718.621059268389</v>
      </c>
      <c r="H637" s="9">
        <v>3.1885935529634645E-3</v>
      </c>
      <c r="I637" s="1">
        <v>1189.7701012583195</v>
      </c>
      <c r="DL637">
        <v>0.31885935529634651</v>
      </c>
      <c r="DN637">
        <v>732.85487720926949</v>
      </c>
      <c r="DO637">
        <v>11.43701171875</v>
      </c>
    </row>
    <row r="638" spans="1:124" x14ac:dyDescent="0.3">
      <c r="A638" s="2">
        <v>45261</v>
      </c>
      <c r="B638" s="3" t="s">
        <v>182</v>
      </c>
      <c r="C638" s="3">
        <v>101932</v>
      </c>
      <c r="D638" s="3" t="s">
        <v>127</v>
      </c>
      <c r="E638" s="1">
        <v>28482.085837282819</v>
      </c>
      <c r="H638" s="9">
        <v>3.3459400300606284E-3</v>
      </c>
      <c r="I638" s="1">
        <v>182.78830913364658</v>
      </c>
      <c r="DL638">
        <v>0.33459400300606279</v>
      </c>
      <c r="DN638">
        <v>137.16015915926141</v>
      </c>
    </row>
    <row r="639" spans="1:124" s="15" customFormat="1" x14ac:dyDescent="0.3">
      <c r="A639" s="38">
        <v>44927</v>
      </c>
      <c r="B639" s="22" t="s">
        <v>340</v>
      </c>
      <c r="C639" s="22">
        <v>39332</v>
      </c>
      <c r="D639" s="22" t="s">
        <v>134</v>
      </c>
      <c r="E639" s="21">
        <v>14832.881543333178</v>
      </c>
      <c r="F639" s="21"/>
      <c r="G639" s="21"/>
      <c r="H639" s="21">
        <v>2117.7580645161338</v>
      </c>
      <c r="I639" s="21"/>
      <c r="J639" s="20"/>
      <c r="K639" s="21">
        <f>(SUM(E639:E650)*3.412)/C639</f>
        <v>20.768948018924362</v>
      </c>
      <c r="L639" s="21">
        <f>(SUM(G639:G650)*100)/C639</f>
        <v>0</v>
      </c>
      <c r="M639" s="21">
        <f>(SUM(H639:H650)*100)/C639</f>
        <v>39.492779416251466</v>
      </c>
      <c r="N639" s="21">
        <f>(SUM(I639:I650)*12)/C639</f>
        <v>0</v>
      </c>
      <c r="O639" s="21"/>
      <c r="P639" s="34">
        <f>SUM(K639:N639)</f>
        <v>60.261727435175828</v>
      </c>
      <c r="Q639" s="19" t="s">
        <v>113</v>
      </c>
      <c r="R639" s="20"/>
      <c r="T639" s="15">
        <v>6.9976388166262726</v>
      </c>
      <c r="DR639" s="15">
        <v>5.8957674731182159</v>
      </c>
      <c r="DS639" s="15">
        <v>14832.88154333318</v>
      </c>
      <c r="DT639" s="15">
        <v>2117.7580645161338</v>
      </c>
    </row>
    <row r="640" spans="1:124" x14ac:dyDescent="0.3">
      <c r="A640" s="2">
        <v>44958</v>
      </c>
      <c r="B640" s="3" t="s">
        <v>340</v>
      </c>
      <c r="C640" s="3">
        <v>39332</v>
      </c>
      <c r="D640" s="3" t="s">
        <v>134</v>
      </c>
      <c r="E640" s="1">
        <v>19052.733135610713</v>
      </c>
      <c r="H640" s="1">
        <v>2476.5483870967614</v>
      </c>
      <c r="Q640" s="10" t="s">
        <v>114</v>
      </c>
      <c r="T640">
        <v>8.8051617703534397</v>
      </c>
      <c r="DR640">
        <v>7.7117228844602286</v>
      </c>
      <c r="DS640">
        <v>19052.73313561071</v>
      </c>
      <c r="DT640">
        <v>2476.548387096761</v>
      </c>
    </row>
    <row r="641" spans="1:124" x14ac:dyDescent="0.3">
      <c r="A641" s="2">
        <v>44986</v>
      </c>
      <c r="B641" s="3" t="s">
        <v>340</v>
      </c>
      <c r="C641" s="3">
        <v>39332</v>
      </c>
      <c r="D641" s="3" t="s">
        <v>134</v>
      </c>
      <c r="E641" s="1">
        <v>20003.276837723006</v>
      </c>
      <c r="H641" s="1">
        <v>2426.3977212634018</v>
      </c>
      <c r="T641">
        <v>6.3734731985333148</v>
      </c>
      <c r="DR641">
        <v>7.3884623889315906</v>
      </c>
      <c r="DS641">
        <v>20003.27683772301</v>
      </c>
      <c r="DT641">
        <v>2426.3977212634022</v>
      </c>
    </row>
    <row r="642" spans="1:124" x14ac:dyDescent="0.3">
      <c r="A642" s="2">
        <v>45017</v>
      </c>
      <c r="B642" s="3" t="s">
        <v>340</v>
      </c>
      <c r="C642" s="3">
        <v>39332</v>
      </c>
      <c r="D642" s="3" t="s">
        <v>134</v>
      </c>
      <c r="E642" s="1">
        <v>19028.337078161214</v>
      </c>
      <c r="H642" s="1">
        <v>1837.8895771237133</v>
      </c>
      <c r="T642">
        <v>3.352712279040436</v>
      </c>
      <c r="DR642">
        <v>8.018633492975825</v>
      </c>
      <c r="DS642">
        <v>19028.33707816121</v>
      </c>
      <c r="DT642">
        <v>1837.889577123713</v>
      </c>
    </row>
    <row r="643" spans="1:124" x14ac:dyDescent="0.3">
      <c r="A643" s="2">
        <v>45047</v>
      </c>
      <c r="B643" s="3" t="s">
        <v>340</v>
      </c>
      <c r="C643" s="3">
        <v>39332</v>
      </c>
      <c r="D643" s="3" t="s">
        <v>134</v>
      </c>
      <c r="E643" s="1">
        <v>17401.796998922218</v>
      </c>
      <c r="H643" s="1">
        <v>1365.7127016129114</v>
      </c>
      <c r="T643">
        <v>2.165480564949704</v>
      </c>
      <c r="DR643">
        <v>7.3521979861883224</v>
      </c>
      <c r="DS643">
        <v>17401.796998922218</v>
      </c>
      <c r="DT643">
        <v>1365.7127016129109</v>
      </c>
    </row>
    <row r="644" spans="1:124" x14ac:dyDescent="0.3">
      <c r="A644" s="2">
        <v>45078</v>
      </c>
      <c r="B644" s="3" t="s">
        <v>340</v>
      </c>
      <c r="C644" s="3">
        <v>39332</v>
      </c>
      <c r="D644" s="3" t="s">
        <v>134</v>
      </c>
      <c r="E644" s="1">
        <v>11922.837494959591</v>
      </c>
      <c r="H644" s="1">
        <v>662.2935483870923</v>
      </c>
      <c r="T644">
        <v>1.138707004181595</v>
      </c>
      <c r="DR644">
        <v>5.3057925067205094</v>
      </c>
      <c r="DS644">
        <v>11922.837494959589</v>
      </c>
      <c r="DT644">
        <v>662.2935483870923</v>
      </c>
    </row>
    <row r="645" spans="1:124" x14ac:dyDescent="0.3">
      <c r="A645" s="2">
        <v>45108</v>
      </c>
      <c r="B645" s="3" t="s">
        <v>340</v>
      </c>
      <c r="C645" s="3">
        <v>39332</v>
      </c>
      <c r="D645" s="3" t="s">
        <v>134</v>
      </c>
      <c r="E645" s="1">
        <v>14108.98921301434</v>
      </c>
      <c r="H645" s="1">
        <v>244.64193548386987</v>
      </c>
      <c r="T645">
        <v>0.46887225401781563</v>
      </c>
      <c r="DR645">
        <v>6.8042041485761668</v>
      </c>
      <c r="DS645">
        <v>14108.98921301434</v>
      </c>
      <c r="DT645">
        <v>244.6419354838699</v>
      </c>
    </row>
    <row r="646" spans="1:124" x14ac:dyDescent="0.3">
      <c r="A646" s="2">
        <v>45139</v>
      </c>
      <c r="B646" s="3" t="s">
        <v>340</v>
      </c>
      <c r="C646" s="3">
        <v>39332</v>
      </c>
      <c r="D646" s="3" t="s">
        <v>134</v>
      </c>
      <c r="E646" s="1">
        <v>27071.46397952563</v>
      </c>
      <c r="H646" s="1">
        <v>282.67741935484213</v>
      </c>
      <c r="T646">
        <v>0.56259105098856255</v>
      </c>
      <c r="DR646">
        <v>12.20742012247401</v>
      </c>
      <c r="DS646">
        <v>27071.46397952563</v>
      </c>
      <c r="DT646">
        <v>282.67741935484207</v>
      </c>
    </row>
    <row r="647" spans="1:124" x14ac:dyDescent="0.3">
      <c r="A647" s="2">
        <v>45170</v>
      </c>
      <c r="B647" s="3" t="s">
        <v>340</v>
      </c>
      <c r="C647" s="3">
        <v>39332</v>
      </c>
      <c r="D647" s="3" t="s">
        <v>134</v>
      </c>
      <c r="E647" s="1">
        <v>32593.763668750318</v>
      </c>
      <c r="H647" s="1">
        <v>420.54616240267467</v>
      </c>
      <c r="T647">
        <v>0.91522452416264832</v>
      </c>
      <c r="DR647">
        <v>14.2446960937501</v>
      </c>
      <c r="DS647">
        <v>32593.763668750322</v>
      </c>
      <c r="DT647">
        <v>420.54616240267472</v>
      </c>
    </row>
    <row r="648" spans="1:124" x14ac:dyDescent="0.3">
      <c r="A648" s="2">
        <v>45200</v>
      </c>
      <c r="B648" s="3" t="s">
        <v>340</v>
      </c>
      <c r="C648" s="3">
        <v>39332</v>
      </c>
      <c r="D648" s="3" t="s">
        <v>134</v>
      </c>
      <c r="E648" s="1">
        <v>28446.413320803222</v>
      </c>
      <c r="H648" s="1">
        <v>810.22911363109483</v>
      </c>
      <c r="T648">
        <v>1.852836447656254</v>
      </c>
      <c r="DR648">
        <v>11.74629178236996</v>
      </c>
      <c r="DS648">
        <v>28446.413320803222</v>
      </c>
      <c r="DT648">
        <v>810.22911363109483</v>
      </c>
    </row>
    <row r="649" spans="1:124" x14ac:dyDescent="0.3">
      <c r="A649" s="2">
        <v>45231</v>
      </c>
      <c r="B649" s="3" t="s">
        <v>340</v>
      </c>
      <c r="C649" s="3">
        <v>39332</v>
      </c>
      <c r="D649" s="3" t="s">
        <v>134</v>
      </c>
      <c r="E649" s="1">
        <v>19776.704385446283</v>
      </c>
      <c r="H649" s="1">
        <v>1414.0634336436528</v>
      </c>
      <c r="T649">
        <v>3.705103968142204</v>
      </c>
      <c r="DR649">
        <v>8.2804363403837637</v>
      </c>
      <c r="DS649">
        <v>19776.704385446279</v>
      </c>
      <c r="DT649">
        <v>1414.0634336436531</v>
      </c>
    </row>
    <row r="650" spans="1:124" x14ac:dyDescent="0.3">
      <c r="A650" s="2">
        <v>45261</v>
      </c>
      <c r="B650" s="3" t="s">
        <v>340</v>
      </c>
      <c r="C650" s="3">
        <v>39332</v>
      </c>
      <c r="D650" s="3" t="s">
        <v>134</v>
      </c>
      <c r="E650" s="1">
        <v>15175.885427083487</v>
      </c>
      <c r="H650" s="1">
        <v>1474.5419354838821</v>
      </c>
      <c r="T650">
        <v>4.0667218175511346</v>
      </c>
      <c r="DR650">
        <v>6.2842902945789536</v>
      </c>
      <c r="DS650">
        <v>15175.885427083491</v>
      </c>
      <c r="DT650">
        <v>1474.5419354838821</v>
      </c>
    </row>
    <row r="651" spans="1:124" s="15" customFormat="1" x14ac:dyDescent="0.3">
      <c r="A651" s="38">
        <v>44927</v>
      </c>
      <c r="B651" s="22" t="s">
        <v>183</v>
      </c>
      <c r="C651" s="22">
        <v>71857</v>
      </c>
      <c r="D651" s="22" t="s">
        <v>127</v>
      </c>
      <c r="E651" s="21">
        <v>46348.267588122559</v>
      </c>
      <c r="F651" s="21"/>
      <c r="G651" s="21"/>
      <c r="H651" s="21">
        <v>3364.556551724168</v>
      </c>
      <c r="I651" s="21">
        <v>2042.490148275888</v>
      </c>
      <c r="J651" s="20"/>
      <c r="K651" s="21">
        <f>(SUM(E651:E662)*3.412)/C651</f>
        <v>45.61153330793541</v>
      </c>
      <c r="L651" s="21">
        <f>(SUM(G651:G662)*100)/C651</f>
        <v>0</v>
      </c>
      <c r="M651" s="21">
        <f>(SUM(H651:H662)*100)/C651</f>
        <v>33.948594022707084</v>
      </c>
      <c r="N651" s="21">
        <f>(SUM(I651:I662)*12)/C651</f>
        <v>23.928188139038639</v>
      </c>
      <c r="O651" s="21"/>
      <c r="P651" s="34">
        <f>SUM(K651:N651)</f>
        <v>103.48831546968114</v>
      </c>
      <c r="Q651" s="19" t="s">
        <v>242</v>
      </c>
      <c r="R651" s="20"/>
    </row>
    <row r="652" spans="1:124" x14ac:dyDescent="0.3">
      <c r="A652" s="2">
        <v>44958</v>
      </c>
      <c r="B652" s="3" t="s">
        <v>183</v>
      </c>
      <c r="C652" s="3">
        <v>71857</v>
      </c>
      <c r="D652" s="3" t="s">
        <v>127</v>
      </c>
      <c r="E652" s="1">
        <v>71099.996566771821</v>
      </c>
      <c r="H652" s="1">
        <v>2587.8700000000008</v>
      </c>
      <c r="I652" s="1">
        <v>855.36604999998997</v>
      </c>
      <c r="Q652" s="10" t="s">
        <v>243</v>
      </c>
    </row>
    <row r="653" spans="1:124" x14ac:dyDescent="0.3">
      <c r="A653" s="2">
        <v>44986</v>
      </c>
      <c r="B653" s="3" t="s">
        <v>183</v>
      </c>
      <c r="C653" s="3">
        <v>71857</v>
      </c>
      <c r="D653" s="3" t="s">
        <v>127</v>
      </c>
      <c r="E653" s="1">
        <v>80123.738000727375</v>
      </c>
      <c r="H653" s="1">
        <v>2694.7229203539532</v>
      </c>
      <c r="I653" s="1">
        <v>616.19998163715979</v>
      </c>
      <c r="Q653" s="10" t="s">
        <v>244</v>
      </c>
    </row>
    <row r="654" spans="1:124" x14ac:dyDescent="0.3">
      <c r="A654" s="2">
        <v>45017</v>
      </c>
      <c r="B654" s="3" t="s">
        <v>183</v>
      </c>
      <c r="C654" s="3">
        <v>71857</v>
      </c>
      <c r="D654" s="3" t="s">
        <v>127</v>
      </c>
      <c r="E654" s="1">
        <v>82076.236059330418</v>
      </c>
      <c r="H654" s="1">
        <v>2013.20707964605</v>
      </c>
      <c r="I654" s="1">
        <v>4007.1790933628581</v>
      </c>
    </row>
    <row r="655" spans="1:124" x14ac:dyDescent="0.3">
      <c r="A655" s="2">
        <v>45047</v>
      </c>
      <c r="B655" s="3" t="s">
        <v>183</v>
      </c>
      <c r="C655" s="3">
        <v>71857</v>
      </c>
      <c r="D655" s="3" t="s">
        <v>127</v>
      </c>
      <c r="E655" s="1">
        <v>87100.028991700296</v>
      </c>
      <c r="H655" s="1">
        <v>1764.639999999966</v>
      </c>
      <c r="I655" s="1">
        <v>9035.2177999999949</v>
      </c>
    </row>
    <row r="656" spans="1:124" x14ac:dyDescent="0.3">
      <c r="A656" s="2">
        <v>45078</v>
      </c>
      <c r="B656" s="3" t="s">
        <v>183</v>
      </c>
      <c r="C656" s="3">
        <v>71857</v>
      </c>
      <c r="D656" s="3" t="s">
        <v>127</v>
      </c>
      <c r="E656" s="1">
        <v>83853.616947080416</v>
      </c>
      <c r="H656" s="1">
        <v>1154.42195121952</v>
      </c>
      <c r="I656" s="1">
        <v>10410.102585365659</v>
      </c>
    </row>
    <row r="657" spans="1:131" x14ac:dyDescent="0.3">
      <c r="A657" s="2">
        <v>45108</v>
      </c>
      <c r="B657" s="3" t="s">
        <v>183</v>
      </c>
      <c r="C657" s="3">
        <v>71857</v>
      </c>
      <c r="D657" s="3" t="s">
        <v>127</v>
      </c>
      <c r="E657" s="1">
        <v>87146.386867616311</v>
      </c>
      <c r="H657" s="1">
        <v>722.3530487804677</v>
      </c>
      <c r="I657" s="1">
        <v>11966.06836463424</v>
      </c>
    </row>
    <row r="658" spans="1:131" x14ac:dyDescent="0.3">
      <c r="A658" s="2">
        <v>45139</v>
      </c>
      <c r="B658" s="3" t="s">
        <v>183</v>
      </c>
      <c r="C658" s="3">
        <v>71857</v>
      </c>
      <c r="D658" s="3" t="s">
        <v>127</v>
      </c>
      <c r="E658" s="1">
        <v>87597.00230189733</v>
      </c>
      <c r="H658" s="1">
        <v>11.589571428571549</v>
      </c>
      <c r="I658" s="1">
        <v>19501.013140000119</v>
      </c>
    </row>
    <row r="659" spans="1:131" x14ac:dyDescent="0.3">
      <c r="A659" s="2">
        <v>45170</v>
      </c>
      <c r="B659" s="3" t="s">
        <v>183</v>
      </c>
      <c r="C659" s="3">
        <v>71857</v>
      </c>
      <c r="D659" s="3" t="s">
        <v>127</v>
      </c>
      <c r="E659" s="1">
        <v>90265.818500013876</v>
      </c>
      <c r="H659" s="1">
        <v>354.23839153438593</v>
      </c>
      <c r="I659" s="1">
        <v>19965.428534074061</v>
      </c>
    </row>
    <row r="660" spans="1:131" x14ac:dyDescent="0.3">
      <c r="A660" s="2">
        <v>45200</v>
      </c>
      <c r="B660" s="3" t="s">
        <v>183</v>
      </c>
      <c r="C660" s="3">
        <v>71857</v>
      </c>
      <c r="D660" s="3" t="s">
        <v>127</v>
      </c>
      <c r="E660" s="1">
        <v>91037.096800627536</v>
      </c>
      <c r="H660" s="1">
        <v>1386.0520370370341</v>
      </c>
      <c r="I660" s="1">
        <v>21697.208075925671</v>
      </c>
    </row>
    <row r="661" spans="1:131" x14ac:dyDescent="0.3">
      <c r="A661" s="2">
        <v>45231</v>
      </c>
      <c r="B661" s="3" t="s">
        <v>183</v>
      </c>
      <c r="C661" s="3">
        <v>71857</v>
      </c>
      <c r="D661" s="3" t="s">
        <v>127</v>
      </c>
      <c r="E661" s="1">
        <v>77191.462282275606</v>
      </c>
      <c r="H661" s="1">
        <v>3952.952963430062</v>
      </c>
      <c r="I661" s="1">
        <v>20964.217462232278</v>
      </c>
    </row>
    <row r="662" spans="1:131" x14ac:dyDescent="0.3">
      <c r="A662" s="2">
        <v>45261</v>
      </c>
      <c r="B662" s="3" t="s">
        <v>183</v>
      </c>
      <c r="C662" s="3">
        <v>71857</v>
      </c>
      <c r="D662" s="3" t="s">
        <v>127</v>
      </c>
      <c r="E662" s="1">
        <v>76742.983592170189</v>
      </c>
      <c r="H662" s="1">
        <v>4387.836691742451</v>
      </c>
      <c r="I662" s="1">
        <v>22223.493356733699</v>
      </c>
    </row>
    <row r="663" spans="1:131" s="15" customFormat="1" x14ac:dyDescent="0.3">
      <c r="A663" s="38">
        <v>44927</v>
      </c>
      <c r="B663" s="22" t="s">
        <v>184</v>
      </c>
      <c r="C663" s="22">
        <v>76871</v>
      </c>
      <c r="D663" s="22" t="s">
        <v>153</v>
      </c>
      <c r="E663" s="21">
        <v>28571.163793102911</v>
      </c>
      <c r="F663" s="21"/>
      <c r="G663" s="21"/>
      <c r="H663" s="21">
        <v>1867.650188577551</v>
      </c>
      <c r="I663" s="16" t="s">
        <v>189</v>
      </c>
      <c r="J663" s="20"/>
      <c r="K663" s="21">
        <f>(SUM(E663:E674)*3.412)/C663</f>
        <v>13.808564620351403</v>
      </c>
      <c r="L663" s="21">
        <f>(SUM(G663:G674)*100)/C663</f>
        <v>0</v>
      </c>
      <c r="M663" s="21">
        <f>(SUM(H663:H674)*100)/C663</f>
        <v>11.341828404359839</v>
      </c>
      <c r="N663" s="21">
        <f>(SUM(I663:I674)*12)/C663</f>
        <v>7.6798529916368388</v>
      </c>
      <c r="O663" s="21"/>
      <c r="P663" s="34">
        <f>SUM(K663:N663)</f>
        <v>32.830246016348084</v>
      </c>
      <c r="Q663" s="19" t="s">
        <v>245</v>
      </c>
      <c r="R663" s="20" t="s">
        <v>247</v>
      </c>
      <c r="DY663" s="15">
        <v>0</v>
      </c>
      <c r="EA663" s="15">
        <v>190.40234375</v>
      </c>
    </row>
    <row r="664" spans="1:131" x14ac:dyDescent="0.3">
      <c r="A664" s="2">
        <v>44958</v>
      </c>
      <c r="B664" s="3" t="s">
        <v>184</v>
      </c>
      <c r="C664" s="3">
        <v>76871</v>
      </c>
      <c r="D664" s="3" t="s">
        <v>153</v>
      </c>
      <c r="E664" s="1">
        <v>25835.499999999811</v>
      </c>
      <c r="H664" s="1">
        <v>1639.2968750000121</v>
      </c>
      <c r="I664" s="9">
        <v>1209.517626953118</v>
      </c>
      <c r="Q664" s="10" t="s">
        <v>246</v>
      </c>
      <c r="DY664">
        <v>0</v>
      </c>
      <c r="EA664">
        <v>160.48046875</v>
      </c>
    </row>
    <row r="665" spans="1:131" x14ac:dyDescent="0.3">
      <c r="A665" s="2">
        <v>44986</v>
      </c>
      <c r="B665" s="3" t="s">
        <v>184</v>
      </c>
      <c r="C665" s="3">
        <v>76871</v>
      </c>
      <c r="D665" s="3" t="s">
        <v>153</v>
      </c>
      <c r="E665" s="1">
        <v>27316.052149177951</v>
      </c>
      <c r="H665" s="1">
        <v>806.51949915058515</v>
      </c>
      <c r="I665" s="9">
        <v>1958.3838134765542</v>
      </c>
      <c r="Q665" s="1" t="s">
        <v>116</v>
      </c>
      <c r="DY665">
        <v>0</v>
      </c>
      <c r="EA665">
        <v>84.7998046875</v>
      </c>
    </row>
    <row r="666" spans="1:131" x14ac:dyDescent="0.3">
      <c r="A666" s="2">
        <v>45017</v>
      </c>
      <c r="B666" s="3" t="s">
        <v>184</v>
      </c>
      <c r="C666" s="3">
        <v>76871</v>
      </c>
      <c r="D666" s="3" t="s">
        <v>153</v>
      </c>
      <c r="E666" s="1">
        <v>23452.19785082194</v>
      </c>
      <c r="H666" s="1">
        <v>453.67581334940252</v>
      </c>
      <c r="I666" s="9">
        <v>2748.0661865234583</v>
      </c>
      <c r="DY666">
        <v>0</v>
      </c>
      <c r="EA666">
        <v>41.435546875</v>
      </c>
    </row>
    <row r="667" spans="1:131" x14ac:dyDescent="0.3">
      <c r="A667" s="2">
        <v>45047</v>
      </c>
      <c r="B667" s="3" t="s">
        <v>184</v>
      </c>
      <c r="C667" s="3">
        <v>76871</v>
      </c>
      <c r="D667" s="3" t="s">
        <v>153</v>
      </c>
      <c r="E667" s="1">
        <v>22303.49999999992</v>
      </c>
      <c r="H667" s="1">
        <v>402.90039062499329</v>
      </c>
      <c r="I667" s="9">
        <v>4181.6559326172155</v>
      </c>
      <c r="DY667">
        <v>0</v>
      </c>
      <c r="EA667">
        <v>40.5927734375</v>
      </c>
    </row>
    <row r="668" spans="1:131" x14ac:dyDescent="0.3">
      <c r="A668" s="2">
        <v>45078</v>
      </c>
      <c r="B668" s="3" t="s">
        <v>184</v>
      </c>
      <c r="C668" s="3">
        <v>76871</v>
      </c>
      <c r="D668" s="3" t="s">
        <v>153</v>
      </c>
      <c r="E668" s="1">
        <v>19456.07142857134</v>
      </c>
      <c r="H668" s="1">
        <v>158.38727678571419</v>
      </c>
      <c r="I668" s="9">
        <v>5997.5999999999594</v>
      </c>
      <c r="DY668">
        <v>0</v>
      </c>
      <c r="EA668">
        <v>17.0625</v>
      </c>
    </row>
    <row r="669" spans="1:131" x14ac:dyDescent="0.3">
      <c r="A669" s="2">
        <v>45108</v>
      </c>
      <c r="B669" s="3" t="s">
        <v>184</v>
      </c>
      <c r="C669" s="3">
        <v>76871</v>
      </c>
      <c r="D669" s="3" t="s">
        <v>153</v>
      </c>
      <c r="E669" s="1">
        <v>20295.428571428569</v>
      </c>
      <c r="H669" s="1">
        <v>107.3744419642843</v>
      </c>
      <c r="I669" s="9">
        <v>9162.9999999999218</v>
      </c>
      <c r="DY669">
        <v>9.765625E-4</v>
      </c>
      <c r="EA669">
        <v>9.037109375</v>
      </c>
    </row>
    <row r="670" spans="1:131" x14ac:dyDescent="0.3">
      <c r="A670" s="2">
        <v>45139</v>
      </c>
      <c r="B670" s="3" t="s">
        <v>184</v>
      </c>
      <c r="C670" s="3">
        <v>76871</v>
      </c>
      <c r="D670" s="3" t="s">
        <v>153</v>
      </c>
      <c r="E670" s="1">
        <v>24113.349999999969</v>
      </c>
      <c r="H670" s="1">
        <v>60.131696428572553</v>
      </c>
      <c r="I670" s="9">
        <v>7830.2000000000935</v>
      </c>
      <c r="DY670">
        <v>7.600830078125</v>
      </c>
      <c r="EA670">
        <v>5.326171875</v>
      </c>
    </row>
    <row r="671" spans="1:131" x14ac:dyDescent="0.3">
      <c r="A671" s="2">
        <v>45170</v>
      </c>
      <c r="B671" s="3" t="s">
        <v>184</v>
      </c>
      <c r="C671" s="3">
        <v>76871</v>
      </c>
      <c r="D671" s="3" t="s">
        <v>153</v>
      </c>
      <c r="E671" s="1">
        <v>26067.233333333708</v>
      </c>
      <c r="H671" s="1">
        <v>97.566509589945824</v>
      </c>
      <c r="I671" s="9">
        <v>7497.0000000000937</v>
      </c>
      <c r="DY671">
        <v>0</v>
      </c>
      <c r="EA671">
        <v>9.546875</v>
      </c>
    </row>
    <row r="672" spans="1:131" x14ac:dyDescent="0.3">
      <c r="A672" s="2">
        <v>45200</v>
      </c>
      <c r="B672" s="3" t="s">
        <v>184</v>
      </c>
      <c r="C672" s="3">
        <v>76871</v>
      </c>
      <c r="D672" s="3" t="s">
        <v>153</v>
      </c>
      <c r="E672" s="1">
        <v>29862.666666666399</v>
      </c>
      <c r="H672" s="1">
        <v>100.9834346064806</v>
      </c>
      <c r="I672" s="9">
        <v>5997.6000000000695</v>
      </c>
      <c r="DY672">
        <v>0</v>
      </c>
      <c r="EA672">
        <v>9.8046875</v>
      </c>
    </row>
    <row r="673" spans="1:131" x14ac:dyDescent="0.3">
      <c r="A673" s="2">
        <v>45231</v>
      </c>
      <c r="B673" s="3" t="s">
        <v>184</v>
      </c>
      <c r="C673" s="3">
        <v>76871</v>
      </c>
      <c r="D673" s="3" t="s">
        <v>153</v>
      </c>
      <c r="E673" s="1">
        <v>30724.328499369611</v>
      </c>
      <c r="H673" s="1">
        <v>1069.63060569042</v>
      </c>
      <c r="I673" s="9">
        <v>1999.1999999999864</v>
      </c>
      <c r="DY673">
        <v>0</v>
      </c>
      <c r="EA673">
        <v>98.166015625</v>
      </c>
    </row>
    <row r="674" spans="1:131" x14ac:dyDescent="0.3">
      <c r="A674" s="2">
        <v>45261</v>
      </c>
      <c r="B674" s="3" t="s">
        <v>184</v>
      </c>
      <c r="C674" s="3">
        <v>76871</v>
      </c>
      <c r="D674" s="3" t="s">
        <v>153</v>
      </c>
      <c r="E674" s="1">
        <v>33103.964604079098</v>
      </c>
      <c r="H674" s="1">
        <v>1954.4601809474921</v>
      </c>
      <c r="I674" s="9">
        <v>614.27471710580369</v>
      </c>
      <c r="DY674">
        <v>0</v>
      </c>
      <c r="EA674">
        <v>198.9970703125</v>
      </c>
    </row>
  </sheetData>
  <autoFilter ref="A2:EA674" xr:uid="{00000000-0001-0000-0000-000000000000}"/>
  <mergeCells count="2">
    <mergeCell ref="K1:P1"/>
    <mergeCell ref="A1:J1"/>
  </mergeCells>
  <pageMargins left="0.75" right="0.75" top="1" bottom="1" header="0.5" footer="0.5"/>
  <pageSetup orientation="portrait" r:id="rId1"/>
  <ignoredErrors>
    <ignoredError sqref="K15" formulaRange="1"/>
  </ignoredErrors>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D0AB3-7C24-4725-9AA7-95DF5AE86598}">
  <dimension ref="A3:E73"/>
  <sheetViews>
    <sheetView workbookViewId="0">
      <selection activeCell="H25" sqref="H25"/>
    </sheetView>
  </sheetViews>
  <sheetFormatPr defaultRowHeight="14.4" x14ac:dyDescent="0.3"/>
  <cols>
    <col min="1" max="1" width="41.77734375" bestFit="1" customWidth="1"/>
    <col min="2" max="2" width="31" bestFit="1" customWidth="1"/>
    <col min="3" max="3" width="27.77734375" bestFit="1" customWidth="1"/>
    <col min="4" max="4" width="36.88671875" bestFit="1" customWidth="1"/>
    <col min="5" max="5" width="30.109375" bestFit="1" customWidth="1"/>
  </cols>
  <sheetData>
    <row r="3" spans="1:5" x14ac:dyDescent="0.3">
      <c r="A3" s="55" t="s">
        <v>353</v>
      </c>
      <c r="B3" t="s">
        <v>356</v>
      </c>
      <c r="C3" t="s">
        <v>357</v>
      </c>
      <c r="D3" t="s">
        <v>359</v>
      </c>
      <c r="E3" t="s">
        <v>358</v>
      </c>
    </row>
    <row r="4" spans="1:5" x14ac:dyDescent="0.3">
      <c r="A4" s="56" t="s">
        <v>127</v>
      </c>
      <c r="B4">
        <v>24.959848999029454</v>
      </c>
      <c r="C4">
        <v>0.91063285907977687</v>
      </c>
      <c r="D4">
        <v>17.150671191541093</v>
      </c>
      <c r="E4">
        <v>100.2528389737739</v>
      </c>
    </row>
    <row r="5" spans="1:5" x14ac:dyDescent="0.3">
      <c r="A5" s="57" t="s">
        <v>126</v>
      </c>
      <c r="B5">
        <v>34.344451700360857</v>
      </c>
      <c r="C5">
        <v>6.1174343307727882E-3</v>
      </c>
      <c r="D5">
        <v>20.744690783036887</v>
      </c>
      <c r="E5">
        <v>47.263051321356542</v>
      </c>
    </row>
    <row r="6" spans="1:5" x14ac:dyDescent="0.3">
      <c r="A6" s="57" t="s">
        <v>130</v>
      </c>
      <c r="B6">
        <v>45.458882325456131</v>
      </c>
      <c r="D6">
        <v>34.887138942934016</v>
      </c>
      <c r="E6">
        <v>86.173606207999541</v>
      </c>
    </row>
    <row r="7" spans="1:5" x14ac:dyDescent="0.3">
      <c r="A7" s="57" t="s">
        <v>137</v>
      </c>
      <c r="B7">
        <v>31.007827514984893</v>
      </c>
      <c r="C7">
        <v>0.80855948270146916</v>
      </c>
      <c r="D7">
        <v>41.719078883377627</v>
      </c>
      <c r="E7">
        <v>29.644690648537434</v>
      </c>
    </row>
    <row r="8" spans="1:5" x14ac:dyDescent="0.3">
      <c r="A8" s="57" t="s">
        <v>138</v>
      </c>
      <c r="B8">
        <v>10.064787529888052</v>
      </c>
      <c r="C8">
        <v>7.1905336239264388</v>
      </c>
    </row>
    <row r="9" spans="1:5" x14ac:dyDescent="0.3">
      <c r="A9" s="57" t="s">
        <v>139</v>
      </c>
      <c r="B9">
        <v>16.636543589807911</v>
      </c>
      <c r="D9">
        <v>12.770985555051181</v>
      </c>
      <c r="E9">
        <v>37.486952633355784</v>
      </c>
    </row>
    <row r="10" spans="1:5" x14ac:dyDescent="0.3">
      <c r="A10" s="57" t="s">
        <v>150</v>
      </c>
      <c r="B10">
        <v>19.063243570959273</v>
      </c>
      <c r="C10">
        <v>0</v>
      </c>
      <c r="D10">
        <v>3.1597282297174374</v>
      </c>
      <c r="E10">
        <v>40.780957555949456</v>
      </c>
    </row>
    <row r="11" spans="1:5" x14ac:dyDescent="0.3">
      <c r="A11" s="57" t="s">
        <v>151</v>
      </c>
      <c r="B11">
        <v>36.385667204187783</v>
      </c>
      <c r="C11">
        <v>0</v>
      </c>
      <c r="D11">
        <v>36.979088812590071</v>
      </c>
      <c r="E11">
        <v>35.777473327283431</v>
      </c>
    </row>
    <row r="12" spans="1:5" x14ac:dyDescent="0.3">
      <c r="A12" s="57" t="s">
        <v>157</v>
      </c>
      <c r="B12">
        <v>28.430750595511014</v>
      </c>
      <c r="C12">
        <v>0</v>
      </c>
      <c r="D12">
        <v>34.795783608645742</v>
      </c>
      <c r="E12">
        <v>36.537840450725355</v>
      </c>
    </row>
    <row r="13" spans="1:5" x14ac:dyDescent="0.3">
      <c r="A13" s="57" t="s">
        <v>158</v>
      </c>
      <c r="B13">
        <v>27.031274631834517</v>
      </c>
      <c r="C13">
        <v>0</v>
      </c>
      <c r="D13">
        <v>16.250115700037863</v>
      </c>
      <c r="E13">
        <v>957.23769598356114</v>
      </c>
    </row>
    <row r="14" spans="1:5" x14ac:dyDescent="0.3">
      <c r="A14" s="57" t="s">
        <v>164</v>
      </c>
      <c r="B14">
        <v>36.465996024112194</v>
      </c>
      <c r="C14">
        <v>0</v>
      </c>
      <c r="D14">
        <v>8.4124794778511127</v>
      </c>
      <c r="E14">
        <v>17.908307566313894</v>
      </c>
    </row>
    <row r="15" spans="1:5" x14ac:dyDescent="0.3">
      <c r="A15" s="57" t="s">
        <v>194</v>
      </c>
    </row>
    <row r="16" spans="1:5" x14ac:dyDescent="0.3">
      <c r="A16" s="57" t="s">
        <v>167</v>
      </c>
      <c r="B16">
        <v>7.7122522969848477</v>
      </c>
      <c r="C16">
        <v>0</v>
      </c>
      <c r="D16">
        <v>1.2192826039455707E-4</v>
      </c>
      <c r="E16">
        <v>80.780547118529967</v>
      </c>
    </row>
    <row r="17" spans="1:5" x14ac:dyDescent="0.3">
      <c r="A17" s="57" t="s">
        <v>171</v>
      </c>
      <c r="B17">
        <v>5.8975650071259125</v>
      </c>
      <c r="C17">
        <v>3.8330166270784183</v>
      </c>
      <c r="D17">
        <v>0</v>
      </c>
      <c r="E17">
        <v>0</v>
      </c>
    </row>
    <row r="18" spans="1:5" x14ac:dyDescent="0.3">
      <c r="A18" s="57" t="s">
        <v>172</v>
      </c>
      <c r="B18">
        <v>21.851171431919209</v>
      </c>
      <c r="C18">
        <v>0</v>
      </c>
      <c r="D18">
        <v>0</v>
      </c>
      <c r="E18">
        <v>0</v>
      </c>
    </row>
    <row r="19" spans="1:5" x14ac:dyDescent="0.3">
      <c r="A19" s="57" t="s">
        <v>182</v>
      </c>
      <c r="B19">
        <v>8.4357882543737759</v>
      </c>
      <c r="C19">
        <v>0</v>
      </c>
      <c r="D19">
        <v>6.4619966210343422</v>
      </c>
      <c r="E19">
        <v>2.879651524340874E-5</v>
      </c>
    </row>
    <row r="20" spans="1:5" x14ac:dyDescent="0.3">
      <c r="A20" s="57" t="s">
        <v>183</v>
      </c>
      <c r="B20">
        <v>45.61153330793541</v>
      </c>
      <c r="C20">
        <v>0</v>
      </c>
      <c r="D20">
        <v>23.928188139038639</v>
      </c>
      <c r="E20">
        <v>33.948594022707084</v>
      </c>
    </row>
    <row r="21" spans="1:5" x14ac:dyDescent="0.3">
      <c r="A21" s="56" t="s">
        <v>153</v>
      </c>
      <c r="B21">
        <v>22.763648698193901</v>
      </c>
      <c r="C21">
        <v>11.756542619100346</v>
      </c>
      <c r="D21">
        <v>4.2613774212244522</v>
      </c>
      <c r="E21">
        <v>37.956254607849139</v>
      </c>
    </row>
    <row r="22" spans="1:5" x14ac:dyDescent="0.3">
      <c r="A22" s="57" t="s">
        <v>152</v>
      </c>
      <c r="B22">
        <v>35.106719253932518</v>
      </c>
      <c r="C22">
        <v>32.927271310581716</v>
      </c>
      <c r="D22">
        <v>0</v>
      </c>
      <c r="E22">
        <v>0</v>
      </c>
    </row>
    <row r="23" spans="1:5" x14ac:dyDescent="0.3">
      <c r="A23" s="57" t="s">
        <v>163</v>
      </c>
      <c r="B23">
        <v>27.031270733079463</v>
      </c>
      <c r="C23">
        <v>43.335825817373973</v>
      </c>
      <c r="D23">
        <v>0</v>
      </c>
      <c r="E23">
        <v>0</v>
      </c>
    </row>
    <row r="24" spans="1:5" x14ac:dyDescent="0.3">
      <c r="A24" s="57" t="s">
        <v>170</v>
      </c>
      <c r="B24">
        <v>63.124779671507397</v>
      </c>
      <c r="C24">
        <v>0</v>
      </c>
      <c r="D24">
        <v>6.45778581488307E-2</v>
      </c>
      <c r="E24">
        <v>66.565200991461992</v>
      </c>
    </row>
    <row r="25" spans="1:5" x14ac:dyDescent="0.3">
      <c r="A25" s="57" t="s">
        <v>339</v>
      </c>
      <c r="B25">
        <v>0</v>
      </c>
      <c r="C25">
        <v>17.240705819931247</v>
      </c>
      <c r="D25">
        <v>0</v>
      </c>
      <c r="E25">
        <v>0</v>
      </c>
    </row>
    <row r="26" spans="1:5" x14ac:dyDescent="0.3">
      <c r="A26" s="57" t="s">
        <v>176</v>
      </c>
      <c r="B26">
        <v>19.039436058763961</v>
      </c>
      <c r="C26">
        <v>0</v>
      </c>
      <c r="D26">
        <v>19.781748750195053</v>
      </c>
      <c r="E26">
        <v>170.47389345400825</v>
      </c>
    </row>
    <row r="27" spans="1:5" x14ac:dyDescent="0.3">
      <c r="A27" s="57" t="s">
        <v>177</v>
      </c>
      <c r="B27">
        <v>23.998419247916484</v>
      </c>
      <c r="C27">
        <v>0.54853800491582705</v>
      </c>
      <c r="D27">
        <v>6.5648397698148955</v>
      </c>
      <c r="E27">
        <v>7.8499253775173905</v>
      </c>
    </row>
    <row r="28" spans="1:5" x14ac:dyDescent="0.3">
      <c r="A28" s="57" t="s">
        <v>178</v>
      </c>
      <c r="B28">
        <v>0</v>
      </c>
      <c r="C28">
        <v>0</v>
      </c>
      <c r="D28">
        <v>0</v>
      </c>
      <c r="E28">
        <v>47.419188635445643</v>
      </c>
    </row>
    <row r="29" spans="1:5" x14ac:dyDescent="0.3">
      <c r="A29" s="57" t="s">
        <v>184</v>
      </c>
      <c r="B29">
        <v>13.808564620351403</v>
      </c>
      <c r="C29">
        <v>0</v>
      </c>
      <c r="D29">
        <v>7.6798529916368388</v>
      </c>
      <c r="E29">
        <v>11.341828404359839</v>
      </c>
    </row>
    <row r="30" spans="1:5" x14ac:dyDescent="0.3">
      <c r="A30" s="56" t="s">
        <v>145</v>
      </c>
      <c r="B30">
        <v>129.82672977722038</v>
      </c>
      <c r="C30">
        <v>155.39993033786095</v>
      </c>
    </row>
    <row r="31" spans="1:5" x14ac:dyDescent="0.3">
      <c r="A31" s="57" t="s">
        <v>144</v>
      </c>
      <c r="B31">
        <v>129.82672977722038</v>
      </c>
      <c r="C31">
        <v>155.39993033786095</v>
      </c>
    </row>
    <row r="32" spans="1:5" x14ac:dyDescent="0.3">
      <c r="A32" s="56" t="s">
        <v>149</v>
      </c>
      <c r="B32">
        <v>34.579245258014474</v>
      </c>
      <c r="C32">
        <v>20.370840675056652</v>
      </c>
      <c r="D32">
        <v>20.46734882232078</v>
      </c>
      <c r="E32">
        <v>28.652130148614432</v>
      </c>
    </row>
    <row r="33" spans="1:5" x14ac:dyDescent="0.3">
      <c r="A33" s="57" t="s">
        <v>148</v>
      </c>
      <c r="B33">
        <v>30.927041111276875</v>
      </c>
      <c r="C33">
        <v>7.5595472770094957E-2</v>
      </c>
      <c r="D33">
        <v>23.730692977996267</v>
      </c>
      <c r="E33">
        <v>69.754309160375755</v>
      </c>
    </row>
    <row r="34" spans="1:5" x14ac:dyDescent="0.3">
      <c r="A34" s="57" t="s">
        <v>159</v>
      </c>
      <c r="B34">
        <v>11.982288961920334</v>
      </c>
      <c r="C34">
        <v>12.481936200004153</v>
      </c>
      <c r="D34">
        <v>0</v>
      </c>
      <c r="E34">
        <v>2.6920602110684775</v>
      </c>
    </row>
    <row r="35" spans="1:5" x14ac:dyDescent="0.3">
      <c r="A35" s="57" t="s">
        <v>160</v>
      </c>
      <c r="B35">
        <v>45.125135626267713</v>
      </c>
      <c r="C35">
        <v>0</v>
      </c>
      <c r="D35">
        <v>58.138702311286849</v>
      </c>
      <c r="E35">
        <v>42.162151223013502</v>
      </c>
    </row>
    <row r="36" spans="1:5" x14ac:dyDescent="0.3">
      <c r="A36" s="57" t="s">
        <v>166</v>
      </c>
      <c r="B36">
        <v>50.282515332592965</v>
      </c>
      <c r="C36">
        <v>68.925831027452361</v>
      </c>
      <c r="D36">
        <v>0</v>
      </c>
      <c r="E36">
        <v>0</v>
      </c>
    </row>
    <row r="37" spans="1:5" x14ac:dyDescent="0.3">
      <c r="A37" s="56" t="s">
        <v>147</v>
      </c>
      <c r="B37">
        <v>2.6555206543755448E-2</v>
      </c>
      <c r="C37">
        <v>0</v>
      </c>
      <c r="D37">
        <v>29.273956811289949</v>
      </c>
      <c r="E37">
        <v>13.667951673932754</v>
      </c>
    </row>
    <row r="38" spans="1:5" x14ac:dyDescent="0.3">
      <c r="A38" s="57" t="s">
        <v>146</v>
      </c>
      <c r="B38">
        <v>2.6555206543755448E-2</v>
      </c>
      <c r="C38">
        <v>0</v>
      </c>
      <c r="D38">
        <v>29.273956811289949</v>
      </c>
      <c r="E38">
        <v>13.667951673932754</v>
      </c>
    </row>
    <row r="39" spans="1:5" x14ac:dyDescent="0.3">
      <c r="A39" s="57" t="s">
        <v>289</v>
      </c>
    </row>
    <row r="40" spans="1:5" x14ac:dyDescent="0.3">
      <c r="A40" s="56" t="s">
        <v>123</v>
      </c>
      <c r="B40">
        <v>27.405298651096412</v>
      </c>
      <c r="C40">
        <v>24.862894461776808</v>
      </c>
      <c r="D40">
        <v>2.2377799200421493</v>
      </c>
      <c r="E40">
        <v>6.9216777333642279</v>
      </c>
    </row>
    <row r="41" spans="1:5" x14ac:dyDescent="0.3">
      <c r="A41" s="57" t="s">
        <v>122</v>
      </c>
      <c r="B41">
        <v>0</v>
      </c>
    </row>
    <row r="42" spans="1:5" x14ac:dyDescent="0.3">
      <c r="A42" s="57" t="s">
        <v>128</v>
      </c>
      <c r="B42">
        <v>15.377739325509763</v>
      </c>
    </row>
    <row r="43" spans="1:5" x14ac:dyDescent="0.3">
      <c r="A43" s="57" t="s">
        <v>129</v>
      </c>
      <c r="B43">
        <v>70.997282644450976</v>
      </c>
    </row>
    <row r="44" spans="1:5" x14ac:dyDescent="0.3">
      <c r="A44" s="57" t="s">
        <v>131</v>
      </c>
    </row>
    <row r="45" spans="1:5" x14ac:dyDescent="0.3">
      <c r="A45" s="57" t="s">
        <v>141</v>
      </c>
      <c r="C45">
        <v>21.716652385032795</v>
      </c>
    </row>
    <row r="46" spans="1:5" x14ac:dyDescent="0.3">
      <c r="A46" s="57" t="s">
        <v>161</v>
      </c>
      <c r="B46">
        <v>15.090256370784639</v>
      </c>
      <c r="C46">
        <v>33.444707740916165</v>
      </c>
      <c r="D46">
        <v>0</v>
      </c>
      <c r="E46">
        <v>0</v>
      </c>
    </row>
    <row r="47" spans="1:5" x14ac:dyDescent="0.3">
      <c r="A47" s="57" t="s">
        <v>175</v>
      </c>
      <c r="B47">
        <v>32.48008558616111</v>
      </c>
      <c r="C47">
        <v>51.848603587557918</v>
      </c>
      <c r="D47">
        <v>0</v>
      </c>
      <c r="E47">
        <v>0</v>
      </c>
    </row>
    <row r="48" spans="1:5" x14ac:dyDescent="0.3">
      <c r="A48" s="57" t="s">
        <v>180</v>
      </c>
      <c r="B48">
        <v>46.805604248904125</v>
      </c>
      <c r="C48">
        <v>17.304508595377154</v>
      </c>
      <c r="D48">
        <v>0</v>
      </c>
      <c r="E48">
        <v>0</v>
      </c>
    </row>
    <row r="49" spans="1:5" x14ac:dyDescent="0.3">
      <c r="A49" s="57" t="s">
        <v>181</v>
      </c>
      <c r="B49">
        <v>11.086122381864241</v>
      </c>
      <c r="C49">
        <v>0</v>
      </c>
      <c r="D49">
        <v>8.9511196801685973</v>
      </c>
      <c r="E49">
        <v>27.686710933456911</v>
      </c>
    </row>
    <row r="50" spans="1:5" x14ac:dyDescent="0.3">
      <c r="A50" s="56" t="s">
        <v>136</v>
      </c>
      <c r="B50">
        <v>141.10980920008882</v>
      </c>
    </row>
    <row r="51" spans="1:5" x14ac:dyDescent="0.3">
      <c r="A51" s="57" t="s">
        <v>135</v>
      </c>
      <c r="B51">
        <v>141.10980920008882</v>
      </c>
    </row>
    <row r="52" spans="1:5" x14ac:dyDescent="0.3">
      <c r="A52" s="57" t="s">
        <v>169</v>
      </c>
    </row>
    <row r="53" spans="1:5" x14ac:dyDescent="0.3">
      <c r="A53" s="56" t="s">
        <v>134</v>
      </c>
      <c r="B53">
        <v>20.776423643324286</v>
      </c>
      <c r="C53">
        <v>0</v>
      </c>
      <c r="D53">
        <v>7.9629631655440436</v>
      </c>
      <c r="E53">
        <v>41.776917665950386</v>
      </c>
    </row>
    <row r="54" spans="1:5" x14ac:dyDescent="0.3">
      <c r="A54" s="57" t="s">
        <v>133</v>
      </c>
      <c r="B54">
        <v>20.783899267724205</v>
      </c>
      <c r="D54">
        <v>15.925926331088087</v>
      </c>
      <c r="E54">
        <v>44.061055915649305</v>
      </c>
    </row>
    <row r="55" spans="1:5" x14ac:dyDescent="0.3">
      <c r="A55" s="57" t="s">
        <v>162</v>
      </c>
    </row>
    <row r="56" spans="1:5" x14ac:dyDescent="0.3">
      <c r="A56" s="57" t="s">
        <v>340</v>
      </c>
      <c r="B56">
        <v>20.768948018924362</v>
      </c>
      <c r="C56">
        <v>0</v>
      </c>
      <c r="D56">
        <v>0</v>
      </c>
      <c r="E56">
        <v>39.492779416251466</v>
      </c>
    </row>
    <row r="57" spans="1:5" x14ac:dyDescent="0.3">
      <c r="A57" s="56" t="s">
        <v>125</v>
      </c>
      <c r="B57">
        <v>27.699475373298025</v>
      </c>
      <c r="C57">
        <v>15.779867817540731</v>
      </c>
      <c r="D57">
        <v>0</v>
      </c>
      <c r="E57">
        <v>0</v>
      </c>
    </row>
    <row r="58" spans="1:5" x14ac:dyDescent="0.3">
      <c r="A58" s="57" t="s">
        <v>124</v>
      </c>
      <c r="B58">
        <v>23.774822880766386</v>
      </c>
      <c r="C58">
        <v>47.339603452622192</v>
      </c>
    </row>
    <row r="59" spans="1:5" x14ac:dyDescent="0.3">
      <c r="A59" s="57" t="s">
        <v>140</v>
      </c>
    </row>
    <row r="60" spans="1:5" x14ac:dyDescent="0.3">
      <c r="A60" s="57" t="s">
        <v>174</v>
      </c>
      <c r="B60">
        <v>4.5740575402441674</v>
      </c>
      <c r="C60">
        <v>0</v>
      </c>
      <c r="D60">
        <v>0</v>
      </c>
      <c r="E60">
        <v>0</v>
      </c>
    </row>
    <row r="61" spans="1:5" x14ac:dyDescent="0.3">
      <c r="A61" s="57" t="s">
        <v>179</v>
      </c>
      <c r="B61">
        <v>54.749545698883516</v>
      </c>
      <c r="C61">
        <v>0</v>
      </c>
      <c r="D61">
        <v>0</v>
      </c>
      <c r="E61">
        <v>0</v>
      </c>
    </row>
    <row r="62" spans="1:5" x14ac:dyDescent="0.3">
      <c r="A62" s="56" t="s">
        <v>156</v>
      </c>
      <c r="B62">
        <v>68.143473120970597</v>
      </c>
      <c r="C62">
        <v>18.548314501087454</v>
      </c>
      <c r="D62">
        <v>0</v>
      </c>
      <c r="E62">
        <v>0</v>
      </c>
    </row>
    <row r="63" spans="1:5" x14ac:dyDescent="0.3">
      <c r="A63" s="57" t="s">
        <v>155</v>
      </c>
      <c r="B63">
        <v>68.143473120970597</v>
      </c>
      <c r="C63">
        <v>18.548314501087454</v>
      </c>
      <c r="D63">
        <v>0</v>
      </c>
      <c r="E63">
        <v>0</v>
      </c>
    </row>
    <row r="64" spans="1:5" x14ac:dyDescent="0.3">
      <c r="A64" s="56" t="s">
        <v>143</v>
      </c>
    </row>
    <row r="65" spans="1:5" x14ac:dyDescent="0.3">
      <c r="A65" s="57" t="s">
        <v>142</v>
      </c>
    </row>
    <row r="66" spans="1:5" x14ac:dyDescent="0.3">
      <c r="A66" s="56" t="s">
        <v>354</v>
      </c>
      <c r="B66" t="e">
        <v>#DIV/0!</v>
      </c>
      <c r="C66">
        <v>0</v>
      </c>
      <c r="D66">
        <v>5.1971598751694312</v>
      </c>
      <c r="E66">
        <v>11.944523672217718</v>
      </c>
    </row>
    <row r="67" spans="1:5" x14ac:dyDescent="0.3">
      <c r="A67" s="57" t="s">
        <v>132</v>
      </c>
      <c r="B67">
        <v>2.1729831084649507</v>
      </c>
      <c r="D67">
        <v>10.394319750338862</v>
      </c>
      <c r="E67">
        <v>23.889047344435436</v>
      </c>
    </row>
    <row r="68" spans="1:5" x14ac:dyDescent="0.3">
      <c r="A68" s="57" t="s">
        <v>190</v>
      </c>
      <c r="B68" t="e">
        <v>#DIV/0!</v>
      </c>
    </row>
    <row r="69" spans="1:5" x14ac:dyDescent="0.3">
      <c r="A69" s="57" t="s">
        <v>154</v>
      </c>
    </row>
    <row r="70" spans="1:5" x14ac:dyDescent="0.3">
      <c r="A70" s="57" t="s">
        <v>165</v>
      </c>
      <c r="B70">
        <v>39.724114778525333</v>
      </c>
      <c r="C70">
        <v>0</v>
      </c>
      <c r="D70">
        <v>0</v>
      </c>
      <c r="E70">
        <v>0</v>
      </c>
    </row>
    <row r="71" spans="1:5" x14ac:dyDescent="0.3">
      <c r="A71" s="57" t="s">
        <v>168</v>
      </c>
    </row>
    <row r="72" spans="1:5" x14ac:dyDescent="0.3">
      <c r="A72" s="57" t="s">
        <v>173</v>
      </c>
    </row>
    <row r="73" spans="1:5" x14ac:dyDescent="0.3">
      <c r="A73" s="56" t="s">
        <v>355</v>
      </c>
      <c r="B73" t="e">
        <v>#DIV/0!</v>
      </c>
      <c r="C73">
        <v>14.025690826882135</v>
      </c>
      <c r="D73">
        <v>11.068819313514199</v>
      </c>
      <c r="E73">
        <v>51.857785483521354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56D9CA51B68104BAD698D60D98C8CB4" ma:contentTypeVersion="8" ma:contentTypeDescription="Create a new document." ma:contentTypeScope="" ma:versionID="88390891cd3a8df682de73d7cf63b964">
  <xsd:schema xmlns:xsd="http://www.w3.org/2001/XMLSchema" xmlns:xs="http://www.w3.org/2001/XMLSchema" xmlns:p="http://schemas.microsoft.com/office/2006/metadata/properties" xmlns:ns2="f8efe0c0-fa44-4e03-9664-cfd3f4fa3d85" targetNamespace="http://schemas.microsoft.com/office/2006/metadata/properties" ma:root="true" ma:fieldsID="5b3e3e48974c1a2c1f9820171f2caf07" ns2:_="">
    <xsd:import namespace="f8efe0c0-fa44-4e03-9664-cfd3f4fa3d8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e0c0-fa44-4e03-9664-cfd3f4fa3d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7F4886-C95C-42E3-89C0-1AE8EB837223}">
  <ds:schemaRefs>
    <ds:schemaRef ds:uri="http://schemas.microsoft.com/sharepoint/v3/contenttype/forms"/>
  </ds:schemaRefs>
</ds:datastoreItem>
</file>

<file path=customXml/itemProps2.xml><?xml version="1.0" encoding="utf-8"?>
<ds:datastoreItem xmlns:ds="http://schemas.openxmlformats.org/officeDocument/2006/customXml" ds:itemID="{10BC7217-69BD-46CF-8603-243C0B19D31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A0C2A22-14F2-40BD-8D8F-59CF1BB6EB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e0c0-fa44-4e03-9664-cfd3f4fa3d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SkYSPark Data_w Will's Data</vt:lpstr>
      <vt:lpstr>Missing Bldgs - Monthly EUI</vt:lpstr>
      <vt:lpstr>Solar Data-Main Campus</vt:lpstr>
      <vt:lpstr>Split meters</vt:lpstr>
      <vt:lpstr>Median Monthly EUIs</vt:lpstr>
      <vt:lpstr>Data availability</vt:lpstr>
      <vt:lpstr>Campus Totals</vt:lpstr>
      <vt:lpstr>Outliers</vt:lpstr>
      <vt:lpstr>BPD vs SJSU EUIs</vt:lpstr>
      <vt:lpstr>Climate Normalization</vt:lpstr>
      <vt:lpstr>Archive_Missing Bldgs-MAINcmps</vt:lpstr>
      <vt:lpstr>Archive_Missing Bldgs-OFFCampus</vt:lpstr>
      <vt:lpstr>Archived-SkYSPark Data</vt:lpstr>
      <vt:lpstr>Archived - Annual EUIs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Nikita Khatwani</cp:lastModifiedBy>
  <dcterms:created xsi:type="dcterms:W3CDTF">2024-08-14T17:26:22Z</dcterms:created>
  <dcterms:modified xsi:type="dcterms:W3CDTF">2024-09-12T22:19:48Z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0x010100E56D9CA51B68104BAD698D60D98C8CB4</vt:lpwstr>
  </property>
</Properties>
</file>