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" sheetId="1" r:id="rId4"/>
    <sheet state="visible" name="7" sheetId="2" r:id="rId5"/>
    <sheet state="visible" name="8" sheetId="3" r:id="rId6"/>
    <sheet state="visible" name="9" sheetId="4" r:id="rId7"/>
    <sheet state="visible" name="10" sheetId="5" r:id="rId8"/>
    <sheet state="visible" name="11" sheetId="6" r:id="rId9"/>
  </sheets>
  <definedNames/>
  <calcPr/>
</workbook>
</file>

<file path=xl/sharedStrings.xml><?xml version="1.0" encoding="utf-8"?>
<sst xmlns="http://schemas.openxmlformats.org/spreadsheetml/2006/main" count="36" uniqueCount="6">
  <si>
    <t>Понедельник</t>
  </si>
  <si>
    <t>Вторник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</si>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</sst>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theme="1"/>
      <name val="Arial"/>
    </font>
    <font>
      <b/>
      <i/>
      <sz val="18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  <font>
      <sz val="11.0"/>
      <color rgb="FFFFFFFF"/>
      <name val="Arial"/>
    </font>
    <font>
      <u/>
      <sz val="11.0"/>
      <color rgb="FFFFFFFF"/>
      <name val="Arial"/>
    </font>
    <font>
      <u/>
      <sz val="11.0"/>
      <color rgb="FFFFFFFF"/>
      <name val="Arial"/>
    </font>
    <font>
      <b/>
      <sz val="11.0"/>
      <color rgb="FF000000"/>
      <name val="Arial"/>
    </font>
    <font>
      <b/>
      <sz val="11.0"/>
      <color rgb="FFFFFFFF"/>
      <name val="Arial"/>
    </font>
    <font>
      <sz val="11.0"/>
      <color rgb="FFFFFFFF"/>
      <name val="Arial"/>
      <scheme val="minor"/>
    </font>
    <font>
      <u/>
      <sz val="11.0"/>
      <color rgb="FFF3F3F3"/>
      <name val="Arial"/>
    </font>
    <font>
      <sz val="11.0"/>
      <color rgb="FFF3F3F3"/>
      <name val="Arial"/>
    </font>
    <font>
      <u/>
      <sz val="11.0"/>
      <color rgb="FF000000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CCCCCC"/>
      <name val="Arial"/>
    </font>
    <font>
      <sz val="11.0"/>
      <color rgb="FFCCCCCC"/>
      <name val="Arial"/>
      <scheme val="minor"/>
    </font>
    <font>
      <color rgb="FFCCCCCC"/>
      <name val="Arial"/>
      <scheme val="minor"/>
    </font>
    <font>
      <u/>
      <sz val="11.0"/>
      <color rgb="FF0000FF"/>
      <name val="Arial"/>
    </font>
    <font>
      <u/>
      <sz val="11.0"/>
      <color rgb="FFFFFFFF"/>
      <name val="Arial"/>
    </font>
    <font>
      <u/>
      <sz val="11.0"/>
      <color rgb="FF0000FF"/>
      <name val="Arial"/>
    </font>
    <font>
      <color rgb="FFFFFFFF"/>
      <name val="Arial"/>
      <scheme val="minor"/>
    </font>
    <font>
      <u/>
      <sz val="11.0"/>
      <color rgb="FFFFFFFF"/>
      <name val="Arial"/>
    </font>
    <font>
      <u/>
      <sz val="11.0"/>
      <color rgb="FF000000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3BDD3"/>
        <bgColor rgb="FFF3BDD3"/>
      </patternFill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2FF776"/>
        <bgColor rgb="FF2FF776"/>
      </patternFill>
    </fill>
    <fill>
      <patternFill patternType="solid">
        <fgColor rgb="FFC8FFD0"/>
        <bgColor rgb="FFC8FFD0"/>
      </patternFill>
    </fill>
    <fill>
      <patternFill patternType="solid">
        <fgColor rgb="FFFF5981"/>
        <bgColor rgb="FFFF5981"/>
      </patternFill>
    </fill>
    <fill>
      <patternFill patternType="solid">
        <fgColor rgb="FFFFFF00"/>
        <bgColor rgb="FFFFFF00"/>
      </patternFill>
    </fill>
    <fill>
      <patternFill patternType="solid">
        <fgColor rgb="FFFF7793"/>
        <bgColor rgb="FFFF7793"/>
      </patternFill>
    </fill>
    <fill>
      <patternFill patternType="solid">
        <fgColor rgb="FFD9CAFF"/>
        <bgColor rgb="FFD9CAF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0000FF"/>
        <bgColor rgb="FF0000FF"/>
      </patternFill>
    </fill>
    <fill>
      <patternFill patternType="solid">
        <fgColor rgb="FF5E32FF"/>
        <bgColor rgb="FF5E32FF"/>
      </patternFill>
    </fill>
    <fill>
      <patternFill patternType="solid">
        <fgColor rgb="FFF4CCCC"/>
        <bgColor rgb="FFF4CCCC"/>
      </patternFill>
    </fill>
    <fill>
      <patternFill patternType="solid">
        <fgColor rgb="FF7CFF9A"/>
        <bgColor rgb="FF7CFF9A"/>
      </patternFill>
    </fill>
    <fill>
      <patternFill patternType="solid">
        <fgColor rgb="FF7BF4FF"/>
        <bgColor rgb="FF7BF4FF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DDF7F7"/>
        <bgColor rgb="FFDDF7F7"/>
      </patternFill>
    </fill>
    <fill>
      <patternFill patternType="solid">
        <fgColor rgb="FFB8F9F9"/>
        <bgColor rgb="FFB8F9F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04D8C7"/>
        <bgColor rgb="FF04D8C7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B3FF"/>
        <bgColor rgb="FFFFB3FF"/>
      </patternFill>
    </fill>
    <fill>
      <patternFill patternType="solid">
        <fgColor rgb="FFF94391"/>
        <bgColor rgb="FFF94391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horizontal="center" shrinkToFit="0" textRotation="90" vertical="center" wrapText="1"/>
    </xf>
    <xf borderId="0" fillId="2" fontId="4" numFmtId="0" xfId="0" applyAlignment="1" applyFont="1">
      <alignment horizontal="center" shrinkToFit="0" vertical="center" wrapText="1"/>
    </xf>
    <xf borderId="0" fillId="6" fontId="7" numFmtId="0" xfId="0" applyAlignment="1" applyFill="1" applyFont="1">
      <alignment horizontal="center" shrinkToFit="0" vertical="center" wrapText="1"/>
    </xf>
    <xf borderId="0" fillId="7" fontId="4" numFmtId="0" xfId="0" applyAlignment="1" applyFill="1" applyFont="1">
      <alignment horizontal="center" shrinkToFit="0" vertical="center" wrapText="1"/>
    </xf>
    <xf borderId="0" fillId="6" fontId="7" numFmtId="0" xfId="0" applyAlignment="1" applyFont="1">
      <alignment horizontal="center" vertical="bottom"/>
    </xf>
    <xf borderId="0" fillId="0" fontId="3" numFmtId="0" xfId="0" applyFont="1"/>
    <xf borderId="0" fillId="8" fontId="5" numFmtId="0" xfId="0" applyAlignment="1" applyFill="1" applyFont="1">
      <alignment horizontal="center"/>
    </xf>
    <xf borderId="0" fillId="6" fontId="7" numFmtId="0" xfId="0" applyAlignment="1" applyFont="1">
      <alignment horizontal="center" shrinkToFit="0" vertical="bottom" wrapText="1"/>
    </xf>
    <xf borderId="0" fillId="3" fontId="3" numFmtId="0" xfId="0" applyFont="1"/>
    <xf borderId="0" fillId="9" fontId="4" numFmtId="0" xfId="0" applyAlignment="1" applyFill="1" applyFont="1">
      <alignment horizontal="center" shrinkToFit="0" vertical="center" wrapText="1"/>
    </xf>
    <xf borderId="0" fillId="10" fontId="7" numFmtId="0" xfId="0" applyAlignment="1" applyFill="1" applyFont="1">
      <alignment horizontal="center" shrinkToFit="0" vertical="center" wrapText="1"/>
    </xf>
    <xf borderId="0" fillId="11" fontId="4" numFmtId="0" xfId="0" applyAlignment="1" applyFill="1" applyFont="1">
      <alignment horizontal="center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0" fontId="5" numFmtId="0" xfId="0" applyFont="1"/>
    <xf borderId="0" fillId="12" fontId="4" numFmtId="0" xfId="0" applyAlignment="1" applyFill="1" applyFont="1">
      <alignment horizontal="center" shrinkToFit="0" vertical="center" wrapText="1"/>
    </xf>
    <xf borderId="0" fillId="13" fontId="7" numFmtId="0" xfId="0" applyAlignment="1" applyFill="1" applyFont="1">
      <alignment horizontal="center" shrinkToFit="0" vertical="center" wrapText="1"/>
    </xf>
    <xf borderId="0" fillId="14" fontId="4" numFmtId="0" xfId="0" applyAlignment="1" applyFill="1" applyFont="1">
      <alignment horizontal="center" shrinkToFit="0" vertical="center" wrapText="1"/>
    </xf>
    <xf borderId="0" fillId="15" fontId="9" numFmtId="0" xfId="0" applyAlignment="1" applyFill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15" fontId="7" numFmtId="0" xfId="0" applyAlignment="1" applyFont="1">
      <alignment horizontal="center" shrinkToFit="0" vertical="center" wrapText="1"/>
    </xf>
    <xf borderId="0" fillId="7" fontId="3" numFmtId="0" xfId="0" applyFont="1"/>
    <xf borderId="0" fillId="16" fontId="5" numFmtId="0" xfId="0" applyAlignment="1" applyFill="1" applyFont="1">
      <alignment horizontal="center"/>
    </xf>
    <xf borderId="0" fillId="4" fontId="10" numFmtId="0" xfId="0" applyAlignment="1" applyFont="1">
      <alignment horizontal="center" shrinkToFit="0" textRotation="90" vertical="center" wrapText="1"/>
    </xf>
    <xf borderId="0" fillId="17" fontId="7" numFmtId="0" xfId="0" applyAlignment="1" applyFill="1" applyFont="1">
      <alignment horizontal="center" shrinkToFit="0" vertical="center" wrapText="1"/>
    </xf>
    <xf borderId="0" fillId="18" fontId="11" numFmtId="0" xfId="0" applyAlignment="1" applyFill="1" applyFont="1">
      <alignment horizontal="center" shrinkToFit="0" textRotation="90" vertical="center" wrapText="1"/>
    </xf>
    <xf borderId="0" fillId="19" fontId="7" numFmtId="0" xfId="0" applyAlignment="1" applyFill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shrinkToFit="0" textRotation="90" vertical="center" wrapText="1"/>
    </xf>
    <xf borderId="0" fillId="3" fontId="7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shrinkToFit="0" vertical="center" wrapText="1"/>
    </xf>
    <xf borderId="0" fillId="20" fontId="4" numFmtId="0" xfId="0" applyAlignment="1" applyFill="1" applyFont="1">
      <alignment horizontal="center" shrinkToFit="0" vertical="center" wrapText="1"/>
    </xf>
    <xf borderId="0" fillId="21" fontId="7" numFmtId="0" xfId="0" applyAlignment="1" applyFill="1" applyFont="1">
      <alignment horizontal="center" shrinkToFit="0" vertical="center" wrapText="1"/>
    </xf>
    <xf borderId="0" fillId="22" fontId="7" numFmtId="0" xfId="0" applyAlignment="1" applyFill="1" applyFont="1">
      <alignment horizontal="center" shrinkToFit="0" vertical="center" wrapText="1"/>
    </xf>
    <xf borderId="0" fillId="10" fontId="13" numFmtId="0" xfId="0" applyAlignment="1" applyFont="1">
      <alignment horizontal="center" shrinkToFit="0" vertical="center" wrapText="1"/>
    </xf>
    <xf borderId="0" fillId="23" fontId="4" numFmtId="0" xfId="0" applyAlignment="1" applyFill="1" applyFont="1">
      <alignment horizontal="center" shrinkToFit="0" vertical="center" wrapText="1"/>
    </xf>
    <xf borderId="0" fillId="10" fontId="14" numFmtId="0" xfId="0" applyAlignment="1" applyFont="1">
      <alignment horizontal="center" shrinkToFit="0" vertical="center" wrapText="1"/>
    </xf>
    <xf borderId="0" fillId="24" fontId="4" numFmtId="0" xfId="0" applyAlignment="1" applyFill="1" applyFont="1">
      <alignment horizontal="center" shrinkToFit="0" textRotation="90" vertical="center" wrapText="1"/>
    </xf>
    <xf borderId="0" fillId="24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16" fontId="4" numFmtId="0" xfId="0" applyAlignment="1" applyFont="1">
      <alignment horizontal="center" shrinkToFit="0" vertical="center" wrapText="1"/>
    </xf>
    <xf borderId="0" fillId="12" fontId="15" numFmtId="0" xfId="0" applyAlignment="1" applyFont="1">
      <alignment horizontal="center" shrinkToFit="0" vertical="center" wrapText="1"/>
    </xf>
    <xf borderId="0" fillId="12" fontId="16" numFmtId="0" xfId="0" applyAlignment="1" applyFont="1">
      <alignment horizontal="center" shrinkToFit="0" vertical="center" wrapText="1"/>
    </xf>
    <xf borderId="0" fillId="18" fontId="7" numFmtId="0" xfId="0" applyAlignment="1" applyFont="1">
      <alignment horizontal="center" shrinkToFit="0" textRotation="90" vertical="center" wrapText="1"/>
    </xf>
    <xf borderId="0" fillId="25" fontId="4" numFmtId="0" xfId="0" applyAlignment="1" applyFill="1" applyFont="1">
      <alignment horizontal="center" shrinkToFit="0" vertical="center" wrapText="1"/>
    </xf>
    <xf borderId="0" fillId="23" fontId="5" numFmtId="0" xfId="0" applyAlignment="1" applyFont="1">
      <alignment horizontal="center"/>
    </xf>
    <xf borderId="0" fillId="12" fontId="5" numFmtId="0" xfId="0" applyAlignment="1" applyFont="1">
      <alignment horizontal="center"/>
    </xf>
    <xf borderId="0" fillId="2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7" fontId="3" numFmtId="0" xfId="0" applyAlignment="1" applyFont="1">
      <alignment horizontal="center" shrinkToFit="0" vertical="center" wrapText="1"/>
    </xf>
    <xf borderId="0" fillId="3" fontId="5" numFmtId="0" xfId="0" applyFont="1"/>
    <xf borderId="0" fillId="26" fontId="5" numFmtId="0" xfId="0" applyAlignment="1" applyFill="1" applyFont="1">
      <alignment horizontal="center"/>
    </xf>
    <xf borderId="0" fillId="27" fontId="7" numFmtId="0" xfId="0" applyAlignment="1" applyFill="1" applyFont="1">
      <alignment horizontal="center" shrinkToFit="0" vertical="center" wrapText="1"/>
    </xf>
    <xf borderId="0" fillId="4" fontId="5" numFmtId="0" xfId="0" applyAlignment="1" applyFont="1">
      <alignment horizontal="center" shrinkToFit="0" textRotation="90" vertical="center" wrapText="1"/>
    </xf>
    <xf borderId="0" fillId="4" fontId="12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textRotation="9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3" numFmtId="0" xfId="0" applyFont="1"/>
    <xf borderId="0" fillId="28" fontId="4" numFmtId="0" xfId="0" applyAlignment="1" applyFill="1" applyFont="1">
      <alignment horizontal="center" shrinkToFit="0" vertical="center" wrapText="1"/>
    </xf>
    <xf borderId="0" fillId="29" fontId="4" numFmtId="0" xfId="0" applyAlignment="1" applyFill="1" applyFont="1">
      <alignment horizontal="center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7" fontId="16" numFmtId="0" xfId="0" applyAlignment="1" applyFont="1">
      <alignment horizontal="center" shrinkToFit="0" vertical="center" wrapText="1"/>
    </xf>
    <xf borderId="0" fillId="30" fontId="4" numFmtId="0" xfId="0" applyAlignment="1" applyFill="1" applyFont="1">
      <alignment horizontal="center" shrinkToFit="0" vertical="center" wrapText="1"/>
    </xf>
    <xf borderId="0" fillId="31" fontId="4" numFmtId="0" xfId="0" applyAlignment="1" applyFill="1" applyFont="1">
      <alignment horizontal="center" shrinkToFit="0" vertical="center" wrapText="1"/>
    </xf>
    <xf borderId="0" fillId="32" fontId="7" numFmtId="0" xfId="0" applyAlignment="1" applyFill="1" applyFont="1">
      <alignment horizontal="center" shrinkToFit="0" vertical="center" wrapText="1"/>
    </xf>
    <xf borderId="0" fillId="33" fontId="4" numFmtId="0" xfId="0" applyAlignment="1" applyFill="1" applyFont="1">
      <alignment horizontal="center" shrinkToFit="0" vertical="center" wrapText="1"/>
    </xf>
    <xf borderId="0" fillId="3" fontId="18" numFmtId="0" xfId="0" applyAlignment="1" applyFont="1">
      <alignment horizontal="center" shrinkToFit="0" vertical="center" wrapText="1"/>
    </xf>
    <xf borderId="0" fillId="34" fontId="12" numFmtId="0" xfId="0" applyAlignment="1" applyFill="1" applyFont="1">
      <alignment horizontal="center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3" fontId="19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shrinkToFit="0" vertical="center" wrapText="1"/>
    </xf>
    <xf borderId="0" fillId="17" fontId="12" numFmtId="0" xfId="0" applyAlignment="1" applyFont="1">
      <alignment horizontal="center"/>
    </xf>
    <xf borderId="0" fillId="4" fontId="5" numFmtId="0" xfId="0" applyAlignment="1" applyFont="1">
      <alignment horizontal="center" shrinkToFit="0" vertical="center" wrapText="1"/>
    </xf>
    <xf borderId="0" fillId="27" fontId="12" numFmtId="0" xfId="0" applyAlignment="1" applyFont="1">
      <alignment horizontal="center" shrinkToFit="0" vertical="center" wrapText="1"/>
    </xf>
    <xf borderId="0" fillId="26" fontId="5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 shrinkToFit="0" vertical="center" wrapText="1"/>
    </xf>
    <xf borderId="0" fillId="17" fontId="12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/>
    </xf>
    <xf borderId="0" fillId="5" fontId="7" numFmtId="0" xfId="0" applyAlignment="1" applyFont="1">
      <alignment horizontal="center" shrinkToFit="0" vertical="center" wrapText="1"/>
    </xf>
    <xf borderId="0" fillId="10" fontId="4" numFmtId="0" xfId="0" applyAlignment="1" applyFont="1">
      <alignment horizontal="center" shrinkToFit="0" vertical="center" wrapText="1"/>
    </xf>
    <xf borderId="0" fillId="10" fontId="21" numFmtId="0" xfId="0" applyAlignment="1" applyFont="1">
      <alignment horizontal="center" shrinkToFit="0" vertical="center" wrapText="1"/>
    </xf>
    <xf borderId="0" fillId="13" fontId="22" numFmtId="0" xfId="0" applyAlignment="1" applyFont="1">
      <alignment horizontal="center" shrinkToFit="0" vertical="center" wrapText="1"/>
    </xf>
    <xf borderId="0" fillId="35" fontId="4" numFmtId="0" xfId="0" applyAlignment="1" applyFill="1" applyFont="1">
      <alignment horizontal="center" shrinkToFit="0" vertical="center" wrapText="1"/>
    </xf>
    <xf borderId="0" fillId="36" fontId="23" numFmtId="0" xfId="0" applyAlignment="1" applyFill="1" applyFont="1">
      <alignment horizontal="center" shrinkToFit="0" vertical="center" wrapText="1"/>
    </xf>
    <xf borderId="0" fillId="36" fontId="4" numFmtId="0" xfId="0" applyAlignment="1" applyFont="1">
      <alignment horizontal="center" shrinkToFit="0" vertical="center" wrapText="1"/>
    </xf>
    <xf borderId="0" fillId="34" fontId="7" numFmtId="0" xfId="0" applyAlignment="1" applyFont="1">
      <alignment horizontal="center" shrinkToFit="0" vertical="center" wrapText="1"/>
    </xf>
    <xf borderId="0" fillId="34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textRotation="90" vertical="center" wrapText="1"/>
    </xf>
    <xf borderId="0" fillId="37" fontId="4" numFmtId="0" xfId="0" applyAlignment="1" applyFill="1" applyFont="1">
      <alignment horizontal="center" shrinkToFit="0" vertical="center" wrapText="1"/>
    </xf>
    <xf borderId="0" fillId="18" fontId="12" numFmtId="0" xfId="0" applyAlignment="1" applyFont="1">
      <alignment horizontal="center" shrinkToFit="0" textRotation="90" vertical="center" wrapText="1"/>
    </xf>
    <xf borderId="0" fillId="19" fontId="1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5" fontId="5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center"/>
    </xf>
    <xf borderId="0" fillId="0" fontId="24" numFmtId="0" xfId="0" applyAlignment="1" applyFont="1">
      <alignment horizontal="center" shrinkToFit="0" vertical="center" wrapText="1"/>
    </xf>
    <xf borderId="0" fillId="38" fontId="25" numFmtId="0" xfId="0" applyAlignment="1" applyFill="1" applyFont="1">
      <alignment horizontal="center" shrinkToFit="0" vertical="center" wrapText="1"/>
    </xf>
    <xf borderId="0" fillId="38" fontId="7" numFmtId="0" xfId="0" applyAlignment="1" applyFont="1">
      <alignment horizontal="center" shrinkToFit="0" vertical="center" wrapText="1"/>
    </xf>
    <xf borderId="0" fillId="23" fontId="16" numFmtId="0" xfId="0" applyAlignment="1" applyFont="1">
      <alignment horizontal="center" shrinkToFit="0" vertical="center" wrapText="1"/>
    </xf>
    <xf borderId="0" fillId="25" fontId="16" numFmtId="0" xfId="0" applyAlignment="1" applyFont="1">
      <alignment horizontal="center" shrinkToFit="0" vertical="center" wrapText="1"/>
    </xf>
    <xf borderId="0" fillId="36" fontId="26" numFmtId="0" xfId="0" applyAlignment="1" applyFont="1">
      <alignment horizontal="center" shrinkToFit="0" vertical="center" wrapText="1"/>
    </xf>
    <xf borderId="0" fillId="36" fontId="16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textRotation="90" vertical="center" wrapText="1"/>
    </xf>
    <xf borderId="0" fillId="5" fontId="5" numFmtId="0" xfId="0" applyAlignment="1" applyFont="1">
      <alignment horizontal="center"/>
    </xf>
    <xf borderId="0" fillId="27" fontId="12" numFmtId="0" xfId="0" applyAlignment="1" applyFont="1">
      <alignment horizontal="center"/>
    </xf>
    <xf borderId="0" fillId="5" fontId="1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16" fontId="16" numFmtId="0" xfId="0" applyAlignment="1" applyFont="1">
      <alignment horizontal="center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37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n6mzrwnWnlxVkCBVGggYR-EM8h8IitLPWhko-Ghw4Rg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6mzrwnWnlxVkCBVGggYR-EM8h8IitLPWhko-Ghw4Rg/edit" TargetMode="External"/><Relationship Id="rId2" Type="http://schemas.openxmlformats.org/officeDocument/2006/relationships/hyperlink" Target="https://docs.google.com/document/d/1n6mzrwnWnlxVkCBVGggYR-EM8h8IitLPWhko-Ghw4Rg/edit" TargetMode="External"/><Relationship Id="rId3" Type="http://schemas.openxmlformats.org/officeDocument/2006/relationships/hyperlink" Target="https://docs.google.com/document/d/1XH1XZ0Vzsfpv9BRoTbRIsVCnZz7ED0xcqZRRh66eB_U/edit" TargetMode="External"/><Relationship Id="rId4" Type="http://schemas.openxmlformats.org/officeDocument/2006/relationships/hyperlink" Target="https://docs.google.com/document/d/1XH1XZ0Vzsfpv9BRoTbRIsVCnZz7ED0xcqZRRh66eB_U/edit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kAIMfJ5sPZVhHttGZ1VuYvgrqpArs7wZsB1PeiwVx4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hyperlink" Target="https://docs.google.com/document/d/1XH1XZ0Vzsfpv9BRoTbRIsVCnZz7ED0xcqZRRh66eB_U/edit" TargetMode="External"/><Relationship Id="rId5" Type="http://schemas.openxmlformats.org/officeDocument/2006/relationships/hyperlink" Target="https://docs.google.com/document/d/1n6mzrwnWnlxVkCBVGggYR-EM8h8IitLPWhko-Ghw4Rg/edit" TargetMode="External"/><Relationship Id="rId6" Type="http://schemas.openxmlformats.org/officeDocument/2006/relationships/hyperlink" Target="https://docs.google.com/document/d/1eGocS0UDGKqrROup8lq1zzPzsfSmT-G2mUTfDUoM5aA/edit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okAIMfJ5sPZVhHttGZ1VuYvgrqpArs7wZsB1PeiwVx4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hyperlink" Target="https://docs.google.com/document/d/1eGocS0UDGKqrROup8lq1zzPzsfSmT-G2mUTfDUoM5aA/edit" TargetMode="External"/><Relationship Id="rId6" Type="http://schemas.openxmlformats.org/officeDocument/2006/relationships/hyperlink" Target="https://docs.google.com/document/d/1n6mzrwnWnlxVkCBVGggYR-EM8h8IitLPWhko-Ghw4Rg/edit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okAIMfJ5sPZVhHttGZ1VuYvgrqpArs7wZsB1PeiwVx4/edit" TargetMode="External"/><Relationship Id="rId3" Type="http://schemas.openxmlformats.org/officeDocument/2006/relationships/hyperlink" Target="https://docs.google.com/document/d/1eGocS0UDGKqrROup8lq1zzPzsfSmT-G2mUTfDUoM5aA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hyperlink" Target="https://docs.google.com/document/d/1n6mzrwnWnlxVkCBVGggYR-EM8h8IitLPWhko-Ghw4Rg/edit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5.63"/>
    <col customWidth="1" min="4" max="4" width="2.13"/>
    <col customWidth="1" min="5" max="5" width="38.25"/>
    <col customWidth="1" min="6" max="6" width="2.13"/>
    <col customWidth="1" min="7" max="7" width="36.88"/>
    <col customWidth="1" min="8" max="8" width="1.88"/>
    <col customWidth="1" min="9" max="9" width="36.25"/>
    <col customWidth="1" min="10" max="10" width="2.13"/>
    <col customWidth="1" min="11" max="11" width="37.38"/>
    <col customWidth="1" min="12" max="12" width="2.13"/>
    <col customWidth="1" min="13" max="13" width="37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tr">
        <f>IFERROR(__xludf.DUMMYFUNCTION("IMPORTRANGE(""https://docs.google.com/spreadsheets/d/1RktLaT5GiT1q9_lejLsOtigGXC6_6STQuI7nfprWzdM/edit#gid=0"",""расписание кружков!a2:n56"")"),"6 класс")</f>
        <v>6 класс</v>
      </c>
      <c r="B2" s="7"/>
      <c r="C2" s="6" t="str">
        <f>IFERROR(__xludf.DUMMYFUNCTION("""COMPUTED_VALUE"""),"6 класс")</f>
        <v>6 класс</v>
      </c>
      <c r="D2" s="7"/>
      <c r="E2" s="6" t="str">
        <f>IFERROR(__xludf.DUMMYFUNCTION("""COMPUTED_VALUE"""),"6 класс")</f>
        <v>6 класс</v>
      </c>
      <c r="F2" s="7"/>
      <c r="G2" s="6" t="str">
        <f>IFERROR(__xludf.DUMMYFUNCTION("""COMPUTED_VALUE"""),"6 класс")</f>
        <v>6 класс</v>
      </c>
      <c r="H2" s="7"/>
      <c r="I2" s="6" t="str">
        <f>IFERROR(__xludf.DUMMYFUNCTION("""COMPUTED_VALUE"""),"6 класс")</f>
        <v>6 класс</v>
      </c>
      <c r="J2" s="7"/>
      <c r="K2" s="6" t="str">
        <f>IFERROR(__xludf.DUMMYFUNCTION("""COMPUTED_VALUE"""),"6 класс")</f>
        <v>6 класс</v>
      </c>
      <c r="L2" s="7"/>
      <c r="M2" s="6" t="str">
        <f>IFERROR(__xludf.DUMMYFUNCTION("""COMPUTED_VALUE"""),"6 класс")</f>
        <v>6 класс</v>
      </c>
      <c r="N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tr">
        <f>IFERROR(__xludf.DUMMYFUNCTION("""COMPUTED_VALUE"""),"УТРО")</f>
        <v>УТРО</v>
      </c>
      <c r="B3" s="7"/>
      <c r="C3" s="10"/>
      <c r="D3" s="7"/>
      <c r="E3" s="10"/>
      <c r="F3" s="7"/>
      <c r="G3" s="11" t="str">
        <f>IFERROR(__xludf.DUMMYFUNCTION("""COMPUTED_VALUE"""),"Волейбол ")</f>
        <v>Волейбол </v>
      </c>
      <c r="H3" s="7"/>
      <c r="I3" s="10"/>
      <c r="J3" s="7"/>
      <c r="K3" s="11" t="str">
        <f>IFERROR(__xludf.DUMMYFUNCTION("""COMPUTED_VALUE"""),"Волейбол 6А, 9А")</f>
        <v>Волейбол 6А, 9А</v>
      </c>
      <c r="L3" s="7"/>
      <c r="M3" s="11" t="str">
        <f>IFERROR(__xludf.DUMMYFUNCTION("""COMPUTED_VALUE"""),"Баскетбол")</f>
        <v>Баскетбол</v>
      </c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B4" s="7"/>
      <c r="C4" s="10"/>
      <c r="D4" s="7"/>
      <c r="E4" s="10"/>
      <c r="F4" s="7"/>
      <c r="G4" s="11" t="str">
        <f>IFERROR(__xludf.DUMMYFUNCTION("""COMPUTED_VALUE"""),"07.45-08.45")</f>
        <v>07.45-08.45</v>
      </c>
      <c r="H4" s="7"/>
      <c r="I4" s="10"/>
      <c r="J4" s="7"/>
      <c r="K4" s="11" t="str">
        <f>IFERROR(__xludf.DUMMYFUNCTION("""COMPUTED_VALUE"""),"07.45-08.45")</f>
        <v>07.45-08.45</v>
      </c>
      <c r="L4" s="7"/>
      <c r="M4" s="11" t="str">
        <f>IFERROR(__xludf.DUMMYFUNCTION("""COMPUTED_VALUE"""),"07.45-08.45")</f>
        <v>07.45-08.45</v>
      </c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/>
      <c r="C5" s="10"/>
      <c r="D5" s="7"/>
      <c r="E5" s="10"/>
      <c r="F5" s="7"/>
      <c r="G5" s="11" t="str">
        <f>IFERROR(__xludf.DUMMYFUNCTION("""COMPUTED_VALUE"""),"Меджалоглу С. С.")</f>
        <v>Меджалоглу С. С.</v>
      </c>
      <c r="H5" s="7"/>
      <c r="I5" s="10"/>
      <c r="J5" s="7"/>
      <c r="K5" s="11" t="str">
        <f>IFERROR(__xludf.DUMMYFUNCTION("""COMPUTED_VALUE"""),"Васянин С. И.")</f>
        <v>Васянин С. И.</v>
      </c>
      <c r="L5" s="7"/>
      <c r="M5" s="11" t="str">
        <f>IFERROR(__xludf.DUMMYFUNCTION("""COMPUTED_VALUE"""),"Межевич С. Д.")</f>
        <v>Межевич С. Д.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B6" s="7"/>
      <c r="C6" s="10"/>
      <c r="D6" s="7"/>
      <c r="E6" s="10"/>
      <c r="F6" s="7"/>
      <c r="G6" s="11" t="str">
        <f>IFERROR(__xludf.DUMMYFUNCTION("""COMPUTED_VALUE"""),"Код: 2038776")</f>
        <v>Код: 2038776</v>
      </c>
      <c r="H6" s="7"/>
      <c r="I6" s="10"/>
      <c r="J6" s="7"/>
      <c r="K6" s="11" t="str">
        <f>IFERROR(__xludf.DUMMYFUNCTION("""COMPUTED_VALUE"""),"Код: 2038599")</f>
        <v>Код: 2038599</v>
      </c>
      <c r="L6" s="7"/>
      <c r="M6" s="11" t="str">
        <f>IFERROR(__xludf.DUMMYFUNCTION("""COMPUTED_VALUE"""),"Код: 2037759")</f>
        <v>Код: 2037759</v>
      </c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7"/>
      <c r="C7" s="10"/>
      <c r="D7" s="7"/>
      <c r="E7" s="10"/>
      <c r="F7" s="7"/>
      <c r="G7" s="11" t="str">
        <f>IFERROR(__xludf.DUMMYFUNCTION("""COMPUTED_VALUE"""),"малый зал")</f>
        <v>малый зал</v>
      </c>
      <c r="H7" s="7"/>
      <c r="I7" s="10"/>
      <c r="J7" s="7"/>
      <c r="K7" s="11" t="str">
        <f>IFERROR(__xludf.DUMMYFUNCTION("""COMPUTED_VALUE"""),"малый зал")</f>
        <v>малый зал</v>
      </c>
      <c r="L7" s="7"/>
      <c r="M7" s="11" t="str">
        <f>IFERROR(__xludf.DUMMYFUNCTION("""COMPUTED_VALUE"""),"малый зал")</f>
        <v>малый зал</v>
      </c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0.5" customHeight="1"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B9" s="7"/>
      <c r="C9" s="10"/>
      <c r="D9" s="7"/>
      <c r="E9" s="11" t="str">
        <f>IFERROR(__xludf.DUMMYFUNCTION("""COMPUTED_VALUE"""),"Флорбол")</f>
        <v>Флорбол</v>
      </c>
      <c r="F9" s="7"/>
      <c r="G9" s="11" t="str">
        <f>IFERROR(__xludf.DUMMYFUNCTION("""COMPUTED_VALUE"""),"Флорбол")</f>
        <v>Флорбол</v>
      </c>
      <c r="H9" s="7"/>
      <c r="I9" s="11" t="str">
        <f>IFERROR(__xludf.DUMMYFUNCTION("""COMPUTED_VALUE"""),"Флорбол")</f>
        <v>Флорбол</v>
      </c>
      <c r="J9" s="7"/>
      <c r="K9" s="11" t="str">
        <f>IFERROR(__xludf.DUMMYFUNCTION("""COMPUTED_VALUE"""),"Флорбол")</f>
        <v>Флорбол</v>
      </c>
      <c r="L9" s="7"/>
      <c r="M9" s="11" t="str">
        <f>IFERROR(__xludf.DUMMYFUNCTION("""COMPUTED_VALUE"""),"Флорбол")</f>
        <v>Флорбол</v>
      </c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B10" s="7"/>
      <c r="C10" s="10"/>
      <c r="D10" s="7"/>
      <c r="E10" s="11" t="str">
        <f>IFERROR(__xludf.DUMMYFUNCTION("""COMPUTED_VALUE"""),"07.45-08.45")</f>
        <v>07.45-08.45</v>
      </c>
      <c r="F10" s="7"/>
      <c r="G10" s="11" t="str">
        <f>IFERROR(__xludf.DUMMYFUNCTION("""COMPUTED_VALUE"""),"07.45-08.45")</f>
        <v>07.45-08.45</v>
      </c>
      <c r="H10" s="7"/>
      <c r="I10" s="11" t="str">
        <f>IFERROR(__xludf.DUMMYFUNCTION("""COMPUTED_VALUE"""),"07.45-08.45")</f>
        <v>07.45-08.45</v>
      </c>
      <c r="J10" s="7"/>
      <c r="K10" s="11" t="str">
        <f>IFERROR(__xludf.DUMMYFUNCTION("""COMPUTED_VALUE"""),"07.45-08.45")</f>
        <v>07.45-08.45</v>
      </c>
      <c r="L10" s="7"/>
      <c r="M10" s="11" t="str">
        <f>IFERROR(__xludf.DUMMYFUNCTION("""COMPUTED_VALUE"""),"07.45-08.45")</f>
        <v>07.45-08.45</v>
      </c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7"/>
      <c r="C11" s="10"/>
      <c r="D11" s="7"/>
      <c r="E11" s="11" t="str">
        <f>IFERROR(__xludf.DUMMYFUNCTION("""COMPUTED_VALUE"""),"Заричный А. А.")</f>
        <v>Заричный А. А.</v>
      </c>
      <c r="F11" s="7"/>
      <c r="G11" s="11" t="str">
        <f>IFERROR(__xludf.DUMMYFUNCTION("""COMPUTED_VALUE"""),"Заричный А. А.")</f>
        <v>Заричный А. А.</v>
      </c>
      <c r="H11" s="7"/>
      <c r="I11" s="11" t="str">
        <f>IFERROR(__xludf.DUMMYFUNCTION("""COMPUTED_VALUE"""),"Заричный А. А.")</f>
        <v>Заричный А. А.</v>
      </c>
      <c r="J11" s="7"/>
      <c r="K11" s="11" t="str">
        <f>IFERROR(__xludf.DUMMYFUNCTION("""COMPUTED_VALUE"""),"Заричный А. А.")</f>
        <v>Заричный А. А.</v>
      </c>
      <c r="L11" s="7"/>
      <c r="M11" s="11" t="str">
        <f>IFERROR(__xludf.DUMMYFUNCTION("""COMPUTED_VALUE"""),"Заричный А. А.")</f>
        <v>Заричный А. А.</v>
      </c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B12" s="7"/>
      <c r="C12" s="10"/>
      <c r="D12" s="7"/>
      <c r="E12" s="11" t="str">
        <f>IFERROR(__xludf.DUMMYFUNCTION("""COMPUTED_VALUE"""),"Код: 2037917")</f>
        <v>Код: 2037917</v>
      </c>
      <c r="F12" s="7"/>
      <c r="G12" s="11" t="str">
        <f>IFERROR(__xludf.DUMMYFUNCTION("""COMPUTED_VALUE"""),"Код: 2037917")</f>
        <v>Код: 2037917</v>
      </c>
      <c r="H12" s="7"/>
      <c r="I12" s="11" t="str">
        <f>IFERROR(__xludf.DUMMYFUNCTION("""COMPUTED_VALUE"""),"Код: 2037917")</f>
        <v>Код: 2037917</v>
      </c>
      <c r="J12" s="7"/>
      <c r="K12" s="11" t="str">
        <f>IFERROR(__xludf.DUMMYFUNCTION("""COMPUTED_VALUE"""),"Код: 2037917")</f>
        <v>Код: 2037917</v>
      </c>
      <c r="L12" s="7"/>
      <c r="M12" s="11" t="str">
        <f>IFERROR(__xludf.DUMMYFUNCTION("""COMPUTED_VALUE"""),"Код: 2037917")</f>
        <v>Код: 2037917</v>
      </c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7"/>
      <c r="C13" s="10"/>
      <c r="D13" s="7"/>
      <c r="E13" s="11" t="str">
        <f>IFERROR(__xludf.DUMMYFUNCTION("""COMPUTED_VALUE"""),"большой зал")</f>
        <v>большой зал</v>
      </c>
      <c r="F13" s="7"/>
      <c r="G13" s="11" t="str">
        <f>IFERROR(__xludf.DUMMYFUNCTION("""COMPUTED_VALUE"""),"большой зал")</f>
        <v>большой зал</v>
      </c>
      <c r="H13" s="7"/>
      <c r="I13" s="11" t="str">
        <f>IFERROR(__xludf.DUMMYFUNCTION("""COMPUTED_VALUE"""),"большой зал")</f>
        <v>большой зал</v>
      </c>
      <c r="J13" s="7"/>
      <c r="K13" s="11" t="str">
        <f>IFERROR(__xludf.DUMMYFUNCTION("""COMPUTED_VALUE"""),"большой зал")</f>
        <v>большой зал</v>
      </c>
      <c r="L13" s="7"/>
      <c r="M13" s="11" t="str">
        <f>IFERROR(__xludf.DUMMYFUNCTION("""COMPUTED_VALUE"""),"большой зал")</f>
        <v>большой зал</v>
      </c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A15" s="10"/>
      <c r="B15" s="7"/>
      <c r="C15" s="13" t="str">
        <f>IFERROR(__xludf.DUMMYFUNCTION("""COMPUTED_VALUE"""),"Футбол")</f>
        <v>Футбол</v>
      </c>
      <c r="D15" s="7"/>
      <c r="E15" s="14"/>
      <c r="F15" s="14"/>
      <c r="G15" s="14"/>
      <c r="H15" s="14"/>
      <c r="I15" s="14"/>
      <c r="J15" s="14"/>
      <c r="K15" s="15" t="str">
        <f>IFERROR(__xludf.DUMMYFUNCTION("""COMPUTED_VALUE"""),"Консультация по русскому языку ")</f>
        <v>Консультация по русскому языку </v>
      </c>
      <c r="L15" s="14"/>
      <c r="M15" s="14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7"/>
      <c r="C16" s="16" t="str">
        <f>IFERROR(__xludf.DUMMYFUNCTION("""COMPUTED_VALUE"""),"15.00-16.30")</f>
        <v>15.00-16.30</v>
      </c>
      <c r="D16" s="7"/>
      <c r="E16" s="14"/>
      <c r="F16" s="14"/>
      <c r="G16" s="14"/>
      <c r="H16" s="14"/>
      <c r="I16" s="14"/>
      <c r="J16" s="14"/>
      <c r="K16" s="15" t="str">
        <f>IFERROR(__xludf.DUMMYFUNCTION("""COMPUTED_VALUE"""),"14.50-15.35")</f>
        <v>14.50-15.35</v>
      </c>
      <c r="L16" s="14"/>
      <c r="M16" s="14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7"/>
      <c r="C17" s="13" t="str">
        <f>IFERROR(__xludf.DUMMYFUNCTION("""COMPUTED_VALUE"""),"Миронов Е. В.")</f>
        <v>Миронов Е. В.</v>
      </c>
      <c r="D17" s="7"/>
      <c r="E17" s="14"/>
      <c r="F17" s="14"/>
      <c r="G17" s="14"/>
      <c r="H17" s="14"/>
      <c r="I17" s="14"/>
      <c r="J17" s="14"/>
      <c r="K17" s="15" t="str">
        <f>IFERROR(__xludf.DUMMYFUNCTION("""COMPUTED_VALUE""")," Арбузова С. А. ")</f>
        <v> Арбузова С. А. </v>
      </c>
      <c r="L17" s="14"/>
      <c r="M17" s="14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7"/>
      <c r="C18" s="13" t="str">
        <f>IFERROR(__xludf.DUMMYFUNCTION("""COMPUTED_VALUE"""),"Код: 2039215")</f>
        <v>Код: 2039215</v>
      </c>
      <c r="D18" s="7"/>
      <c r="E18" s="14"/>
      <c r="F18" s="14"/>
      <c r="G18" s="14"/>
      <c r="H18" s="14"/>
      <c r="I18" s="14"/>
      <c r="J18" s="14"/>
      <c r="K18" s="15" t="str">
        <f>IFERROR(__xludf.DUMMYFUNCTION("""COMPUTED_VALUE"""),"6 классы")</f>
        <v>6 классы</v>
      </c>
      <c r="L18" s="14"/>
      <c r="M18" s="14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7"/>
      <c r="C19" s="13" t="str">
        <f>IFERROR(__xludf.DUMMYFUNCTION("""COMPUTED_VALUE"""),"большой зал")</f>
        <v>большой зал</v>
      </c>
      <c r="D19" s="7"/>
      <c r="E19" s="14"/>
      <c r="F19" s="14"/>
      <c r="G19" s="14"/>
      <c r="H19" s="14"/>
      <c r="I19" s="14"/>
      <c r="J19" s="14"/>
      <c r="K19" s="15" t="str">
        <f>IFERROR(__xludf.DUMMYFUNCTION("""COMPUTED_VALUE"""),"54 кабинет")</f>
        <v>54 кабинет</v>
      </c>
      <c r="L19" s="14"/>
      <c r="M19" s="14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0" customHeight="1">
      <c r="A20" s="12"/>
      <c r="B20" s="7"/>
      <c r="C20" s="7"/>
      <c r="D20" s="7"/>
      <c r="E20" s="17"/>
      <c r="F20" s="17"/>
      <c r="G20" s="17"/>
      <c r="H20" s="17"/>
      <c r="I20" s="17"/>
      <c r="J20" s="17"/>
      <c r="K20" s="17"/>
      <c r="L20" s="17"/>
      <c r="M20" s="1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7"/>
      <c r="C21" s="18" t="str">
        <f>IFERROR(__xludf.DUMMYFUNCTION("""COMPUTED_VALUE"""),"Скорая физическая помощь")</f>
        <v>Скорая физическая помощь</v>
      </c>
      <c r="D21" s="7"/>
      <c r="E21" s="19" t="str">
        <f>IFERROR(__xludf.DUMMYFUNCTION("""COMPUTED_VALUE"""),"Общая инженерная грамотность")</f>
        <v>Общая инженерная грамотность</v>
      </c>
      <c r="F21" s="7"/>
      <c r="G21" s="19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21" s="7"/>
      <c r="I21" s="20" t="str">
        <f>IFERROR(__xludf.DUMMYFUNCTION("""COMPUTED_VALUE"""),"Олимпиадная математика для 6 параллели ")</f>
        <v>Олимпиадная математика для 6 параллели </v>
      </c>
      <c r="J21" s="7"/>
      <c r="K21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1" s="7"/>
      <c r="M21" s="22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18" t="str">
        <f>IFERROR(__xludf.DUMMYFUNCTION("""COMPUTED_VALUE"""),"15.00 - 16.00")</f>
        <v>15.00 - 16.00</v>
      </c>
      <c r="D22" s="7"/>
      <c r="E22" s="19" t="str">
        <f>IFERROR(__xludf.DUMMYFUNCTION("""COMPUTED_VALUE"""),"15:00 - 16:30")</f>
        <v>15:00 - 16:30</v>
      </c>
      <c r="F22" s="7"/>
      <c r="G22" s="19" t="str">
        <f>IFERROR(__xludf.DUMMYFUNCTION("""COMPUTED_VALUE"""),"15:00 - 17:00")</f>
        <v>15:00 - 17:00</v>
      </c>
      <c r="H22" s="7"/>
      <c r="I22" s="20" t="str">
        <f>IFERROR(__xludf.DUMMYFUNCTION("""COMPUTED_VALUE"""),"15.00-17.00")</f>
        <v>15.00-17.00</v>
      </c>
      <c r="J22" s="7"/>
      <c r="K22" s="19" t="str">
        <f>IFERROR(__xludf.DUMMYFUNCTION("""COMPUTED_VALUE"""),"15:00 - 17:00")</f>
        <v>15:00 - 17:00</v>
      </c>
      <c r="L22" s="7"/>
      <c r="M22" s="22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18" t="str">
        <f>IFERROR(__xludf.DUMMYFUNCTION("""COMPUTED_VALUE"""),"Воропаева Е.Т.")</f>
        <v>Воропаева Е.Т.</v>
      </c>
      <c r="D23" s="7"/>
      <c r="E23" s="19" t="str">
        <f>IFERROR(__xludf.DUMMYFUNCTION("""COMPUTED_VALUE"""),"Дементьев Ю.Н.")</f>
        <v>Дементьев Ю.Н.</v>
      </c>
      <c r="F23" s="7"/>
      <c r="G23" s="19" t="str">
        <f>IFERROR(__xludf.DUMMYFUNCTION("""COMPUTED_VALUE"""),"Струговщиков В.В.")</f>
        <v>Струговщиков В.В.</v>
      </c>
      <c r="H23" s="7"/>
      <c r="I23" s="20" t="str">
        <f>IFERROR(__xludf.DUMMYFUNCTION("""COMPUTED_VALUE"""),"Васянин С. И., Седов Г. К., Губанов С. А.")</f>
        <v>Васянин С. И., Седов Г. К., Губанов С. А.</v>
      </c>
      <c r="J23" s="7"/>
      <c r="K23" s="19" t="str">
        <f>IFERROR(__xludf.DUMMYFUNCTION("""COMPUTED_VALUE"""),"Струговщиков В.В.")</f>
        <v>Струговщиков В.В.</v>
      </c>
      <c r="L23" s="7"/>
      <c r="M23" s="22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7"/>
      <c r="C24" s="18" t="str">
        <f>IFERROR(__xludf.DUMMYFUNCTION("""COMPUTED_VALUE"""),"Код: 2030046")</f>
        <v>Код: 2030046</v>
      </c>
      <c r="D24" s="7"/>
      <c r="E24" s="19" t="str">
        <f>IFERROR(__xludf.DUMMYFUNCTION("""COMPUTED_VALUE"""),"Код: 2030652")</f>
        <v>Код: 2030652</v>
      </c>
      <c r="F24" s="7"/>
      <c r="G24" s="19" t="str">
        <f>IFERROR(__xludf.DUMMYFUNCTION("""COMPUTED_VALUE"""),"Код: 2031075")</f>
        <v>Код: 2031075</v>
      </c>
      <c r="H24" s="7"/>
      <c r="I24" s="20" t="str">
        <f>IFERROR(__xludf.DUMMYFUNCTION("""COMPUTED_VALUE"""),"Код: 2033451")</f>
        <v>Код: 2033451</v>
      </c>
      <c r="J24" s="7"/>
      <c r="K24" s="19" t="str">
        <f>IFERROR(__xludf.DUMMYFUNCTION("""COMPUTED_VALUE"""),"Код: 2031075")</f>
        <v>Код: 2031075</v>
      </c>
      <c r="L24" s="7"/>
      <c r="M24" s="22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7"/>
      <c r="C25" s="18">
        <f>IFERROR(__xludf.DUMMYFUNCTION("""COMPUTED_VALUE"""),409.0)</f>
        <v>409</v>
      </c>
      <c r="D25" s="7"/>
      <c r="E25" s="19">
        <f>IFERROR(__xludf.DUMMYFUNCTION("""COMPUTED_VALUE"""),312.0)</f>
        <v>312</v>
      </c>
      <c r="F25" s="7"/>
      <c r="G25" s="19">
        <f>IFERROR(__xludf.DUMMYFUNCTION("""COMPUTED_VALUE"""),312.0)</f>
        <v>312</v>
      </c>
      <c r="H25" s="7"/>
      <c r="I25" s="20" t="str">
        <f>IFERROR(__xludf.DUMMYFUNCTION("""COMPUTED_VALUE"""),"20, 27, 29, 30, 37, 46")</f>
        <v>20, 27, 29, 30, 37, 46</v>
      </c>
      <c r="J25" s="7"/>
      <c r="K25" s="19">
        <f>IFERROR(__xludf.DUMMYFUNCTION("""COMPUTED_VALUE"""),312.0)</f>
        <v>312</v>
      </c>
      <c r="L25" s="7"/>
      <c r="M25" s="22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0.5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23" t="str">
        <f>IFERROR(__xludf.DUMMYFUNCTION("""COMPUTED_VALUE"""),"Консультация по математике")</f>
        <v>Консультация по математике</v>
      </c>
      <c r="D27" s="7"/>
      <c r="E27" s="24" t="str">
        <f>IFERROR(__xludf.DUMMYFUNCTION("""COMPUTED_VALUE"""),"Олимпиадный английский язык")</f>
        <v>Олимпиадный английский язык</v>
      </c>
      <c r="F27" s="7"/>
      <c r="G27" s="10"/>
      <c r="H27" s="7"/>
      <c r="I27" s="10"/>
      <c r="J27" s="7"/>
      <c r="K27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27" s="7"/>
      <c r="M27" s="11" t="str">
        <f>IFERROR(__xludf.DUMMYFUNCTION("""COMPUTED_VALUE"""),"БАДМИНТОН")</f>
        <v>БАДМИНТОН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23" t="str">
        <f>IFERROR(__xludf.DUMMYFUNCTION("""COMPUTED_VALUE"""),"14.50 - 15.35")</f>
        <v>14.50 - 15.35</v>
      </c>
      <c r="D28" s="7"/>
      <c r="E28" s="24" t="str">
        <f>IFERROR(__xludf.DUMMYFUNCTION("""COMPUTED_VALUE"""),"16.00-17.30")</f>
        <v>16.00-17.30</v>
      </c>
      <c r="F28" s="7"/>
      <c r="G28" s="10"/>
      <c r="H28" s="7"/>
      <c r="I28" s="10"/>
      <c r="J28" s="7"/>
      <c r="K28" s="25" t="str">
        <f>IFERROR(__xludf.DUMMYFUNCTION("""COMPUTED_VALUE"""),"14.45-17-45")</f>
        <v>14.45-17-45</v>
      </c>
      <c r="L28" s="7"/>
      <c r="M28" s="11" t="str">
        <f>IFERROR(__xludf.DUMMYFUNCTION("""COMPUTED_VALUE"""),"15.00-17.00")</f>
        <v>15.00-17.00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23" t="str">
        <f>IFERROR(__xludf.DUMMYFUNCTION("""COMPUTED_VALUE"""),"Нелаев К. А.")</f>
        <v>Нелаев К. А.</v>
      </c>
      <c r="D29" s="7"/>
      <c r="E29" s="24" t="str">
        <f>IFERROR(__xludf.DUMMYFUNCTION("""COMPUTED_VALUE"""),"Тевелева А. ")</f>
        <v>Тевелева А. </v>
      </c>
      <c r="F29" s="7"/>
      <c r="G29" s="10"/>
      <c r="H29" s="7"/>
      <c r="I29" s="10"/>
      <c r="J29" s="7"/>
      <c r="K29" s="25" t="str">
        <f>IFERROR(__xludf.DUMMYFUNCTION("""COMPUTED_VALUE"""),"Антипов М. И.")</f>
        <v>Антипов М. И.</v>
      </c>
      <c r="L29" s="7"/>
      <c r="M29" s="11" t="str">
        <f>IFERROR(__xludf.DUMMYFUNCTION("""COMPUTED_VALUE"""),"Седов Г. К.")</f>
        <v>Седов Г. К.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23" t="str">
        <f>IFERROR(__xludf.DUMMYFUNCTION("""COMPUTED_VALUE"""),"6В")</f>
        <v>6В</v>
      </c>
      <c r="D30" s="7"/>
      <c r="E30" s="24" t="str">
        <f>IFERROR(__xludf.DUMMYFUNCTION("""COMPUTED_VALUE"""),"Код: 2035254")</f>
        <v>Код: 2035254</v>
      </c>
      <c r="F30" s="7"/>
      <c r="G30" s="10"/>
      <c r="H30" s="7"/>
      <c r="I30" s="10"/>
      <c r="J30" s="7"/>
      <c r="K30" s="25" t="str">
        <f>IFERROR(__xludf.DUMMYFUNCTION("""COMPUTED_VALUE"""),"Код: 2077503")</f>
        <v>Код: 2077503</v>
      </c>
      <c r="L30" s="7"/>
      <c r="M30" s="11" t="str">
        <f>IFERROR(__xludf.DUMMYFUNCTION("""COMPUTED_VALUE"""),"Код: 2033375")</f>
        <v>Код: 2033375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23">
        <f>IFERROR(__xludf.DUMMYFUNCTION("""COMPUTED_VALUE"""),37.0)</f>
        <v>37</v>
      </c>
      <c r="D31" s="7"/>
      <c r="E31" s="24">
        <f>IFERROR(__xludf.DUMMYFUNCTION("""COMPUTED_VALUE"""),27.0)</f>
        <v>27</v>
      </c>
      <c r="F31" s="7"/>
      <c r="G31" s="10"/>
      <c r="H31" s="7"/>
      <c r="I31" s="10"/>
      <c r="J31" s="7"/>
      <c r="K31" s="25">
        <f>IFERROR(__xludf.DUMMYFUNCTION("""COMPUTED_VALUE"""),52.0)</f>
        <v>52</v>
      </c>
      <c r="L31" s="7"/>
      <c r="M31" s="11" t="str">
        <f>IFERROR(__xludf.DUMMYFUNCTION("""COMPUTED_VALUE"""),"большой зал")</f>
        <v>большой зал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9.75" customHeight="1">
      <c r="A32" s="12"/>
      <c r="B32" s="7"/>
      <c r="C32" s="12"/>
      <c r="D32" s="7"/>
      <c r="E32" s="12"/>
      <c r="F32" s="7"/>
      <c r="G32" s="12"/>
      <c r="H32" s="7"/>
      <c r="I32" s="10"/>
      <c r="J32" s="7"/>
      <c r="K32" s="12"/>
      <c r="L32" s="7"/>
      <c r="M32" s="12"/>
      <c r="N32" s="1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/>
      <c r="B33" s="17"/>
      <c r="C33" s="11" t="str">
        <f>IFERROR(__xludf.DUMMYFUNCTION("""COMPUTED_VALUE"""),"Баскетбол")</f>
        <v>Баскетбол</v>
      </c>
      <c r="D33" s="17"/>
      <c r="E33" s="14"/>
      <c r="F33" s="7"/>
      <c r="G33" s="26" t="str">
        <f>IFERROR(__xludf.DUMMYFUNCTION("""COMPUTED_VALUE"""),"Лингвистика")</f>
        <v>Лингвистика</v>
      </c>
      <c r="H33" s="7"/>
      <c r="I33" s="27"/>
      <c r="J33" s="7"/>
      <c r="K33" s="24" t="str">
        <f>IFERROR(__xludf.DUMMYFUNCTION("""COMPUTED_VALUE"""),"Немецкий язык ")</f>
        <v>Немецкий язык </v>
      </c>
      <c r="L33" s="7"/>
      <c r="M33" s="26" t="str">
        <f>IFERROR(__xludf.DUMMYFUNCTION("""COMPUTED_VALUE"""),"Лингвистика")</f>
        <v>Лингвистика</v>
      </c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/>
      <c r="B34" s="17"/>
      <c r="C34" s="11" t="str">
        <f>IFERROR(__xludf.DUMMYFUNCTION("""COMPUTED_VALUE"""),"15.00-17.00")</f>
        <v>15.00-17.00</v>
      </c>
      <c r="D34" s="17"/>
      <c r="E34" s="14"/>
      <c r="F34" s="7"/>
      <c r="G34" s="28" t="str">
        <f>IFERROR(__xludf.DUMMYFUNCTION("""COMPUTED_VALUE"""),"15.45 - 17.15")</f>
        <v>15.45 - 17.15</v>
      </c>
      <c r="H34" s="7"/>
      <c r="I34" s="27"/>
      <c r="J34" s="7"/>
      <c r="K34" s="24" t="str">
        <f>IFERROR(__xludf.DUMMYFUNCTION("""COMPUTED_VALUE"""),"16.00-17.00")</f>
        <v>16.00-17.00</v>
      </c>
      <c r="L34" s="7"/>
      <c r="M34" s="28" t="str">
        <f>IFERROR(__xludf.DUMMYFUNCTION("""COMPUTED_VALUE"""),"16.30-18.00")</f>
        <v>16.30-18.00</v>
      </c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/>
      <c r="B35" s="17"/>
      <c r="C35" s="11" t="str">
        <f>IFERROR(__xludf.DUMMYFUNCTION("""COMPUTED_VALUE"""),"Межевич С. Д.")</f>
        <v>Межевич С. Д.</v>
      </c>
      <c r="D35" s="17"/>
      <c r="E35" s="14"/>
      <c r="F35" s="7"/>
      <c r="G35" s="28" t="str">
        <f>IFERROR(__xludf.DUMMYFUNCTION("""COMPUTED_VALUE"""),"Бушина А. С.")</f>
        <v>Бушина А. С.</v>
      </c>
      <c r="H35" s="7"/>
      <c r="I35" s="27"/>
      <c r="J35" s="7"/>
      <c r="K35" s="24" t="str">
        <f>IFERROR(__xludf.DUMMYFUNCTION("""COMPUTED_VALUE"""),"Рукк М. Ф.")</f>
        <v>Рукк М. Ф.</v>
      </c>
      <c r="L35" s="7"/>
      <c r="M35" s="28" t="str">
        <f>IFERROR(__xludf.DUMMYFUNCTION("""COMPUTED_VALUE"""),"Зильберман Е. А.")</f>
        <v>Зильберман Е. А.</v>
      </c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/>
      <c r="B36" s="17"/>
      <c r="C36" s="11" t="str">
        <f>IFERROR(__xludf.DUMMYFUNCTION("""COMPUTED_VALUE"""),"Код: 2037759")</f>
        <v>Код: 2037759</v>
      </c>
      <c r="D36" s="17"/>
      <c r="E36" s="14"/>
      <c r="F36" s="7"/>
      <c r="G36" s="28" t="str">
        <f>IFERROR(__xludf.DUMMYFUNCTION("""COMPUTED_VALUE"""),"Код: 2022681")</f>
        <v>Код: 2022681</v>
      </c>
      <c r="H36" s="7"/>
      <c r="I36" s="27"/>
      <c r="J36" s="7"/>
      <c r="K36" s="24" t="str">
        <f>IFERROR(__xludf.DUMMYFUNCTION("""COMPUTED_VALUE"""),"Код: 2077518")</f>
        <v>Код: 2077518</v>
      </c>
      <c r="L36" s="7"/>
      <c r="M36" s="28" t="str">
        <f>IFERROR(__xludf.DUMMYFUNCTION("""COMPUTED_VALUE"""),"Код: 2022681")</f>
        <v>Код: 2022681</v>
      </c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/>
      <c r="B37" s="17"/>
      <c r="C37" s="11" t="str">
        <f>IFERROR(__xludf.DUMMYFUNCTION("""COMPUTED_VALUE"""),"большой зал")</f>
        <v>большой зал</v>
      </c>
      <c r="D37" s="17"/>
      <c r="E37" s="14"/>
      <c r="F37" s="7"/>
      <c r="G37" s="28">
        <f>IFERROR(__xludf.DUMMYFUNCTION("""COMPUTED_VALUE"""),41.0)</f>
        <v>41</v>
      </c>
      <c r="H37" s="7"/>
      <c r="I37" s="27"/>
      <c r="J37" s="7"/>
      <c r="K37" s="24">
        <f>IFERROR(__xludf.DUMMYFUNCTION("""COMPUTED_VALUE"""),53.0)</f>
        <v>53</v>
      </c>
      <c r="L37" s="7"/>
      <c r="M37" s="28" t="str">
        <f>IFERROR(__xludf.DUMMYFUNCTION("""COMPUTED_VALUE"""),"онлайн")</f>
        <v>онлайн</v>
      </c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9.0" customHeight="1">
      <c r="A38" s="29"/>
      <c r="B38" s="17"/>
      <c r="C38" s="29"/>
      <c r="D38" s="1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14"/>
      <c r="B39" s="7"/>
      <c r="C39" s="30" t="str">
        <f>IFERROR(__xludf.DUMMYFUNCTION("""COMPUTED_VALUE"""),"Шахматы ")</f>
        <v>Шахматы </v>
      </c>
      <c r="D39" s="7"/>
      <c r="E39" s="14"/>
      <c r="F39" s="17"/>
      <c r="G39" s="14"/>
      <c r="H39" s="17"/>
      <c r="I39" s="14"/>
      <c r="J39" s="17"/>
      <c r="K39" s="30" t="str">
        <f>IFERROR(__xludf.DUMMYFUNCTION("""COMPUTED_VALUE"""),"Шахматы ")</f>
        <v>Шахматы </v>
      </c>
      <c r="L39" s="17"/>
      <c r="M39" s="14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/>
      <c r="B40" s="7"/>
      <c r="C40" s="30" t="str">
        <f>IFERROR(__xludf.DUMMYFUNCTION("""COMPUTED_VALUE"""),"15.30-17.00")</f>
        <v>15.30-17.00</v>
      </c>
      <c r="D40" s="7"/>
      <c r="E40" s="14"/>
      <c r="F40" s="17"/>
      <c r="G40" s="14"/>
      <c r="H40" s="17"/>
      <c r="I40" s="14"/>
      <c r="J40" s="17"/>
      <c r="K40" s="30" t="str">
        <f>IFERROR(__xludf.DUMMYFUNCTION("""COMPUTED_VALUE"""),"15.30-17.30")</f>
        <v>15.30-17.30</v>
      </c>
      <c r="L40" s="17"/>
      <c r="M40" s="14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/>
      <c r="B41" s="7"/>
      <c r="C41" s="30" t="str">
        <f>IFERROR(__xludf.DUMMYFUNCTION("""COMPUTED_VALUE"""),"Врублевская А. О.")</f>
        <v>Врублевская А. О.</v>
      </c>
      <c r="D41" s="7"/>
      <c r="E41" s="14"/>
      <c r="F41" s="17"/>
      <c r="G41" s="14"/>
      <c r="H41" s="17"/>
      <c r="I41" s="14"/>
      <c r="J41" s="17"/>
      <c r="K41" s="30" t="str">
        <f>IFERROR(__xludf.DUMMYFUNCTION("""COMPUTED_VALUE"""),"Врублевская А. О.")</f>
        <v>Врублевская А. О.</v>
      </c>
      <c r="L41" s="17"/>
      <c r="M41" s="14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/>
      <c r="B42" s="7"/>
      <c r="C42" s="30" t="str">
        <f>IFERROR(__xludf.DUMMYFUNCTION("""COMPUTED_VALUE"""),"Код: 2052591")</f>
        <v>Код: 2052591</v>
      </c>
      <c r="D42" s="7"/>
      <c r="E42" s="14"/>
      <c r="F42" s="17"/>
      <c r="G42" s="14"/>
      <c r="H42" s="17"/>
      <c r="I42" s="14"/>
      <c r="J42" s="17"/>
      <c r="K42" s="30" t="str">
        <f>IFERROR(__xludf.DUMMYFUNCTION("""COMPUTED_VALUE"""),"Код: 2052591")</f>
        <v>Код: 2052591</v>
      </c>
      <c r="L42" s="17"/>
      <c r="M42" s="14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/>
      <c r="B43" s="7"/>
      <c r="C43" s="30">
        <f>IFERROR(__xludf.DUMMYFUNCTION("""COMPUTED_VALUE"""),311.0)</f>
        <v>311</v>
      </c>
      <c r="D43" s="7"/>
      <c r="E43" s="14"/>
      <c r="F43" s="17"/>
      <c r="G43" s="14"/>
      <c r="H43" s="17"/>
      <c r="I43" s="14"/>
      <c r="J43" s="17"/>
      <c r="K43" s="30">
        <f>IFERROR(__xludf.DUMMYFUNCTION("""COMPUTED_VALUE"""),311.0)</f>
        <v>311</v>
      </c>
      <c r="L43" s="17"/>
      <c r="M43" s="14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0.5" customHeight="1">
      <c r="A44" s="14"/>
      <c r="B44" s="7"/>
      <c r="C44" s="12"/>
      <c r="D44" s="7"/>
      <c r="E44" s="29"/>
      <c r="F44" s="17"/>
      <c r="G44" s="29"/>
      <c r="H44" s="17"/>
      <c r="I44" s="29"/>
      <c r="J44" s="17"/>
      <c r="K44" s="29"/>
      <c r="L44" s="17"/>
      <c r="M44" s="29"/>
      <c r="N44" s="12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1" t="str">
        <f>IFERROR(__xludf.DUMMYFUNCTION("""COMPUTED_VALUE"""),"Кружки по информатике без отбора ")</f>
        <v>Кружки по информатике без отбора </v>
      </c>
      <c r="B45" s="7"/>
      <c r="C45" s="23" t="str">
        <f>IFERROR(__xludf.DUMMYFUNCTION("""COMPUTED_VALUE"""),"Консультация по математике ")</f>
        <v>Консультация по математике </v>
      </c>
      <c r="D45" s="7"/>
      <c r="E45" s="10"/>
      <c r="F45" s="7"/>
      <c r="G45" s="23" t="str">
        <f>IFERROR(__xludf.DUMMYFUNCTION("""COMPUTED_VALUE"""),"Консультация по математике ")</f>
        <v>Консультация по математике </v>
      </c>
      <c r="H45" s="7"/>
      <c r="I45" s="32" t="str">
        <f>IFERROR(__xludf.DUMMYFUNCTION("""COMPUTED_VALUE"""),"Программирование для начинающих")</f>
        <v>Программирование для начинающих</v>
      </c>
      <c r="J45" s="7"/>
      <c r="K45" s="23" t="str">
        <f>IFERROR(__xludf.DUMMYFUNCTION("""COMPUTED_VALUE"""),"Консультация по математике ")</f>
        <v>Консультация по математике </v>
      </c>
      <c r="L45" s="7"/>
      <c r="M45" s="32" t="str">
        <f>IFERROR(__xludf.DUMMYFUNCTION("""COMPUTED_VALUE"""),"Программирование для начинающих")</f>
        <v>Программирование для начинающих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B46" s="7"/>
      <c r="C46" s="23" t="str">
        <f>IFERROR(__xludf.DUMMYFUNCTION("""COMPUTED_VALUE"""),"15.00-15.40")</f>
        <v>15.00-15.40</v>
      </c>
      <c r="D46" s="7"/>
      <c r="E46" s="10"/>
      <c r="F46" s="7"/>
      <c r="G46" s="23" t="str">
        <f>IFERROR(__xludf.DUMMYFUNCTION("""COMPUTED_VALUE"""),"15.00-15.40")</f>
        <v>15.00-15.40</v>
      </c>
      <c r="H46" s="7"/>
      <c r="I46" s="32" t="str">
        <f>IFERROR(__xludf.DUMMYFUNCTION("""COMPUTED_VALUE"""),"15.45 - 18.15")</f>
        <v>15.45 - 18.15</v>
      </c>
      <c r="J46" s="7"/>
      <c r="K46" s="23" t="str">
        <f>IFERROR(__xludf.DUMMYFUNCTION("""COMPUTED_VALUE"""),"15.00-15.40")</f>
        <v>15.00-15.40</v>
      </c>
      <c r="L46" s="7"/>
      <c r="M46" s="32" t="str">
        <f>IFERROR(__xludf.DUMMYFUNCTION("""COMPUTED_VALUE"""),"14.50 - 17.20")</f>
        <v>14.50 - 17.20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B47" s="7"/>
      <c r="C47" s="23" t="str">
        <f>IFERROR(__xludf.DUMMYFUNCTION("""COMPUTED_VALUE"""),"Васянин С. И.")</f>
        <v>Васянин С. И.</v>
      </c>
      <c r="D47" s="7"/>
      <c r="E47" s="10"/>
      <c r="F47" s="7"/>
      <c r="G47" s="23" t="str">
        <f>IFERROR(__xludf.DUMMYFUNCTION("""COMPUTED_VALUE"""),"Седов Г. К.")</f>
        <v>Седов Г. К.</v>
      </c>
      <c r="H47" s="7"/>
      <c r="I47" s="32" t="str">
        <f>IFERROR(__xludf.DUMMYFUNCTION("""COMPUTED_VALUE"""),"Чернов В. Е.")</f>
        <v>Чернов В. Е.</v>
      </c>
      <c r="J47" s="7"/>
      <c r="K47" s="23" t="str">
        <f>IFERROR(__xludf.DUMMYFUNCTION("""COMPUTED_VALUE"""),"Седов Г. К.")</f>
        <v>Седов Г. К.</v>
      </c>
      <c r="L47" s="7"/>
      <c r="M47" s="32" t="str">
        <f>IFERROR(__xludf.DUMMYFUNCTION("""COMPUTED_VALUE"""),"Чернов В. Е.")</f>
        <v>Чернов В. Е.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B48" s="7"/>
      <c r="C48" s="23" t="str">
        <f>IFERROR(__xludf.DUMMYFUNCTION("""COMPUTED_VALUE"""),"6А")</f>
        <v>6А</v>
      </c>
      <c r="D48" s="7"/>
      <c r="E48" s="10"/>
      <c r="F48" s="7"/>
      <c r="G48" s="23" t="str">
        <f>IFERROR(__xludf.DUMMYFUNCTION("""COMPUTED_VALUE"""),"6Б")</f>
        <v>6Б</v>
      </c>
      <c r="H48" s="7"/>
      <c r="I48" s="32" t="str">
        <f>IFERROR(__xludf.DUMMYFUNCTION("""COMPUTED_VALUE"""),"Код: 2052417")</f>
        <v>Код: 2052417</v>
      </c>
      <c r="J48" s="7"/>
      <c r="K48" s="23" t="str">
        <f>IFERROR(__xludf.DUMMYFUNCTION("""COMPUTED_VALUE"""),"6Б")</f>
        <v>6Б</v>
      </c>
      <c r="L48" s="7"/>
      <c r="M48" s="32" t="str">
        <f>IFERROR(__xludf.DUMMYFUNCTION("""COMPUTED_VALUE"""),"Код: 2052417")</f>
        <v>Код: 2052417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B49" s="7"/>
      <c r="C49" s="23">
        <f>IFERROR(__xludf.DUMMYFUNCTION("""COMPUTED_VALUE"""),30.0)</f>
        <v>30</v>
      </c>
      <c r="D49" s="7"/>
      <c r="E49" s="10"/>
      <c r="F49" s="7"/>
      <c r="G49" s="23">
        <f>IFERROR(__xludf.DUMMYFUNCTION("""COMPUTED_VALUE"""),37.0)</f>
        <v>37</v>
      </c>
      <c r="H49" s="7"/>
      <c r="I49" s="32">
        <f>IFERROR(__xludf.DUMMYFUNCTION("""COMPUTED_VALUE"""),23.0)</f>
        <v>23</v>
      </c>
      <c r="J49" s="7"/>
      <c r="K49" s="23">
        <f>IFERROR(__xludf.DUMMYFUNCTION("""COMPUTED_VALUE"""),37.0)</f>
        <v>37</v>
      </c>
      <c r="L49" s="7"/>
      <c r="M49" s="32" t="str">
        <f>IFERROR(__xludf.DUMMYFUNCTION("""COMPUTED_VALUE"""),"24, 25, 26")</f>
        <v>24, 25, 26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3" t="str">
        <f>IFERROR(__xludf.DUMMYFUNCTION("""COMPUTED_VALUE"""),"Кружки по информатике с отбором")</f>
        <v>Кружки по информатике с отбором</v>
      </c>
      <c r="B51" s="7"/>
      <c r="C51" s="14"/>
      <c r="D51" s="7"/>
      <c r="E51" s="34" t="str">
        <f>IFERROR(__xludf.DUMMYFUNCTION("""COMPUTED_VALUE"""),"IT-кружок ""Потенциал""")</f>
        <v>IT-кружок "Потенциал"</v>
      </c>
      <c r="F51" s="7"/>
      <c r="G51" s="10"/>
      <c r="H51" s="7"/>
      <c r="I51" s="34" t="str">
        <f>IFERROR(__xludf.DUMMYFUNCTION("""COMPUTED_VALUE"""),"IT-кружок ""Потенциал""")</f>
        <v>IT-кружок "Потенциал"</v>
      </c>
      <c r="J51" s="7"/>
      <c r="K51" s="10"/>
      <c r="L51" s="7"/>
      <c r="M51" s="10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B52" s="7"/>
      <c r="C52" s="14"/>
      <c r="D52" s="7"/>
      <c r="E52" s="34" t="str">
        <f>IFERROR(__xludf.DUMMYFUNCTION("""COMPUTED_VALUE"""),"16.00-19.00")</f>
        <v>16.00-19.00</v>
      </c>
      <c r="F52" s="7"/>
      <c r="G52" s="10"/>
      <c r="H52" s="7"/>
      <c r="I52" s="34" t="str">
        <f>IFERROR(__xludf.DUMMYFUNCTION("""COMPUTED_VALUE"""),"16.00-19.00")</f>
        <v>16.00-19.00</v>
      </c>
      <c r="J52" s="7"/>
      <c r="K52" s="10"/>
      <c r="L52" s="7"/>
      <c r="M52" s="10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7"/>
      <c r="C53" s="14"/>
      <c r="D53" s="7"/>
      <c r="E53" s="34" t="str">
        <f>IFERROR(__xludf.DUMMYFUNCTION("""COMPUTED_VALUE"""),"Фёдоров К. Е.")</f>
        <v>Фёдоров К. Е.</v>
      </c>
      <c r="F53" s="7"/>
      <c r="G53" s="10"/>
      <c r="H53" s="7"/>
      <c r="I53" s="34" t="str">
        <f>IFERROR(__xludf.DUMMYFUNCTION("""COMPUTED_VALUE"""),"Фёдоров К. Е.")</f>
        <v>Фёдоров К. Е.</v>
      </c>
      <c r="J53" s="7"/>
      <c r="K53" s="10"/>
      <c r="L53" s="7"/>
      <c r="M53" s="10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B54" s="7"/>
      <c r="C54" s="14"/>
      <c r="D54" s="7"/>
      <c r="E54" s="34" t="str">
        <f>IFERROR(__xludf.DUMMYFUNCTION("""COMPUTED_VALUE"""),"Код: 2051997")</f>
        <v>Код: 2051997</v>
      </c>
      <c r="F54" s="7"/>
      <c r="G54" s="10"/>
      <c r="H54" s="7"/>
      <c r="I54" s="34" t="str">
        <f>IFERROR(__xludf.DUMMYFUNCTION("""COMPUTED_VALUE"""),"Код: 2051997")</f>
        <v>Код: 2051997</v>
      </c>
      <c r="J54" s="7"/>
      <c r="K54" s="10"/>
      <c r="L54" s="7"/>
      <c r="M54" s="10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7"/>
      <c r="C55" s="14"/>
      <c r="D55" s="7"/>
      <c r="E55" s="34" t="str">
        <f>IFERROR(__xludf.DUMMYFUNCTION("""COMPUTED_VALUE"""),"23, 25")</f>
        <v>23, 25</v>
      </c>
      <c r="F55" s="7"/>
      <c r="G55" s="10"/>
      <c r="H55" s="7"/>
      <c r="I55" s="34">
        <f>IFERROR(__xludf.DUMMYFUNCTION("""COMPUTED_VALUE"""),25.0)</f>
        <v>25</v>
      </c>
      <c r="J55" s="7"/>
      <c r="K55" s="10"/>
      <c r="L55" s="7"/>
      <c r="M55" s="10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7"/>
      <c r="C57" s="10"/>
      <c r="D57" s="7"/>
      <c r="E57" s="10"/>
      <c r="F57" s="7"/>
      <c r="G57" s="10"/>
      <c r="H57" s="7"/>
      <c r="I57" s="10"/>
      <c r="J57" s="7"/>
      <c r="K57" s="10"/>
      <c r="L57" s="7"/>
      <c r="M57" s="10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/>
      <c r="B58" s="7"/>
      <c r="C58" s="10"/>
      <c r="D58" s="7"/>
      <c r="E58" s="10"/>
      <c r="F58" s="7"/>
      <c r="G58" s="10"/>
      <c r="H58" s="7"/>
      <c r="I58" s="10"/>
      <c r="J58" s="7"/>
      <c r="K58" s="10"/>
      <c r="L58" s="7"/>
      <c r="M58" s="10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7"/>
      <c r="C59" s="10"/>
      <c r="D59" s="7"/>
      <c r="E59" s="10"/>
      <c r="F59" s="7"/>
      <c r="G59" s="10"/>
      <c r="H59" s="7"/>
      <c r="I59" s="10"/>
      <c r="J59" s="7"/>
      <c r="K59" s="10"/>
      <c r="L59" s="7"/>
      <c r="M59" s="10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/>
      <c r="B60" s="7"/>
      <c r="C60" s="10"/>
      <c r="D60" s="7"/>
      <c r="E60" s="10"/>
      <c r="F60" s="7"/>
      <c r="G60" s="10"/>
      <c r="H60" s="7"/>
      <c r="I60" s="10"/>
      <c r="J60" s="7"/>
      <c r="K60" s="10"/>
      <c r="L60" s="7"/>
      <c r="M60" s="10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7"/>
      <c r="C61" s="10"/>
      <c r="D61" s="7"/>
      <c r="E61" s="10"/>
      <c r="F61" s="7"/>
      <c r="G61" s="10"/>
      <c r="H61" s="7"/>
      <c r="I61" s="10"/>
      <c r="J61" s="7"/>
      <c r="K61" s="10"/>
      <c r="L61" s="7"/>
      <c r="M61" s="10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35"/>
      <c r="C63" s="8"/>
      <c r="D63" s="35"/>
      <c r="E63" s="8"/>
      <c r="F63" s="35"/>
      <c r="G63" s="8"/>
      <c r="H63" s="35"/>
      <c r="I63" s="8"/>
      <c r="J63" s="35"/>
      <c r="K63" s="8"/>
      <c r="L63" s="3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</sheetData>
  <mergeCells count="3">
    <mergeCell ref="A3:A13"/>
    <mergeCell ref="A45:A49"/>
    <mergeCell ref="A51:A55"/>
  </mergeCells>
  <hyperlinks>
    <hyperlink r:id="rId1" ref="K21"/>
    <hyperlink r:id="rId2" ref="G33"/>
    <hyperlink r:id="rId3" ref="M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5.25"/>
    <col customWidth="1" min="4" max="4" width="1.75"/>
    <col customWidth="1" min="5" max="5" width="38.25"/>
    <col customWidth="1" min="6" max="6" width="2.0"/>
    <col customWidth="1" min="7" max="7" width="35.25"/>
    <col customWidth="1" min="8" max="8" width="2.13"/>
    <col customWidth="1" min="9" max="9" width="38.5"/>
    <col customWidth="1" min="10" max="10" width="2.0"/>
    <col customWidth="1" min="11" max="11" width="35.0"/>
    <col customWidth="1" min="12" max="12" width="2.13"/>
    <col customWidth="1" min="13" max="13" width="35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6" t="str">
        <f>IFERROR(__xludf.DUMMYFUNCTION("IMPORTRANGE(""https://docs.google.com/spreadsheets/d/1RktLaT5GiT1q9_lejLsOtigGXC6_6STQuI7nfprWzdM/edit#gid=0"",""расписание кружков!a57:n134"")"),"7 класс")</f>
        <v>7 класс</v>
      </c>
      <c r="B2" s="2"/>
      <c r="C2" s="36" t="str">
        <f>IFERROR(__xludf.DUMMYFUNCTION("""COMPUTED_VALUE"""),"7 класс")</f>
        <v>7 класс</v>
      </c>
      <c r="D2" s="2"/>
      <c r="E2" s="36" t="str">
        <f>IFERROR(__xludf.DUMMYFUNCTION("""COMPUTED_VALUE"""),"7 класс")</f>
        <v>7 класс</v>
      </c>
      <c r="F2" s="2"/>
      <c r="G2" s="36" t="str">
        <f>IFERROR(__xludf.DUMMYFUNCTION("""COMPUTED_VALUE"""),"7 класс")</f>
        <v>7 класс</v>
      </c>
      <c r="H2" s="2"/>
      <c r="I2" s="36" t="str">
        <f>IFERROR(__xludf.DUMMYFUNCTION("""COMPUTED_VALUE"""),"7 класс")</f>
        <v>7 класс</v>
      </c>
      <c r="J2" s="2"/>
      <c r="K2" s="36" t="str">
        <f>IFERROR(__xludf.DUMMYFUNCTION("""COMPUTED_VALUE"""),"7 класс")</f>
        <v>7 класс</v>
      </c>
      <c r="L2" s="2"/>
      <c r="M2" s="36" t="str">
        <f>IFERROR(__xludf.DUMMYFUNCTION("""COMPUTED_VALUE"""),"7 класс")</f>
        <v>7 класс</v>
      </c>
      <c r="N2" s="3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7" t="str">
        <f>IFERROR(__xludf.DUMMYFUNCTION("""COMPUTED_VALUE"""),"УТРО")</f>
        <v>УТРО</v>
      </c>
      <c r="B3" s="38"/>
      <c r="C3" s="27"/>
      <c r="D3" s="38"/>
      <c r="E3" s="27"/>
      <c r="F3" s="38"/>
      <c r="G3" s="11" t="str">
        <f>IFERROR(__xludf.DUMMYFUNCTION("""COMPUTED_VALUE"""),"Волейбол ")</f>
        <v>Волейбол </v>
      </c>
      <c r="H3" s="38"/>
      <c r="I3" s="24" t="str">
        <f>IFERROR(__xludf.DUMMYFUNCTION("""COMPUTED_VALUE"""),"Speaking club")</f>
        <v>Speaking club</v>
      </c>
      <c r="J3" s="38"/>
      <c r="K3" s="27"/>
      <c r="L3" s="38"/>
      <c r="M3" s="11" t="str">
        <f>IFERROR(__xludf.DUMMYFUNCTION("""COMPUTED_VALUE"""),"Баскетбол")</f>
        <v>Баскетбол</v>
      </c>
      <c r="N3" s="38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B4" s="38"/>
      <c r="C4" s="27"/>
      <c r="D4" s="38"/>
      <c r="E4" s="27"/>
      <c r="F4" s="38"/>
      <c r="G4" s="11" t="str">
        <f>IFERROR(__xludf.DUMMYFUNCTION("""COMPUTED_VALUE"""),"07.45-08.45")</f>
        <v>07.45-08.45</v>
      </c>
      <c r="H4" s="38"/>
      <c r="I4" s="24" t="str">
        <f>IFERROR(__xludf.DUMMYFUNCTION("""COMPUTED_VALUE"""),"Код: 2034840")</f>
        <v>Код: 2034840</v>
      </c>
      <c r="J4" s="38"/>
      <c r="K4" s="27"/>
      <c r="L4" s="38"/>
      <c r="M4" s="11" t="str">
        <f>IFERROR(__xludf.DUMMYFUNCTION("""COMPUTED_VALUE"""),"07.45-08.45")</f>
        <v>07.45-08.45</v>
      </c>
      <c r="N4" s="38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B5" s="38"/>
      <c r="C5" s="27"/>
      <c r="D5" s="38"/>
      <c r="E5" s="27"/>
      <c r="F5" s="38"/>
      <c r="G5" s="11" t="str">
        <f>IFERROR(__xludf.DUMMYFUNCTION("""COMPUTED_VALUE"""),"Меджалоглу С. С.")</f>
        <v>Меджалоглу С. С.</v>
      </c>
      <c r="H5" s="38"/>
      <c r="I5" s="24" t="str">
        <f>IFERROR(__xludf.DUMMYFUNCTION("""COMPUTED_VALUE"""),"07.45-08.45")</f>
        <v>07.45-08.45</v>
      </c>
      <c r="J5" s="38"/>
      <c r="K5" s="27"/>
      <c r="L5" s="38"/>
      <c r="M5" s="11" t="str">
        <f>IFERROR(__xludf.DUMMYFUNCTION("""COMPUTED_VALUE"""),"Межевич С. Д.")</f>
        <v>Межевич С. Д.</v>
      </c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B6" s="38"/>
      <c r="C6" s="27"/>
      <c r="D6" s="38"/>
      <c r="E6" s="27"/>
      <c r="F6" s="38"/>
      <c r="G6" s="11" t="str">
        <f>IFERROR(__xludf.DUMMYFUNCTION("""COMPUTED_VALUE"""),"Код: 2038776")</f>
        <v>Код: 2038776</v>
      </c>
      <c r="H6" s="38"/>
      <c r="I6" s="24" t="str">
        <f>IFERROR(__xludf.DUMMYFUNCTION("""COMPUTED_VALUE"""),"Емельяненко А.Б.")</f>
        <v>Емельяненко А.Б.</v>
      </c>
      <c r="J6" s="38"/>
      <c r="K6" s="27"/>
      <c r="L6" s="38"/>
      <c r="M6" s="11" t="str">
        <f>IFERROR(__xludf.DUMMYFUNCTION("""COMPUTED_VALUE"""),"Код: 2037759")</f>
        <v>Код: 2037759</v>
      </c>
      <c r="N6" s="38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B7" s="38"/>
      <c r="C7" s="27"/>
      <c r="D7" s="38"/>
      <c r="E7" s="27"/>
      <c r="F7" s="38"/>
      <c r="G7" s="11" t="str">
        <f>IFERROR(__xludf.DUMMYFUNCTION("""COMPUTED_VALUE"""),"малый зал")</f>
        <v>малый зал</v>
      </c>
      <c r="H7" s="38"/>
      <c r="I7" s="24" t="str">
        <f>IFERROR(__xludf.DUMMYFUNCTION("""COMPUTED_VALUE"""),"Занятия будут проводиться после набора группы")</f>
        <v>Занятия будут проводиться после набора группы</v>
      </c>
      <c r="J7" s="38"/>
      <c r="K7" s="27"/>
      <c r="L7" s="38"/>
      <c r="M7" s="11" t="str">
        <f>IFERROR(__xludf.DUMMYFUNCTION("""COMPUTED_VALUE"""),"малый зал")</f>
        <v>малый зал</v>
      </c>
      <c r="N7" s="38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3.5" customHeight="1">
      <c r="B8" s="38"/>
      <c r="C8" s="40"/>
      <c r="D8" s="38"/>
      <c r="E8" s="40"/>
      <c r="F8" s="38"/>
      <c r="G8" s="40"/>
      <c r="H8" s="38"/>
      <c r="I8" s="40"/>
      <c r="J8" s="38"/>
      <c r="K8" s="40"/>
      <c r="L8" s="38"/>
      <c r="M8" s="40"/>
      <c r="N8" s="38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B9" s="38"/>
      <c r="C9" s="27"/>
      <c r="D9" s="38"/>
      <c r="E9" s="11" t="str">
        <f>IFERROR(__xludf.DUMMYFUNCTION("""COMPUTED_VALUE"""),"Флорбол")</f>
        <v>Флорбол</v>
      </c>
      <c r="F9" s="38"/>
      <c r="G9" s="11" t="str">
        <f>IFERROR(__xludf.DUMMYFUNCTION("""COMPUTED_VALUE"""),"Флорбол")</f>
        <v>Флорбол</v>
      </c>
      <c r="H9" s="38"/>
      <c r="I9" s="11" t="str">
        <f>IFERROR(__xludf.DUMMYFUNCTION("""COMPUTED_VALUE"""),"Флорбол")</f>
        <v>Флорбол</v>
      </c>
      <c r="J9" s="38"/>
      <c r="K9" s="11" t="str">
        <f>IFERROR(__xludf.DUMMYFUNCTION("""COMPUTED_VALUE"""),"Флорбол")</f>
        <v>Флорбол</v>
      </c>
      <c r="L9" s="38"/>
      <c r="M9" s="11" t="str">
        <f>IFERROR(__xludf.DUMMYFUNCTION("""COMPUTED_VALUE"""),"Флорбол")</f>
        <v>Флорбол</v>
      </c>
      <c r="N9" s="3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B10" s="38"/>
      <c r="C10" s="27"/>
      <c r="D10" s="38"/>
      <c r="E10" s="11" t="str">
        <f>IFERROR(__xludf.DUMMYFUNCTION("""COMPUTED_VALUE"""),"07.45-08.45")</f>
        <v>07.45-08.45</v>
      </c>
      <c r="F10" s="38"/>
      <c r="G10" s="11" t="str">
        <f>IFERROR(__xludf.DUMMYFUNCTION("""COMPUTED_VALUE"""),"07.45-08.45")</f>
        <v>07.45-08.45</v>
      </c>
      <c r="H10" s="38"/>
      <c r="I10" s="11" t="str">
        <f>IFERROR(__xludf.DUMMYFUNCTION("""COMPUTED_VALUE"""),"07.45-08.45")</f>
        <v>07.45-08.45</v>
      </c>
      <c r="J10" s="38"/>
      <c r="K10" s="11" t="str">
        <f>IFERROR(__xludf.DUMMYFUNCTION("""COMPUTED_VALUE"""),"07.45-08.45")</f>
        <v>07.45-08.45</v>
      </c>
      <c r="L10" s="38"/>
      <c r="M10" s="11" t="str">
        <f>IFERROR(__xludf.DUMMYFUNCTION("""COMPUTED_VALUE"""),"07.45-08.45")</f>
        <v>07.45-08.45</v>
      </c>
      <c r="N10" s="3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B11" s="38"/>
      <c r="C11" s="27"/>
      <c r="D11" s="38"/>
      <c r="E11" s="11" t="str">
        <f>IFERROR(__xludf.DUMMYFUNCTION("""COMPUTED_VALUE"""),"Заричный А. А.")</f>
        <v>Заричный А. А.</v>
      </c>
      <c r="F11" s="38"/>
      <c r="G11" s="11" t="str">
        <f>IFERROR(__xludf.DUMMYFUNCTION("""COMPUTED_VALUE"""),"Заричный А. А.")</f>
        <v>Заричный А. А.</v>
      </c>
      <c r="H11" s="38"/>
      <c r="I11" s="11" t="str">
        <f>IFERROR(__xludf.DUMMYFUNCTION("""COMPUTED_VALUE"""),"Заричный А. А.")</f>
        <v>Заричный А. А.</v>
      </c>
      <c r="J11" s="38"/>
      <c r="K11" s="11" t="str">
        <f>IFERROR(__xludf.DUMMYFUNCTION("""COMPUTED_VALUE"""),"Заричный А. А.")</f>
        <v>Заричный А. А.</v>
      </c>
      <c r="L11" s="38"/>
      <c r="M11" s="11" t="str">
        <f>IFERROR(__xludf.DUMMYFUNCTION("""COMPUTED_VALUE"""),"Заричный А. А.")</f>
        <v>Заричный А. А.</v>
      </c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B12" s="38"/>
      <c r="C12" s="27"/>
      <c r="D12" s="38"/>
      <c r="E12" s="11" t="str">
        <f>IFERROR(__xludf.DUMMYFUNCTION("""COMPUTED_VALUE"""),"Код: 2037917")</f>
        <v>Код: 2037917</v>
      </c>
      <c r="F12" s="38"/>
      <c r="G12" s="11" t="str">
        <f>IFERROR(__xludf.DUMMYFUNCTION("""COMPUTED_VALUE"""),"Код: 2037917")</f>
        <v>Код: 2037917</v>
      </c>
      <c r="H12" s="38"/>
      <c r="I12" s="11" t="str">
        <f>IFERROR(__xludf.DUMMYFUNCTION("""COMPUTED_VALUE"""),"Код: 2037917")</f>
        <v>Код: 2037917</v>
      </c>
      <c r="J12" s="38"/>
      <c r="K12" s="11" t="str">
        <f>IFERROR(__xludf.DUMMYFUNCTION("""COMPUTED_VALUE"""),"Код: 2037917")</f>
        <v>Код: 2037917</v>
      </c>
      <c r="L12" s="38"/>
      <c r="M12" s="11" t="str">
        <f>IFERROR(__xludf.DUMMYFUNCTION("""COMPUTED_VALUE"""),"Код: 2037917")</f>
        <v>Код: 2037917</v>
      </c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B13" s="38"/>
      <c r="C13" s="27"/>
      <c r="D13" s="38"/>
      <c r="E13" s="11" t="str">
        <f>IFERROR(__xludf.DUMMYFUNCTION("""COMPUTED_VALUE"""),"большой зал")</f>
        <v>большой зал</v>
      </c>
      <c r="F13" s="38"/>
      <c r="G13" s="11" t="str">
        <f>IFERROR(__xludf.DUMMYFUNCTION("""COMPUTED_VALUE"""),"большой зал")</f>
        <v>большой зал</v>
      </c>
      <c r="H13" s="38"/>
      <c r="I13" s="11" t="str">
        <f>IFERROR(__xludf.DUMMYFUNCTION("""COMPUTED_VALUE"""),"большой зал")</f>
        <v>большой зал</v>
      </c>
      <c r="J13" s="38"/>
      <c r="K13" s="11" t="str">
        <f>IFERROR(__xludf.DUMMYFUNCTION("""COMPUTED_VALUE"""),"большой зал")</f>
        <v>большой зал</v>
      </c>
      <c r="L13" s="38"/>
      <c r="M13" s="11" t="str">
        <f>IFERROR(__xludf.DUMMYFUNCTION("""COMPUTED_VALUE"""),"большой зал")</f>
        <v>большой зал</v>
      </c>
      <c r="N13" s="38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A15" s="10"/>
      <c r="B15" s="7"/>
      <c r="C15" s="41" t="str">
        <f>IFERROR(__xludf.DUMMYFUNCTION("""COMPUTED_VALUE"""),"Скорая физическая помощь")</f>
        <v>Скорая физическая помощь</v>
      </c>
      <c r="D15" s="7"/>
      <c r="E15" s="19" t="str">
        <f>IFERROR(__xludf.DUMMYFUNCTION("""COMPUTED_VALUE"""),"Общая инженерная грамотность")</f>
        <v>Общая инженерная грамотность</v>
      </c>
      <c r="F15" s="7"/>
      <c r="G15" s="42" t="str">
        <f>IFERROR(__xludf.DUMMYFUNCTION("""COMPUTED_VALUE"""),"Олимпиадная физика")</f>
        <v>Олимпиадная физика</v>
      </c>
      <c r="H15" s="7"/>
      <c r="I15" s="42" t="str">
        <f>IFERROR(__xludf.DUMMYFUNCTION("""COMPUTED_VALUE"""),"Физические турниры")</f>
        <v>Физические турниры</v>
      </c>
      <c r="J15" s="7"/>
      <c r="K15" s="42" t="str">
        <f>IFERROR(__xludf.DUMMYFUNCTION("""COMPUTED_VALUE"""),"Олимпиадная физика")</f>
        <v>Олимпиадная физика</v>
      </c>
      <c r="L15" s="7"/>
      <c r="M15" s="43" t="str">
        <f>IFERROR(__xludf.DUMMYFUNCTION("""COMPUTED_VALUE"""),"Физический эксперимент
(с 21 октября)")</f>
        <v>Физический эксперимент
(с 21 октября)</v>
      </c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7"/>
      <c r="C16" s="41" t="str">
        <f>IFERROR(__xludf.DUMMYFUNCTION("""COMPUTED_VALUE"""),"16.00 - 17.30")</f>
        <v>16.00 - 17.30</v>
      </c>
      <c r="D16" s="7"/>
      <c r="E16" s="19" t="str">
        <f>IFERROR(__xludf.DUMMYFUNCTION("""COMPUTED_VALUE"""),"15:00 - 16:30")</f>
        <v>15:00 - 16:30</v>
      </c>
      <c r="F16" s="7"/>
      <c r="G16" s="42" t="str">
        <f>IFERROR(__xludf.DUMMYFUNCTION("""COMPUTED_VALUE"""),"15.00 - 16.30")</f>
        <v>15.00 - 16.30</v>
      </c>
      <c r="H16" s="7"/>
      <c r="I16" s="42" t="str">
        <f>IFERROR(__xludf.DUMMYFUNCTION("""COMPUTED_VALUE"""),"15.00 - 17.00")</f>
        <v>15.00 - 17.00</v>
      </c>
      <c r="J16" s="7"/>
      <c r="K16" s="42" t="str">
        <f>IFERROR(__xludf.DUMMYFUNCTION("""COMPUTED_VALUE"""),"15.00 - 16.30")</f>
        <v>15.00 - 16.30</v>
      </c>
      <c r="L16" s="7"/>
      <c r="M16" s="43" t="str">
        <f>IFERROR(__xludf.DUMMYFUNCTION("""COMPUTED_VALUE"""),"15.00 - 16.30")</f>
        <v>15.00 - 16.30</v>
      </c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7"/>
      <c r="C17" s="41" t="str">
        <f>IFERROR(__xludf.DUMMYFUNCTION("""COMPUTED_VALUE"""),"Вахитов Р.Р.")</f>
        <v>Вахитов Р.Р.</v>
      </c>
      <c r="D17" s="7"/>
      <c r="E17" s="19" t="str">
        <f>IFERROR(__xludf.DUMMYFUNCTION("""COMPUTED_VALUE"""),"Дементьев Ю.Н.")</f>
        <v>Дементьев Ю.Н.</v>
      </c>
      <c r="F17" s="7"/>
      <c r="G17" s="42" t="str">
        <f>IFERROR(__xludf.DUMMYFUNCTION("""COMPUTED_VALUE"""),"Пылев И.С.")</f>
        <v>Пылев И.С.</v>
      </c>
      <c r="H17" s="7"/>
      <c r="I17" s="42" t="str">
        <f>IFERROR(__xludf.DUMMYFUNCTION("""COMPUTED_VALUE"""),"р")</f>
        <v>р</v>
      </c>
      <c r="J17" s="7"/>
      <c r="K17" s="42" t="str">
        <f>IFERROR(__xludf.DUMMYFUNCTION("""COMPUTED_VALUE"""),"Вахитов Р.Р.")</f>
        <v>Вахитов Р.Р.</v>
      </c>
      <c r="L17" s="7"/>
      <c r="M17" s="43" t="str">
        <f>IFERROR(__xludf.DUMMYFUNCTION("""COMPUTED_VALUE"""),"Критченкова А.М.")</f>
        <v>Критченкова А.М.</v>
      </c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7"/>
      <c r="C18" s="41" t="str">
        <f>IFERROR(__xludf.DUMMYFUNCTION("""COMPUTED_VALUE"""),"Код: 2030046")</f>
        <v>Код: 2030046</v>
      </c>
      <c r="D18" s="7"/>
      <c r="E18" s="19" t="str">
        <f>IFERROR(__xludf.DUMMYFUNCTION("""COMPUTED_VALUE"""),"Код: 2030652")</f>
        <v>Код: 2030652</v>
      </c>
      <c r="F18" s="7"/>
      <c r="G18" s="42" t="str">
        <f>IFERROR(__xludf.DUMMYFUNCTION("""COMPUTED_VALUE"""),"Код: 2031318")</f>
        <v>Код: 2031318</v>
      </c>
      <c r="H18" s="7"/>
      <c r="I18" s="42" t="str">
        <f>IFERROR(__xludf.DUMMYFUNCTION("""COMPUTED_VALUE"""),"Код: 2071093")</f>
        <v>Код: 2071093</v>
      </c>
      <c r="J18" s="7"/>
      <c r="K18" s="42" t="str">
        <f>IFERROR(__xludf.DUMMYFUNCTION("""COMPUTED_VALUE"""),"Код: 2031318")</f>
        <v>Код: 2031318</v>
      </c>
      <c r="L18" s="7"/>
      <c r="M18" s="43" t="str">
        <f>IFERROR(__xludf.DUMMYFUNCTION("""COMPUTED_VALUE"""),"Код: 2071059")</f>
        <v>Код: 2071059</v>
      </c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7"/>
      <c r="C19" s="41">
        <f>IFERROR(__xludf.DUMMYFUNCTION("""COMPUTED_VALUE"""),410.0)</f>
        <v>410</v>
      </c>
      <c r="D19" s="7"/>
      <c r="E19" s="19">
        <f>IFERROR(__xludf.DUMMYFUNCTION("""COMPUTED_VALUE"""),312.0)</f>
        <v>312</v>
      </c>
      <c r="F19" s="7"/>
      <c r="G19" s="42">
        <f>IFERROR(__xludf.DUMMYFUNCTION("""COMPUTED_VALUE"""),409.0)</f>
        <v>409</v>
      </c>
      <c r="H19" s="7"/>
      <c r="I19" s="42">
        <f>IFERROR(__xludf.DUMMYFUNCTION("""COMPUTED_VALUE"""),413.0)</f>
        <v>413</v>
      </c>
      <c r="J19" s="7"/>
      <c r="K19" s="42">
        <f>IFERROR(__xludf.DUMMYFUNCTION("""COMPUTED_VALUE"""),410.0)</f>
        <v>410</v>
      </c>
      <c r="L19" s="7"/>
      <c r="M19" s="43">
        <f>IFERROR(__xludf.DUMMYFUNCTION("""COMPUTED_VALUE"""),50.0)</f>
        <v>50</v>
      </c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0.5" customHeight="1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4.75" customHeight="1">
      <c r="A21" s="10"/>
      <c r="B21" s="7"/>
      <c r="C21" s="11" t="str">
        <f>IFERROR(__xludf.DUMMYFUNCTION("""COMPUTED_VALUE"""),"Футбол")</f>
        <v>Футбол</v>
      </c>
      <c r="D21" s="7"/>
      <c r="E21" s="10"/>
      <c r="F21" s="7"/>
      <c r="G21" s="41" t="str">
        <f>IFERROR(__xludf.DUMMYFUNCTION("""COMPUTED_VALUE"""),"Дежурный практикум")</f>
        <v>Дежурный практикум</v>
      </c>
      <c r="H21" s="7"/>
      <c r="I21" s="41" t="str">
        <f>IFERROR(__xludf.DUMMYFUNCTION("""COMPUTED_VALUE"""),"Дежурный практикум")</f>
        <v>Дежурный практикум</v>
      </c>
      <c r="J21" s="7"/>
      <c r="K21" s="23" t="str">
        <f>IFERROR(__xludf.DUMMYFUNCTION("""COMPUTED_VALUE"""),"Консультация по математике ")</f>
        <v>Консультация по математике </v>
      </c>
      <c r="L21" s="7"/>
      <c r="M21" s="11" t="str">
        <f>IFERROR(__xludf.DUMMYFUNCTION("""COMPUTED_VALUE"""),"БАДМИНТОН")</f>
        <v>БАДМИНТОН</v>
      </c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11" t="str">
        <f>IFERROR(__xludf.DUMMYFUNCTION("""COMPUTED_VALUE"""),"15.00-16.30")</f>
        <v>15.00-16.30</v>
      </c>
      <c r="D22" s="7"/>
      <c r="E22" s="10"/>
      <c r="F22" s="7"/>
      <c r="G22" s="41" t="str">
        <f>IFERROR(__xludf.DUMMYFUNCTION("""COMPUTED_VALUE"""),"14.45 - 15.45")</f>
        <v>14.45 - 15.45</v>
      </c>
      <c r="H22" s="7"/>
      <c r="I22" s="41" t="str">
        <f>IFERROR(__xludf.DUMMYFUNCTION("""COMPUTED_VALUE"""),"14.45 - 15.45")</f>
        <v>14.45 - 15.45</v>
      </c>
      <c r="J22" s="7"/>
      <c r="K22" s="23" t="str">
        <f>IFERROR(__xludf.DUMMYFUNCTION("""COMPUTED_VALUE"""),"15.00-16.00")</f>
        <v>15.00-16.00</v>
      </c>
      <c r="L22" s="7"/>
      <c r="M22" s="11" t="str">
        <f>IFERROR(__xludf.DUMMYFUNCTION("""COMPUTED_VALUE"""),"15.00-17.00")</f>
        <v>15.00-17.00</v>
      </c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11" t="str">
        <f>IFERROR(__xludf.DUMMYFUNCTION("""COMPUTED_VALUE"""),"Миронов Е. В.")</f>
        <v>Миронов Е. В.</v>
      </c>
      <c r="D23" s="7"/>
      <c r="E23" s="10"/>
      <c r="F23" s="7"/>
      <c r="G23" s="41" t="str">
        <f>IFERROR(__xludf.DUMMYFUNCTION("""COMPUTED_VALUE"""),"Антипов М.И.")</f>
        <v>Антипов М.И.</v>
      </c>
      <c r="H23" s="7"/>
      <c r="I23" s="41" t="str">
        <f>IFERROR(__xludf.DUMMYFUNCTION("""COMPUTED_VALUE"""),"Антипов М.И.")</f>
        <v>Антипов М.И.</v>
      </c>
      <c r="J23" s="7"/>
      <c r="K23" s="23" t="str">
        <f>IFERROR(__xludf.DUMMYFUNCTION("""COMPUTED_VALUE"""),"Акопян Э. А.")</f>
        <v>Акопян Э. А.</v>
      </c>
      <c r="L23" s="7"/>
      <c r="M23" s="11" t="str">
        <f>IFERROR(__xludf.DUMMYFUNCTION("""COMPUTED_VALUE"""),"Седов Г. К.")</f>
        <v>Седов Г. К.</v>
      </c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1.75" customHeight="1">
      <c r="A24" s="10"/>
      <c r="B24" s="7"/>
      <c r="C24" s="11" t="str">
        <f>IFERROR(__xludf.DUMMYFUNCTION("""COMPUTED_VALUE"""),"Код: 2039215")</f>
        <v>Код: 2039215</v>
      </c>
      <c r="D24" s="7"/>
      <c r="E24" s="10"/>
      <c r="F24" s="7"/>
      <c r="G24" s="41" t="str">
        <f>IFERROR(__xludf.DUMMYFUNCTION("""COMPUTED_VALUE"""),"Код: 2043804")</f>
        <v>Код: 2043804</v>
      </c>
      <c r="H24" s="7"/>
      <c r="I24" s="41" t="str">
        <f>IFERROR(__xludf.DUMMYFUNCTION("""COMPUTED_VALUE"""),"Код: 2043804")</f>
        <v>Код: 2043804</v>
      </c>
      <c r="J24" s="7"/>
      <c r="K24" s="23" t="str">
        <f>IFERROR(__xludf.DUMMYFUNCTION("""COMPUTED_VALUE"""),"7Б, 7В")</f>
        <v>7Б, 7В</v>
      </c>
      <c r="L24" s="7"/>
      <c r="M24" s="11" t="str">
        <f>IFERROR(__xludf.DUMMYFUNCTION("""COMPUTED_VALUE"""),"Код: 2033375")</f>
        <v>Код: 2033375</v>
      </c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10"/>
      <c r="B25" s="7"/>
      <c r="C25" s="11" t="str">
        <f>IFERROR(__xludf.DUMMYFUNCTION("""COMPUTED_VALUE"""),"большой зал")</f>
        <v>большой зал</v>
      </c>
      <c r="D25" s="7"/>
      <c r="E25" s="10"/>
      <c r="F25" s="7"/>
      <c r="G25" s="41">
        <f>IFERROR(__xludf.DUMMYFUNCTION("""COMPUTED_VALUE"""),50.0)</f>
        <v>50</v>
      </c>
      <c r="H25" s="7"/>
      <c r="I25" s="41">
        <f>IFERROR(__xludf.DUMMYFUNCTION("""COMPUTED_VALUE"""),50.0)</f>
        <v>50</v>
      </c>
      <c r="J25" s="7"/>
      <c r="K25" s="23">
        <f>IFERROR(__xludf.DUMMYFUNCTION("""COMPUTED_VALUE"""),40.0)</f>
        <v>40</v>
      </c>
      <c r="L25" s="7"/>
      <c r="M25" s="11" t="str">
        <f>IFERROR(__xludf.DUMMYFUNCTION("""COMPUTED_VALUE"""),"большой зал")</f>
        <v>большой зал</v>
      </c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0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25" t="str">
        <f>IFERROR(__xludf.DUMMYFUNCTION("""COMPUTED_VALUE"""),"Олимпиадная история ")</f>
        <v>Олимпиадная история </v>
      </c>
      <c r="D27" s="7"/>
      <c r="E27" s="10"/>
      <c r="F27" s="7"/>
      <c r="G27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27" s="7"/>
      <c r="I27" s="19" t="str">
        <f>IFERROR(__xludf.DUMMYFUNCTION("""COMPUTED_VALUE"""),"Робототехника для продолжающих")</f>
        <v>Робототехника для продолжающих</v>
      </c>
      <c r="J27" s="7"/>
      <c r="K27" s="44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7" s="7"/>
      <c r="M27" s="45" t="str">
        <f>IFERROR(__xludf.DUMMYFUNCTION("""COMPUTED_VALUE"""),"Консультация по русскому языку")</f>
        <v>Консультация по русскому языку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25" t="str">
        <f>IFERROR(__xludf.DUMMYFUNCTION("""COMPUTED_VALUE"""),"15.00-16.30")</f>
        <v>15.00-16.30</v>
      </c>
      <c r="D28" s="7"/>
      <c r="E28" s="10"/>
      <c r="F28" s="7"/>
      <c r="G28" s="19" t="str">
        <f>IFERROR(__xludf.DUMMYFUNCTION("""COMPUTED_VALUE"""),"15:00 - 17:00")</f>
        <v>15:00 - 17:00</v>
      </c>
      <c r="H28" s="7"/>
      <c r="I28" s="19" t="str">
        <f>IFERROR(__xludf.DUMMYFUNCTION("""COMPUTED_VALUE"""),"15:00 - 18:00")</f>
        <v>15:00 - 18:00</v>
      </c>
      <c r="J28" s="7"/>
      <c r="K28" s="46" t="str">
        <f>IFERROR(__xludf.DUMMYFUNCTION("""COMPUTED_VALUE"""),"15:00 - 17:00")</f>
        <v>15:00 - 17:00</v>
      </c>
      <c r="L28" s="7"/>
      <c r="M28" s="45" t="str">
        <f>IFERROR(__xludf.DUMMYFUNCTION("""COMPUTED_VALUE"""),"7Б")</f>
        <v>7Б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25" t="str">
        <f>IFERROR(__xludf.DUMMYFUNCTION("""COMPUTED_VALUE"""),"Феклистов А. И.")</f>
        <v>Феклистов А. И.</v>
      </c>
      <c r="D29" s="7"/>
      <c r="E29" s="10"/>
      <c r="F29" s="7"/>
      <c r="G29" s="19" t="str">
        <f>IFERROR(__xludf.DUMMYFUNCTION("""COMPUTED_VALUE"""),"Струговщиков В.В.")</f>
        <v>Струговщиков В.В.</v>
      </c>
      <c r="H29" s="7"/>
      <c r="I29" s="19" t="str">
        <f>IFERROR(__xludf.DUMMYFUNCTION("""COMPUTED_VALUE"""),"Дементьев Ю.Н.")</f>
        <v>Дементьев Ю.Н.</v>
      </c>
      <c r="J29" s="7"/>
      <c r="K29" s="46" t="str">
        <f>IFERROR(__xludf.DUMMYFUNCTION("""COMPUTED_VALUE"""),"Струговщиков В.В.")</f>
        <v>Струговщиков В.В.</v>
      </c>
      <c r="L29" s="7"/>
      <c r="M29" s="45" t="str">
        <f>IFERROR(__xludf.DUMMYFUNCTION("""COMPUTED_VALUE"""),"14.50-15.35")</f>
        <v>14.50-15.35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25" t="str">
        <f>IFERROR(__xludf.DUMMYFUNCTION("""COMPUTED_VALUE"""),"Код: ")</f>
        <v>Код: </v>
      </c>
      <c r="D30" s="7"/>
      <c r="E30" s="10"/>
      <c r="F30" s="7"/>
      <c r="G30" s="19" t="str">
        <f>IFERROR(__xludf.DUMMYFUNCTION("""COMPUTED_VALUE"""),"Код: 2031075")</f>
        <v>Код: 2031075</v>
      </c>
      <c r="H30" s="7"/>
      <c r="I30" s="19" t="str">
        <f>IFERROR(__xludf.DUMMYFUNCTION("""COMPUTED_VALUE"""),"Код: 2030652")</f>
        <v>Код: 2030652</v>
      </c>
      <c r="J30" s="7"/>
      <c r="K30" s="46" t="str">
        <f>IFERROR(__xludf.DUMMYFUNCTION("""COMPUTED_VALUE"""),"Код: 2031075")</f>
        <v>Код: 2031075</v>
      </c>
      <c r="L30" s="7"/>
      <c r="M30" s="45" t="str">
        <f>IFERROR(__xludf.DUMMYFUNCTION("""COMPUTED_VALUE"""),"Арбузова С. А.")</f>
        <v>Арбузова С. А.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25">
        <f>IFERROR(__xludf.DUMMYFUNCTION("""COMPUTED_VALUE"""),310.0)</f>
        <v>310</v>
      </c>
      <c r="D31" s="7"/>
      <c r="E31" s="10"/>
      <c r="F31" s="7"/>
      <c r="G31" s="19">
        <f>IFERROR(__xludf.DUMMYFUNCTION("""COMPUTED_VALUE"""),312.0)</f>
        <v>312</v>
      </c>
      <c r="H31" s="7"/>
      <c r="I31" s="19">
        <f>IFERROR(__xludf.DUMMYFUNCTION("""COMPUTED_VALUE"""),312.0)</f>
        <v>312</v>
      </c>
      <c r="J31" s="7"/>
      <c r="K31" s="46">
        <f>IFERROR(__xludf.DUMMYFUNCTION("""COMPUTED_VALUE"""),312.0)</f>
        <v>312</v>
      </c>
      <c r="L31" s="7"/>
      <c r="M31" s="45">
        <f>IFERROR(__xludf.DUMMYFUNCTION("""COMPUTED_VALUE"""),22.0)</f>
        <v>22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6.75" customHeight="1">
      <c r="A33" s="47" t="str">
        <f>IFERROR(__xludf.DUMMYFUNCTION("""COMPUTED_VALUE"""),"группы 
формируются 
по результатам 
отбора")</f>
        <v>группы 
формируются 
по результатам 
отбора</v>
      </c>
      <c r="B33" s="7"/>
      <c r="C33" s="48" t="str">
        <f>IFERROR(__xludf.DUMMYFUNCTION("""COMPUTED_VALUE"""),"Решение олимпиадных задач по математике")</f>
        <v>Решение олимпиадных задач по математике</v>
      </c>
      <c r="D33" s="7"/>
      <c r="E33" s="10"/>
      <c r="F33" s="7"/>
      <c r="G33" s="23" t="str">
        <f>IFERROR(__xludf.DUMMYFUNCTION("""COMPUTED_VALUE"""),"Консультация по математике для 7Д")</f>
        <v>Консультация по математике для 7Д</v>
      </c>
      <c r="H33" s="7"/>
      <c r="I33" s="48" t="str">
        <f>IFERROR(__xludf.DUMMYFUNCTION("""COMPUTED_VALUE"""),"Решение олимпиадных задач по математике")</f>
        <v>Решение олимпиадных задач по математике</v>
      </c>
      <c r="J33" s="7"/>
      <c r="K33" s="23" t="str">
        <f>IFERROR(__xludf.DUMMYFUNCTION("""COMPUTED_VALUE"""),"Консультация по математике")</f>
        <v>Консультация по математике</v>
      </c>
      <c r="L33" s="7"/>
      <c r="M33" s="23" t="str">
        <f>IFERROR(__xludf.DUMMYFUNCTION("""COMPUTED_VALUE"""),"Консультация по математике для 7Д")</f>
        <v>Консультация по математике для 7Д</v>
      </c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B34" s="7"/>
      <c r="C34" s="48" t="str">
        <f>IFERROR(__xludf.DUMMYFUNCTION("""COMPUTED_VALUE"""),"15.00 - 17.00")</f>
        <v>15.00 - 17.00</v>
      </c>
      <c r="D34" s="7"/>
      <c r="E34" s="10"/>
      <c r="F34" s="7"/>
      <c r="G34" s="23" t="str">
        <f>IFERROR(__xludf.DUMMYFUNCTION("""COMPUTED_VALUE"""),"15.00-16.00")</f>
        <v>15.00-16.00</v>
      </c>
      <c r="H34" s="7"/>
      <c r="I34" s="48" t="str">
        <f>IFERROR(__xludf.DUMMYFUNCTION("""COMPUTED_VALUE"""),"15.00 - 17.00")</f>
        <v>15.00 - 17.00</v>
      </c>
      <c r="J34" s="7"/>
      <c r="K34" s="23" t="str">
        <f>IFERROR(__xludf.DUMMYFUNCTION("""COMPUTED_VALUE"""),"15.00-16.00")</f>
        <v>15.00-16.00</v>
      </c>
      <c r="L34" s="7"/>
      <c r="M34" s="23" t="str">
        <f>IFERROR(__xludf.DUMMYFUNCTION("""COMPUTED_VALUE"""),"15.00-16.00")</f>
        <v>15.00-16.00</v>
      </c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B35" s="7"/>
      <c r="C35" s="48" t="str">
        <f>IFERROR(__xludf.DUMMYFUNCTION("""COMPUTED_VALUE"""),"Бибиков П. В., Акопян Э. А. ")</f>
        <v>Бибиков П. В., Акопян Э. А. </v>
      </c>
      <c r="D35" s="7"/>
      <c r="E35" s="10"/>
      <c r="F35" s="7"/>
      <c r="G35" s="23" t="str">
        <f>IFERROR(__xludf.DUMMYFUNCTION("""COMPUTED_VALUE"""),"Бибиков П. В.")</f>
        <v>Бибиков П. В.</v>
      </c>
      <c r="H35" s="7"/>
      <c r="I35" s="48" t="str">
        <f>IFERROR(__xludf.DUMMYFUNCTION("""COMPUTED_VALUE"""),"Бибиков П. В., Акопян Э. А., Добряков А.Д.")</f>
        <v>Бибиков П. В., Акопян Э. А., Добряков А.Д.</v>
      </c>
      <c r="J35" s="7"/>
      <c r="K35" s="23" t="str">
        <f>IFERROR(__xludf.DUMMYFUNCTION("""COMPUTED_VALUE"""),"Бибиков П. В.")</f>
        <v>Бибиков П. В.</v>
      </c>
      <c r="L35" s="7"/>
      <c r="M35" s="23" t="str">
        <f>IFERROR(__xludf.DUMMYFUNCTION("""COMPUTED_VALUE"""),"Бибиков П. В.")</f>
        <v>Бибиков П. В.</v>
      </c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B36" s="7"/>
      <c r="C36" s="48" t="str">
        <f>IFERROR(__xludf.DUMMYFUNCTION("""COMPUTED_VALUE"""),"Код: 2031174")</f>
        <v>Код: 2031174</v>
      </c>
      <c r="D36" s="7"/>
      <c r="E36" s="10"/>
      <c r="F36" s="7"/>
      <c r="G36" s="23" t="str">
        <f>IFERROR(__xludf.DUMMYFUNCTION("""COMPUTED_VALUE"""),".")</f>
        <v>.</v>
      </c>
      <c r="H36" s="7"/>
      <c r="I36" s="48" t="str">
        <f>IFERROR(__xludf.DUMMYFUNCTION("""COMPUTED_VALUE"""),"Код: 2031174")</f>
        <v>Код: 2031174</v>
      </c>
      <c r="J36" s="7"/>
      <c r="K36" s="23" t="str">
        <f>IFERROR(__xludf.DUMMYFUNCTION("""COMPUTED_VALUE"""),"7Д")</f>
        <v>7Д</v>
      </c>
      <c r="L36" s="7"/>
      <c r="M36" s="23" t="str">
        <f>IFERROR(__xludf.DUMMYFUNCTION("""COMPUTED_VALUE"""),".")</f>
        <v>.</v>
      </c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B37" s="7"/>
      <c r="C37" s="48" t="str">
        <f>IFERROR(__xludf.DUMMYFUNCTION("""COMPUTED_VALUE"""),"34, 35")</f>
        <v>34, 35</v>
      </c>
      <c r="D37" s="7"/>
      <c r="E37" s="10"/>
      <c r="F37" s="7"/>
      <c r="G37" s="23">
        <f>IFERROR(__xludf.DUMMYFUNCTION("""COMPUTED_VALUE"""),35.0)</f>
        <v>35</v>
      </c>
      <c r="H37" s="7"/>
      <c r="I37" s="48" t="str">
        <f>IFERROR(__xludf.DUMMYFUNCTION("""COMPUTED_VALUE"""),"33, 35, МАЗ")</f>
        <v>33, 35, МАЗ</v>
      </c>
      <c r="J37" s="7"/>
      <c r="K37" s="23">
        <f>IFERROR(__xludf.DUMMYFUNCTION("""COMPUTED_VALUE"""),35.0)</f>
        <v>35</v>
      </c>
      <c r="L37" s="7"/>
      <c r="M37" s="23">
        <f>IFERROR(__xludf.DUMMYFUNCTION("""COMPUTED_VALUE"""),35.0)</f>
        <v>35</v>
      </c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7"/>
      <c r="C39" s="49" t="str">
        <f>IFERROR(__xludf.DUMMYFUNCTION("""COMPUTED_VALUE"""),"Консультация по английскому языку ")</f>
        <v>Консультация по английскому языку </v>
      </c>
      <c r="D39" s="7"/>
      <c r="E39" s="10"/>
      <c r="F39" s="7"/>
      <c r="G39" s="28" t="str">
        <f>IFERROR(__xludf.DUMMYFUNCTION("""COMPUTED_VALUE"""),"English+ для 7Б")</f>
        <v>English+ для 7Б</v>
      </c>
      <c r="H39" s="7"/>
      <c r="I39" s="10"/>
      <c r="J39" s="7"/>
      <c r="K39" s="28" t="str">
        <f>IFERROR(__xludf.DUMMYFUNCTION("""COMPUTED_VALUE"""),"Немецкий язык ")</f>
        <v>Немецкий язык </v>
      </c>
      <c r="L39" s="7"/>
      <c r="M39" s="50" t="str">
        <f>IFERROR(__xludf.DUMMYFUNCTION("""COMPUTED_VALUE"""),"Театральная лаборатория 7а, 8а, 8в, 8д")</f>
        <v>Театральная лаборатория 7а, 8а, 8в, 8д</v>
      </c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0"/>
      <c r="B40" s="7"/>
      <c r="C40" s="49" t="str">
        <f>IFERROR(__xludf.DUMMYFUNCTION("""COMPUTED_VALUE"""),"7А, 7В, 7Б")</f>
        <v>7А, 7В, 7Б</v>
      </c>
      <c r="D40" s="7"/>
      <c r="E40" s="10"/>
      <c r="F40" s="7"/>
      <c r="G40" s="28" t="str">
        <f>IFERROR(__xludf.DUMMYFUNCTION("""COMPUTED_VALUE"""),"Код: 2034541")</f>
        <v>Код: 2034541</v>
      </c>
      <c r="H40" s="7"/>
      <c r="I40" s="10"/>
      <c r="J40" s="7"/>
      <c r="K40" s="28" t="str">
        <f>IFERROR(__xludf.DUMMYFUNCTION("""COMPUTED_VALUE"""),"16.00-17.00")</f>
        <v>16.00-17.00</v>
      </c>
      <c r="L40" s="7"/>
      <c r="M40" s="50" t="str">
        <f>IFERROR(__xludf.DUMMYFUNCTION("""COMPUTED_VALUE"""),"15.00 - 16.00")</f>
        <v>15.00 - 16.00</v>
      </c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7"/>
      <c r="C41" s="49" t="str">
        <f>IFERROR(__xludf.DUMMYFUNCTION("""COMPUTED_VALUE"""),"14.50-15.35")</f>
        <v>14.50-15.35</v>
      </c>
      <c r="D41" s="7"/>
      <c r="E41" s="10"/>
      <c r="F41" s="7"/>
      <c r="G41" s="28" t="str">
        <f>IFERROR(__xludf.DUMMYFUNCTION("""COMPUTED_VALUE"""),"15.00-16.00")</f>
        <v>15.00-16.00</v>
      </c>
      <c r="H41" s="7"/>
      <c r="I41" s="10"/>
      <c r="J41" s="7"/>
      <c r="K41" s="28" t="str">
        <f>IFERROR(__xludf.DUMMYFUNCTION("""COMPUTED_VALUE"""),"Рукк М. Ф.")</f>
        <v>Рукк М. Ф.</v>
      </c>
      <c r="L41" s="7"/>
      <c r="M41" s="50" t="str">
        <f>IFERROR(__xludf.DUMMYFUNCTION("""COMPUTED_VALUE"""),"Хлебникова С. А.")</f>
        <v>Хлебникова С. А.</v>
      </c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/>
      <c r="B42" s="7"/>
      <c r="C42" s="49" t="str">
        <f>IFERROR(__xludf.DUMMYFUNCTION("""COMPUTED_VALUE"""),"Белоусова Ю.П.")</f>
        <v>Белоусова Ю.П.</v>
      </c>
      <c r="D42" s="7"/>
      <c r="E42" s="10"/>
      <c r="F42" s="7"/>
      <c r="G42" s="28" t="str">
        <f>IFERROR(__xludf.DUMMYFUNCTION("""COMPUTED_VALUE"""),"Белоусова Ю.П.")</f>
        <v>Белоусова Ю.П.</v>
      </c>
      <c r="H42" s="7"/>
      <c r="I42" s="10"/>
      <c r="J42" s="7"/>
      <c r="K42" s="28" t="str">
        <f>IFERROR(__xludf.DUMMYFUNCTION("""COMPUTED_VALUE"""),"Код: 2077518")</f>
        <v>Код: 2077518</v>
      </c>
      <c r="L42" s="7"/>
      <c r="M42" s="50" t="str">
        <f>IFERROR(__xludf.DUMMYFUNCTION("""COMPUTED_VALUE"""),"Код: 2022826")</f>
        <v>Код: 2022826</v>
      </c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7"/>
      <c r="C43" s="49">
        <f>IFERROR(__xludf.DUMMYFUNCTION("""COMPUTED_VALUE"""),22.0)</f>
        <v>22</v>
      </c>
      <c r="D43" s="7"/>
      <c r="E43" s="10"/>
      <c r="F43" s="7"/>
      <c r="G43" s="28">
        <f>IFERROR(__xludf.DUMMYFUNCTION("""COMPUTED_VALUE"""),22.0)</f>
        <v>22</v>
      </c>
      <c r="H43" s="7"/>
      <c r="I43" s="10"/>
      <c r="J43" s="7"/>
      <c r="K43" s="28">
        <f>IFERROR(__xludf.DUMMYFUNCTION("""COMPUTED_VALUE"""),53.0)</f>
        <v>53</v>
      </c>
      <c r="L43" s="7"/>
      <c r="M43" s="50">
        <f>IFERROR(__xludf.DUMMYFUNCTION("""COMPUTED_VALUE"""),54.0)</f>
        <v>54</v>
      </c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7"/>
      <c r="C45" s="11" t="str">
        <f>IFERROR(__xludf.DUMMYFUNCTION("""COMPUTED_VALUE"""),"Баскетбол")</f>
        <v>Баскетбол</v>
      </c>
      <c r="D45" s="7"/>
      <c r="E45" s="28" t="str">
        <f>IFERROR(__xludf.DUMMYFUNCTION("""COMPUTED_VALUE"""),"Олимпиадный английский язык")</f>
        <v>Олимпиадный английский язык</v>
      </c>
      <c r="F45" s="7"/>
      <c r="G45" s="51" t="str">
        <f>IFERROR(__xludf.DUMMYFUNCTION("""COMPUTED_VALUE"""),"Лингвистика")</f>
        <v>Лингвистика</v>
      </c>
      <c r="H45" s="7"/>
      <c r="I45" s="11" t="str">
        <f>IFERROR(__xludf.DUMMYFUNCTION("""COMPUTED_VALUE"""),"Футбол")</f>
        <v>Футбол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7"/>
      <c r="M45" s="51" t="str">
        <f>IFERROR(__xludf.DUMMYFUNCTION("""COMPUTED_VALUE"""),"Лингвистика")</f>
        <v>Лингвистика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7"/>
      <c r="C46" s="11" t="str">
        <f>IFERROR(__xludf.DUMMYFUNCTION("""COMPUTED_VALUE"""),"15.00-17.00")</f>
        <v>15.00-17.00</v>
      </c>
      <c r="D46" s="7"/>
      <c r="E46" s="28" t="str">
        <f>IFERROR(__xludf.DUMMYFUNCTION("""COMPUTED_VALUE"""),"16.00-17.30")</f>
        <v>16.00-17.30</v>
      </c>
      <c r="F46" s="7"/>
      <c r="G46" s="23" t="str">
        <f>IFERROR(__xludf.DUMMYFUNCTION("""COMPUTED_VALUE"""),"15.45 - 17.15")</f>
        <v>15.45 - 17.15</v>
      </c>
      <c r="H46" s="7"/>
      <c r="I46" s="11" t="str">
        <f>IFERROR(__xludf.DUMMYFUNCTION("""COMPUTED_VALUE"""),"15.45-17.15")</f>
        <v>15.45-17.15</v>
      </c>
      <c r="J46" s="7"/>
      <c r="K46" s="25" t="str">
        <f>IFERROR(__xludf.DUMMYFUNCTION("""COMPUTED_VALUE"""),"14.45-17-45")</f>
        <v>14.45-17-45</v>
      </c>
      <c r="L46" s="7"/>
      <c r="M46" s="52" t="str">
        <f>IFERROR(__xludf.DUMMYFUNCTION("""COMPUTED_VALUE"""),"16.30-18.00")</f>
        <v>16.30-18.00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7"/>
      <c r="C47" s="11" t="str">
        <f>IFERROR(__xludf.DUMMYFUNCTION("""COMPUTED_VALUE"""),"Межевич С. Д.")</f>
        <v>Межевич С. Д.</v>
      </c>
      <c r="D47" s="7"/>
      <c r="E47" s="28" t="str">
        <f>IFERROR(__xludf.DUMMYFUNCTION("""COMPUTED_VALUE"""),"Тевелева А. ")</f>
        <v>Тевелева А. </v>
      </c>
      <c r="F47" s="7"/>
      <c r="G47" s="23" t="str">
        <f>IFERROR(__xludf.DUMMYFUNCTION("""COMPUTED_VALUE"""),"Бушина А. С.")</f>
        <v>Бушина А. С.</v>
      </c>
      <c r="H47" s="7"/>
      <c r="I47" s="11" t="str">
        <f>IFERROR(__xludf.DUMMYFUNCTION("""COMPUTED_VALUE"""),"Миронов Е. В.")</f>
        <v>Миронов Е. В.</v>
      </c>
      <c r="J47" s="7"/>
      <c r="K47" s="25" t="str">
        <f>IFERROR(__xludf.DUMMYFUNCTION("""COMPUTED_VALUE"""),"Антипов М. И.")</f>
        <v>Антипов М. И.</v>
      </c>
      <c r="L47" s="7"/>
      <c r="M47" s="52" t="str">
        <f>IFERROR(__xludf.DUMMYFUNCTION("""COMPUTED_VALUE"""),"Зильберман Е. А.")</f>
        <v>Зильберман Е. А.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7"/>
      <c r="C48" s="11" t="str">
        <f>IFERROR(__xludf.DUMMYFUNCTION("""COMPUTED_VALUE"""),"Код: 2037759")</f>
        <v>Код: 2037759</v>
      </c>
      <c r="D48" s="7"/>
      <c r="E48" s="28" t="str">
        <f>IFERROR(__xludf.DUMMYFUNCTION("""COMPUTED_VALUE"""),"Код: 2035254")</f>
        <v>Код: 2035254</v>
      </c>
      <c r="F48" s="7"/>
      <c r="G48" s="23" t="str">
        <f>IFERROR(__xludf.DUMMYFUNCTION("""COMPUTED_VALUE"""),"Код: 2022681")</f>
        <v>Код: 2022681</v>
      </c>
      <c r="H48" s="7"/>
      <c r="I48" s="11" t="str">
        <f>IFERROR(__xludf.DUMMYFUNCTION("""COMPUTED_VALUE"""),"Код: 2039215")</f>
        <v>Код: 2039215</v>
      </c>
      <c r="J48" s="7"/>
      <c r="K48" s="25" t="str">
        <f>IFERROR(__xludf.DUMMYFUNCTION("""COMPUTED_VALUE"""),"Код: 2077503")</f>
        <v>Код: 2077503</v>
      </c>
      <c r="L48" s="7"/>
      <c r="M48" s="52" t="str">
        <f>IFERROR(__xludf.DUMMYFUNCTION("""COMPUTED_VALUE"""),"Код: 2022681")</f>
        <v>Код: 2022681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7"/>
      <c r="C49" s="11" t="str">
        <f>IFERROR(__xludf.DUMMYFUNCTION("""COMPUTED_VALUE"""),"большой зал")</f>
        <v>большой зал</v>
      </c>
      <c r="D49" s="7"/>
      <c r="E49" s="28">
        <f>IFERROR(__xludf.DUMMYFUNCTION("""COMPUTED_VALUE"""),27.0)</f>
        <v>27</v>
      </c>
      <c r="F49" s="7"/>
      <c r="G49" s="23">
        <f>IFERROR(__xludf.DUMMYFUNCTION("""COMPUTED_VALUE"""),41.0)</f>
        <v>41</v>
      </c>
      <c r="H49" s="7"/>
      <c r="I49" s="11" t="str">
        <f>IFERROR(__xludf.DUMMYFUNCTION("""COMPUTED_VALUE"""),"большой зал")</f>
        <v>большой зал</v>
      </c>
      <c r="J49" s="7"/>
      <c r="K49" s="25">
        <f>IFERROR(__xludf.DUMMYFUNCTION("""COMPUTED_VALUE"""),52.0)</f>
        <v>52</v>
      </c>
      <c r="L49" s="7"/>
      <c r="M49" s="52" t="str">
        <f>IFERROR(__xludf.DUMMYFUNCTION("""COMPUTED_VALUE"""),"онлайн")</f>
        <v>онлайн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9.0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3" t="str">
        <f>IFERROR(__xludf.DUMMYFUNCTION("""COMPUTED_VALUE"""),"Кружки по информатике с отбором")</f>
        <v>Кружки по информатике с отбором</v>
      </c>
      <c r="B51" s="7"/>
      <c r="C51" s="10"/>
      <c r="D51" s="7"/>
      <c r="E51" s="34" t="str">
        <f>IFERROR(__xludf.DUMMYFUNCTION("""COMPUTED_VALUE"""),"IT-кружок ""Потенциал""")</f>
        <v>IT-кружок "Потенциал"</v>
      </c>
      <c r="F51" s="38"/>
      <c r="G51" s="34" t="str">
        <f>IFERROR(__xludf.DUMMYFUNCTION("""COMPUTED_VALUE"""),"IT-кружок ""Сборная Лицея""")</f>
        <v>IT-кружок "Сборная Лицея"</v>
      </c>
      <c r="H51" s="38"/>
      <c r="I51" s="34" t="str">
        <f>IFERROR(__xludf.DUMMYFUNCTION("""COMPUTED_VALUE"""),"IT-кружок ""Потенциал""")</f>
        <v>IT-кружок "Потенциал"</v>
      </c>
      <c r="J51" s="38"/>
      <c r="K51" s="34" t="str">
        <f>IFERROR(__xludf.DUMMYFUNCTION("""COMPUTED_VALUE"""),"IT-кружок ""Сборная Лицея""")</f>
        <v>IT-кружок "Сборная Лицея"</v>
      </c>
      <c r="L51" s="7"/>
      <c r="M51" s="14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B52" s="7"/>
      <c r="C52" s="10"/>
      <c r="D52" s="7"/>
      <c r="E52" s="34" t="str">
        <f>IFERROR(__xludf.DUMMYFUNCTION("""COMPUTED_VALUE"""),"16.00-19.00")</f>
        <v>16.00-19.00</v>
      </c>
      <c r="F52" s="38"/>
      <c r="G52" s="34" t="str">
        <f>IFERROR(__xludf.DUMMYFUNCTION("""COMPUTED_VALUE"""),"15.00-21.00")</f>
        <v>15.00-21.00</v>
      </c>
      <c r="H52" s="38"/>
      <c r="I52" s="34" t="str">
        <f>IFERROR(__xludf.DUMMYFUNCTION("""COMPUTED_VALUE"""),"16.00-19.00")</f>
        <v>16.00-19.00</v>
      </c>
      <c r="J52" s="38"/>
      <c r="K52" s="34" t="str">
        <f>IFERROR(__xludf.DUMMYFUNCTION("""COMPUTED_VALUE"""),"16.45-19.15")</f>
        <v>16.45-19.15</v>
      </c>
      <c r="L52" s="7"/>
      <c r="M52" s="14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7"/>
      <c r="C53" s="10"/>
      <c r="D53" s="7"/>
      <c r="E53" s="34" t="str">
        <f>IFERROR(__xludf.DUMMYFUNCTION("""COMPUTED_VALUE"""),"Фёдоров К. Е.")</f>
        <v>Фёдоров К. Е.</v>
      </c>
      <c r="F53" s="38"/>
      <c r="G53" s="34" t="str">
        <f>IFERROR(__xludf.DUMMYFUNCTION("""COMPUTED_VALUE"""),"Фёдоров К. Е.")</f>
        <v>Фёдоров К. Е.</v>
      </c>
      <c r="H53" s="38"/>
      <c r="I53" s="34" t="str">
        <f>IFERROR(__xludf.DUMMYFUNCTION("""COMPUTED_VALUE"""),"Фёдоров К. Е.")</f>
        <v>Фёдоров К. Е.</v>
      </c>
      <c r="J53" s="38"/>
      <c r="K53" s="34" t="str">
        <f>IFERROR(__xludf.DUMMYFUNCTION("""COMPUTED_VALUE"""),"Фёдоров К. Е.")</f>
        <v>Фёдоров К. Е.</v>
      </c>
      <c r="L53" s="7"/>
      <c r="M53" s="14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B54" s="7"/>
      <c r="C54" s="10"/>
      <c r="D54" s="7"/>
      <c r="E54" s="34" t="str">
        <f>IFERROR(__xludf.DUMMYFUNCTION("""COMPUTED_VALUE"""),"Код: 2051997")</f>
        <v>Код: 2051997</v>
      </c>
      <c r="F54" s="38"/>
      <c r="G54" s="34" t="str">
        <f>IFERROR(__xludf.DUMMYFUNCTION("""COMPUTED_VALUE"""),"Код: 2052059")</f>
        <v>Код: 2052059</v>
      </c>
      <c r="H54" s="38"/>
      <c r="I54" s="34" t="str">
        <f>IFERROR(__xludf.DUMMYFUNCTION("""COMPUTED_VALUE"""),"Код: 2051997")</f>
        <v>Код: 2051997</v>
      </c>
      <c r="J54" s="38"/>
      <c r="K54" s="34" t="str">
        <f>IFERROR(__xludf.DUMMYFUNCTION("""COMPUTED_VALUE"""),"Код: 2052059")</f>
        <v>Код: 2052059</v>
      </c>
      <c r="L54" s="7"/>
      <c r="M54" s="14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7"/>
      <c r="C55" s="10"/>
      <c r="D55" s="7"/>
      <c r="E55" s="34" t="str">
        <f>IFERROR(__xludf.DUMMYFUNCTION("""COMPUTED_VALUE"""),"23, 25")</f>
        <v>23, 25</v>
      </c>
      <c r="F55" s="38"/>
      <c r="G55" s="34">
        <f>IFERROR(__xludf.DUMMYFUNCTION("""COMPUTED_VALUE"""),25.0)</f>
        <v>25</v>
      </c>
      <c r="H55" s="38"/>
      <c r="I55" s="34">
        <f>IFERROR(__xludf.DUMMYFUNCTION("""COMPUTED_VALUE"""),25.0)</f>
        <v>25</v>
      </c>
      <c r="J55" s="38"/>
      <c r="K55" s="34">
        <f>IFERROR(__xludf.DUMMYFUNCTION("""COMPUTED_VALUE"""),25.0)</f>
        <v>25</v>
      </c>
      <c r="L55" s="7"/>
      <c r="M55" s="14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8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7"/>
      <c r="C57" s="54" t="str">
        <f>IFERROR(__xludf.DUMMYFUNCTION("""COMPUTED_VALUE"""),"Экология. Экологические проекты")</f>
        <v>Экология. Экологические проекты</v>
      </c>
      <c r="D57" s="7"/>
      <c r="E57" s="54" t="str">
        <f>IFERROR(__xludf.DUMMYFUNCTION("""COMPUTED_VALUE"""),"Экология. Экологические проекты")</f>
        <v>Экология. Экологические проекты</v>
      </c>
      <c r="F57" s="7"/>
      <c r="G57" s="54" t="str">
        <f>IFERROR(__xludf.DUMMYFUNCTION("""COMPUTED_VALUE"""),"Экология. Экологические проекты")</f>
        <v>Экология. Экологические проекты</v>
      </c>
      <c r="H57" s="7"/>
      <c r="I57" s="54" t="str">
        <f>IFERROR(__xludf.DUMMYFUNCTION("""COMPUTED_VALUE"""),"Экология. Экологические проекты")</f>
        <v>Экология. Экологические проекты</v>
      </c>
      <c r="J57" s="7"/>
      <c r="K57" s="54" t="str">
        <f>IFERROR(__xludf.DUMMYFUNCTION("""COMPUTED_VALUE"""),"Экология. Экологические проекты")</f>
        <v>Экология. Экологические проекты</v>
      </c>
      <c r="L57" s="7"/>
      <c r="M57" s="54" t="str">
        <f>IFERROR(__xludf.DUMMYFUNCTION("""COMPUTED_VALUE"""),"Экологические проекты")</f>
        <v>Экологические проекты</v>
      </c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/>
      <c r="B58" s="7"/>
      <c r="C58" s="54" t="str">
        <f>IFERROR(__xludf.DUMMYFUNCTION("""COMPUTED_VALUE"""),"19.00-20.30")</f>
        <v>19.00-20.30</v>
      </c>
      <c r="D58" s="7"/>
      <c r="E58" s="54" t="str">
        <f>IFERROR(__xludf.DUMMYFUNCTION("""COMPUTED_VALUE"""),"19.00-20.30")</f>
        <v>19.00-20.30</v>
      </c>
      <c r="F58" s="7"/>
      <c r="G58" s="54" t="str">
        <f>IFERROR(__xludf.DUMMYFUNCTION("""COMPUTED_VALUE"""),"19.00-20.30")</f>
        <v>19.00-20.30</v>
      </c>
      <c r="H58" s="7"/>
      <c r="I58" s="54" t="str">
        <f>IFERROR(__xludf.DUMMYFUNCTION("""COMPUTED_VALUE"""),"19.00-20.30")</f>
        <v>19.00-20.30</v>
      </c>
      <c r="J58" s="7"/>
      <c r="K58" s="54" t="str">
        <f>IFERROR(__xludf.DUMMYFUNCTION("""COMPUTED_VALUE"""),"19.00-20.30")</f>
        <v>19.00-20.30</v>
      </c>
      <c r="L58" s="7"/>
      <c r="M58" s="54" t="str">
        <f>IFERROR(__xludf.DUMMYFUNCTION("""COMPUTED_VALUE"""),"19.00-20.30")</f>
        <v>19.00-20.30</v>
      </c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7"/>
      <c r="C59" s="54" t="str">
        <f>IFERROR(__xludf.DUMMYFUNCTION("""COMPUTED_VALUE"""),"Пономарева Н. Л.")</f>
        <v>Пономарева Н. Л.</v>
      </c>
      <c r="D59" s="7"/>
      <c r="E59" s="54" t="str">
        <f>IFERROR(__xludf.DUMMYFUNCTION("""COMPUTED_VALUE"""),"Пономарева Н. Л.")</f>
        <v>Пономарева Н. Л.</v>
      </c>
      <c r="F59" s="7"/>
      <c r="G59" s="54" t="str">
        <f>IFERROR(__xludf.DUMMYFUNCTION("""COMPUTED_VALUE"""),"Пономарева Н. Л.")</f>
        <v>Пономарева Н. Л.</v>
      </c>
      <c r="H59" s="7"/>
      <c r="I59" s="54" t="str">
        <f>IFERROR(__xludf.DUMMYFUNCTION("""COMPUTED_VALUE"""),"Пономарева Н. Л.")</f>
        <v>Пономарева Н. Л.</v>
      </c>
      <c r="J59" s="7"/>
      <c r="K59" s="54" t="str">
        <f>IFERROR(__xludf.DUMMYFUNCTION("""COMPUTED_VALUE"""),"Пономарева Н. Л.")</f>
        <v>Пономарева Н. Л.</v>
      </c>
      <c r="L59" s="7"/>
      <c r="M59" s="54" t="str">
        <f>IFERROR(__xludf.DUMMYFUNCTION("""COMPUTED_VALUE"""),"Пономарева Н. Л.")</f>
        <v>Пономарева Н. Л.</v>
      </c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/>
      <c r="B60" s="7"/>
      <c r="C60" s="54" t="str">
        <f>IFERROR(__xludf.DUMMYFUNCTION("""COMPUTED_VALUE"""),"Код: 2043039
2043093")</f>
        <v>Код: 2043039
2043093</v>
      </c>
      <c r="D60" s="7"/>
      <c r="E60" s="54" t="str">
        <f>IFERROR(__xludf.DUMMYFUNCTION("""COMPUTED_VALUE"""),"Код: 2043039
2043093")</f>
        <v>Код: 2043039
2043093</v>
      </c>
      <c r="F60" s="7"/>
      <c r="G60" s="54" t="str">
        <f>IFERROR(__xludf.DUMMYFUNCTION("""COMPUTED_VALUE"""),"Код: 2043039
2043093")</f>
        <v>Код: 2043039
2043093</v>
      </c>
      <c r="H60" s="7"/>
      <c r="I60" s="54" t="str">
        <f>IFERROR(__xludf.DUMMYFUNCTION("""COMPUTED_VALUE"""),"Код: 2043039
2043093")</f>
        <v>Код: 2043039
2043093</v>
      </c>
      <c r="J60" s="7"/>
      <c r="K60" s="54" t="str">
        <f>IFERROR(__xludf.DUMMYFUNCTION("""COMPUTED_VALUE"""),"Код: 2043039
2043093")</f>
        <v>Код: 2043039
2043093</v>
      </c>
      <c r="L60" s="7"/>
      <c r="M60" s="54" t="str">
        <f>IFERROR(__xludf.DUMMYFUNCTION("""COMPUTED_VALUE"""),"Код: 2043039
2043093")</f>
        <v>Код: 2043039
2043093</v>
      </c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7"/>
      <c r="C61" s="54" t="str">
        <f>IFERROR(__xludf.DUMMYFUNCTION("""COMPUTED_VALUE"""),"онлайн")</f>
        <v>онлайн</v>
      </c>
      <c r="D61" s="7"/>
      <c r="E61" s="54" t="str">
        <f>IFERROR(__xludf.DUMMYFUNCTION("""COMPUTED_VALUE"""),"онлайн")</f>
        <v>онлайн</v>
      </c>
      <c r="F61" s="7"/>
      <c r="G61" s="54" t="str">
        <f>IFERROR(__xludf.DUMMYFUNCTION("""COMPUTED_VALUE"""),"онлайн")</f>
        <v>онлайн</v>
      </c>
      <c r="H61" s="7"/>
      <c r="I61" s="54" t="str">
        <f>IFERROR(__xludf.DUMMYFUNCTION("""COMPUTED_VALUE"""),"онлайн")</f>
        <v>онлайн</v>
      </c>
      <c r="J61" s="7"/>
      <c r="K61" s="54" t="str">
        <f>IFERROR(__xludf.DUMMYFUNCTION("""COMPUTED_VALUE"""),"онлайн")</f>
        <v>онлайн</v>
      </c>
      <c r="L61" s="7"/>
      <c r="M61" s="54" t="str">
        <f>IFERROR(__xludf.DUMMYFUNCTION("""COMPUTED_VALUE"""),"онлайн")</f>
        <v>онлайн</v>
      </c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/>
      <c r="B63" s="14"/>
      <c r="C63" s="14"/>
      <c r="D63" s="17"/>
      <c r="E63" s="55" t="str">
        <f>IFERROR(__xludf.DUMMYFUNCTION("""COMPUTED_VALUE"""),"Консультация по русскому языку")</f>
        <v>Консультация по русскому языку</v>
      </c>
      <c r="F63" s="17"/>
      <c r="G63" s="56" t="str">
        <f>IFERROR(__xludf.DUMMYFUNCTION("""COMPUTED_VALUE"""),"Консультация по математике ")</f>
        <v>Консультация по математике </v>
      </c>
      <c r="H63" s="17"/>
      <c r="I63" s="14"/>
      <c r="J63" s="17"/>
      <c r="K63" s="56" t="str">
        <f>IFERROR(__xludf.DUMMYFUNCTION("""COMPUTED_VALUE"""),"Консультация по математике ")</f>
        <v>Консультация по математике </v>
      </c>
      <c r="L63" s="14"/>
      <c r="M63" s="14"/>
      <c r="N63" s="1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/>
      <c r="B64" s="14"/>
      <c r="C64" s="14"/>
      <c r="D64" s="17"/>
      <c r="E64" s="55" t="str">
        <f>IFERROR(__xludf.DUMMYFUNCTION("""COMPUTED_VALUE"""),"9Г, 10Б, 10Г, 10Д")</f>
        <v>9Г, 10Б, 10Г, 10Д</v>
      </c>
      <c r="F64" s="17"/>
      <c r="G64" s="56" t="str">
        <f>IFERROR(__xludf.DUMMYFUNCTION("""COMPUTED_VALUE"""),"15.00-15.40")</f>
        <v>15.00-15.40</v>
      </c>
      <c r="H64" s="17"/>
      <c r="I64" s="14"/>
      <c r="J64" s="17"/>
      <c r="K64" s="56" t="str">
        <f>IFERROR(__xludf.DUMMYFUNCTION("""COMPUTED_VALUE"""),"15.00-15.40")</f>
        <v>15.00-15.40</v>
      </c>
      <c r="L64" s="14"/>
      <c r="M64" s="14"/>
      <c r="N64" s="17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/>
      <c r="B65" s="14"/>
      <c r="C65" s="14"/>
      <c r="D65" s="17"/>
      <c r="E65" s="55" t="str">
        <f>IFERROR(__xludf.DUMMYFUNCTION("""COMPUTED_VALUE"""),"14.50-15.35")</f>
        <v>14.50-15.35</v>
      </c>
      <c r="F65" s="17"/>
      <c r="G65" s="56" t="str">
        <f>IFERROR(__xludf.DUMMYFUNCTION("""COMPUTED_VALUE"""),"Седов Г. К.")</f>
        <v>Седов Г. К.</v>
      </c>
      <c r="H65" s="17"/>
      <c r="I65" s="14"/>
      <c r="J65" s="17"/>
      <c r="K65" s="56" t="str">
        <f>IFERROR(__xludf.DUMMYFUNCTION("""COMPUTED_VALUE"""),"Седов Г. К.")</f>
        <v>Седов Г. К.</v>
      </c>
      <c r="L65" s="14"/>
      <c r="M65" s="14"/>
      <c r="N65" s="17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/>
      <c r="B66" s="14"/>
      <c r="C66" s="14"/>
      <c r="D66" s="17"/>
      <c r="E66" s="55" t="str">
        <f>IFERROR(__xludf.DUMMYFUNCTION("""COMPUTED_VALUE"""),"Арбузова С. А.")</f>
        <v>Арбузова С. А.</v>
      </c>
      <c r="F66" s="17"/>
      <c r="G66" s="56" t="str">
        <f>IFERROR(__xludf.DUMMYFUNCTION("""COMPUTED_VALUE"""),"7Г")</f>
        <v>7Г</v>
      </c>
      <c r="H66" s="17"/>
      <c r="I66" s="14"/>
      <c r="J66" s="17"/>
      <c r="K66" s="56" t="str">
        <f>IFERROR(__xludf.DUMMYFUNCTION("""COMPUTED_VALUE"""),"7Г")</f>
        <v>7Г</v>
      </c>
      <c r="L66" s="14"/>
      <c r="M66" s="14"/>
      <c r="N66" s="1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2.75" customHeight="1">
      <c r="A67" s="14"/>
      <c r="B67" s="14"/>
      <c r="C67" s="14"/>
      <c r="D67" s="17"/>
      <c r="E67" s="55">
        <f>IFERROR(__xludf.DUMMYFUNCTION("""COMPUTED_VALUE"""),22.0)</f>
        <v>22</v>
      </c>
      <c r="F67" s="17"/>
      <c r="G67" s="56">
        <f>IFERROR(__xludf.DUMMYFUNCTION("""COMPUTED_VALUE"""),37.0)</f>
        <v>37</v>
      </c>
      <c r="H67" s="17"/>
      <c r="I67" s="14"/>
      <c r="J67" s="17"/>
      <c r="K67" s="56">
        <f>IFERROR(__xludf.DUMMYFUNCTION("""COMPUTED_VALUE"""),37.0)</f>
        <v>37</v>
      </c>
      <c r="L67" s="14"/>
      <c r="M67" s="14"/>
      <c r="N67" s="1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0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22"/>
      <c r="B69" s="60"/>
      <c r="C69" s="61" t="str">
        <f>IFERROR(__xludf.DUMMYFUNCTION("""COMPUTED_VALUE"""),"Шахматы ")</f>
        <v>Шахматы </v>
      </c>
      <c r="D69" s="60"/>
      <c r="E69" s="22"/>
      <c r="F69" s="60"/>
      <c r="G69" s="14"/>
      <c r="H69" s="60"/>
      <c r="I69" s="22"/>
      <c r="J69" s="60"/>
      <c r="K69" s="61" t="str">
        <f>IFERROR(__xludf.DUMMYFUNCTION("""COMPUTED_VALUE"""),"Шахматы ")</f>
        <v>Шахматы </v>
      </c>
      <c r="L69" s="60"/>
      <c r="M69" s="62" t="str">
        <f>IFERROR(__xludf.DUMMYFUNCTION("""COMPUTED_VALUE"""),"Базовое программирование ")</f>
        <v>Базовое программирование </v>
      </c>
      <c r="N69" s="3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2"/>
      <c r="B70" s="60"/>
      <c r="C70" s="61" t="str">
        <f>IFERROR(__xludf.DUMMYFUNCTION("""COMPUTED_VALUE"""),"15.30-17.00")</f>
        <v>15.30-17.00</v>
      </c>
      <c r="D70" s="60"/>
      <c r="E70" s="22"/>
      <c r="F70" s="60"/>
      <c r="G70" s="14"/>
      <c r="H70" s="60"/>
      <c r="I70" s="22"/>
      <c r="J70" s="60"/>
      <c r="K70" s="61" t="str">
        <f>IFERROR(__xludf.DUMMYFUNCTION("""COMPUTED_VALUE"""),"15.30-17.30")</f>
        <v>15.30-17.30</v>
      </c>
      <c r="L70" s="60"/>
      <c r="M70" s="62" t="str">
        <f>IFERROR(__xludf.DUMMYFUNCTION("""COMPUTED_VALUE"""),"15.00-17.30")</f>
        <v>15.00-17.30</v>
      </c>
      <c r="N70" s="58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2"/>
      <c r="B71" s="60"/>
      <c r="C71" s="61" t="str">
        <f>IFERROR(__xludf.DUMMYFUNCTION("""COMPUTED_VALUE"""),"Врублевская А. О.")</f>
        <v>Врублевская А. О.</v>
      </c>
      <c r="D71" s="60"/>
      <c r="E71" s="22"/>
      <c r="F71" s="60"/>
      <c r="G71" s="14"/>
      <c r="H71" s="60"/>
      <c r="I71" s="22"/>
      <c r="J71" s="60"/>
      <c r="K71" s="61" t="str">
        <f>IFERROR(__xludf.DUMMYFUNCTION("""COMPUTED_VALUE"""),"Врублевская А. О.")</f>
        <v>Врублевская А. О.</v>
      </c>
      <c r="L71" s="60"/>
      <c r="M71" s="62" t="str">
        <f>IFERROR(__xludf.DUMMYFUNCTION("""COMPUTED_VALUE"""),"Степашин Е. А.")</f>
        <v>Степашин Е. А.</v>
      </c>
      <c r="N71" s="58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2"/>
      <c r="B72" s="60"/>
      <c r="C72" s="61" t="str">
        <f>IFERROR(__xludf.DUMMYFUNCTION("""COMPUTED_VALUE"""),"Код: 2052591")</f>
        <v>Код: 2052591</v>
      </c>
      <c r="D72" s="60"/>
      <c r="E72" s="22"/>
      <c r="F72" s="60"/>
      <c r="G72" s="14"/>
      <c r="H72" s="60"/>
      <c r="I72" s="22"/>
      <c r="J72" s="60"/>
      <c r="K72" s="61" t="str">
        <f>IFERROR(__xludf.DUMMYFUNCTION("""COMPUTED_VALUE"""),"Код: 2052591")</f>
        <v>Код: 2052591</v>
      </c>
      <c r="L72" s="60"/>
      <c r="M72" s="62" t="str">
        <f>IFERROR(__xludf.DUMMYFUNCTION("""COMPUTED_VALUE"""),"Код: 2054892")</f>
        <v>Код: 2054892</v>
      </c>
      <c r="N72" s="58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2"/>
      <c r="B73" s="60"/>
      <c r="C73" s="61">
        <f>IFERROR(__xludf.DUMMYFUNCTION("""COMPUTED_VALUE"""),311.0)</f>
        <v>311</v>
      </c>
      <c r="D73" s="60"/>
      <c r="E73" s="22"/>
      <c r="F73" s="60"/>
      <c r="G73" s="14"/>
      <c r="H73" s="60"/>
      <c r="I73" s="22"/>
      <c r="J73" s="60"/>
      <c r="K73" s="61">
        <f>IFERROR(__xludf.DUMMYFUNCTION("""COMPUTED_VALUE"""),311.0)</f>
        <v>311</v>
      </c>
      <c r="L73" s="60"/>
      <c r="M73" s="62" t="str">
        <f>IFERROR(__xludf.DUMMYFUNCTION("""COMPUTED_VALUE"""),"24 ,25, 26")</f>
        <v>24 ,25, 26</v>
      </c>
      <c r="N73" s="58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0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58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3" t="str">
        <f>IFERROR(__xludf.DUMMYFUNCTION("""COMPUTED_VALUE"""),"Кружки по информатике без отбора ")</f>
        <v>Кружки по информатике без отбора </v>
      </c>
      <c r="B75" s="35"/>
      <c r="C75" s="8"/>
      <c r="D75" s="35"/>
      <c r="E75" s="8"/>
      <c r="F75" s="35"/>
      <c r="G75" s="8"/>
      <c r="H75" s="35"/>
      <c r="I75" s="64" t="str">
        <f>IFERROR(__xludf.DUMMYFUNCTION("""COMPUTED_VALUE"""),"Программирование для начинающих")</f>
        <v>Программирование для начинающих</v>
      </c>
      <c r="J75" s="35"/>
      <c r="K75" s="65" t="str">
        <f>IFERROR(__xludf.DUMMYFUNCTION("""COMPUTED_VALUE"""),"Консультация по информатике")</f>
        <v>Консультация по информатике</v>
      </c>
      <c r="L75" s="35"/>
      <c r="M75" s="64" t="str">
        <f>IFERROR(__xludf.DUMMYFUNCTION("""COMPUTED_VALUE"""),"Программирование для начинающих")</f>
        <v>Программирование для начинающих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B76" s="35"/>
      <c r="C76" s="8"/>
      <c r="D76" s="35"/>
      <c r="E76" s="8"/>
      <c r="F76" s="35"/>
      <c r="G76" s="8"/>
      <c r="H76" s="35"/>
      <c r="I76" s="64" t="str">
        <f>IFERROR(__xludf.DUMMYFUNCTION("""COMPUTED_VALUE"""),"15.45 - 18.15")</f>
        <v>15.45 - 18.15</v>
      </c>
      <c r="J76" s="35"/>
      <c r="K76" s="65" t="str">
        <f>IFERROR(__xludf.DUMMYFUNCTION("""COMPUTED_VALUE"""),"15.00-17.00")</f>
        <v>15.00-17.00</v>
      </c>
      <c r="L76" s="35"/>
      <c r="M76" s="64" t="str">
        <f>IFERROR(__xludf.DUMMYFUNCTION("""COMPUTED_VALUE"""),"14.50 - 17.20")</f>
        <v>14.50 - 17.20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B77" s="35"/>
      <c r="C77" s="8"/>
      <c r="D77" s="35"/>
      <c r="E77" s="8"/>
      <c r="F77" s="35"/>
      <c r="G77" s="8"/>
      <c r="H77" s="35"/>
      <c r="I77" s="64" t="str">
        <f>IFERROR(__xludf.DUMMYFUNCTION("""COMPUTED_VALUE"""),"Чернов В. Е.")</f>
        <v>Чернов В. Е.</v>
      </c>
      <c r="J77" s="35"/>
      <c r="K77" s="65" t="str">
        <f>IFERROR(__xludf.DUMMYFUNCTION("""COMPUTED_VALUE"""),"Морозова И. М.")</f>
        <v>Морозова И. М.</v>
      </c>
      <c r="L77" s="35"/>
      <c r="M77" s="64" t="str">
        <f>IFERROR(__xludf.DUMMYFUNCTION("""COMPUTED_VALUE"""),"Чернов В. Е.")</f>
        <v>Чернов В. Е.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B78" s="35"/>
      <c r="C78" s="8"/>
      <c r="D78" s="35"/>
      <c r="E78" s="8"/>
      <c r="F78" s="35"/>
      <c r="G78" s="8"/>
      <c r="H78" s="35"/>
      <c r="I78" s="64" t="str">
        <f>IFERROR(__xludf.DUMMYFUNCTION("""COMPUTED_VALUE"""),"Код: 2052417")</f>
        <v>Код: 2052417</v>
      </c>
      <c r="J78" s="35"/>
      <c r="K78" s="65" t="str">
        <f>IFERROR(__xludf.DUMMYFUNCTION("""COMPUTED_VALUE"""),"7В")</f>
        <v>7В</v>
      </c>
      <c r="L78" s="35"/>
      <c r="M78" s="64" t="str">
        <f>IFERROR(__xludf.DUMMYFUNCTION("""COMPUTED_VALUE"""),"Код: 2052417")</f>
        <v>Код: 2052417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B79" s="35"/>
      <c r="C79" s="66"/>
      <c r="D79" s="35"/>
      <c r="E79" s="66"/>
      <c r="F79" s="35"/>
      <c r="G79" s="66"/>
      <c r="H79" s="35"/>
      <c r="I79" s="64">
        <f>IFERROR(__xludf.DUMMYFUNCTION("""COMPUTED_VALUE"""),23.0)</f>
        <v>23</v>
      </c>
      <c r="J79" s="35"/>
      <c r="K79" s="65">
        <f>IFERROR(__xludf.DUMMYFUNCTION("""COMPUTED_VALUE"""),23.0)</f>
        <v>23</v>
      </c>
      <c r="L79" s="35"/>
      <c r="M79" s="64" t="str">
        <f>IFERROR(__xludf.DUMMYFUNCTION("""COMPUTED_VALUE"""),"24, 25, 26")</f>
        <v>24, 25, 26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8"/>
      <c r="C81" s="5"/>
      <c r="D81" s="58"/>
      <c r="E81" s="5"/>
      <c r="F81" s="58"/>
      <c r="G81" s="5"/>
      <c r="H81" s="58"/>
      <c r="I81" s="5"/>
      <c r="J81" s="58"/>
      <c r="K81" s="5"/>
      <c r="L81" s="58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8"/>
      <c r="C82" s="5"/>
      <c r="D82" s="58"/>
      <c r="E82" s="5"/>
      <c r="F82" s="58"/>
      <c r="G82" s="5"/>
      <c r="H82" s="58"/>
      <c r="I82" s="5"/>
      <c r="J82" s="58"/>
      <c r="K82" s="5"/>
      <c r="L82" s="58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8"/>
      <c r="C83" s="5"/>
      <c r="D83" s="58"/>
      <c r="E83" s="5"/>
      <c r="F83" s="58"/>
      <c r="G83" s="5"/>
      <c r="H83" s="58"/>
      <c r="I83" s="5"/>
      <c r="J83" s="58"/>
      <c r="K83" s="5"/>
      <c r="L83" s="58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8"/>
      <c r="C84" s="5"/>
      <c r="D84" s="58"/>
      <c r="E84" s="5"/>
      <c r="F84" s="58"/>
      <c r="G84" s="5"/>
      <c r="H84" s="58"/>
      <c r="I84" s="5"/>
      <c r="J84" s="58"/>
      <c r="K84" s="5"/>
      <c r="L84" s="58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8"/>
      <c r="C85" s="5"/>
      <c r="D85" s="58"/>
      <c r="E85" s="5"/>
      <c r="F85" s="58"/>
      <c r="G85" s="5"/>
      <c r="H85" s="58"/>
      <c r="I85" s="5"/>
      <c r="J85" s="58"/>
      <c r="K85" s="5"/>
      <c r="L85" s="58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8"/>
      <c r="C86" s="5"/>
      <c r="D86" s="58"/>
      <c r="E86" s="5"/>
      <c r="F86" s="58"/>
      <c r="G86" s="5"/>
      <c r="H86" s="58"/>
      <c r="I86" s="5"/>
      <c r="J86" s="58"/>
      <c r="K86" s="5"/>
      <c r="L86" s="58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8"/>
      <c r="C87" s="5"/>
      <c r="D87" s="58"/>
      <c r="E87" s="5"/>
      <c r="F87" s="58"/>
      <c r="G87" s="5"/>
      <c r="H87" s="58"/>
      <c r="I87" s="5"/>
      <c r="J87" s="58"/>
      <c r="K87" s="5"/>
      <c r="L87" s="5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8"/>
      <c r="C88" s="5"/>
      <c r="D88" s="58"/>
      <c r="E88" s="5"/>
      <c r="F88" s="58"/>
      <c r="G88" s="5"/>
      <c r="H88" s="58"/>
      <c r="I88" s="5"/>
      <c r="J88" s="58"/>
      <c r="K88" s="5"/>
      <c r="L88" s="5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8"/>
      <c r="C89" s="5"/>
      <c r="D89" s="58"/>
      <c r="E89" s="5"/>
      <c r="F89" s="58"/>
      <c r="G89" s="5"/>
      <c r="H89" s="58"/>
      <c r="I89" s="5"/>
      <c r="J89" s="58"/>
      <c r="K89" s="5"/>
      <c r="L89" s="5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8"/>
      <c r="C90" s="5"/>
      <c r="D90" s="58"/>
      <c r="E90" s="5"/>
      <c r="F90" s="58"/>
      <c r="G90" s="5"/>
      <c r="H90" s="58"/>
      <c r="I90" s="5"/>
      <c r="J90" s="58"/>
      <c r="K90" s="5"/>
      <c r="L90" s="5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8"/>
      <c r="C91" s="5"/>
      <c r="D91" s="58"/>
      <c r="E91" s="5"/>
      <c r="F91" s="58"/>
      <c r="G91" s="5"/>
      <c r="H91" s="58"/>
      <c r="I91" s="5"/>
      <c r="J91" s="58"/>
      <c r="K91" s="5"/>
      <c r="L91" s="5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8"/>
      <c r="C92" s="5"/>
      <c r="D92" s="58"/>
      <c r="E92" s="5"/>
      <c r="F92" s="58"/>
      <c r="G92" s="5"/>
      <c r="H92" s="58"/>
      <c r="I92" s="5"/>
      <c r="J92" s="58"/>
      <c r="K92" s="5"/>
      <c r="L92" s="58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8"/>
      <c r="C93" s="5"/>
      <c r="D93" s="58"/>
      <c r="E93" s="5"/>
      <c r="F93" s="58"/>
      <c r="G93" s="5"/>
      <c r="H93" s="58"/>
      <c r="I93" s="5"/>
      <c r="J93" s="58"/>
      <c r="K93" s="5"/>
      <c r="L93" s="5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8"/>
      <c r="C94" s="5"/>
      <c r="D94" s="58"/>
      <c r="E94" s="5"/>
      <c r="F94" s="58"/>
      <c r="G94" s="5"/>
      <c r="H94" s="58"/>
      <c r="I94" s="5"/>
      <c r="J94" s="58"/>
      <c r="K94" s="5"/>
      <c r="L94" s="5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8"/>
      <c r="C95" s="5"/>
      <c r="D95" s="58"/>
      <c r="E95" s="5"/>
      <c r="F95" s="58"/>
      <c r="G95" s="5"/>
      <c r="H95" s="58"/>
      <c r="I95" s="5"/>
      <c r="J95" s="58"/>
      <c r="K95" s="5"/>
      <c r="L95" s="5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8"/>
      <c r="C96" s="5"/>
      <c r="D96" s="58"/>
      <c r="E96" s="5"/>
      <c r="F96" s="58"/>
      <c r="G96" s="5"/>
      <c r="H96" s="58"/>
      <c r="I96" s="5"/>
      <c r="J96" s="58"/>
      <c r="K96" s="5"/>
      <c r="L96" s="5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8"/>
      <c r="C97" s="5"/>
      <c r="D97" s="58"/>
      <c r="E97" s="5"/>
      <c r="F97" s="58"/>
      <c r="G97" s="5"/>
      <c r="H97" s="58"/>
      <c r="I97" s="5"/>
      <c r="J97" s="58"/>
      <c r="K97" s="5"/>
      <c r="L97" s="58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8"/>
      <c r="C98" s="5"/>
      <c r="D98" s="58"/>
      <c r="E98" s="5"/>
      <c r="F98" s="58"/>
      <c r="G98" s="5"/>
      <c r="H98" s="58"/>
      <c r="I98" s="5"/>
      <c r="J98" s="58"/>
      <c r="K98" s="5"/>
      <c r="L98" s="5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8"/>
      <c r="C99" s="5"/>
      <c r="D99" s="58"/>
      <c r="E99" s="5"/>
      <c r="F99" s="58"/>
      <c r="G99" s="5"/>
      <c r="H99" s="58"/>
      <c r="I99" s="5"/>
      <c r="J99" s="58"/>
      <c r="K99" s="5"/>
      <c r="L99" s="5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8"/>
      <c r="C100" s="5"/>
      <c r="D100" s="58"/>
      <c r="E100" s="5"/>
      <c r="F100" s="58"/>
      <c r="G100" s="5"/>
      <c r="H100" s="58"/>
      <c r="I100" s="5"/>
      <c r="J100" s="58"/>
      <c r="K100" s="5"/>
      <c r="L100" s="5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8"/>
      <c r="C101" s="5"/>
      <c r="D101" s="58"/>
      <c r="E101" s="5"/>
      <c r="F101" s="58"/>
      <c r="G101" s="5"/>
      <c r="H101" s="58"/>
      <c r="I101" s="5"/>
      <c r="J101" s="58"/>
      <c r="K101" s="5"/>
      <c r="L101" s="5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8"/>
      <c r="C102" s="5"/>
      <c r="D102" s="58"/>
      <c r="E102" s="5"/>
      <c r="F102" s="58"/>
      <c r="G102" s="5"/>
      <c r="H102" s="58"/>
      <c r="I102" s="5"/>
      <c r="J102" s="58"/>
      <c r="K102" s="5"/>
      <c r="L102" s="58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8"/>
      <c r="C103" s="5"/>
      <c r="D103" s="58"/>
      <c r="E103" s="5"/>
      <c r="F103" s="58"/>
      <c r="G103" s="5"/>
      <c r="H103" s="58"/>
      <c r="I103" s="5"/>
      <c r="J103" s="58"/>
      <c r="K103" s="5"/>
      <c r="L103" s="5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8"/>
      <c r="C104" s="5"/>
      <c r="D104" s="58"/>
      <c r="E104" s="5"/>
      <c r="F104" s="58"/>
      <c r="G104" s="5"/>
      <c r="H104" s="58"/>
      <c r="I104" s="5"/>
      <c r="J104" s="58"/>
      <c r="K104" s="5"/>
      <c r="L104" s="5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8"/>
      <c r="C105" s="5"/>
      <c r="D105" s="58"/>
      <c r="E105" s="5"/>
      <c r="F105" s="58"/>
      <c r="G105" s="5"/>
      <c r="H105" s="58"/>
      <c r="I105" s="5"/>
      <c r="J105" s="58"/>
      <c r="K105" s="5"/>
      <c r="L105" s="5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</sheetData>
  <mergeCells count="4">
    <mergeCell ref="A3:A13"/>
    <mergeCell ref="A33:A37"/>
    <mergeCell ref="A51:A55"/>
    <mergeCell ref="A75:A79"/>
  </mergeCells>
  <hyperlinks>
    <hyperlink r:id="rId1" ref="G27"/>
    <hyperlink r:id="rId2" ref="K27"/>
    <hyperlink r:id="rId3" ref="G45"/>
    <hyperlink r:id="rId4" ref="M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9.0"/>
    <col customWidth="1" min="4" max="4" width="2.13"/>
    <col customWidth="1" min="5" max="5" width="38.25"/>
    <col customWidth="1" min="6" max="6" width="2.25"/>
    <col customWidth="1" min="7" max="7" width="35.25"/>
    <col customWidth="1" min="8" max="8" width="2.25"/>
    <col customWidth="1" min="9" max="9" width="39.5"/>
    <col customWidth="1" min="10" max="10" width="2.25"/>
    <col customWidth="1" min="11" max="11" width="37.13"/>
    <col customWidth="1" min="12" max="12" width="2.13"/>
    <col customWidth="1" min="13" max="13" width="35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tr">
        <f>IFERROR(__xludf.DUMMYFUNCTION("IMPORTRANGE(""https://docs.google.com/spreadsheets/d/1RktLaT5GiT1q9_lejLsOtigGXC6_6STQuI7nfprWzdM/edit#gid=0"",""расписание кружков!a135:n219"")"),"8 класс")</f>
        <v>8 класс</v>
      </c>
      <c r="B2" s="7"/>
      <c r="C2" s="6" t="str">
        <f>IFERROR(__xludf.DUMMYFUNCTION("""COMPUTED_VALUE"""),"8 класс")</f>
        <v>8 класс</v>
      </c>
      <c r="D2" s="7"/>
      <c r="E2" s="6" t="str">
        <f>IFERROR(__xludf.DUMMYFUNCTION("""COMPUTED_VALUE"""),"8 класс")</f>
        <v>8 класс</v>
      </c>
      <c r="F2" s="7"/>
      <c r="G2" s="6" t="str">
        <f>IFERROR(__xludf.DUMMYFUNCTION("""COMPUTED_VALUE"""),"8 класс")</f>
        <v>8 класс</v>
      </c>
      <c r="H2" s="7"/>
      <c r="I2" s="6" t="str">
        <f>IFERROR(__xludf.DUMMYFUNCTION("""COMPUTED_VALUE"""),"8 класс")</f>
        <v>8 класс</v>
      </c>
      <c r="J2" s="7"/>
      <c r="K2" s="6" t="str">
        <f>IFERROR(__xludf.DUMMYFUNCTION("""COMPUTED_VALUE"""),"8 класс")</f>
        <v>8 класс</v>
      </c>
      <c r="L2" s="7"/>
      <c r="M2" s="6" t="str">
        <f>IFERROR(__xludf.DUMMYFUNCTION("""COMPUTED_VALUE"""),"8 класс")</f>
        <v>8 класс</v>
      </c>
      <c r="N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7" t="str">
        <f>IFERROR(__xludf.DUMMYFUNCTION("""COMPUTED_VALUE"""),"УТРО")</f>
        <v>УТРО</v>
      </c>
      <c r="B3" s="7"/>
      <c r="C3" s="10"/>
      <c r="D3" s="7"/>
      <c r="E3" s="10"/>
      <c r="F3" s="7"/>
      <c r="G3" s="11" t="str">
        <f>IFERROR(__xludf.DUMMYFUNCTION("""COMPUTED_VALUE"""),"Волейбол ")</f>
        <v>Волейбол </v>
      </c>
      <c r="H3" s="7"/>
      <c r="I3" s="10"/>
      <c r="J3" s="7"/>
      <c r="K3" s="10"/>
      <c r="L3" s="7"/>
      <c r="M3" s="10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B4" s="7"/>
      <c r="C4" s="10"/>
      <c r="D4" s="7"/>
      <c r="E4" s="10"/>
      <c r="F4" s="7"/>
      <c r="G4" s="11" t="str">
        <f>IFERROR(__xludf.DUMMYFUNCTION("""COMPUTED_VALUE"""),"07.45-08.45")</f>
        <v>07.45-08.45</v>
      </c>
      <c r="H4" s="7"/>
      <c r="I4" s="10"/>
      <c r="J4" s="7"/>
      <c r="K4" s="10"/>
      <c r="L4" s="7"/>
      <c r="M4" s="10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/>
      <c r="C5" s="10"/>
      <c r="D5" s="7"/>
      <c r="E5" s="10"/>
      <c r="F5" s="7"/>
      <c r="G5" s="11" t="str">
        <f>IFERROR(__xludf.DUMMYFUNCTION("""COMPUTED_VALUE"""),"Меджалоглу С. С.")</f>
        <v>Меджалоглу С. С.</v>
      </c>
      <c r="H5" s="7"/>
      <c r="I5" s="10"/>
      <c r="J5" s="7"/>
      <c r="K5" s="10"/>
      <c r="L5" s="7"/>
      <c r="M5" s="10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B6" s="7"/>
      <c r="C6" s="10"/>
      <c r="D6" s="7"/>
      <c r="E6" s="10"/>
      <c r="F6" s="7"/>
      <c r="G6" s="11" t="str">
        <f>IFERROR(__xludf.DUMMYFUNCTION("""COMPUTED_VALUE"""),"Код: 2038776")</f>
        <v>Код: 2038776</v>
      </c>
      <c r="H6" s="7"/>
      <c r="I6" s="10"/>
      <c r="J6" s="7"/>
      <c r="K6" s="10"/>
      <c r="L6" s="7"/>
      <c r="M6" s="10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7"/>
      <c r="C7" s="10"/>
      <c r="D7" s="7"/>
      <c r="E7" s="10"/>
      <c r="F7" s="7"/>
      <c r="G7" s="11" t="str">
        <f>IFERROR(__xludf.DUMMYFUNCTION("""COMPUTED_VALUE"""),"малый зал")</f>
        <v>малый зал</v>
      </c>
      <c r="H7" s="7"/>
      <c r="I7" s="10"/>
      <c r="J7" s="7"/>
      <c r="K7" s="10"/>
      <c r="L7" s="7"/>
      <c r="M7" s="10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B9" s="7"/>
      <c r="C9" s="10"/>
      <c r="D9" s="7"/>
      <c r="E9" s="11" t="str">
        <f>IFERROR(__xludf.DUMMYFUNCTION("""COMPUTED_VALUE"""),"Флорбол")</f>
        <v>Флорбол</v>
      </c>
      <c r="F9" s="7"/>
      <c r="G9" s="11" t="str">
        <f>IFERROR(__xludf.DUMMYFUNCTION("""COMPUTED_VALUE"""),"Флорбол")</f>
        <v>Флорбол</v>
      </c>
      <c r="H9" s="7"/>
      <c r="I9" s="11" t="str">
        <f>IFERROR(__xludf.DUMMYFUNCTION("""COMPUTED_VALUE"""),"Флорбол")</f>
        <v>Флорбол</v>
      </c>
      <c r="J9" s="7"/>
      <c r="K9" s="11" t="str">
        <f>IFERROR(__xludf.DUMMYFUNCTION("""COMPUTED_VALUE"""),"Флорбол")</f>
        <v>Флорбол</v>
      </c>
      <c r="L9" s="7"/>
      <c r="M9" s="11" t="str">
        <f>IFERROR(__xludf.DUMMYFUNCTION("""COMPUTED_VALUE"""),"Флорбол")</f>
        <v>Флорбол</v>
      </c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B10" s="7"/>
      <c r="C10" s="10"/>
      <c r="D10" s="7"/>
      <c r="E10" s="11" t="str">
        <f>IFERROR(__xludf.DUMMYFUNCTION("""COMPUTED_VALUE"""),"07.45-08.45")</f>
        <v>07.45-08.45</v>
      </c>
      <c r="F10" s="7"/>
      <c r="G10" s="11" t="str">
        <f>IFERROR(__xludf.DUMMYFUNCTION("""COMPUTED_VALUE"""),"07.45-08.45")</f>
        <v>07.45-08.45</v>
      </c>
      <c r="H10" s="7"/>
      <c r="I10" s="11" t="str">
        <f>IFERROR(__xludf.DUMMYFUNCTION("""COMPUTED_VALUE"""),"07.45-08.45")</f>
        <v>07.45-08.45</v>
      </c>
      <c r="J10" s="7"/>
      <c r="K10" s="11" t="str">
        <f>IFERROR(__xludf.DUMMYFUNCTION("""COMPUTED_VALUE"""),"07.45-08.45")</f>
        <v>07.45-08.45</v>
      </c>
      <c r="L10" s="7"/>
      <c r="M10" s="11" t="str">
        <f>IFERROR(__xludf.DUMMYFUNCTION("""COMPUTED_VALUE"""),"07.45-08.45")</f>
        <v>07.45-08.45</v>
      </c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7"/>
      <c r="C11" s="10"/>
      <c r="D11" s="7"/>
      <c r="E11" s="11" t="str">
        <f>IFERROR(__xludf.DUMMYFUNCTION("""COMPUTED_VALUE"""),"Заричный А. А.")</f>
        <v>Заричный А. А.</v>
      </c>
      <c r="F11" s="7"/>
      <c r="G11" s="11" t="str">
        <f>IFERROR(__xludf.DUMMYFUNCTION("""COMPUTED_VALUE"""),"Заричный А. А.")</f>
        <v>Заричный А. А.</v>
      </c>
      <c r="H11" s="7"/>
      <c r="I11" s="11" t="str">
        <f>IFERROR(__xludf.DUMMYFUNCTION("""COMPUTED_VALUE"""),"Заричный А. А.")</f>
        <v>Заричный А. А.</v>
      </c>
      <c r="J11" s="7"/>
      <c r="K11" s="11" t="str">
        <f>IFERROR(__xludf.DUMMYFUNCTION("""COMPUTED_VALUE"""),"Заричный А. А.")</f>
        <v>Заричный А. А.</v>
      </c>
      <c r="L11" s="7"/>
      <c r="M11" s="11" t="str">
        <f>IFERROR(__xludf.DUMMYFUNCTION("""COMPUTED_VALUE"""),"Заричный А. А.")</f>
        <v>Заричный А. А.</v>
      </c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B12" s="7"/>
      <c r="C12" s="10"/>
      <c r="D12" s="7"/>
      <c r="E12" s="11" t="str">
        <f>IFERROR(__xludf.DUMMYFUNCTION("""COMPUTED_VALUE"""),"Код: 2037917")</f>
        <v>Код: 2037917</v>
      </c>
      <c r="F12" s="7"/>
      <c r="G12" s="11" t="str">
        <f>IFERROR(__xludf.DUMMYFUNCTION("""COMPUTED_VALUE"""),"Код: 2037917")</f>
        <v>Код: 2037917</v>
      </c>
      <c r="H12" s="7"/>
      <c r="I12" s="11" t="str">
        <f>IFERROR(__xludf.DUMMYFUNCTION("""COMPUTED_VALUE"""),"Код: 2037917")</f>
        <v>Код: 2037917</v>
      </c>
      <c r="J12" s="7"/>
      <c r="K12" s="11" t="str">
        <f>IFERROR(__xludf.DUMMYFUNCTION("""COMPUTED_VALUE"""),"Код: 2037917")</f>
        <v>Код: 2037917</v>
      </c>
      <c r="L12" s="7"/>
      <c r="M12" s="11" t="str">
        <f>IFERROR(__xludf.DUMMYFUNCTION("""COMPUTED_VALUE"""),"Код: 2037917")</f>
        <v>Код: 2037917</v>
      </c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7"/>
      <c r="C13" s="10"/>
      <c r="D13" s="7"/>
      <c r="E13" s="11" t="str">
        <f>IFERROR(__xludf.DUMMYFUNCTION("""COMPUTED_VALUE"""),"большой зал")</f>
        <v>большой зал</v>
      </c>
      <c r="F13" s="7"/>
      <c r="G13" s="11" t="str">
        <f>IFERROR(__xludf.DUMMYFUNCTION("""COMPUTED_VALUE"""),"большой зал")</f>
        <v>большой зал</v>
      </c>
      <c r="H13" s="7"/>
      <c r="I13" s="11" t="str">
        <f>IFERROR(__xludf.DUMMYFUNCTION("""COMPUTED_VALUE"""),"большой зал")</f>
        <v>большой зал</v>
      </c>
      <c r="J13" s="7"/>
      <c r="K13" s="11" t="str">
        <f>IFERROR(__xludf.DUMMYFUNCTION("""COMPUTED_VALUE"""),"большой зал")</f>
        <v>большой зал</v>
      </c>
      <c r="L13" s="7"/>
      <c r="M13" s="11" t="str">
        <f>IFERROR(__xludf.DUMMYFUNCTION("""COMPUTED_VALUE"""),"большой зал")</f>
        <v>большой зал</v>
      </c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B14" s="7"/>
      <c r="C14" s="12"/>
      <c r="D14" s="7"/>
      <c r="E14" s="12"/>
      <c r="F14" s="7"/>
      <c r="G14" s="38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B15" s="7"/>
      <c r="C15" s="14"/>
      <c r="D15" s="17"/>
      <c r="E15" s="14"/>
      <c r="F15" s="17"/>
      <c r="G15" s="56" t="str">
        <f>IFERROR(__xludf.DUMMYFUNCTION("""COMPUTED_VALUE"""),"Консультация по математике")</f>
        <v>Консультация по математике</v>
      </c>
      <c r="H15" s="17"/>
      <c r="I15" s="14"/>
      <c r="J15" s="17"/>
      <c r="K15" s="14"/>
      <c r="L15" s="17"/>
      <c r="M15" s="14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B16" s="7"/>
      <c r="C16" s="14"/>
      <c r="D16" s="17"/>
      <c r="E16" s="14"/>
      <c r="F16" s="17"/>
      <c r="G16" s="56" t="str">
        <f>IFERROR(__xludf.DUMMYFUNCTION("""COMPUTED_VALUE"""),"08.15-08.50")</f>
        <v>08.15-08.50</v>
      </c>
      <c r="H16" s="17"/>
      <c r="I16" s="14"/>
      <c r="J16" s="17"/>
      <c r="K16" s="14"/>
      <c r="L16" s="17"/>
      <c r="M16" s="14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7"/>
      <c r="C17" s="14"/>
      <c r="D17" s="17"/>
      <c r="E17" s="14"/>
      <c r="F17" s="17"/>
      <c r="G17" s="56" t="str">
        <f>IFERROR(__xludf.DUMMYFUNCTION("""COMPUTED_VALUE"""),"Грехова Д. Д.")</f>
        <v>Грехова Д. Д.</v>
      </c>
      <c r="H17" s="17"/>
      <c r="I17" s="14"/>
      <c r="J17" s="17"/>
      <c r="K17" s="14"/>
      <c r="L17" s="17"/>
      <c r="M17" s="14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B18" s="7"/>
      <c r="C18" s="14"/>
      <c r="D18" s="17"/>
      <c r="E18" s="14"/>
      <c r="F18" s="17"/>
      <c r="G18" s="56" t="str">
        <f>IFERROR(__xludf.DUMMYFUNCTION("""COMPUTED_VALUE"""),"8Г")</f>
        <v>8Г</v>
      </c>
      <c r="H18" s="17"/>
      <c r="I18" s="14"/>
      <c r="J18" s="17"/>
      <c r="K18" s="14"/>
      <c r="L18" s="17"/>
      <c r="M18" s="14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B19" s="7"/>
      <c r="C19" s="14"/>
      <c r="D19" s="17"/>
      <c r="E19" s="14"/>
      <c r="F19" s="17"/>
      <c r="G19" s="56" t="str">
        <f>IFERROR(__xludf.DUMMYFUNCTION("""COMPUTED_VALUE"""),"с 18.09. в 31")</f>
        <v>с 18.09. в 31</v>
      </c>
      <c r="H19" s="17"/>
      <c r="I19" s="14"/>
      <c r="J19" s="17"/>
      <c r="K19" s="14"/>
      <c r="L19" s="17"/>
      <c r="M19" s="14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8"/>
      <c r="B20" s="7"/>
      <c r="C20" s="69"/>
      <c r="D20" s="17"/>
      <c r="E20" s="69"/>
      <c r="F20" s="17"/>
      <c r="G20" s="69"/>
      <c r="H20" s="17"/>
      <c r="I20" s="69"/>
      <c r="J20" s="17"/>
      <c r="K20" s="69"/>
      <c r="L20" s="17"/>
      <c r="M20" s="69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7"/>
      <c r="C21" s="43" t="str">
        <f>IFERROR(__xludf.DUMMYFUNCTION("""COMPUTED_VALUE"""),"Физический эксперимент")</f>
        <v>Физический эксперимент</v>
      </c>
      <c r="D21" s="7"/>
      <c r="E21" s="19" t="str">
        <f>IFERROR(__xludf.DUMMYFUNCTION("""COMPUTED_VALUE"""),"Общая инженерная грамотность")</f>
        <v>Общая инженерная грамотность</v>
      </c>
      <c r="F21" s="7"/>
      <c r="G21" s="41" t="str">
        <f>IFERROR(__xludf.DUMMYFUNCTION("""COMPUTED_VALUE"""),"Дежурный практикум")</f>
        <v>Дежурный практикум</v>
      </c>
      <c r="H21" s="7"/>
      <c r="I21" s="42" t="str">
        <f>IFERROR(__xludf.DUMMYFUNCTION("""COMPUTED_VALUE"""),"Олимпиадная физика")</f>
        <v>Олимпиадная физика</v>
      </c>
      <c r="J21" s="7"/>
      <c r="K21" s="70" t="str">
        <f>IFERROR(__xludf.DUMMYFUNCTION("""COMPUTED_VALUE"""),"Консультация по химии")</f>
        <v>Консультация по химии</v>
      </c>
      <c r="L21" s="7"/>
      <c r="M21" s="71" t="str">
        <f>IFERROR(__xludf.DUMMYFUNCTION("""COMPUTED_VALUE"""),"Кружок по химии")</f>
        <v>Кружок по химии</v>
      </c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43" t="str">
        <f>IFERROR(__xludf.DUMMYFUNCTION("""COMPUTED_VALUE"""),"15.45 - 17.45")</f>
        <v>15.45 - 17.45</v>
      </c>
      <c r="D22" s="7"/>
      <c r="E22" s="19" t="str">
        <f>IFERROR(__xludf.DUMMYFUNCTION("""COMPUTED_VALUE"""),"15:00 - 16:30")</f>
        <v>15:00 - 16:30</v>
      </c>
      <c r="F22" s="7"/>
      <c r="G22" s="41" t="str">
        <f>IFERROR(__xludf.DUMMYFUNCTION("""COMPUTED_VALUE"""),"15.45 - 17.45")</f>
        <v>15.45 - 17.45</v>
      </c>
      <c r="H22" s="7"/>
      <c r="I22" s="42" t="str">
        <f>IFERROR(__xludf.DUMMYFUNCTION("""COMPUTED_VALUE"""),"16.00 - 18.00")</f>
        <v>16.00 - 18.00</v>
      </c>
      <c r="J22" s="7"/>
      <c r="K22" s="70" t="str">
        <f>IFERROR(__xludf.DUMMYFUNCTION("""COMPUTED_VALUE"""),"15.40-16.10")</f>
        <v>15.40-16.10</v>
      </c>
      <c r="L22" s="7"/>
      <c r="M22" s="71" t="str">
        <f>IFERROR(__xludf.DUMMYFUNCTION("""COMPUTED_VALUE"""),"14.50 - 15.50")</f>
        <v>14.50 - 15.50</v>
      </c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43" t="str">
        <f>IFERROR(__xludf.DUMMYFUNCTION("""COMPUTED_VALUE"""),"Критченкова А.М.")</f>
        <v>Критченкова А.М.</v>
      </c>
      <c r="D23" s="7"/>
      <c r="E23" s="19" t="str">
        <f>IFERROR(__xludf.DUMMYFUNCTION("""COMPUTED_VALUE"""),"Дементьев Ю.Н.")</f>
        <v>Дементьев Ю.Н.</v>
      </c>
      <c r="F23" s="7"/>
      <c r="G23" s="41" t="str">
        <f>IFERROR(__xludf.DUMMYFUNCTION("""COMPUTED_VALUE"""),"Антипов М.И.")</f>
        <v>Антипов М.И.</v>
      </c>
      <c r="H23" s="7"/>
      <c r="I23" s="42" t="str">
        <f>IFERROR(__xludf.DUMMYFUNCTION("""COMPUTED_VALUE"""),"Бердникова А.О.")</f>
        <v>Бердникова А.О.</v>
      </c>
      <c r="J23" s="7"/>
      <c r="K23" s="70" t="str">
        <f>IFERROR(__xludf.DUMMYFUNCTION("""COMPUTED_VALUE"""),"Трошева А. А.")</f>
        <v>Трошева А. А.</v>
      </c>
      <c r="L23" s="7"/>
      <c r="M23" s="71" t="str">
        <f>IFERROR(__xludf.DUMMYFUNCTION("""COMPUTED_VALUE"""),"Трошева А. А.")</f>
        <v>Трошева А. А.</v>
      </c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7"/>
      <c r="C24" s="43" t="str">
        <f>IFERROR(__xludf.DUMMYFUNCTION("""COMPUTED_VALUE"""),"Код: 2071059")</f>
        <v>Код: 2071059</v>
      </c>
      <c r="D24" s="7"/>
      <c r="E24" s="19" t="str">
        <f>IFERROR(__xludf.DUMMYFUNCTION("""COMPUTED_VALUE"""),"Код: 2030652")</f>
        <v>Код: 2030652</v>
      </c>
      <c r="F24" s="7"/>
      <c r="G24" s="41" t="str">
        <f>IFERROR(__xludf.DUMMYFUNCTION("""COMPUTED_VALUE"""),"Код: 2043804")</f>
        <v>Код: 2043804</v>
      </c>
      <c r="H24" s="7"/>
      <c r="I24" s="42" t="str">
        <f>IFERROR(__xludf.DUMMYFUNCTION("""COMPUTED_VALUE"""),"Код: 2031318")</f>
        <v>Код: 2031318</v>
      </c>
      <c r="J24" s="7"/>
      <c r="K24" s="70" t="str">
        <f>IFERROR(__xludf.DUMMYFUNCTION("""COMPUTED_VALUE"""),"8 классы")</f>
        <v>8 классы</v>
      </c>
      <c r="L24" s="7"/>
      <c r="M24" s="71" t="str">
        <f>IFERROR(__xludf.DUMMYFUNCTION("""COMPUTED_VALUE"""),"Код: 2031271")</f>
        <v>Код: 2031271</v>
      </c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10"/>
      <c r="B25" s="7"/>
      <c r="C25" s="43">
        <f>IFERROR(__xludf.DUMMYFUNCTION("""COMPUTED_VALUE"""),50.0)</f>
        <v>50</v>
      </c>
      <c r="D25" s="7"/>
      <c r="E25" s="19">
        <f>IFERROR(__xludf.DUMMYFUNCTION("""COMPUTED_VALUE"""),312.0)</f>
        <v>312</v>
      </c>
      <c r="F25" s="7"/>
      <c r="G25" s="41">
        <f>IFERROR(__xludf.DUMMYFUNCTION("""COMPUTED_VALUE"""),50.0)</f>
        <v>50</v>
      </c>
      <c r="H25" s="7"/>
      <c r="I25" s="42">
        <f>IFERROR(__xludf.DUMMYFUNCTION("""COMPUTED_VALUE"""),412.0)</f>
        <v>412</v>
      </c>
      <c r="J25" s="7"/>
      <c r="K25" s="70">
        <f>IFERROR(__xludf.DUMMYFUNCTION("""COMPUTED_VALUE"""),51.0)</f>
        <v>51</v>
      </c>
      <c r="L25" s="7"/>
      <c r="M25" s="71">
        <f>IFERROR(__xludf.DUMMYFUNCTION("""COMPUTED_VALUE"""),51.0)</f>
        <v>51</v>
      </c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10"/>
      <c r="D27" s="7"/>
      <c r="E27" s="41" t="str">
        <f>IFERROR(__xludf.DUMMYFUNCTION("""COMPUTED_VALUE"""),"Скорая физическая помощь")</f>
        <v>Скорая физическая помощь</v>
      </c>
      <c r="F27" s="7"/>
      <c r="G27" s="26" t="str">
        <f>IFERROR(__xludf.DUMMYFUNCTION("""COMPUTED_VALUE"""),"Лингвистика")</f>
        <v>Лингвистика</v>
      </c>
      <c r="H27" s="7"/>
      <c r="I27" s="72" t="str">
        <f>IFERROR(__xludf.DUMMYFUNCTION("""COMPUTED_VALUE"""),"Физические турниры")</f>
        <v>Физические турниры</v>
      </c>
      <c r="J27" s="7"/>
      <c r="K27" s="23" t="str">
        <f>IFERROR(__xludf.DUMMYFUNCTION("""COMPUTED_VALUE"""),"Консультация по математике")</f>
        <v>Консультация по математике</v>
      </c>
      <c r="L27" s="7"/>
      <c r="M27" s="26" t="str">
        <f>IFERROR(__xludf.DUMMYFUNCTION("""COMPUTED_VALUE"""),"Лингвистика")</f>
        <v>Лингвистика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10"/>
      <c r="D28" s="7"/>
      <c r="E28" s="41" t="str">
        <f>IFERROR(__xludf.DUMMYFUNCTION("""COMPUTED_VALUE"""),"15.00 - 16.00")</f>
        <v>15.00 - 16.00</v>
      </c>
      <c r="F28" s="7"/>
      <c r="G28" s="28" t="str">
        <f>IFERROR(__xludf.DUMMYFUNCTION("""COMPUTED_VALUE"""),"15.45 - 17.15")</f>
        <v>15.45 - 17.15</v>
      </c>
      <c r="H28" s="7"/>
      <c r="I28" s="72" t="str">
        <f>IFERROR(__xludf.DUMMYFUNCTION("""COMPUTED_VALUE"""),"15.00 - 17.00")</f>
        <v>15.00 - 17.00</v>
      </c>
      <c r="J28" s="7"/>
      <c r="K28" s="23" t="str">
        <f>IFERROR(__xludf.DUMMYFUNCTION("""COMPUTED_VALUE"""),"15.45-17.00")</f>
        <v>15.45-17.00</v>
      </c>
      <c r="L28" s="7"/>
      <c r="M28" s="28" t="str">
        <f>IFERROR(__xludf.DUMMYFUNCTION("""COMPUTED_VALUE"""),"16.30-18.00")</f>
        <v>16.30-18.00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10"/>
      <c r="D29" s="7"/>
      <c r="E29" s="41" t="str">
        <f>IFERROR(__xludf.DUMMYFUNCTION("""COMPUTED_VALUE"""),"Воропаева Е.Т.")</f>
        <v>Воропаева Е.Т.</v>
      </c>
      <c r="F29" s="7"/>
      <c r="G29" s="28" t="str">
        <f>IFERROR(__xludf.DUMMYFUNCTION("""COMPUTED_VALUE"""),"Бушина А. С.")</f>
        <v>Бушина А. С.</v>
      </c>
      <c r="H29" s="7"/>
      <c r="I29" s="72" t="str">
        <f>IFERROR(__xludf.DUMMYFUNCTION("""COMPUTED_VALUE"""),"Шушпанова Ю.С.")</f>
        <v>Шушпанова Ю.С.</v>
      </c>
      <c r="J29" s="7"/>
      <c r="K29" s="23" t="str">
        <f>IFERROR(__xludf.DUMMYFUNCTION("""COMPUTED_VALUE"""),"Горюнова Н. В.")</f>
        <v>Горюнова Н. В.</v>
      </c>
      <c r="L29" s="7"/>
      <c r="M29" s="28" t="str">
        <f>IFERROR(__xludf.DUMMYFUNCTION("""COMPUTED_VALUE"""),"Зильберман Е. А.")</f>
        <v>Зильберман Е. А.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10"/>
      <c r="D30" s="7"/>
      <c r="E30" s="41" t="str">
        <f>IFERROR(__xludf.DUMMYFUNCTION("""COMPUTED_VALUE"""),"Код: 2030046")</f>
        <v>Код: 2030046</v>
      </c>
      <c r="F30" s="7"/>
      <c r="G30" s="28" t="str">
        <f>IFERROR(__xludf.DUMMYFUNCTION("""COMPUTED_VALUE"""),"Код: 2022681")</f>
        <v>Код: 2022681</v>
      </c>
      <c r="H30" s="7"/>
      <c r="I30" s="72" t="str">
        <f>IFERROR(__xludf.DUMMYFUNCTION("""COMPUTED_VALUE"""),"Код: 2071093")</f>
        <v>Код: 2071093</v>
      </c>
      <c r="J30" s="7"/>
      <c r="K30" s="23" t="str">
        <f>IFERROR(__xludf.DUMMYFUNCTION("""COMPUTED_VALUE"""),"8В, 8Д, 10Б")</f>
        <v>8В, 8Д, 10Б</v>
      </c>
      <c r="L30" s="7"/>
      <c r="M30" s="28" t="str">
        <f>IFERROR(__xludf.DUMMYFUNCTION("""COMPUTED_VALUE"""),"Код: 2022681")</f>
        <v>Код: 2022681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10"/>
      <c r="D31" s="7"/>
      <c r="E31" s="41">
        <f>IFERROR(__xludf.DUMMYFUNCTION("""COMPUTED_VALUE"""),409.0)</f>
        <v>409</v>
      </c>
      <c r="F31" s="7"/>
      <c r="G31" s="28">
        <f>IFERROR(__xludf.DUMMYFUNCTION("""COMPUTED_VALUE"""),41.0)</f>
        <v>41</v>
      </c>
      <c r="H31" s="7"/>
      <c r="I31" s="72">
        <f>IFERROR(__xludf.DUMMYFUNCTION("""COMPUTED_VALUE"""),413.0)</f>
        <v>413</v>
      </c>
      <c r="J31" s="7"/>
      <c r="K31" s="23">
        <f>IFERROR(__xludf.DUMMYFUNCTION("""COMPUTED_VALUE"""),33.0)</f>
        <v>33</v>
      </c>
      <c r="L31" s="7"/>
      <c r="M31" s="28" t="str">
        <f>IFERROR(__xludf.DUMMYFUNCTION("""COMPUTED_VALUE"""),"онлайн")</f>
        <v>онлайн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/>
      <c r="B33" s="7"/>
      <c r="C33" s="10"/>
      <c r="D33" s="7"/>
      <c r="E33" s="28" t="str">
        <f>IFERROR(__xludf.DUMMYFUNCTION("""COMPUTED_VALUE"""),"Олимпиадный английский язык")</f>
        <v>Олимпиадный английский язык</v>
      </c>
      <c r="F33" s="7"/>
      <c r="G3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33" s="7"/>
      <c r="I3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3" s="7"/>
      <c r="K33" s="28" t="str">
        <f>IFERROR(__xludf.DUMMYFUNCTION("""COMPUTED_VALUE"""),"Занимательный английский")</f>
        <v>Занимательный английский</v>
      </c>
      <c r="L33" s="7"/>
      <c r="M33" s="10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/>
      <c r="B34" s="7"/>
      <c r="C34" s="10"/>
      <c r="D34" s="7"/>
      <c r="E34" s="28" t="str">
        <f>IFERROR(__xludf.DUMMYFUNCTION("""COMPUTED_VALUE"""),"16.00-17.30")</f>
        <v>16.00-17.30</v>
      </c>
      <c r="F34" s="7"/>
      <c r="G34" s="19" t="str">
        <f>IFERROR(__xludf.DUMMYFUNCTION("""COMPUTED_VALUE"""),"15:00 - 17:00")</f>
        <v>15:00 - 17:00</v>
      </c>
      <c r="H34" s="7"/>
      <c r="I34" s="19" t="str">
        <f>IFERROR(__xludf.DUMMYFUNCTION("""COMPUTED_VALUE"""),"15:00 - 17:00")</f>
        <v>15:00 - 17:00</v>
      </c>
      <c r="J34" s="7"/>
      <c r="K34" s="28" t="str">
        <f>IFERROR(__xludf.DUMMYFUNCTION("""COMPUTED_VALUE"""),"15.45 - 16.45")</f>
        <v>15.45 - 16.45</v>
      </c>
      <c r="L34" s="7"/>
      <c r="M34" s="10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/>
      <c r="B35" s="7"/>
      <c r="C35" s="10"/>
      <c r="D35" s="7"/>
      <c r="E35" s="28" t="str">
        <f>IFERROR(__xludf.DUMMYFUNCTION("""COMPUTED_VALUE"""),"Тевелева А. ")</f>
        <v>Тевелева А. </v>
      </c>
      <c r="F35" s="7"/>
      <c r="G35" s="19" t="str">
        <f>IFERROR(__xludf.DUMMYFUNCTION("""COMPUTED_VALUE"""),"Струговщиков В.В.")</f>
        <v>Струговщиков В.В.</v>
      </c>
      <c r="H35" s="7"/>
      <c r="I35" s="19" t="str">
        <f>IFERROR(__xludf.DUMMYFUNCTION("""COMPUTED_VALUE"""),"Струговщиков В.В.")</f>
        <v>Струговщиков В.В.</v>
      </c>
      <c r="J35" s="7"/>
      <c r="K35" s="28" t="str">
        <f>IFERROR(__xludf.DUMMYFUNCTION("""COMPUTED_VALUE"""),"Клюева М.Б.")</f>
        <v>Клюева М.Б.</v>
      </c>
      <c r="L35" s="7"/>
      <c r="M35" s="10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/>
      <c r="B36" s="7"/>
      <c r="C36" s="10"/>
      <c r="D36" s="7"/>
      <c r="E36" s="28" t="str">
        <f>IFERROR(__xludf.DUMMYFUNCTION("""COMPUTED_VALUE"""),"Код: 2035254")</f>
        <v>Код: 2035254</v>
      </c>
      <c r="F36" s="7"/>
      <c r="G36" s="19" t="str">
        <f>IFERROR(__xludf.DUMMYFUNCTION("""COMPUTED_VALUE"""),"Код: 2031075")</f>
        <v>Код: 2031075</v>
      </c>
      <c r="H36" s="7"/>
      <c r="I36" s="19" t="str">
        <f>IFERROR(__xludf.DUMMYFUNCTION("""COMPUTED_VALUE"""),"Код: 2031075")</f>
        <v>Код: 2031075</v>
      </c>
      <c r="J36" s="7"/>
      <c r="K36" s="28" t="str">
        <f>IFERROR(__xludf.DUMMYFUNCTION("""COMPUTED_VALUE"""),"Код: 2037480")</f>
        <v>Код: 2037480</v>
      </c>
      <c r="L36" s="7"/>
      <c r="M36" s="10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/>
      <c r="B37" s="7"/>
      <c r="C37" s="10"/>
      <c r="D37" s="7"/>
      <c r="E37" s="28">
        <f>IFERROR(__xludf.DUMMYFUNCTION("""COMPUTED_VALUE"""),27.0)</f>
        <v>27</v>
      </c>
      <c r="F37" s="7"/>
      <c r="G37" s="19">
        <f>IFERROR(__xludf.DUMMYFUNCTION("""COMPUTED_VALUE"""),312.0)</f>
        <v>312</v>
      </c>
      <c r="H37" s="7"/>
      <c r="I37" s="19">
        <f>IFERROR(__xludf.DUMMYFUNCTION("""COMPUTED_VALUE"""),312.0)</f>
        <v>312</v>
      </c>
      <c r="J37" s="7"/>
      <c r="K37" s="28">
        <f>IFERROR(__xludf.DUMMYFUNCTION("""COMPUTED_VALUE"""),29.0)</f>
        <v>29</v>
      </c>
      <c r="L37" s="7"/>
      <c r="M37" s="10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2"/>
      <c r="B38" s="7"/>
      <c r="C38" s="12"/>
      <c r="D38" s="7"/>
      <c r="E38" s="12"/>
      <c r="F38" s="7"/>
      <c r="G38" s="12"/>
      <c r="H38" s="7"/>
      <c r="I38" s="12"/>
      <c r="J38" s="7"/>
      <c r="K38" s="73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7" t="str">
        <f>IFERROR(__xludf.DUMMYFUNCTION("""COMPUTED_VALUE"""),"Мат. кружки с отбором")</f>
        <v>Мат. кружки с отбором</v>
      </c>
      <c r="B39" s="7"/>
      <c r="C39" s="48" t="str">
        <f>IFERROR(__xludf.DUMMYFUNCTION("""COMPUTED_VALUE"""),"Решение олимпиадных задач по математике (отбор)")</f>
        <v>Решение олимпиадных задач по математике (отбор)</v>
      </c>
      <c r="D39" s="7"/>
      <c r="E39" s="74" t="str">
        <f>IFERROR(__xludf.DUMMYFUNCTION("""COMPUTED_VALUE"""),"Олимпиадная экономика")</f>
        <v>Олимпиадная экономика</v>
      </c>
      <c r="F39" s="7"/>
      <c r="G39" s="23" t="str">
        <f>IFERROR(__xludf.DUMMYFUNCTION("""COMPUTED_VALUE"""),"Консультация по математике для 8Б")</f>
        <v>Консультация по математике для 8Б</v>
      </c>
      <c r="H39" s="7"/>
      <c r="I39" s="48" t="str">
        <f>IFERROR(__xludf.DUMMYFUNCTION("""COMPUTED_VALUE"""),"Решение олимпиадных задач по математике (отбор)")</f>
        <v>Решение олимпиадных задач по математике (отбор)</v>
      </c>
      <c r="J39" s="7"/>
      <c r="K39" s="28" t="str">
        <f>IFERROR(__xludf.DUMMYFUNCTION("""COMPUTED_VALUE"""),"Немецкий язык ")</f>
        <v>Немецкий язык </v>
      </c>
      <c r="L39" s="7"/>
      <c r="M39" s="10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B40" s="7"/>
      <c r="C40" s="48" t="str">
        <f>IFERROR(__xludf.DUMMYFUNCTION("""COMPUTED_VALUE"""),"15.45-17.15")</f>
        <v>15.45-17.15</v>
      </c>
      <c r="D40" s="7"/>
      <c r="E40" s="74" t="str">
        <f>IFERROR(__xludf.DUMMYFUNCTION("""COMPUTED_VALUE"""),"15.45-16.45")</f>
        <v>15.45-16.45</v>
      </c>
      <c r="F40" s="7"/>
      <c r="G40" s="23" t="str">
        <f>IFERROR(__xludf.DUMMYFUNCTION("""COMPUTED_VALUE"""),"15.00-16.30")</f>
        <v>15.00-16.30</v>
      </c>
      <c r="H40" s="7"/>
      <c r="I40" s="48" t="str">
        <f>IFERROR(__xludf.DUMMYFUNCTION("""COMPUTED_VALUE"""),"15.45 - 17.15")</f>
        <v>15.45 - 17.15</v>
      </c>
      <c r="J40" s="7"/>
      <c r="K40" s="28" t="str">
        <f>IFERROR(__xludf.DUMMYFUNCTION("""COMPUTED_VALUE"""),"16.00-17.00")</f>
        <v>16.00-17.00</v>
      </c>
      <c r="L40" s="7"/>
      <c r="M40" s="10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3.0" customHeight="1">
      <c r="B41" s="7"/>
      <c r="C41" s="48" t="str">
        <f>IFERROR(__xludf.DUMMYFUNCTION("""COMPUTED_VALUE"""),"Грехова Д. Д., Горюнова Н. В., Нелаев К. А.")</f>
        <v>Грехова Д. Д., Горюнова Н. В., Нелаев К. А.</v>
      </c>
      <c r="D41" s="7"/>
      <c r="E41" s="74" t="str">
        <f>IFERROR(__xludf.DUMMYFUNCTION("""COMPUTED_VALUE"""),"Лепетиков Я. Д.")</f>
        <v>Лепетиков Я. Д.</v>
      </c>
      <c r="F41" s="7"/>
      <c r="G41" s="23" t="str">
        <f>IFERROR(__xludf.DUMMYFUNCTION("""COMPUTED_VALUE"""),"Нелаев К. А.")</f>
        <v>Нелаев К. А.</v>
      </c>
      <c r="H41" s="7"/>
      <c r="I41" s="48" t="str">
        <f>IFERROR(__xludf.DUMMYFUNCTION("""COMPUTED_VALUE"""),"Грехова Д. Д., Горюнова Н. В., Нелаев К. А.")</f>
        <v>Грехова Д. Д., Горюнова Н. В., Нелаев К. А.</v>
      </c>
      <c r="J41" s="7"/>
      <c r="K41" s="28" t="str">
        <f>IFERROR(__xludf.DUMMYFUNCTION("""COMPUTED_VALUE"""),"Рукк М. Ф.")</f>
        <v>Рукк М. Ф.</v>
      </c>
      <c r="L41" s="7"/>
      <c r="M41" s="10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B42" s="7"/>
      <c r="C42" s="48" t="str">
        <f>IFERROR(__xludf.DUMMYFUNCTION("""COMPUTED_VALUE"""),"Код: 2031249")</f>
        <v>Код: 2031249</v>
      </c>
      <c r="D42" s="7"/>
      <c r="E42" s="74" t="str">
        <f>IFERROR(__xludf.DUMMYFUNCTION("""COMPUTED_VALUE"""),"Код: 2077394")</f>
        <v>Код: 2077394</v>
      </c>
      <c r="F42" s="7"/>
      <c r="G42" s="23" t="str">
        <f>IFERROR(__xludf.DUMMYFUNCTION("""COMPUTED_VALUE"""),".")</f>
        <v>.</v>
      </c>
      <c r="H42" s="7"/>
      <c r="I42" s="48" t="str">
        <f>IFERROR(__xludf.DUMMYFUNCTION("""COMPUTED_VALUE"""),"Код: 2031249")</f>
        <v>Код: 2031249</v>
      </c>
      <c r="J42" s="7"/>
      <c r="K42" s="28" t="str">
        <f>IFERROR(__xludf.DUMMYFUNCTION("""COMPUTED_VALUE"""),"Код: 2077518")</f>
        <v>Код: 2077518</v>
      </c>
      <c r="L42" s="7"/>
      <c r="M42" s="10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B43" s="7"/>
      <c r="C43" s="48" t="str">
        <f>IFERROR(__xludf.DUMMYFUNCTION("""COMPUTED_VALUE"""),"МАЗ")</f>
        <v>МАЗ</v>
      </c>
      <c r="D43" s="7"/>
      <c r="E43" s="74">
        <f>IFERROR(__xludf.DUMMYFUNCTION("""COMPUTED_VALUE"""),410.0)</f>
        <v>410</v>
      </c>
      <c r="F43" s="7"/>
      <c r="G43" s="23">
        <f>IFERROR(__xludf.DUMMYFUNCTION("""COMPUTED_VALUE"""),23.0)</f>
        <v>23</v>
      </c>
      <c r="H43" s="7"/>
      <c r="I43" s="48" t="str">
        <f>IFERROR(__xludf.DUMMYFUNCTION("""COMPUTED_VALUE"""),"31, 310, 410, 414")</f>
        <v>31, 310, 410, 414</v>
      </c>
      <c r="J43" s="7"/>
      <c r="K43" s="28">
        <f>IFERROR(__xludf.DUMMYFUNCTION("""COMPUTED_VALUE"""),53.0)</f>
        <v>53</v>
      </c>
      <c r="L43" s="7"/>
      <c r="M43" s="10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7"/>
      <c r="C45" s="10"/>
      <c r="D45" s="7"/>
      <c r="E45" s="71" t="str">
        <f>IFERROR(__xludf.DUMMYFUNCTION("""COMPUTED_VALUE"""),"Исследовательская работа по химии")</f>
        <v>Исследовательская работа по химии</v>
      </c>
      <c r="F45" s="7"/>
      <c r="G45" s="75" t="str">
        <f>IFERROR(__xludf.DUMMYFUNCTION("""COMPUTED_VALUE"""),"Консультация по истории")</f>
        <v>Консультация по истории</v>
      </c>
      <c r="H45" s="7"/>
      <c r="I45" s="19" t="str">
        <f>IFERROR(__xludf.DUMMYFUNCTION("""COMPUTED_VALUE"""),"Робототехника для продолжающих")</f>
        <v>Робототехника для продолжающих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7"/>
      <c r="M45" s="50" t="str">
        <f>IFERROR(__xludf.DUMMYFUNCTION("""COMPUTED_VALUE"""),"Театральная лаборатория 7а, 8а, 8в, 8д")</f>
        <v>Театральная лаборатория 7а, 8а, 8в, 8д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7"/>
      <c r="C46" s="10"/>
      <c r="D46" s="7"/>
      <c r="E46" s="71" t="str">
        <f>IFERROR(__xludf.DUMMYFUNCTION("""COMPUTED_VALUE"""),"15.45 - 17.15")</f>
        <v>15.45 - 17.15</v>
      </c>
      <c r="F46" s="7"/>
      <c r="G46" s="75"/>
      <c r="H46" s="7"/>
      <c r="I46" s="19" t="str">
        <f>IFERROR(__xludf.DUMMYFUNCTION("""COMPUTED_VALUE"""),"15:00 - 18:00")</f>
        <v>15:00 - 18:00</v>
      </c>
      <c r="J46" s="7"/>
      <c r="K46" s="25" t="str">
        <f>IFERROR(__xludf.DUMMYFUNCTION("""COMPUTED_VALUE"""),"14.45-17-45")</f>
        <v>14.45-17-45</v>
      </c>
      <c r="L46" s="7"/>
      <c r="M46" s="50" t="str">
        <f>IFERROR(__xludf.DUMMYFUNCTION("""COMPUTED_VALUE"""),"15.00 - 16.00")</f>
        <v>15.00 - 16.00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7"/>
      <c r="C47" s="10"/>
      <c r="D47" s="7"/>
      <c r="E47" s="71" t="str">
        <f>IFERROR(__xludf.DUMMYFUNCTION("""COMPUTED_VALUE"""),"Шульгин А.Т.")</f>
        <v>Шульгин А.Т.</v>
      </c>
      <c r="F47" s="7"/>
      <c r="G47" s="75" t="str">
        <f>IFERROR(__xludf.DUMMYFUNCTION("""COMPUTED_VALUE"""),"Фрог М. М.")</f>
        <v>Фрог М. М.</v>
      </c>
      <c r="H47" s="7"/>
      <c r="I47" s="19" t="str">
        <f>IFERROR(__xludf.DUMMYFUNCTION("""COMPUTED_VALUE"""),"Дементьев Ю.Н.")</f>
        <v>Дементьев Ю.Н.</v>
      </c>
      <c r="J47" s="7"/>
      <c r="K47" s="25" t="str">
        <f>IFERROR(__xludf.DUMMYFUNCTION("""COMPUTED_VALUE"""),"Антипов М. И.")</f>
        <v>Антипов М. И.</v>
      </c>
      <c r="L47" s="7"/>
      <c r="M47" s="50" t="str">
        <f>IFERROR(__xludf.DUMMYFUNCTION("""COMPUTED_VALUE"""),"Хлебникова С. А.")</f>
        <v>Хлебникова С. А.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7"/>
      <c r="C48" s="10"/>
      <c r="D48" s="7"/>
      <c r="E48" s="71" t="str">
        <f>IFERROR(__xludf.DUMMYFUNCTION("""COMPUTED_VALUE"""),"Код: 2032603")</f>
        <v>Код: 2032603</v>
      </c>
      <c r="F48" s="7"/>
      <c r="G48" s="75" t="str">
        <f>IFERROR(__xludf.DUMMYFUNCTION("""COMPUTED_VALUE"""),"Код:")</f>
        <v>Код:</v>
      </c>
      <c r="H48" s="7"/>
      <c r="I48" s="19" t="str">
        <f>IFERROR(__xludf.DUMMYFUNCTION("""COMPUTED_VALUE"""),"Код: 2030652")</f>
        <v>Код: 2030652</v>
      </c>
      <c r="J48" s="7"/>
      <c r="K48" s="25" t="str">
        <f>IFERROR(__xludf.DUMMYFUNCTION("""COMPUTED_VALUE"""),"Код: 2077503")</f>
        <v>Код: 2077503</v>
      </c>
      <c r="L48" s="7"/>
      <c r="M48" s="50" t="str">
        <f>IFERROR(__xludf.DUMMYFUNCTION("""COMPUTED_VALUE"""),"Код: 2022826")</f>
        <v>Код: 2022826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7"/>
      <c r="C49" s="10"/>
      <c r="D49" s="7"/>
      <c r="E49" s="71">
        <f>IFERROR(__xludf.DUMMYFUNCTION("""COMPUTED_VALUE"""),51.0)</f>
        <v>51</v>
      </c>
      <c r="F49" s="7"/>
      <c r="G49" s="75">
        <f>IFERROR(__xludf.DUMMYFUNCTION("""COMPUTED_VALUE"""),45.0)</f>
        <v>45</v>
      </c>
      <c r="H49" s="7"/>
      <c r="I49" s="19">
        <f>IFERROR(__xludf.DUMMYFUNCTION("""COMPUTED_VALUE"""),312.0)</f>
        <v>312</v>
      </c>
      <c r="J49" s="7"/>
      <c r="K49" s="25">
        <f>IFERROR(__xludf.DUMMYFUNCTION("""COMPUTED_VALUE"""),52.0)</f>
        <v>52</v>
      </c>
      <c r="L49" s="7"/>
      <c r="M49" s="50">
        <f>IFERROR(__xludf.DUMMYFUNCTION("""COMPUTED_VALUE"""),54.0)</f>
        <v>54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/>
      <c r="B51" s="7"/>
      <c r="C51" s="10" t="str">
        <f>IFERROR(__xludf.DUMMYFUNCTION("""COMPUTED_VALUE"""),"Футбол")</f>
        <v>Футбол</v>
      </c>
      <c r="D51" s="7"/>
      <c r="E51" s="76" t="str">
        <f>IFERROR(__xludf.DUMMYFUNCTION("""COMPUTED_VALUE"""),"Биология. Генетика.")</f>
        <v>Биология. Генетика.</v>
      </c>
      <c r="F51" s="7"/>
      <c r="G51" s="11" t="str">
        <f>IFERROR(__xludf.DUMMYFUNCTION("""COMPUTED_VALUE"""),"
Волейбол ")</f>
        <v>
Волейбол </v>
      </c>
      <c r="H51" s="7"/>
      <c r="I51" s="11"/>
      <c r="J51" s="7"/>
      <c r="K51" s="11" t="str">
        <f>IFERROR(__xludf.DUMMYFUNCTION("""COMPUTED_VALUE"""),"Баскетбол")</f>
        <v>Баскетбол</v>
      </c>
      <c r="L51" s="7"/>
      <c r="M51" s="11" t="str">
        <f>IFERROR(__xludf.DUMMYFUNCTION("""COMPUTED_VALUE"""),"БАДМИНТОН")</f>
        <v>БАДМИНТОН</v>
      </c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/>
      <c r="B52" s="7"/>
      <c r="C52" s="10" t="str">
        <f>IFERROR(__xludf.DUMMYFUNCTION("""COMPUTED_VALUE"""),"15.00-16.30")</f>
        <v>15.00-16.30</v>
      </c>
      <c r="D52" s="7"/>
      <c r="E52" s="76" t="str">
        <f>IFERROR(__xludf.DUMMYFUNCTION("""COMPUTED_VALUE"""),"15.30-17.00")</f>
        <v>15.30-17.00</v>
      </c>
      <c r="F52" s="7"/>
      <c r="G52" s="11" t="str">
        <f>IFERROR(__xludf.DUMMYFUNCTION("""COMPUTED_VALUE"""),"15-17.30 девочки,15.45-17.30 мальчики")</f>
        <v>15-17.30 девочки,15.45-17.30 мальчики</v>
      </c>
      <c r="H52" s="7"/>
      <c r="I52" s="11"/>
      <c r="J52" s="7"/>
      <c r="K52" s="11" t="str">
        <f>IFERROR(__xludf.DUMMYFUNCTION("""COMPUTED_VALUE"""),"16.00-19.00")</f>
        <v>16.00-19.00</v>
      </c>
      <c r="L52" s="7"/>
      <c r="M52" s="11" t="str">
        <f>IFERROR(__xludf.DUMMYFUNCTION("""COMPUTED_VALUE"""),"15.00-17.00")</f>
        <v>15.00-17.00</v>
      </c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/>
      <c r="B53" s="7"/>
      <c r="C53" s="10" t="str">
        <f>IFERROR(__xludf.DUMMYFUNCTION("""COMPUTED_VALUE"""),"Миронов Е. В.")</f>
        <v>Миронов Е. В.</v>
      </c>
      <c r="D53" s="7"/>
      <c r="E53" s="76" t="str">
        <f>IFERROR(__xludf.DUMMYFUNCTION("""COMPUTED_VALUE"""),"Лавренова В. Н.")</f>
        <v>Лавренова В. Н.</v>
      </c>
      <c r="F53" s="7"/>
      <c r="G53" s="11" t="str">
        <f>IFERROR(__xludf.DUMMYFUNCTION("""COMPUTED_VALUE"""),"Заричный А. А., Миронов Е. В.")</f>
        <v>Заричный А. А., Миронов Е. В.</v>
      </c>
      <c r="H53" s="7"/>
      <c r="I53" s="11"/>
      <c r="J53" s="7"/>
      <c r="K53" s="11" t="str">
        <f>IFERROR(__xludf.DUMMYFUNCTION("""COMPUTED_VALUE"""),"Забавкина М. А.")</f>
        <v>Забавкина М. А.</v>
      </c>
      <c r="L53" s="7"/>
      <c r="M53" s="11" t="str">
        <f>IFERROR(__xludf.DUMMYFUNCTION("""COMPUTED_VALUE"""),"Седов Г. К.")</f>
        <v>Седов Г. К.</v>
      </c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/>
      <c r="B54" s="7"/>
      <c r="C54" s="10" t="str">
        <f>IFERROR(__xludf.DUMMYFUNCTION("""COMPUTED_VALUE"""),"Код: 2039215")</f>
        <v>Код: 2039215</v>
      </c>
      <c r="D54" s="7"/>
      <c r="E54" s="76" t="str">
        <f>IFERROR(__xludf.DUMMYFUNCTION("""COMPUTED_VALUE"""),"Код: 2052184")</f>
        <v>Код: 2052184</v>
      </c>
      <c r="F54" s="7"/>
      <c r="G54" s="11" t="str">
        <f>IFERROR(__xludf.DUMMYFUNCTION("""COMPUTED_VALUE"""),"Код: 2038776")</f>
        <v>Код: 2038776</v>
      </c>
      <c r="H54" s="7"/>
      <c r="I54" s="11"/>
      <c r="J54" s="7"/>
      <c r="K54" s="11" t="str">
        <f>IFERROR(__xludf.DUMMYFUNCTION("""COMPUTED_VALUE"""),"Код: 2037759")</f>
        <v>Код: 2037759</v>
      </c>
      <c r="L54" s="7"/>
      <c r="M54" s="11" t="str">
        <f>IFERROR(__xludf.DUMMYFUNCTION("""COMPUTED_VALUE"""),"Код: 2033375")</f>
        <v>Код: 2033375</v>
      </c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/>
      <c r="B55" s="7"/>
      <c r="C55" s="10" t="str">
        <f>IFERROR(__xludf.DUMMYFUNCTION("""COMPUTED_VALUE"""),"большой зал")</f>
        <v>большой зал</v>
      </c>
      <c r="D55" s="7"/>
      <c r="E55" s="76">
        <f>IFERROR(__xludf.DUMMYFUNCTION("""COMPUTED_VALUE"""),52.0)</f>
        <v>52</v>
      </c>
      <c r="F55" s="7"/>
      <c r="G55" s="11" t="str">
        <f>IFERROR(__xludf.DUMMYFUNCTION("""COMPUTED_VALUE"""),"большой зал")</f>
        <v>большой зал</v>
      </c>
      <c r="H55" s="7"/>
      <c r="I55" s="11"/>
      <c r="J55" s="7"/>
      <c r="K55" s="11" t="str">
        <f>IFERROR(__xludf.DUMMYFUNCTION("""COMPUTED_VALUE"""),"малый зал")</f>
        <v>малый зал</v>
      </c>
      <c r="L55" s="7"/>
      <c r="M55" s="11" t="str">
        <f>IFERROR(__xludf.DUMMYFUNCTION("""COMPUTED_VALUE"""),"большой зал")</f>
        <v>большой зал</v>
      </c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3" t="str">
        <f>IFERROR(__xludf.DUMMYFUNCTION("""COMPUTED_VALUE"""),"Кружки по информатике с отбором")</f>
        <v>Кружки по информатике с отбором</v>
      </c>
      <c r="B57" s="7"/>
      <c r="C57" s="10"/>
      <c r="D57" s="7"/>
      <c r="E57" s="34" t="str">
        <f>IFERROR(__xludf.DUMMYFUNCTION("""COMPUTED_VALUE"""),"IT-кружок ""Потенциал""")</f>
        <v>IT-кружок "Потенциал"</v>
      </c>
      <c r="F57" s="38"/>
      <c r="G57" s="34" t="str">
        <f>IFERROR(__xludf.DUMMYFUNCTION("""COMPUTED_VALUE"""),"IT-кружок ""Сборная Лицея""")</f>
        <v>IT-кружок "Сборная Лицея"</v>
      </c>
      <c r="H57" s="38"/>
      <c r="I57" s="34" t="str">
        <f>IFERROR(__xludf.DUMMYFUNCTION("""COMPUTED_VALUE"""),"IT-кружок ""Потенциал""")</f>
        <v>IT-кружок "Потенциал"</v>
      </c>
      <c r="J57" s="38"/>
      <c r="K57" s="34" t="str">
        <f>IFERROR(__xludf.DUMMYFUNCTION("""COMPUTED_VALUE"""),"IT-кружок ""Сборная Лицея""")</f>
        <v>IT-кружок "Сборная Лицея"</v>
      </c>
      <c r="L57" s="7"/>
      <c r="M57" s="10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B58" s="7"/>
      <c r="C58" s="10"/>
      <c r="D58" s="7"/>
      <c r="E58" s="34" t="str">
        <f>IFERROR(__xludf.DUMMYFUNCTION("""COMPUTED_VALUE"""),"16.00-19.00")</f>
        <v>16.00-19.00</v>
      </c>
      <c r="F58" s="38"/>
      <c r="G58" s="34" t="str">
        <f>IFERROR(__xludf.DUMMYFUNCTION("""COMPUTED_VALUE"""),"15.00-21.00")</f>
        <v>15.00-21.00</v>
      </c>
      <c r="H58" s="38"/>
      <c r="I58" s="34" t="str">
        <f>IFERROR(__xludf.DUMMYFUNCTION("""COMPUTED_VALUE"""),"16.00-19.00")</f>
        <v>16.00-19.00</v>
      </c>
      <c r="J58" s="38"/>
      <c r="K58" s="34" t="str">
        <f>IFERROR(__xludf.DUMMYFUNCTION("""COMPUTED_VALUE"""),"16.45-19.15")</f>
        <v>16.45-19.15</v>
      </c>
      <c r="L58" s="7"/>
      <c r="M58" s="10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B59" s="7"/>
      <c r="C59" s="10"/>
      <c r="D59" s="7"/>
      <c r="E59" s="34" t="str">
        <f>IFERROR(__xludf.DUMMYFUNCTION("""COMPUTED_VALUE"""),"Фёдоров К. Е.")</f>
        <v>Фёдоров К. Е.</v>
      </c>
      <c r="F59" s="38"/>
      <c r="G59" s="34" t="str">
        <f>IFERROR(__xludf.DUMMYFUNCTION("""COMPUTED_VALUE"""),"Фёдоров К. Е.")</f>
        <v>Фёдоров К. Е.</v>
      </c>
      <c r="H59" s="38"/>
      <c r="I59" s="34" t="str">
        <f>IFERROR(__xludf.DUMMYFUNCTION("""COMPUTED_VALUE"""),"Фёдоров К. Е.")</f>
        <v>Фёдоров К. Е.</v>
      </c>
      <c r="J59" s="38"/>
      <c r="K59" s="34" t="str">
        <f>IFERROR(__xludf.DUMMYFUNCTION("""COMPUTED_VALUE"""),"Фёдоров К. Е.")</f>
        <v>Фёдоров К. Е.</v>
      </c>
      <c r="L59" s="7"/>
      <c r="M59" s="10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B60" s="7"/>
      <c r="C60" s="10"/>
      <c r="D60" s="7"/>
      <c r="E60" s="34" t="str">
        <f>IFERROR(__xludf.DUMMYFUNCTION("""COMPUTED_VALUE"""),"Код: 2051997")</f>
        <v>Код: 2051997</v>
      </c>
      <c r="F60" s="38"/>
      <c r="G60" s="34" t="str">
        <f>IFERROR(__xludf.DUMMYFUNCTION("""COMPUTED_VALUE"""),"Код: 2052059")</f>
        <v>Код: 2052059</v>
      </c>
      <c r="H60" s="38"/>
      <c r="I60" s="34" t="str">
        <f>IFERROR(__xludf.DUMMYFUNCTION("""COMPUTED_VALUE"""),"Код: 2051997")</f>
        <v>Код: 2051997</v>
      </c>
      <c r="J60" s="38"/>
      <c r="K60" s="34" t="str">
        <f>IFERROR(__xludf.DUMMYFUNCTION("""COMPUTED_VALUE"""),"Код: 2052059")</f>
        <v>Код: 2052059</v>
      </c>
      <c r="L60" s="7"/>
      <c r="M60" s="10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B61" s="7"/>
      <c r="C61" s="10"/>
      <c r="D61" s="7"/>
      <c r="E61" s="34" t="str">
        <f>IFERROR(__xludf.DUMMYFUNCTION("""COMPUTED_VALUE"""),"23, 25")</f>
        <v>23, 25</v>
      </c>
      <c r="F61" s="38"/>
      <c r="G61" s="34">
        <f>IFERROR(__xludf.DUMMYFUNCTION("""COMPUTED_VALUE"""),25.0)</f>
        <v>25</v>
      </c>
      <c r="H61" s="38"/>
      <c r="I61" s="34">
        <f>IFERROR(__xludf.DUMMYFUNCTION("""COMPUTED_VALUE"""),25.0)</f>
        <v>25</v>
      </c>
      <c r="J61" s="38"/>
      <c r="K61" s="34">
        <f>IFERROR(__xludf.DUMMYFUNCTION("""COMPUTED_VALUE"""),25.0)</f>
        <v>25</v>
      </c>
      <c r="L61" s="7"/>
      <c r="M61" s="10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/>
      <c r="B63" s="58"/>
      <c r="C63" s="54" t="str">
        <f>IFERROR(__xludf.DUMMYFUNCTION("""COMPUTED_VALUE"""),"Экология. Экологические проекты")</f>
        <v>Экология. Экологические проекты</v>
      </c>
      <c r="D63" s="7"/>
      <c r="E63" s="54" t="str">
        <f>IFERROR(__xludf.DUMMYFUNCTION("""COMPUTED_VALUE"""),"Экология. Экологические проекты")</f>
        <v>Экология. Экологические проекты</v>
      </c>
      <c r="F63" s="7"/>
      <c r="G63" s="54" t="str">
        <f>IFERROR(__xludf.DUMMYFUNCTION("""COMPUTED_VALUE"""),"Экология. Экологические проекты")</f>
        <v>Экология. Экологические проекты</v>
      </c>
      <c r="H63" s="7"/>
      <c r="I63" s="54" t="str">
        <f>IFERROR(__xludf.DUMMYFUNCTION("""COMPUTED_VALUE"""),"Экология. Экологические проекты")</f>
        <v>Экология. Экологические проекты</v>
      </c>
      <c r="J63" s="7"/>
      <c r="K63" s="54" t="str">
        <f>IFERROR(__xludf.DUMMYFUNCTION("""COMPUTED_VALUE"""),"Экология. Экологические проекты")</f>
        <v>Экология. Экологические проекты</v>
      </c>
      <c r="L63" s="7"/>
      <c r="M63" s="77" t="str">
        <f>IFERROR(__xludf.DUMMYFUNCTION("""COMPUTED_VALUE"""),"Экологические проекты")</f>
        <v>Экологические проекты</v>
      </c>
      <c r="N63" s="5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8"/>
      <c r="C64" s="54" t="str">
        <f>IFERROR(__xludf.DUMMYFUNCTION("""COMPUTED_VALUE"""),"19.00-20.30")</f>
        <v>19.00-20.30</v>
      </c>
      <c r="D64" s="7"/>
      <c r="E64" s="54" t="str">
        <f>IFERROR(__xludf.DUMMYFUNCTION("""COMPUTED_VALUE"""),"19.00-20.30")</f>
        <v>19.00-20.30</v>
      </c>
      <c r="F64" s="7"/>
      <c r="G64" s="54" t="str">
        <f>IFERROR(__xludf.DUMMYFUNCTION("""COMPUTED_VALUE"""),"19.00-20.30")</f>
        <v>19.00-20.30</v>
      </c>
      <c r="H64" s="7"/>
      <c r="I64" s="54" t="str">
        <f>IFERROR(__xludf.DUMMYFUNCTION("""COMPUTED_VALUE"""),"19.00-20.30")</f>
        <v>19.00-20.30</v>
      </c>
      <c r="J64" s="7"/>
      <c r="K64" s="54" t="str">
        <f>IFERROR(__xludf.DUMMYFUNCTION("""COMPUTED_VALUE"""),"19.00-20.30")</f>
        <v>19.00-20.30</v>
      </c>
      <c r="L64" s="7"/>
      <c r="M64" s="77" t="str">
        <f>IFERROR(__xludf.DUMMYFUNCTION("""COMPUTED_VALUE"""),"19.00-20.30")</f>
        <v>19.00-20.30</v>
      </c>
      <c r="N64" s="58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8"/>
      <c r="C65" s="54" t="str">
        <f>IFERROR(__xludf.DUMMYFUNCTION("""COMPUTED_VALUE"""),"Пономарева Н. Л.")</f>
        <v>Пономарева Н. Л.</v>
      </c>
      <c r="D65" s="7"/>
      <c r="E65" s="54" t="str">
        <f>IFERROR(__xludf.DUMMYFUNCTION("""COMPUTED_VALUE"""),"Пономарева Н. Л.")</f>
        <v>Пономарева Н. Л.</v>
      </c>
      <c r="F65" s="7"/>
      <c r="G65" s="54" t="str">
        <f>IFERROR(__xludf.DUMMYFUNCTION("""COMPUTED_VALUE"""),"Пономарева Н. Л.")</f>
        <v>Пономарева Н. Л.</v>
      </c>
      <c r="H65" s="7"/>
      <c r="I65" s="54" t="str">
        <f>IFERROR(__xludf.DUMMYFUNCTION("""COMPUTED_VALUE"""),"Пономарева Н. Л.")</f>
        <v>Пономарева Н. Л.</v>
      </c>
      <c r="J65" s="7"/>
      <c r="K65" s="54" t="str">
        <f>IFERROR(__xludf.DUMMYFUNCTION("""COMPUTED_VALUE"""),"Пономарева Н. Л.")</f>
        <v>Пономарева Н. Л.</v>
      </c>
      <c r="L65" s="7"/>
      <c r="M65" s="77" t="str">
        <f>IFERROR(__xludf.DUMMYFUNCTION("""COMPUTED_VALUE"""),"Пономарева Н. Л.")</f>
        <v>Пономарева Н. Л.</v>
      </c>
      <c r="N65" s="58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8"/>
      <c r="C66" s="54" t="str">
        <f>IFERROR(__xludf.DUMMYFUNCTION("""COMPUTED_VALUE"""),"Код: 2043039
2043093")</f>
        <v>Код: 2043039
2043093</v>
      </c>
      <c r="D66" s="7"/>
      <c r="E66" s="54" t="str">
        <f>IFERROR(__xludf.DUMMYFUNCTION("""COMPUTED_VALUE"""),"Код: 2043039
2043093")</f>
        <v>Код: 2043039
2043093</v>
      </c>
      <c r="F66" s="7"/>
      <c r="G66" s="54" t="str">
        <f>IFERROR(__xludf.DUMMYFUNCTION("""COMPUTED_VALUE"""),"Код: 2043039
2043093")</f>
        <v>Код: 2043039
2043093</v>
      </c>
      <c r="H66" s="7"/>
      <c r="I66" s="54" t="str">
        <f>IFERROR(__xludf.DUMMYFUNCTION("""COMPUTED_VALUE"""),"Код: 2043039
2043093")</f>
        <v>Код: 2043039
2043093</v>
      </c>
      <c r="J66" s="7"/>
      <c r="K66" s="54" t="str">
        <f>IFERROR(__xludf.DUMMYFUNCTION("""COMPUTED_VALUE"""),"Код: 2043039
2043093")</f>
        <v>Код: 2043039
2043093</v>
      </c>
      <c r="L66" s="7"/>
      <c r="M66" s="77" t="str">
        <f>IFERROR(__xludf.DUMMYFUNCTION("""COMPUTED_VALUE"""),"Код: 2043039
2043093")</f>
        <v>Код: 2043039
2043093</v>
      </c>
      <c r="N66" s="58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8"/>
      <c r="C67" s="54" t="str">
        <f>IFERROR(__xludf.DUMMYFUNCTION("""COMPUTED_VALUE"""),"онлайн")</f>
        <v>онлайн</v>
      </c>
      <c r="D67" s="7"/>
      <c r="E67" s="54" t="str">
        <f>IFERROR(__xludf.DUMMYFUNCTION("""COMPUTED_VALUE"""),"онлайн")</f>
        <v>онлайн</v>
      </c>
      <c r="F67" s="7"/>
      <c r="G67" s="54" t="str">
        <f>IFERROR(__xludf.DUMMYFUNCTION("""COMPUTED_VALUE"""),"онлайн")</f>
        <v>онлайн</v>
      </c>
      <c r="H67" s="78"/>
      <c r="I67" s="54" t="str">
        <f>IFERROR(__xludf.DUMMYFUNCTION("""COMPUTED_VALUE"""),"онлайн")</f>
        <v>онлайн</v>
      </c>
      <c r="J67" s="7"/>
      <c r="K67" s="54" t="str">
        <f>IFERROR(__xludf.DUMMYFUNCTION("""COMPUTED_VALUE"""),"онлайн")</f>
        <v>онлайн</v>
      </c>
      <c r="L67" s="7"/>
      <c r="M67" s="77" t="str">
        <f>IFERROR(__xludf.DUMMYFUNCTION("""COMPUTED_VALUE"""),"онлайн")</f>
        <v>онлайн</v>
      </c>
      <c r="N67" s="58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.25" customHeight="1">
      <c r="A68" s="58"/>
      <c r="B68" s="58"/>
      <c r="C68" s="12"/>
      <c r="D68" s="7"/>
      <c r="E68" s="12"/>
      <c r="F68" s="7"/>
      <c r="G68" s="12"/>
      <c r="H68" s="78"/>
      <c r="I68" s="12"/>
      <c r="J68" s="7"/>
      <c r="K68" s="12"/>
      <c r="L68" s="7"/>
      <c r="M68" s="12"/>
      <c r="N68" s="58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8"/>
      <c r="C69" s="79" t="str">
        <f>IFERROR(__xludf.DUMMYFUNCTION("""COMPUTED_VALUE"""),"Театральный кружок")</f>
        <v>Театральный кружок</v>
      </c>
      <c r="D69" s="80"/>
      <c r="E69" s="81"/>
      <c r="F69" s="80"/>
      <c r="G69" s="79" t="str">
        <f>IFERROR(__xludf.DUMMYFUNCTION("""COMPUTED_VALUE"""),"Театральный кружок")</f>
        <v>Театральный кружок</v>
      </c>
      <c r="H69" s="82"/>
      <c r="I69" s="79" t="str">
        <f>IFERROR(__xludf.DUMMYFUNCTION("""COMPUTED_VALUE"""),"Театральный кружок")</f>
        <v>Театральный кружок</v>
      </c>
      <c r="J69" s="80"/>
      <c r="K69" s="79" t="str">
        <f>IFERROR(__xludf.DUMMYFUNCTION("""COMPUTED_VALUE"""),"Олимпиадная физика")</f>
        <v>Олимпиадная физика</v>
      </c>
      <c r="L69" s="80"/>
      <c r="M69" s="79" t="str">
        <f>IFERROR(__xludf.DUMMYFUNCTION("""COMPUTED_VALUE"""),"Театральный кружок")</f>
        <v>Театральный кружок</v>
      </c>
      <c r="N69" s="83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8"/>
      <c r="C70" s="79" t="str">
        <f>IFERROR(__xludf.DUMMYFUNCTION("""COMPUTED_VALUE"""),"на больших переменах")</f>
        <v>на больших переменах</v>
      </c>
      <c r="D70" s="80"/>
      <c r="E70" s="81"/>
      <c r="F70" s="80"/>
      <c r="G70" s="79" t="str">
        <f>IFERROR(__xludf.DUMMYFUNCTION("""COMPUTED_VALUE"""),"на больших переменах")</f>
        <v>на больших переменах</v>
      </c>
      <c r="H70" s="82"/>
      <c r="I70" s="79" t="str">
        <f>IFERROR(__xludf.DUMMYFUNCTION("""COMPUTED_VALUE"""),"на больших переменах")</f>
        <v>на больших переменах</v>
      </c>
      <c r="J70" s="80"/>
      <c r="K70" s="79" t="str">
        <f>IFERROR(__xludf.DUMMYFUNCTION("""COMPUTED_VALUE"""),"16.00 - 18.00")</f>
        <v>16.00 - 18.00</v>
      </c>
      <c r="L70" s="80"/>
      <c r="M70" s="79" t="str">
        <f>IFERROR(__xludf.DUMMYFUNCTION("""COMPUTED_VALUE"""),"на больших переменах")</f>
        <v>на больших переменах</v>
      </c>
      <c r="N70" s="83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7"/>
      <c r="B71" s="58"/>
      <c r="C71" s="79" t="str">
        <f>IFERROR(__xludf.DUMMYFUNCTION("""COMPUTED_VALUE"""),"Код: 2032443")</f>
        <v>Код: 2032443</v>
      </c>
      <c r="D71" s="80"/>
      <c r="E71" s="81"/>
      <c r="F71" s="80"/>
      <c r="G71" s="79" t="str">
        <f>IFERROR(__xludf.DUMMYFUNCTION("""COMPUTED_VALUE"""),"Код: 2032443")</f>
        <v>Код: 2032443</v>
      </c>
      <c r="H71" s="82"/>
      <c r="I71" s="79" t="str">
        <f>IFERROR(__xludf.DUMMYFUNCTION("""COMPUTED_VALUE"""),"Код: 2032443")</f>
        <v>Код: 2032443</v>
      </c>
      <c r="J71" s="80"/>
      <c r="K71" s="79" t="str">
        <f>IFERROR(__xludf.DUMMYFUNCTION("""COMPUTED_VALUE"""),"Бердникова А.О.")</f>
        <v>Бердникова А.О.</v>
      </c>
      <c r="L71" s="80"/>
      <c r="M71" s="79" t="str">
        <f>IFERROR(__xludf.DUMMYFUNCTION("""COMPUTED_VALUE"""),"Код: 2032443")</f>
        <v>Код: 2032443</v>
      </c>
      <c r="N71" s="83"/>
      <c r="O71" s="5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7"/>
      <c r="B72" s="58"/>
      <c r="C72" s="79" t="str">
        <f>IFERROR(__xludf.DUMMYFUNCTION("""COMPUTED_VALUE"""),"Ткачук Ю.Б.")</f>
        <v>Ткачук Ю.Б.</v>
      </c>
      <c r="D72" s="80"/>
      <c r="E72" s="81"/>
      <c r="F72" s="80"/>
      <c r="G72" s="79" t="str">
        <f>IFERROR(__xludf.DUMMYFUNCTION("""COMPUTED_VALUE"""),"Ткачук Ю.Б.")</f>
        <v>Ткачук Ю.Б.</v>
      </c>
      <c r="H72" s="82"/>
      <c r="I72" s="79" t="str">
        <f>IFERROR(__xludf.DUMMYFUNCTION("""COMPUTED_VALUE"""),"Ткачук Ю.Б.")</f>
        <v>Ткачук Ю.Б.</v>
      </c>
      <c r="J72" s="80"/>
      <c r="K72" s="79" t="str">
        <f>IFERROR(__xludf.DUMMYFUNCTION("""COMPUTED_VALUE"""),"Код: 2031318")</f>
        <v>Код: 2031318</v>
      </c>
      <c r="L72" s="80"/>
      <c r="M72" s="79" t="str">
        <f>IFERROR(__xludf.DUMMYFUNCTION("""COMPUTED_VALUE"""),"Ткачук Ю.Б.")</f>
        <v>Ткачук Ю.Б.</v>
      </c>
      <c r="N72" s="83"/>
      <c r="O72" s="5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7"/>
      <c r="B73" s="58"/>
      <c r="C73" s="79">
        <f>IFERROR(__xludf.DUMMYFUNCTION("""COMPUTED_VALUE"""),44.0)</f>
        <v>44</v>
      </c>
      <c r="D73" s="80"/>
      <c r="E73" s="81"/>
      <c r="F73" s="80"/>
      <c r="G73" s="79">
        <f>IFERROR(__xludf.DUMMYFUNCTION("""COMPUTED_VALUE"""),44.0)</f>
        <v>44</v>
      </c>
      <c r="H73" s="82"/>
      <c r="I73" s="79">
        <f>IFERROR(__xludf.DUMMYFUNCTION("""COMPUTED_VALUE"""),44.0)</f>
        <v>44</v>
      </c>
      <c r="J73" s="80"/>
      <c r="K73" s="79">
        <f>IFERROR(__xludf.DUMMYFUNCTION("""COMPUTED_VALUE"""),413.0)</f>
        <v>413</v>
      </c>
      <c r="L73" s="80"/>
      <c r="M73" s="79">
        <f>IFERROR(__xludf.DUMMYFUNCTION("""COMPUTED_VALUE"""),44.0)</f>
        <v>44</v>
      </c>
      <c r="N73" s="83"/>
      <c r="O73" s="5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0" customHeight="1">
      <c r="A74" s="58"/>
      <c r="B74" s="58"/>
      <c r="C74" s="58"/>
      <c r="D74" s="58"/>
      <c r="E74" s="58"/>
      <c r="F74" s="58"/>
      <c r="G74" s="58"/>
      <c r="H74" s="84"/>
      <c r="I74" s="58"/>
      <c r="J74" s="58"/>
      <c r="K74" s="35"/>
      <c r="L74" s="58"/>
      <c r="M74" s="58"/>
      <c r="N74" s="83"/>
      <c r="O74" s="5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7"/>
      <c r="B75" s="58"/>
      <c r="C75" s="5"/>
      <c r="D75" s="58"/>
      <c r="E75" s="5"/>
      <c r="F75" s="58"/>
      <c r="G75" s="5"/>
      <c r="H75" s="58"/>
      <c r="I75" s="85" t="str">
        <f>IFERROR(__xludf.DUMMYFUNCTION("""COMPUTED_VALUE"""),"Программирование для начинающих")</f>
        <v>Программирование для начинающих</v>
      </c>
      <c r="J75" s="58"/>
      <c r="K75" s="86" t="str">
        <f>IFERROR(__xludf.DUMMYFUNCTION("""COMPUTED_VALUE"""),"Консультация по информатике")</f>
        <v>Консультация по информатике</v>
      </c>
      <c r="L75" s="58"/>
      <c r="M75" s="87" t="str">
        <f>IFERROR(__xludf.DUMMYFUNCTION("""COMPUTED_VALUE"""),"Базовое программирование ")</f>
        <v>Базовое программирование </v>
      </c>
      <c r="N75" s="83"/>
      <c r="O75" s="5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7"/>
      <c r="B76" s="58"/>
      <c r="C76" s="5"/>
      <c r="D76" s="58"/>
      <c r="E76" s="5"/>
      <c r="F76" s="58"/>
      <c r="G76" s="5"/>
      <c r="H76" s="58"/>
      <c r="I76" s="85" t="str">
        <f>IFERROR(__xludf.DUMMYFUNCTION("""COMPUTED_VALUE"""),"15.45 - 18.15")</f>
        <v>15.45 - 18.15</v>
      </c>
      <c r="J76" s="58"/>
      <c r="K76" s="86" t="str">
        <f>IFERROR(__xludf.DUMMYFUNCTION("""COMPUTED_VALUE"""),"15.00-17.00")</f>
        <v>15.00-17.00</v>
      </c>
      <c r="L76" s="58"/>
      <c r="M76" s="87" t="str">
        <f>IFERROR(__xludf.DUMMYFUNCTION("""COMPUTED_VALUE"""),"15.00-17.30")</f>
        <v>15.00-17.30</v>
      </c>
      <c r="N76" s="83"/>
      <c r="O76" s="5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7"/>
      <c r="B77" s="58"/>
      <c r="C77" s="57"/>
      <c r="D77" s="58"/>
      <c r="E77" s="57"/>
      <c r="F77" s="58"/>
      <c r="G77" s="57"/>
      <c r="H77" s="58"/>
      <c r="I77" s="85" t="str">
        <f>IFERROR(__xludf.DUMMYFUNCTION("""COMPUTED_VALUE"""),"Чернов В. Е.")</f>
        <v>Чернов В. Е.</v>
      </c>
      <c r="J77" s="58"/>
      <c r="K77" s="86" t="str">
        <f>IFERROR(__xludf.DUMMYFUNCTION("""COMPUTED_VALUE"""),"Морозова И. М.")</f>
        <v>Морозова И. М.</v>
      </c>
      <c r="L77" s="58"/>
      <c r="M77" s="87" t="str">
        <f>IFERROR(__xludf.DUMMYFUNCTION("""COMPUTED_VALUE"""),"Степашин Е. А.")</f>
        <v>Степашин Е. А.</v>
      </c>
      <c r="N77" s="83"/>
      <c r="O77" s="5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0.25" customHeight="1">
      <c r="A78" s="57"/>
      <c r="B78" s="58"/>
      <c r="C78" s="57"/>
      <c r="D78" s="58"/>
      <c r="E78" s="57"/>
      <c r="F78" s="58"/>
      <c r="G78" s="57"/>
      <c r="H78" s="58"/>
      <c r="I78" s="85" t="str">
        <f>IFERROR(__xludf.DUMMYFUNCTION("""COMPUTED_VALUE"""),"Код: 2052417")</f>
        <v>Код: 2052417</v>
      </c>
      <c r="J78" s="58"/>
      <c r="K78" s="86" t="str">
        <f>IFERROR(__xludf.DUMMYFUNCTION("""COMPUTED_VALUE"""),"8А, 8Б, 8В")</f>
        <v>8А, 8Б, 8В</v>
      </c>
      <c r="L78" s="58"/>
      <c r="M78" s="87" t="str">
        <f>IFERROR(__xludf.DUMMYFUNCTION("""COMPUTED_VALUE"""),"Код: 2054892")</f>
        <v>Код: 2054892</v>
      </c>
      <c r="N78" s="83"/>
      <c r="O78" s="5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1.0" customHeight="1">
      <c r="A79" s="57"/>
      <c r="B79" s="58"/>
      <c r="C79" s="57"/>
      <c r="D79" s="58"/>
      <c r="E79" s="57"/>
      <c r="F79" s="58"/>
      <c r="G79" s="57"/>
      <c r="H79" s="58"/>
      <c r="I79" s="85">
        <f>IFERROR(__xludf.DUMMYFUNCTION("""COMPUTED_VALUE"""),23.0)</f>
        <v>23</v>
      </c>
      <c r="J79" s="58"/>
      <c r="K79" s="86">
        <f>IFERROR(__xludf.DUMMYFUNCTION("""COMPUTED_VALUE"""),23.0)</f>
        <v>23</v>
      </c>
      <c r="L79" s="58"/>
      <c r="M79" s="87" t="str">
        <f>IFERROR(__xludf.DUMMYFUNCTION("""COMPUTED_VALUE"""),"24 ,25, 26")</f>
        <v>24 ,25, 26</v>
      </c>
      <c r="N79" s="83"/>
      <c r="O79" s="5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8"/>
      <c r="B80" s="58"/>
      <c r="C80" s="58"/>
      <c r="D80" s="58"/>
      <c r="E80" s="58"/>
      <c r="F80" s="58"/>
      <c r="G80" s="58"/>
      <c r="H80" s="58"/>
      <c r="I80" s="80"/>
      <c r="J80" s="58"/>
      <c r="K80" s="58"/>
      <c r="L80" s="58"/>
      <c r="M80" s="58"/>
      <c r="N80" s="58"/>
      <c r="O80" s="5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1.0" customHeight="1">
      <c r="A81" s="57"/>
      <c r="B81" s="58"/>
      <c r="C81" s="88" t="str">
        <f>IFERROR(__xludf.DUMMYFUNCTION("""COMPUTED_VALUE"""),"Шахматы ")</f>
        <v>Шахматы </v>
      </c>
      <c r="D81" s="58"/>
      <c r="E81" s="57"/>
      <c r="F81" s="58"/>
      <c r="G81" s="57"/>
      <c r="H81" s="58"/>
      <c r="I81" s="89" t="str">
        <f>IFERROR(__xludf.DUMMYFUNCTION("""COMPUTED_VALUE"""),"Волейбол ")</f>
        <v>Волейбол </v>
      </c>
      <c r="J81" s="58"/>
      <c r="K81" s="88" t="str">
        <f>IFERROR(__xludf.DUMMYFUNCTION("""COMPUTED_VALUE"""),"Шахматы ")</f>
        <v>Шахматы </v>
      </c>
      <c r="L81" s="58"/>
      <c r="M81" s="90" t="str">
        <f>IFERROR(__xludf.DUMMYFUNCTION("""COMPUTED_VALUE"""),"Программирование для начинающих")</f>
        <v>Программирование для начинающих</v>
      </c>
      <c r="N81" s="83"/>
      <c r="O81" s="5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1.0" customHeight="1">
      <c r="A82" s="57"/>
      <c r="B82" s="58"/>
      <c r="C82" s="88" t="str">
        <f>IFERROR(__xludf.DUMMYFUNCTION("""COMPUTED_VALUE"""),"15.30-17.00")</f>
        <v>15.30-17.00</v>
      </c>
      <c r="D82" s="58"/>
      <c r="E82" s="57"/>
      <c r="F82" s="58"/>
      <c r="G82" s="57"/>
      <c r="H82" s="58"/>
      <c r="I82" s="89" t="str">
        <f>IFERROR(__xludf.DUMMYFUNCTION("""COMPUTED_VALUE"""),"15.00-16.30")</f>
        <v>15.00-16.30</v>
      </c>
      <c r="J82" s="58"/>
      <c r="K82" s="88" t="str">
        <f>IFERROR(__xludf.DUMMYFUNCTION("""COMPUTED_VALUE"""),"15.30-17.30")</f>
        <v>15.30-17.30</v>
      </c>
      <c r="L82" s="58"/>
      <c r="M82" s="90" t="str">
        <f>IFERROR(__xludf.DUMMYFUNCTION("""COMPUTED_VALUE"""),"14.50 - 17.20")</f>
        <v>14.50 - 17.20</v>
      </c>
      <c r="N82" s="83"/>
      <c r="O82" s="5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1.0" customHeight="1">
      <c r="A83" s="57"/>
      <c r="B83" s="58"/>
      <c r="C83" s="88" t="str">
        <f>IFERROR(__xludf.DUMMYFUNCTION("""COMPUTED_VALUE"""),"Врублевская А. О.")</f>
        <v>Врублевская А. О.</v>
      </c>
      <c r="D83" s="58"/>
      <c r="E83" s="57"/>
      <c r="F83" s="58"/>
      <c r="G83" s="57"/>
      <c r="H83" s="58"/>
      <c r="I83" s="89" t="str">
        <f>IFERROR(__xludf.DUMMYFUNCTION("""COMPUTED_VALUE"""),"Меджалоглу С. С., Заричный А. А.")</f>
        <v>Меджалоглу С. С., Заричный А. А.</v>
      </c>
      <c r="J83" s="58"/>
      <c r="K83" s="88" t="str">
        <f>IFERROR(__xludf.DUMMYFUNCTION("""COMPUTED_VALUE"""),"Врублевская А. О.")</f>
        <v>Врублевская А. О.</v>
      </c>
      <c r="L83" s="58"/>
      <c r="M83" s="90" t="str">
        <f>IFERROR(__xludf.DUMMYFUNCTION("""COMPUTED_VALUE"""),"Чернов В. Е.")</f>
        <v>Чернов В. Е.</v>
      </c>
      <c r="N83" s="83"/>
      <c r="O83" s="57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1.0" customHeight="1">
      <c r="A84" s="57"/>
      <c r="B84" s="58"/>
      <c r="C84" s="88" t="str">
        <f>IFERROR(__xludf.DUMMYFUNCTION("""COMPUTED_VALUE"""),"Код: 2052591")</f>
        <v>Код: 2052591</v>
      </c>
      <c r="D84" s="58"/>
      <c r="E84" s="57"/>
      <c r="F84" s="58"/>
      <c r="G84" s="57"/>
      <c r="H84" s="58"/>
      <c r="I84" s="89" t="str">
        <f>IFERROR(__xludf.DUMMYFUNCTION("""COMPUTED_VALUE"""),"Код: 2038776")</f>
        <v>Код: 2038776</v>
      </c>
      <c r="J84" s="58"/>
      <c r="K84" s="88" t="str">
        <f>IFERROR(__xludf.DUMMYFUNCTION("""COMPUTED_VALUE"""),"Код: 2052591")</f>
        <v>Код: 2052591</v>
      </c>
      <c r="L84" s="58"/>
      <c r="M84" s="90" t="str">
        <f>IFERROR(__xludf.DUMMYFUNCTION("""COMPUTED_VALUE"""),"Код: 2052417")</f>
        <v>Код: 2052417</v>
      </c>
      <c r="N84" s="83"/>
      <c r="O84" s="57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1.0" customHeight="1">
      <c r="A85" s="57"/>
      <c r="B85" s="58"/>
      <c r="C85" s="88">
        <f>IFERROR(__xludf.DUMMYFUNCTION("""COMPUTED_VALUE"""),311.0)</f>
        <v>311</v>
      </c>
      <c r="D85" s="58"/>
      <c r="E85" s="57"/>
      <c r="F85" s="58"/>
      <c r="G85" s="57"/>
      <c r="H85" s="58"/>
      <c r="I85" s="89" t="str">
        <f>IFERROR(__xludf.DUMMYFUNCTION("""COMPUTED_VALUE"""),"малый зал")</f>
        <v>малый зал</v>
      </c>
      <c r="J85" s="58"/>
      <c r="K85" s="88">
        <f>IFERROR(__xludf.DUMMYFUNCTION("""COMPUTED_VALUE"""),311.0)</f>
        <v>311</v>
      </c>
      <c r="L85" s="58"/>
      <c r="M85" s="90" t="str">
        <f>IFERROR(__xludf.DUMMYFUNCTION("""COMPUTED_VALUE"""),"24, 25, 26")</f>
        <v>24, 25, 26</v>
      </c>
      <c r="N85" s="83"/>
      <c r="O85" s="57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8"/>
      <c r="B86" s="58"/>
      <c r="C86" s="58"/>
      <c r="D86" s="58"/>
      <c r="E86" s="58"/>
      <c r="F86" s="58"/>
      <c r="G86" s="58"/>
      <c r="H86" s="58"/>
      <c r="I86" s="80"/>
      <c r="J86" s="58"/>
      <c r="K86" s="58"/>
      <c r="L86" s="58"/>
      <c r="M86" s="58"/>
      <c r="N86" s="58"/>
      <c r="O86" s="57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1.0" customHeight="1">
      <c r="A87" s="57"/>
      <c r="B87" s="58"/>
      <c r="C87" s="57"/>
      <c r="D87" s="58"/>
      <c r="E87" s="57"/>
      <c r="F87" s="58"/>
      <c r="G87" s="57"/>
      <c r="H87" s="58"/>
      <c r="I87" s="81"/>
      <c r="J87" s="58"/>
      <c r="K87" s="57"/>
      <c r="L87" s="58"/>
      <c r="M87" s="57"/>
      <c r="N87" s="57"/>
      <c r="O87" s="57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1.0" customHeight="1">
      <c r="A88" s="57"/>
      <c r="B88" s="58"/>
      <c r="C88" s="57"/>
      <c r="D88" s="58"/>
      <c r="E88" s="57"/>
      <c r="F88" s="58"/>
      <c r="G88" s="57"/>
      <c r="H88" s="58"/>
      <c r="I88" s="81"/>
      <c r="J88" s="58"/>
      <c r="K88" s="57"/>
      <c r="L88" s="58"/>
      <c r="M88" s="57"/>
      <c r="N88" s="57"/>
      <c r="O88" s="57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1.0" customHeight="1">
      <c r="A89" s="57"/>
      <c r="B89" s="58"/>
      <c r="C89" s="57"/>
      <c r="D89" s="58"/>
      <c r="E89" s="57"/>
      <c r="F89" s="58"/>
      <c r="G89" s="57"/>
      <c r="H89" s="58"/>
      <c r="I89" s="81"/>
      <c r="J89" s="58"/>
      <c r="K89" s="57"/>
      <c r="L89" s="58"/>
      <c r="M89" s="57"/>
      <c r="N89" s="57"/>
      <c r="O89" s="57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1.0" customHeight="1">
      <c r="A90" s="57"/>
      <c r="B90" s="58"/>
      <c r="C90" s="57"/>
      <c r="D90" s="58"/>
      <c r="E90" s="57"/>
      <c r="F90" s="58"/>
      <c r="G90" s="57"/>
      <c r="H90" s="58"/>
      <c r="I90" s="81"/>
      <c r="J90" s="58"/>
      <c r="K90" s="57"/>
      <c r="L90" s="58"/>
      <c r="M90" s="57"/>
      <c r="N90" s="57"/>
      <c r="O90" s="57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1.0" customHeight="1">
      <c r="A91" s="57"/>
      <c r="B91" s="58"/>
      <c r="C91" s="57"/>
      <c r="D91" s="58"/>
      <c r="E91" s="57"/>
      <c r="F91" s="58"/>
      <c r="G91" s="57"/>
      <c r="H91" s="58"/>
      <c r="I91" s="81"/>
      <c r="J91" s="58"/>
      <c r="K91" s="57"/>
      <c r="L91" s="58"/>
      <c r="M91" s="57"/>
      <c r="N91" s="57"/>
      <c r="O91" s="57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1.0" customHeight="1">
      <c r="A92" s="57"/>
      <c r="B92" s="58"/>
      <c r="C92" s="57"/>
      <c r="D92" s="58"/>
      <c r="E92" s="57"/>
      <c r="F92" s="58"/>
      <c r="G92" s="57"/>
      <c r="H92" s="58"/>
      <c r="I92" s="81"/>
      <c r="J92" s="58"/>
      <c r="K92" s="57"/>
      <c r="L92" s="58"/>
      <c r="M92" s="57"/>
      <c r="N92" s="57"/>
      <c r="O92" s="57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1.0" customHeight="1">
      <c r="A93" s="57"/>
      <c r="B93" s="58"/>
      <c r="C93" s="57"/>
      <c r="D93" s="58"/>
      <c r="E93" s="57"/>
      <c r="F93" s="58"/>
      <c r="G93" s="57"/>
      <c r="H93" s="58"/>
      <c r="I93" s="81"/>
      <c r="J93" s="58"/>
      <c r="K93" s="57"/>
      <c r="L93" s="58"/>
      <c r="M93" s="57"/>
      <c r="N93" s="57"/>
      <c r="O93" s="5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1.0" customHeight="1">
      <c r="A94" s="57"/>
      <c r="B94" s="58"/>
      <c r="C94" s="57"/>
      <c r="D94" s="58"/>
      <c r="E94" s="57"/>
      <c r="F94" s="58"/>
      <c r="G94" s="57"/>
      <c r="H94" s="58"/>
      <c r="I94" s="81"/>
      <c r="J94" s="58"/>
      <c r="K94" s="57"/>
      <c r="L94" s="58"/>
      <c r="M94" s="57"/>
      <c r="N94" s="57"/>
      <c r="O94" s="5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1.0" customHeight="1">
      <c r="A95" s="57"/>
      <c r="B95" s="58"/>
      <c r="C95" s="57"/>
      <c r="D95" s="58"/>
      <c r="E95" s="57"/>
      <c r="F95" s="58"/>
      <c r="G95" s="57"/>
      <c r="H95" s="58"/>
      <c r="I95" s="81"/>
      <c r="J95" s="58"/>
      <c r="K95" s="57"/>
      <c r="L95" s="58"/>
      <c r="M95" s="57"/>
      <c r="N95" s="57"/>
      <c r="O95" s="57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1.0" customHeight="1">
      <c r="A96" s="57"/>
      <c r="B96" s="58"/>
      <c r="C96" s="57"/>
      <c r="D96" s="58"/>
      <c r="E96" s="57"/>
      <c r="F96" s="58"/>
      <c r="G96" s="57"/>
      <c r="H96" s="58"/>
      <c r="I96" s="81"/>
      <c r="J96" s="58"/>
      <c r="K96" s="57"/>
      <c r="L96" s="58"/>
      <c r="M96" s="57"/>
      <c r="N96" s="57"/>
      <c r="O96" s="57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1.0" customHeight="1">
      <c r="A97" s="57"/>
      <c r="B97" s="58"/>
      <c r="C97" s="57"/>
      <c r="D97" s="58"/>
      <c r="E97" s="57"/>
      <c r="F97" s="58"/>
      <c r="G97" s="57"/>
      <c r="H97" s="58"/>
      <c r="I97" s="81"/>
      <c r="J97" s="58"/>
      <c r="K97" s="57"/>
      <c r="L97" s="58"/>
      <c r="M97" s="57"/>
      <c r="N97" s="57"/>
      <c r="O97" s="57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1.0" customHeight="1">
      <c r="A98" s="57"/>
      <c r="B98" s="58"/>
      <c r="C98" s="57"/>
      <c r="D98" s="58"/>
      <c r="E98" s="57"/>
      <c r="F98" s="58"/>
      <c r="G98" s="57"/>
      <c r="H98" s="58"/>
      <c r="I98" s="81"/>
      <c r="J98" s="58"/>
      <c r="K98" s="57"/>
      <c r="L98" s="58"/>
      <c r="M98" s="57"/>
      <c r="N98" s="57"/>
      <c r="O98" s="57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1.0" customHeight="1">
      <c r="A99" s="57"/>
      <c r="B99" s="58"/>
      <c r="C99" s="57"/>
      <c r="D99" s="58"/>
      <c r="E99" s="57"/>
      <c r="F99" s="58"/>
      <c r="G99" s="57"/>
      <c r="H99" s="58"/>
      <c r="I99" s="81"/>
      <c r="J99" s="58"/>
      <c r="K99" s="57"/>
      <c r="L99" s="58"/>
      <c r="M99" s="57"/>
      <c r="N99" s="57"/>
      <c r="O99" s="57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1.0" customHeight="1">
      <c r="A100" s="57"/>
      <c r="B100" s="58"/>
      <c r="C100" s="57"/>
      <c r="D100" s="58"/>
      <c r="E100" s="57"/>
      <c r="F100" s="58"/>
      <c r="G100" s="57"/>
      <c r="H100" s="58"/>
      <c r="I100" s="81"/>
      <c r="J100" s="58"/>
      <c r="K100" s="57"/>
      <c r="L100" s="58"/>
      <c r="M100" s="57"/>
      <c r="N100" s="57"/>
      <c r="O100" s="57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1.0" customHeight="1">
      <c r="A101" s="57"/>
      <c r="B101" s="58"/>
      <c r="C101" s="57"/>
      <c r="D101" s="58"/>
      <c r="E101" s="57"/>
      <c r="F101" s="58"/>
      <c r="G101" s="57"/>
      <c r="H101" s="58"/>
      <c r="I101" s="81"/>
      <c r="J101" s="58"/>
      <c r="K101" s="57"/>
      <c r="L101" s="58"/>
      <c r="M101" s="57"/>
      <c r="N101" s="57"/>
      <c r="O101" s="57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1.0" customHeight="1">
      <c r="A102" s="57"/>
      <c r="B102" s="58"/>
      <c r="C102" s="57"/>
      <c r="D102" s="58"/>
      <c r="E102" s="57"/>
      <c r="F102" s="58"/>
      <c r="G102" s="57"/>
      <c r="H102" s="58"/>
      <c r="I102" s="81"/>
      <c r="J102" s="58"/>
      <c r="K102" s="57"/>
      <c r="L102" s="58"/>
      <c r="M102" s="57"/>
      <c r="N102" s="57"/>
      <c r="O102" s="57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1.0" customHeight="1">
      <c r="A103" s="57"/>
      <c r="B103" s="58"/>
      <c r="C103" s="57"/>
      <c r="D103" s="58"/>
      <c r="E103" s="57"/>
      <c r="F103" s="58"/>
      <c r="G103" s="57"/>
      <c r="H103" s="58"/>
      <c r="I103" s="81"/>
      <c r="J103" s="58"/>
      <c r="K103" s="57"/>
      <c r="L103" s="58"/>
      <c r="M103" s="57"/>
      <c r="N103" s="57"/>
      <c r="O103" s="57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</sheetData>
  <mergeCells count="3">
    <mergeCell ref="A3:A19"/>
    <mergeCell ref="A39:A43"/>
    <mergeCell ref="A57:A61"/>
  </mergeCells>
  <hyperlinks>
    <hyperlink r:id="rId1" ref="G27"/>
    <hyperlink r:id="rId2" ref="M27"/>
    <hyperlink r:id="rId3" ref="G33"/>
    <hyperlink r:id="rId4" ref="I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.75"/>
    <col customWidth="1" min="3" max="3" width="34.63"/>
    <col customWidth="1" min="4" max="4" width="1.63"/>
    <col customWidth="1" min="5" max="5" width="38.25"/>
    <col customWidth="1" min="6" max="6" width="1.75"/>
    <col customWidth="1" min="7" max="7" width="35.25"/>
    <col customWidth="1" min="8" max="8" width="1.88"/>
    <col customWidth="1" min="9" max="9" width="37.0"/>
    <col customWidth="1" min="10" max="10" width="1.75"/>
    <col customWidth="1" min="11" max="11" width="38.0"/>
    <col customWidth="1" min="12" max="12" width="1.88"/>
    <col customWidth="1" min="13" max="13" width="35.38"/>
    <col customWidth="1" min="14" max="14" width="2.0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91"/>
      <c r="M1" s="4" t="s">
        <v>5</v>
      </c>
      <c r="N1" s="2"/>
      <c r="O1" s="5"/>
      <c r="P1" s="5"/>
      <c r="Q1" s="5"/>
    </row>
    <row r="2">
      <c r="A2" s="6" t="str">
        <f>IFERROR(__xludf.DUMMYFUNCTION("IMPORTRANGE(""https://docs.google.com/spreadsheets/d/1RktLaT5GiT1q9_lejLsOtigGXC6_6STQuI7nfprWzdM/edit#gid=0"",""расписание кружков!a220:n304"")"),"9 класс")</f>
        <v>9 класс</v>
      </c>
      <c r="B2" s="7"/>
      <c r="C2" s="6" t="str">
        <f>IFERROR(__xludf.DUMMYFUNCTION("""COMPUTED_VALUE"""),"9 класс")</f>
        <v>9 класс</v>
      </c>
      <c r="D2" s="7"/>
      <c r="E2" s="6" t="str">
        <f>IFERROR(__xludf.DUMMYFUNCTION("""COMPUTED_VALUE"""),"9 класс")</f>
        <v>9 класс</v>
      </c>
      <c r="F2" s="7"/>
      <c r="G2" s="6" t="str">
        <f>IFERROR(__xludf.DUMMYFUNCTION("""COMPUTED_VALUE"""),"9 класс")</f>
        <v>9 класс</v>
      </c>
      <c r="H2" s="7"/>
      <c r="I2" s="6" t="str">
        <f>IFERROR(__xludf.DUMMYFUNCTION("""COMPUTED_VALUE"""),"9 класс")</f>
        <v>9 класс</v>
      </c>
      <c r="J2" s="7"/>
      <c r="K2" s="6" t="str">
        <f>IFERROR(__xludf.DUMMYFUNCTION("""COMPUTED_VALUE"""),"9 класс")</f>
        <v>9 класс</v>
      </c>
      <c r="L2" s="68"/>
      <c r="M2" s="6" t="str">
        <f>IFERROR(__xludf.DUMMYFUNCTION("""COMPUTED_VALUE"""),"9 класс")</f>
        <v>9 класс</v>
      </c>
      <c r="N2" s="7"/>
      <c r="O2" s="8"/>
      <c r="P2" s="8"/>
      <c r="Q2" s="8"/>
    </row>
    <row r="3">
      <c r="A3" s="37" t="str">
        <f>IFERROR(__xludf.DUMMYFUNCTION("""COMPUTED_VALUE"""),"УТРО")</f>
        <v>УТРО</v>
      </c>
      <c r="B3" s="38"/>
      <c r="C3" s="14"/>
      <c r="D3" s="14"/>
      <c r="E3" s="14"/>
      <c r="F3" s="14"/>
      <c r="G3" s="14"/>
      <c r="H3" s="14"/>
      <c r="I3" s="14"/>
      <c r="J3" s="14"/>
      <c r="K3" s="92" t="str">
        <f>IFERROR(__xludf.DUMMYFUNCTION("""COMPUTED_VALUE"""),"Волейбол 6А, 9А")</f>
        <v>Волейбол 6А, 9А</v>
      </c>
      <c r="L3" s="14"/>
      <c r="M3" s="14"/>
      <c r="N3" s="38"/>
      <c r="O3" s="39"/>
      <c r="P3" s="39"/>
      <c r="Q3" s="39"/>
    </row>
    <row r="4">
      <c r="B4" s="38"/>
      <c r="C4" s="14"/>
      <c r="D4" s="14"/>
      <c r="E4" s="14"/>
      <c r="F4" s="14"/>
      <c r="G4" s="14"/>
      <c r="H4" s="14"/>
      <c r="I4" s="14"/>
      <c r="J4" s="14"/>
      <c r="K4" s="92" t="str">
        <f>IFERROR(__xludf.DUMMYFUNCTION("""COMPUTED_VALUE"""),"07.45-08.45")</f>
        <v>07.45-08.45</v>
      </c>
      <c r="L4" s="14"/>
      <c r="M4" s="14"/>
      <c r="N4" s="38"/>
      <c r="O4" s="39"/>
      <c r="P4" s="39"/>
      <c r="Q4" s="39"/>
    </row>
    <row r="5">
      <c r="B5" s="38"/>
      <c r="C5" s="14"/>
      <c r="D5" s="14"/>
      <c r="E5" s="14"/>
      <c r="F5" s="14"/>
      <c r="G5" s="14"/>
      <c r="H5" s="14"/>
      <c r="I5" s="14"/>
      <c r="J5" s="14"/>
      <c r="K5" s="92" t="str">
        <f>IFERROR(__xludf.DUMMYFUNCTION("""COMPUTED_VALUE"""),"Васянин С. И.")</f>
        <v>Васянин С. И.</v>
      </c>
      <c r="L5" s="14"/>
      <c r="M5" s="14"/>
      <c r="N5" s="38"/>
      <c r="O5" s="39"/>
      <c r="P5" s="39"/>
      <c r="Q5" s="39"/>
    </row>
    <row r="6">
      <c r="B6" s="38"/>
      <c r="C6" s="14"/>
      <c r="D6" s="14"/>
      <c r="E6" s="14"/>
      <c r="F6" s="14"/>
      <c r="G6" s="14"/>
      <c r="H6" s="14"/>
      <c r="I6" s="14"/>
      <c r="J6" s="14"/>
      <c r="K6" s="92" t="str">
        <f>IFERROR(__xludf.DUMMYFUNCTION("""COMPUTED_VALUE"""),"Код: 2038599")</f>
        <v>Код: 2038599</v>
      </c>
      <c r="L6" s="14"/>
      <c r="M6" s="14"/>
      <c r="N6" s="38"/>
      <c r="O6" s="39"/>
      <c r="P6" s="39"/>
      <c r="Q6" s="39"/>
    </row>
    <row r="7">
      <c r="B7" s="38"/>
      <c r="C7" s="14"/>
      <c r="D7" s="14"/>
      <c r="E7" s="14"/>
      <c r="F7" s="14"/>
      <c r="G7" s="14"/>
      <c r="H7" s="14"/>
      <c r="I7" s="14"/>
      <c r="J7" s="14"/>
      <c r="K7" s="92" t="str">
        <f>IFERROR(__xludf.DUMMYFUNCTION("""COMPUTED_VALUE"""),"малый зал")</f>
        <v>малый зал</v>
      </c>
      <c r="L7" s="14"/>
      <c r="M7" s="14"/>
      <c r="N7" s="38"/>
      <c r="O7" s="39"/>
      <c r="P7" s="39"/>
      <c r="Q7" s="39"/>
    </row>
    <row r="8" ht="12.0" customHeight="1">
      <c r="B8" s="3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38"/>
      <c r="O8" s="39"/>
      <c r="P8" s="39"/>
      <c r="Q8" s="39"/>
    </row>
    <row r="9">
      <c r="B9" s="7"/>
      <c r="C9" s="27"/>
      <c r="D9" s="38"/>
      <c r="E9" s="11" t="str">
        <f>IFERROR(__xludf.DUMMYFUNCTION("""COMPUTED_VALUE"""),"Флорбол")</f>
        <v>Флорбол</v>
      </c>
      <c r="F9" s="38"/>
      <c r="G9" s="11" t="str">
        <f>IFERROR(__xludf.DUMMYFUNCTION("""COMPUTED_VALUE"""),"Флорбол")</f>
        <v>Флорбол</v>
      </c>
      <c r="H9" s="38"/>
      <c r="I9" s="27" t="str">
        <f>IFERROR(__xludf.DUMMYFUNCTION("""COMPUTED_VALUE"""),"Олимпиадный английский язык")</f>
        <v>Олимпиадный английский язык</v>
      </c>
      <c r="J9" s="38"/>
      <c r="K9" s="11" t="str">
        <f>IFERROR(__xludf.DUMMYFUNCTION("""COMPUTED_VALUE"""),"Флорбол")</f>
        <v>Флорбол</v>
      </c>
      <c r="L9" s="93"/>
      <c r="M9" s="11" t="str">
        <f>IFERROR(__xludf.DUMMYFUNCTION("""COMPUTED_VALUE"""),"Флорбол")</f>
        <v>Флорбол</v>
      </c>
      <c r="N9" s="7"/>
      <c r="O9" s="39"/>
      <c r="P9" s="39"/>
      <c r="Q9" s="39"/>
    </row>
    <row r="10">
      <c r="B10" s="7"/>
      <c r="C10" s="27"/>
      <c r="D10" s="38"/>
      <c r="E10" s="11" t="str">
        <f>IFERROR(__xludf.DUMMYFUNCTION("""COMPUTED_VALUE"""),"07.45-08.45")</f>
        <v>07.45-08.45</v>
      </c>
      <c r="F10" s="38"/>
      <c r="G10" s="11" t="str">
        <f>IFERROR(__xludf.DUMMYFUNCTION("""COMPUTED_VALUE"""),"07.45-08.45")</f>
        <v>07.45-08.45</v>
      </c>
      <c r="H10" s="38"/>
      <c r="I10" s="27" t="str">
        <f>IFERROR(__xludf.DUMMYFUNCTION("""COMPUTED_VALUE"""),"16.00-17.30")</f>
        <v>16.00-17.30</v>
      </c>
      <c r="J10" s="38"/>
      <c r="K10" s="11" t="str">
        <f>IFERROR(__xludf.DUMMYFUNCTION("""COMPUTED_VALUE"""),"07.45-08.45")</f>
        <v>07.45-08.45</v>
      </c>
      <c r="L10" s="93"/>
      <c r="M10" s="11" t="str">
        <f>IFERROR(__xludf.DUMMYFUNCTION("""COMPUTED_VALUE"""),"07.45-08.45")</f>
        <v>07.45-08.45</v>
      </c>
      <c r="N10" s="7"/>
      <c r="O10" s="39"/>
      <c r="P10" s="39"/>
      <c r="Q10" s="39"/>
    </row>
    <row r="11">
      <c r="B11" s="7"/>
      <c r="C11" s="27"/>
      <c r="D11" s="38"/>
      <c r="E11" s="11" t="str">
        <f>IFERROR(__xludf.DUMMYFUNCTION("""COMPUTED_VALUE"""),"Заричный А. А.")</f>
        <v>Заричный А. А.</v>
      </c>
      <c r="F11" s="38"/>
      <c r="G11" s="11" t="str">
        <f>IFERROR(__xludf.DUMMYFUNCTION("""COMPUTED_VALUE"""),"Заричный А. А.")</f>
        <v>Заричный А. А.</v>
      </c>
      <c r="H11" s="38"/>
      <c r="I11" s="27" t="str">
        <f>IFERROR(__xludf.DUMMYFUNCTION("""COMPUTED_VALUE"""),"Тевелева А. ")</f>
        <v>Тевелева А. </v>
      </c>
      <c r="J11" s="38"/>
      <c r="K11" s="11" t="str">
        <f>IFERROR(__xludf.DUMMYFUNCTION("""COMPUTED_VALUE"""),"Заричный А. А.")</f>
        <v>Заричный А. А.</v>
      </c>
      <c r="L11" s="93"/>
      <c r="M11" s="11" t="str">
        <f>IFERROR(__xludf.DUMMYFUNCTION("""COMPUTED_VALUE"""),"Заричный А. А.")</f>
        <v>Заричный А. А.</v>
      </c>
      <c r="N11" s="7"/>
      <c r="O11" s="39"/>
      <c r="P11" s="39"/>
      <c r="Q11" s="39"/>
    </row>
    <row r="12">
      <c r="B12" s="7"/>
      <c r="C12" s="27"/>
      <c r="D12" s="38"/>
      <c r="E12" s="11" t="str">
        <f>IFERROR(__xludf.DUMMYFUNCTION("""COMPUTED_VALUE"""),"Код: 2037917")</f>
        <v>Код: 2037917</v>
      </c>
      <c r="F12" s="38"/>
      <c r="G12" s="11" t="str">
        <f>IFERROR(__xludf.DUMMYFUNCTION("""COMPUTED_VALUE"""),"Код: 2037917")</f>
        <v>Код: 2037917</v>
      </c>
      <c r="H12" s="38"/>
      <c r="I12" s="27" t="str">
        <f>IFERROR(__xludf.DUMMYFUNCTION("""COMPUTED_VALUE"""),"Код: 2035254")</f>
        <v>Код: 2035254</v>
      </c>
      <c r="J12" s="38"/>
      <c r="K12" s="11" t="str">
        <f>IFERROR(__xludf.DUMMYFUNCTION("""COMPUTED_VALUE"""),"Код: 2037917")</f>
        <v>Код: 2037917</v>
      </c>
      <c r="L12" s="93"/>
      <c r="M12" s="11" t="str">
        <f>IFERROR(__xludf.DUMMYFUNCTION("""COMPUTED_VALUE"""),"Код: 2037917")</f>
        <v>Код: 2037917</v>
      </c>
      <c r="N12" s="7"/>
      <c r="O12" s="39"/>
      <c r="P12" s="39"/>
      <c r="Q12" s="39"/>
    </row>
    <row r="13">
      <c r="B13" s="7"/>
      <c r="C13" s="27"/>
      <c r="D13" s="38"/>
      <c r="E13" s="11" t="str">
        <f>IFERROR(__xludf.DUMMYFUNCTION("""COMPUTED_VALUE"""),"большой зал")</f>
        <v>большой зал</v>
      </c>
      <c r="F13" s="38"/>
      <c r="G13" s="11" t="str">
        <f>IFERROR(__xludf.DUMMYFUNCTION("""COMPUTED_VALUE"""),"большой зал")</f>
        <v>большой зал</v>
      </c>
      <c r="H13" s="38"/>
      <c r="I13" s="27">
        <f>IFERROR(__xludf.DUMMYFUNCTION("""COMPUTED_VALUE"""),47.0)</f>
        <v>47</v>
      </c>
      <c r="J13" s="38"/>
      <c r="K13" s="11" t="str">
        <f>IFERROR(__xludf.DUMMYFUNCTION("""COMPUTED_VALUE"""),"большой зал")</f>
        <v>большой зал</v>
      </c>
      <c r="L13" s="93"/>
      <c r="M13" s="11" t="str">
        <f>IFERROR(__xludf.DUMMYFUNCTION("""COMPUTED_VALUE"""),"большой зал")</f>
        <v>большой зал</v>
      </c>
      <c r="N13" s="7"/>
      <c r="O13" s="39"/>
      <c r="P13" s="39"/>
      <c r="Q13" s="39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68"/>
      <c r="M14" s="12"/>
      <c r="N14" s="7"/>
      <c r="O14" s="8"/>
      <c r="P14" s="8"/>
      <c r="Q14" s="8"/>
    </row>
    <row r="15" ht="33.75" customHeight="1">
      <c r="A15" s="10"/>
      <c r="B15" s="7"/>
      <c r="C15" s="42" t="str">
        <f>IFERROR(__xludf.DUMMYFUNCTION("""COMPUTED_VALUE"""),"Олимпиадная физика")</f>
        <v>Олимпиадная физика</v>
      </c>
      <c r="D15" s="7"/>
      <c r="E15" s="43" t="str">
        <f>IFERROR(__xludf.DUMMYFUNCTION("""COMPUTED_VALUE"""),"Физический эксперимент")</f>
        <v>Физический эксперимент</v>
      </c>
      <c r="F15" s="7"/>
      <c r="G15" s="42" t="str">
        <f>IFERROR(__xludf.DUMMYFUNCTION("""COMPUTED_VALUE"""),"Решение олимпиадных задач по физике")</f>
        <v>Решение олимпиадных задач по физике</v>
      </c>
      <c r="H15" s="7"/>
      <c r="I15" s="42" t="str">
        <f>IFERROR(__xludf.DUMMYFUNCTION("""COMPUTED_VALUE"""),"Физика +")</f>
        <v>Физика +</v>
      </c>
      <c r="J15" s="7"/>
      <c r="K15" s="94" t="str">
        <f>IFERROR(__xludf.DUMMYFUNCTION("""COMPUTED_VALUE"""),"Подготовка проектов к ВсОШ и конкурсам")</f>
        <v>Подготовка проектов к ВсОШ и конкурсам</v>
      </c>
      <c r="L15" s="68"/>
      <c r="M15" s="42" t="str">
        <f>IFERROR(__xludf.DUMMYFUNCTION("""COMPUTED_VALUE"""),"Решение олимпиадных задач по физике")</f>
        <v>Решение олимпиадных задач по физике</v>
      </c>
      <c r="N15" s="7"/>
      <c r="O15" s="8"/>
      <c r="P15" s="8"/>
      <c r="Q15" s="8"/>
    </row>
    <row r="16">
      <c r="A16" s="10"/>
      <c r="B16" s="7"/>
      <c r="C16" s="42" t="str">
        <f>IFERROR(__xludf.DUMMYFUNCTION("""COMPUTED_VALUE"""),"15.45 - 17.45")</f>
        <v>15.45 - 17.45</v>
      </c>
      <c r="D16" s="7"/>
      <c r="E16" s="43" t="str">
        <f>IFERROR(__xludf.DUMMYFUNCTION("""COMPUTED_VALUE"""),"15.45 - 17.45")</f>
        <v>15.45 - 17.45</v>
      </c>
      <c r="F16" s="7"/>
      <c r="G16" s="42" t="str">
        <f>IFERROR(__xludf.DUMMYFUNCTION("""COMPUTED_VALUE"""),"16.00 - 18.30")</f>
        <v>16.00 - 18.30</v>
      </c>
      <c r="H16" s="7"/>
      <c r="I16" s="42" t="str">
        <f>IFERROR(__xludf.DUMMYFUNCTION("""COMPUTED_VALUE"""),"15.45 - 17.45")</f>
        <v>15.45 - 17.45</v>
      </c>
      <c r="J16" s="7"/>
      <c r="K16" s="94" t="str">
        <f>IFERROR(__xludf.DUMMYFUNCTION("""COMPUTED_VALUE"""),"15.00 - 18.00")</f>
        <v>15.00 - 18.00</v>
      </c>
      <c r="L16" s="68"/>
      <c r="M16" s="42" t="str">
        <f>IFERROR(__xludf.DUMMYFUNCTION("""COMPUTED_VALUE"""),"15.00 - 18.00")</f>
        <v>15.00 - 18.00</v>
      </c>
      <c r="N16" s="7"/>
      <c r="O16" s="8"/>
      <c r="P16" s="8"/>
      <c r="Q16" s="8"/>
    </row>
    <row r="17">
      <c r="A17" s="10"/>
      <c r="B17" s="7"/>
      <c r="C17" s="42" t="str">
        <f>IFERROR(__xludf.DUMMYFUNCTION("""COMPUTED_VALUE"""),"Крюков П.А.")</f>
        <v>Крюков П.А.</v>
      </c>
      <c r="D17" s="7"/>
      <c r="E17" s="43" t="str">
        <f>IFERROR(__xludf.DUMMYFUNCTION("""COMPUTED_VALUE"""),"Критченкова А.М.")</f>
        <v>Критченкова А.М.</v>
      </c>
      <c r="F17" s="7"/>
      <c r="G17" s="42" t="str">
        <f>IFERROR(__xludf.DUMMYFUNCTION("""COMPUTED_VALUE"""),"Бердникова А.О.")</f>
        <v>Бердникова А.О.</v>
      </c>
      <c r="H17" s="7"/>
      <c r="I17" s="42" t="str">
        <f>IFERROR(__xludf.DUMMYFUNCTION("""COMPUTED_VALUE"""),"Кондратьев А.В.")</f>
        <v>Кондратьев А.В.</v>
      </c>
      <c r="J17" s="7"/>
      <c r="K17" s="94" t="str">
        <f>IFERROR(__xludf.DUMMYFUNCTION("""COMPUTED_VALUE"""),"Дементьев Ю.Н.")</f>
        <v>Дементьев Ю.Н.</v>
      </c>
      <c r="L17" s="68"/>
      <c r="M17" s="42" t="str">
        <f>IFERROR(__xludf.DUMMYFUNCTION("""COMPUTED_VALUE"""),"Бердникова А.О.")</f>
        <v>Бердникова А.О.</v>
      </c>
      <c r="N17" s="7"/>
      <c r="O17" s="8"/>
      <c r="P17" s="8"/>
      <c r="Q17" s="8"/>
    </row>
    <row r="18">
      <c r="A18" s="10"/>
      <c r="B18" s="7"/>
      <c r="C18" s="42" t="str">
        <f>IFERROR(__xludf.DUMMYFUNCTION("""COMPUTED_VALUE"""),"Код: 2077374")</f>
        <v>Код: 2077374</v>
      </c>
      <c r="D18" s="7"/>
      <c r="E18" s="43" t="str">
        <f>IFERROR(__xludf.DUMMYFUNCTION("""COMPUTED_VALUE"""),"Код: 2071059")</f>
        <v>Код: 2071059</v>
      </c>
      <c r="F18" s="7"/>
      <c r="G18" s="42" t="str">
        <f>IFERROR(__xludf.DUMMYFUNCTION("""COMPUTED_VALUE"""),"Код: 2031402")</f>
        <v>Код: 2031402</v>
      </c>
      <c r="H18" s="7"/>
      <c r="I18" s="42" t="str">
        <f>IFERROR(__xludf.DUMMYFUNCTION("""COMPUTED_VALUE"""),"Код: 2052390")</f>
        <v>Код: 2052390</v>
      </c>
      <c r="J18" s="7"/>
      <c r="K18" s="94" t="str">
        <f>IFERROR(__xludf.DUMMYFUNCTION("""COMPUTED_VALUE"""),"Код: 2031020")</f>
        <v>Код: 2031020</v>
      </c>
      <c r="L18" s="68"/>
      <c r="M18" s="42" t="str">
        <f>IFERROR(__xludf.DUMMYFUNCTION("""COMPUTED_VALUE"""),"Код: 2031402")</f>
        <v>Код: 2031402</v>
      </c>
      <c r="N18" s="7"/>
      <c r="O18" s="8"/>
      <c r="P18" s="8"/>
      <c r="Q18" s="8"/>
    </row>
    <row r="19">
      <c r="A19" s="10"/>
      <c r="B19" s="7"/>
      <c r="C19" s="42">
        <f>IFERROR(__xludf.DUMMYFUNCTION("""COMPUTED_VALUE"""),413.0)</f>
        <v>413</v>
      </c>
      <c r="D19" s="7"/>
      <c r="E19" s="43">
        <f>IFERROR(__xludf.DUMMYFUNCTION("""COMPUTED_VALUE"""),50.0)</f>
        <v>50</v>
      </c>
      <c r="F19" s="7"/>
      <c r="G19" s="42">
        <f>IFERROR(__xludf.DUMMYFUNCTION("""COMPUTED_VALUE"""),412.0)</f>
        <v>412</v>
      </c>
      <c r="H19" s="7"/>
      <c r="I19" s="42">
        <f>IFERROR(__xludf.DUMMYFUNCTION("""COMPUTED_VALUE"""),415.0)</f>
        <v>415</v>
      </c>
      <c r="J19" s="7"/>
      <c r="K19" s="94">
        <f>IFERROR(__xludf.DUMMYFUNCTION("""COMPUTED_VALUE"""),312.0)</f>
        <v>312</v>
      </c>
      <c r="L19" s="68"/>
      <c r="M19" s="42">
        <f>IFERROR(__xludf.DUMMYFUNCTION("""COMPUTED_VALUE"""),412.0)</f>
        <v>412</v>
      </c>
      <c r="N19" s="7"/>
      <c r="O19" s="8"/>
      <c r="P19" s="8"/>
      <c r="Q19" s="8"/>
    </row>
    <row r="20" ht="10.5" customHeight="1">
      <c r="A20" s="7"/>
      <c r="B20" s="7"/>
      <c r="C20" s="7"/>
      <c r="D20" s="7"/>
      <c r="E20" s="7"/>
      <c r="F20" s="7"/>
      <c r="G20" s="38"/>
      <c r="H20" s="7"/>
      <c r="I20" s="7"/>
      <c r="J20" s="7"/>
      <c r="K20" s="7"/>
      <c r="L20" s="7"/>
      <c r="M20" s="7"/>
      <c r="N20" s="7"/>
      <c r="O20" s="8"/>
      <c r="P20" s="8"/>
      <c r="Q20" s="8"/>
    </row>
    <row r="21">
      <c r="A21" s="10"/>
      <c r="B21" s="7"/>
      <c r="C21" s="41" t="str">
        <f>IFERROR(__xludf.DUMMYFUNCTION("""COMPUTED_VALUE"""),"Скорая физическая помощь")</f>
        <v>Скорая физическая помощь</v>
      </c>
      <c r="D21" s="7"/>
      <c r="E21" s="74" t="str">
        <f>IFERROR(__xludf.DUMMYFUNCTION("""COMPUTED_VALUE"""),"Олимпиадная экономика")</f>
        <v>Олимпиадная экономика</v>
      </c>
      <c r="F21" s="7"/>
      <c r="G21" s="27"/>
      <c r="H21" s="7"/>
      <c r="I21" s="42" t="str">
        <f>IFERROR(__xludf.DUMMYFUNCTION("""COMPUTED_VALUE"""),"Физические турниры")</f>
        <v>Физические турниры</v>
      </c>
      <c r="J21" s="7"/>
      <c r="K21" s="74" t="str">
        <f>IFERROR(__xludf.DUMMYFUNCTION("""COMPUTED_VALUE"""),"Олимпиадная экономика")</f>
        <v>Олимпиадная экономика</v>
      </c>
      <c r="L21" s="68"/>
      <c r="M21" s="28" t="str">
        <f>IFERROR(__xludf.DUMMYFUNCTION("""COMPUTED_VALUE"""),"Олимпиадный английский язык")</f>
        <v>Олимпиадный английский язык</v>
      </c>
      <c r="N21" s="7"/>
      <c r="O21" s="8"/>
      <c r="P21" s="8"/>
      <c r="Q21" s="8"/>
    </row>
    <row r="22">
      <c r="A22" s="10"/>
      <c r="B22" s="7"/>
      <c r="C22" s="41" t="str">
        <f>IFERROR(__xludf.DUMMYFUNCTION("""COMPUTED_VALUE"""),"15.45 - 17.00")</f>
        <v>15.45 - 17.00</v>
      </c>
      <c r="D22" s="7"/>
      <c r="E22" s="74" t="str">
        <f>IFERROR(__xludf.DUMMYFUNCTION("""COMPUTED_VALUE"""),"15.45-16.45")</f>
        <v>15.45-16.45</v>
      </c>
      <c r="F22" s="7"/>
      <c r="G22" s="27"/>
      <c r="H22" s="7"/>
      <c r="I22" s="42" t="str">
        <f>IFERROR(__xludf.DUMMYFUNCTION("""COMPUTED_VALUE"""),"15.00 - 17.00")</f>
        <v>15.00 - 17.00</v>
      </c>
      <c r="J22" s="7"/>
      <c r="K22" s="74" t="str">
        <f>IFERROR(__xludf.DUMMYFUNCTION("""COMPUTED_VALUE"""),"16.00-17.30")</f>
        <v>16.00-17.30</v>
      </c>
      <c r="L22" s="68"/>
      <c r="M22" s="28" t="str">
        <f>IFERROR(__xludf.DUMMYFUNCTION("""COMPUTED_VALUE"""),"18.00-19.30")</f>
        <v>18.00-19.30</v>
      </c>
      <c r="N22" s="7"/>
      <c r="O22" s="8"/>
      <c r="P22" s="8"/>
      <c r="Q22" s="8"/>
    </row>
    <row r="23">
      <c r="A23" s="10"/>
      <c r="B23" s="7"/>
      <c r="C23" s="41" t="str">
        <f>IFERROR(__xludf.DUMMYFUNCTION("""COMPUTED_VALUE"""),"Бердникова А.О.")</f>
        <v>Бердникова А.О.</v>
      </c>
      <c r="D23" s="7"/>
      <c r="E23" s="74" t="str">
        <f>IFERROR(__xludf.DUMMYFUNCTION("""COMPUTED_VALUE"""),"Лепетиков Я. Д.")</f>
        <v>Лепетиков Я. Д.</v>
      </c>
      <c r="F23" s="7"/>
      <c r="G23" s="27"/>
      <c r="H23" s="7"/>
      <c r="I23" s="42" t="str">
        <f>IFERROR(__xludf.DUMMYFUNCTION("""COMPUTED_VALUE"""),"Шушпанова Ю.С.")</f>
        <v>Шушпанова Ю.С.</v>
      </c>
      <c r="J23" s="7"/>
      <c r="K23" s="74" t="str">
        <f>IFERROR(__xludf.DUMMYFUNCTION("""COMPUTED_VALUE"""),"Белёв С. Г.")</f>
        <v>Белёв С. Г.</v>
      </c>
      <c r="L23" s="68"/>
      <c r="M23" s="28" t="str">
        <f>IFERROR(__xludf.DUMMYFUNCTION("""COMPUTED_VALUE"""),"Тевелева А. ")</f>
        <v>Тевелева А. </v>
      </c>
      <c r="N23" s="7"/>
      <c r="O23" s="8"/>
      <c r="P23" s="8"/>
      <c r="Q23" s="8"/>
    </row>
    <row r="24">
      <c r="A24" s="10"/>
      <c r="B24" s="7"/>
      <c r="C24" s="41" t="str">
        <f>IFERROR(__xludf.DUMMYFUNCTION("""COMPUTED_VALUE"""),"Код: 2033029")</f>
        <v>Код: 2033029</v>
      </c>
      <c r="D24" s="7"/>
      <c r="E24" s="74" t="str">
        <f>IFERROR(__xludf.DUMMYFUNCTION("""COMPUTED_VALUE"""),"Код: 2077394")</f>
        <v>Код: 2077394</v>
      </c>
      <c r="F24" s="7"/>
      <c r="G24" s="27"/>
      <c r="H24" s="7"/>
      <c r="I24" s="42" t="str">
        <f>IFERROR(__xludf.DUMMYFUNCTION("""COMPUTED_VALUE"""),"Код: 2071093")</f>
        <v>Код: 2071093</v>
      </c>
      <c r="J24" s="7"/>
      <c r="K24" s="74" t="str">
        <f>IFERROR(__xludf.DUMMYFUNCTION("""COMPUTED_VALUE"""),"Код: 2077394")</f>
        <v>Код: 2077394</v>
      </c>
      <c r="L24" s="68"/>
      <c r="M24" s="28" t="str">
        <f>IFERROR(__xludf.DUMMYFUNCTION("""COMPUTED_VALUE"""),"Код: 2035254")</f>
        <v>Код: 2035254</v>
      </c>
      <c r="N24" s="7"/>
      <c r="O24" s="8"/>
      <c r="P24" s="8"/>
      <c r="Q24" s="8"/>
    </row>
    <row r="25">
      <c r="A25" s="10"/>
      <c r="B25" s="7"/>
      <c r="C25" s="41">
        <f>IFERROR(__xludf.DUMMYFUNCTION("""COMPUTED_VALUE"""),412.0)</f>
        <v>412</v>
      </c>
      <c r="D25" s="7"/>
      <c r="E25" s="74">
        <f>IFERROR(__xludf.DUMMYFUNCTION("""COMPUTED_VALUE"""),410.0)</f>
        <v>410</v>
      </c>
      <c r="F25" s="7"/>
      <c r="G25" s="27"/>
      <c r="H25" s="7"/>
      <c r="I25" s="42">
        <f>IFERROR(__xludf.DUMMYFUNCTION("""COMPUTED_VALUE"""),413.0)</f>
        <v>413</v>
      </c>
      <c r="J25" s="7"/>
      <c r="K25" s="74">
        <f>IFERROR(__xludf.DUMMYFUNCTION("""COMPUTED_VALUE"""),310.0)</f>
        <v>310</v>
      </c>
      <c r="L25" s="68"/>
      <c r="M25" s="28" t="str">
        <f>IFERROR(__xludf.DUMMYFUNCTION("""COMPUTED_VALUE"""),"онлайн")</f>
        <v>онлайн</v>
      </c>
      <c r="N25" s="7"/>
      <c r="O25" s="8"/>
      <c r="P25" s="8"/>
      <c r="Q25" s="8"/>
    </row>
    <row r="26" ht="10.5" customHeight="1">
      <c r="A26" s="12"/>
      <c r="B26" s="7"/>
      <c r="C26" s="12"/>
      <c r="D26" s="7"/>
      <c r="E26" s="7"/>
      <c r="F26" s="7"/>
      <c r="G26" s="12"/>
      <c r="H26" s="7"/>
      <c r="I26" s="12"/>
      <c r="J26" s="7"/>
      <c r="K26" s="12"/>
      <c r="L26" s="68"/>
      <c r="M26" s="12"/>
      <c r="N26" s="7"/>
      <c r="O26" s="8"/>
      <c r="P26" s="8"/>
      <c r="Q26" s="8"/>
    </row>
    <row r="27">
      <c r="A27" s="10"/>
      <c r="B27" s="7"/>
      <c r="C27" s="45" t="str">
        <f>IFERROR(__xludf.DUMMYFUNCTION("""COMPUTED_VALUE"""),"Консультация по английскому языку ")</f>
        <v>Консультация по английскому языку </v>
      </c>
      <c r="D27" s="7"/>
      <c r="E27" s="21" t="str">
        <f>IFERROR(__xludf.DUMMYFUNCTION("""COMPUTED_VALUE"""),"Практикум IoT")</f>
        <v>Практикум IoT</v>
      </c>
      <c r="F27" s="7"/>
      <c r="G27" s="48" t="str">
        <f>IFERROR(__xludf.DUMMYFUNCTION("""COMPUTED_VALUE"""),"Олимпиадная математика")</f>
        <v>Олимпиадная математика</v>
      </c>
      <c r="H27" s="7"/>
      <c r="I27" s="41" t="str">
        <f>IFERROR(__xludf.DUMMYFUNCTION("""COMPUTED_VALUE"""),"Дежурный практикум")</f>
        <v>Дежурный практикум</v>
      </c>
      <c r="J27" s="7"/>
      <c r="K27" s="95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7" s="68"/>
      <c r="M27" s="10"/>
      <c r="N27" s="7"/>
      <c r="O27" s="8"/>
      <c r="P27" s="8"/>
      <c r="Q27" s="8"/>
    </row>
    <row r="28">
      <c r="A28" s="10"/>
      <c r="B28" s="7"/>
      <c r="C28" s="45" t="str">
        <f>IFERROR(__xludf.DUMMYFUNCTION("""COMPUTED_VALUE"""),"Белоусова Ю.П.")</f>
        <v>Белоусова Ю.П.</v>
      </c>
      <c r="D28" s="7"/>
      <c r="E28" s="19" t="str">
        <f>IFERROR(__xludf.DUMMYFUNCTION("""COMPUTED_VALUE"""),"16:30 - 18:00")</f>
        <v>16:30 - 18:00</v>
      </c>
      <c r="F28" s="7"/>
      <c r="G28" s="48" t="str">
        <f>IFERROR(__xludf.DUMMYFUNCTION("""COMPUTED_VALUE"""),"16.00-18.00")</f>
        <v>16.00-18.00</v>
      </c>
      <c r="H28" s="7"/>
      <c r="I28" s="41" t="str">
        <f>IFERROR(__xludf.DUMMYFUNCTION("""COMPUTED_VALUE"""),"15.45 - 17.45")</f>
        <v>15.45 - 17.45</v>
      </c>
      <c r="J28" s="7"/>
      <c r="K28" s="94" t="str">
        <f>IFERROR(__xludf.DUMMYFUNCTION("""COMPUTED_VALUE"""),"15:00 - 17:00")</f>
        <v>15:00 - 17:00</v>
      </c>
      <c r="L28" s="68"/>
      <c r="M28" s="10"/>
      <c r="N28" s="7"/>
      <c r="O28" s="8"/>
      <c r="P28" s="8"/>
      <c r="Q28" s="8"/>
    </row>
    <row r="29">
      <c r="A29" s="10"/>
      <c r="B29" s="7"/>
      <c r="C29" s="45" t="str">
        <f>IFERROR(__xludf.DUMMYFUNCTION("""COMPUTED_VALUE"""),"14.50-15.35")</f>
        <v>14.50-15.35</v>
      </c>
      <c r="D29" s="7"/>
      <c r="E29" s="19" t="str">
        <f>IFERROR(__xludf.DUMMYFUNCTION("""COMPUTED_VALUE"""),"Дементьев Ю.Н.")</f>
        <v>Дементьев Ю.Н.</v>
      </c>
      <c r="F29" s="7"/>
      <c r="G29" s="48" t="str">
        <f>IFERROR(__xludf.DUMMYFUNCTION("""COMPUTED_VALUE"""),"Жижилкин И. Д.")</f>
        <v>Жижилкин И. Д.</v>
      </c>
      <c r="H29" s="7"/>
      <c r="I29" s="41" t="str">
        <f>IFERROR(__xludf.DUMMYFUNCTION("""COMPUTED_VALUE"""),"Антипов М.И.")</f>
        <v>Антипов М.И.</v>
      </c>
      <c r="J29" s="7"/>
      <c r="K29" s="94" t="str">
        <f>IFERROR(__xludf.DUMMYFUNCTION("""COMPUTED_VALUE"""),"Струговщиков В.В.")</f>
        <v>Струговщиков В.В.</v>
      </c>
      <c r="L29" s="68"/>
      <c r="M29" s="10"/>
      <c r="N29" s="7"/>
      <c r="O29" s="8"/>
      <c r="P29" s="8"/>
      <c r="Q29" s="8"/>
    </row>
    <row r="30" ht="24.75" customHeight="1">
      <c r="A30" s="10"/>
      <c r="B30" s="7"/>
      <c r="C30" s="45" t="str">
        <f>IFERROR(__xludf.DUMMYFUNCTION("""COMPUTED_VALUE"""),"9Г")</f>
        <v>9Г</v>
      </c>
      <c r="D30" s="7"/>
      <c r="E30" s="19" t="str">
        <f>IFERROR(__xludf.DUMMYFUNCTION("""COMPUTED_VALUE"""),"Код: 2030967")</f>
        <v>Код: 2030967</v>
      </c>
      <c r="F30" s="7"/>
      <c r="G30" s="48" t="str">
        <f>IFERROR(__xludf.DUMMYFUNCTION("""COMPUTED_VALUE"""),"Код: 2037367")</f>
        <v>Код: 2037367</v>
      </c>
      <c r="H30" s="7"/>
      <c r="I30" s="41" t="str">
        <f>IFERROR(__xludf.DUMMYFUNCTION("""COMPUTED_VALUE"""),"Код: 2043804")</f>
        <v>Код: 2043804</v>
      </c>
      <c r="J30" s="7"/>
      <c r="K30" s="94" t="str">
        <f>IFERROR(__xludf.DUMMYFUNCTION("""COMPUTED_VALUE"""),"Код: 2031075")</f>
        <v>Код: 2031075</v>
      </c>
      <c r="L30" s="68"/>
      <c r="M30" s="10"/>
      <c r="N30" s="7"/>
      <c r="O30" s="66"/>
      <c r="P30" s="66"/>
      <c r="Q30" s="66"/>
    </row>
    <row r="31">
      <c r="A31" s="10"/>
      <c r="B31" s="7"/>
      <c r="C31" s="45">
        <f>IFERROR(__xludf.DUMMYFUNCTION("""COMPUTED_VALUE"""),22.0)</f>
        <v>22</v>
      </c>
      <c r="D31" s="7"/>
      <c r="E31" s="19">
        <f>IFERROR(__xludf.DUMMYFUNCTION("""COMPUTED_VALUE"""),312.0)</f>
        <v>312</v>
      </c>
      <c r="F31" s="7"/>
      <c r="G31" s="48" t="str">
        <f>IFERROR(__xludf.DUMMYFUNCTION("""COMPUTED_VALUE"""),"МАЗ, 36")</f>
        <v>МАЗ, 36</v>
      </c>
      <c r="H31" s="7"/>
      <c r="I31" s="41">
        <f>IFERROR(__xludf.DUMMYFUNCTION("""COMPUTED_VALUE"""),50.0)</f>
        <v>50</v>
      </c>
      <c r="J31" s="7"/>
      <c r="K31" s="94">
        <f>IFERROR(__xludf.DUMMYFUNCTION("""COMPUTED_VALUE"""),312.0)</f>
        <v>312</v>
      </c>
      <c r="L31" s="68"/>
      <c r="M31" s="10"/>
      <c r="N31" s="7"/>
      <c r="O31" s="66"/>
      <c r="P31" s="66"/>
      <c r="Q31" s="66"/>
    </row>
    <row r="32" ht="9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6"/>
      <c r="P32" s="66"/>
      <c r="Q32" s="66"/>
    </row>
    <row r="33">
      <c r="A33" s="10"/>
      <c r="B33" s="7"/>
      <c r="C33" s="49" t="str">
        <f>IFERROR(__xludf.DUMMYFUNCTION("""COMPUTED_VALUE"""),"Подготовка к ЕГЭ по английскому языку")</f>
        <v>Подготовка к ЕГЭ по английскому языку</v>
      </c>
      <c r="D33" s="7"/>
      <c r="E33" s="23" t="str">
        <f>IFERROR(__xludf.DUMMYFUNCTION("""COMPUTED_VALUE"""),"Консультация по математике для 9Г")</f>
        <v>Консультация по математике для 9Г</v>
      </c>
      <c r="F33" s="7"/>
      <c r="G33" s="48" t="str">
        <f>IFERROR(__xludf.DUMMYFUNCTION("""COMPUTED_VALUE"""),"Математика высокого уровня (отбор)")</f>
        <v>Математика высокого уровня (отбор)</v>
      </c>
      <c r="H33" s="7"/>
      <c r="I33" s="48" t="str">
        <f>IFERROR(__xludf.DUMMYFUNCTION("""COMPUTED_VALUE"""),"Олимпиадные математические задачи 9Б")</f>
        <v>Олимпиадные математические задачи 9Б</v>
      </c>
      <c r="J33" s="7"/>
      <c r="K33" s="23" t="str">
        <f>IFERROR(__xludf.DUMMYFUNCTION("""COMPUTED_VALUE"""),"Консультация по математике для 9В")</f>
        <v>Консультация по математике для 9В</v>
      </c>
      <c r="L33" s="68"/>
      <c r="M33" s="49" t="str">
        <f>IFERROR(__xludf.DUMMYFUNCTION("""COMPUTED_VALUE"""),"Консультация по русскому языку ")</f>
        <v>Консультация по русскому языку </v>
      </c>
      <c r="N33" s="7"/>
      <c r="O33" s="66"/>
      <c r="P33" s="66"/>
      <c r="Q33" s="66"/>
    </row>
    <row r="34">
      <c r="A34" s="10"/>
      <c r="B34" s="7"/>
      <c r="C34" s="49" t="str">
        <f>IFERROR(__xludf.DUMMYFUNCTION("""COMPUTED_VALUE"""),"9 классы")</f>
        <v>9 классы</v>
      </c>
      <c r="D34" s="7"/>
      <c r="E34" s="23" t="str">
        <f>IFERROR(__xludf.DUMMYFUNCTION("""COMPUTED_VALUE"""),"15.45-16.45")</f>
        <v>15.45-16.45</v>
      </c>
      <c r="F34" s="7"/>
      <c r="G34" s="48" t="str">
        <f>IFERROR(__xludf.DUMMYFUNCTION("""COMPUTED_VALUE"""),"16.00-18.00")</f>
        <v>16.00-18.00</v>
      </c>
      <c r="H34" s="7"/>
      <c r="I34" s="48" t="str">
        <f>IFERROR(__xludf.DUMMYFUNCTION("""COMPUTED_VALUE"""),"15.45-17.15")</f>
        <v>15.45-17.15</v>
      </c>
      <c r="J34" s="7"/>
      <c r="K34" s="23" t="str">
        <f>IFERROR(__xludf.DUMMYFUNCTION("""COMPUTED_VALUE"""),"15.40-17.00")</f>
        <v>15.40-17.00</v>
      </c>
      <c r="L34" s="68"/>
      <c r="M34" s="49" t="str">
        <f>IFERROR(__xludf.DUMMYFUNCTION("""COMPUTED_VALUE"""),"15.00-16.00")</f>
        <v>15.00-16.00</v>
      </c>
      <c r="N34" s="7"/>
      <c r="O34" s="8"/>
      <c r="P34" s="8"/>
      <c r="Q34" s="8"/>
    </row>
    <row r="35">
      <c r="A35" s="10"/>
      <c r="B35" s="7"/>
      <c r="C35" s="49" t="str">
        <f>IFERROR(__xludf.DUMMYFUNCTION("""COMPUTED_VALUE"""),"15.45-16.30")</f>
        <v>15.45-16.30</v>
      </c>
      <c r="D35" s="7"/>
      <c r="E35" s="23" t="str">
        <f>IFERROR(__xludf.DUMMYFUNCTION("""COMPUTED_VALUE"""),"Пешнин А. М.")</f>
        <v>Пешнин А. М.</v>
      </c>
      <c r="F35" s="7"/>
      <c r="G35" s="48" t="str">
        <f>IFERROR(__xludf.DUMMYFUNCTION("""COMPUTED_VALUE"""),"Васянин С.И., Губанов С. А.")</f>
        <v>Васянин С.И., Губанов С. А.</v>
      </c>
      <c r="H35" s="7"/>
      <c r="I35" s="48" t="str">
        <f>IFERROR(__xludf.DUMMYFUNCTION("""COMPUTED_VALUE"""),"Копылова А. В.")</f>
        <v>Копылова А. В.</v>
      </c>
      <c r="J35" s="7"/>
      <c r="K35" s="23" t="str">
        <f>IFERROR(__xludf.DUMMYFUNCTION("""COMPUTED_VALUE"""),"Губанов С. А.")</f>
        <v>Губанов С. А.</v>
      </c>
      <c r="L35" s="68"/>
      <c r="M35" s="49" t="str">
        <f>IFERROR(__xludf.DUMMYFUNCTION("""COMPUTED_VALUE"""),"Орлова О. Ю.")</f>
        <v>Орлова О. Ю.</v>
      </c>
      <c r="N35" s="7"/>
      <c r="O35" s="8"/>
      <c r="P35" s="8"/>
      <c r="Q35" s="8"/>
    </row>
    <row r="36">
      <c r="A36" s="10"/>
      <c r="B36" s="7"/>
      <c r="C36" s="49" t="str">
        <f>IFERROR(__xludf.DUMMYFUNCTION("""COMPUTED_VALUE"""),"Макешина Н. Н.")</f>
        <v>Макешина Н. Н.</v>
      </c>
      <c r="D36" s="7"/>
      <c r="E36" s="23" t="str">
        <f>IFERROR(__xludf.DUMMYFUNCTION("""COMPUTED_VALUE"""),".")</f>
        <v>.</v>
      </c>
      <c r="F36" s="7"/>
      <c r="G36" s="48" t="str">
        <f>IFERROR(__xludf.DUMMYFUNCTION("""COMPUTED_VALUE"""),"Код: 2037367")</f>
        <v>Код: 2037367</v>
      </c>
      <c r="H36" s="7"/>
      <c r="I36" s="48" t="str">
        <f>IFERROR(__xludf.DUMMYFUNCTION("""COMPUTED_VALUE"""),"Код: 2033248")</f>
        <v>Код: 2033248</v>
      </c>
      <c r="J36" s="7"/>
      <c r="K36" s="23" t="str">
        <f>IFERROR(__xludf.DUMMYFUNCTION("""COMPUTED_VALUE"""),".")</f>
        <v>.</v>
      </c>
      <c r="L36" s="68"/>
      <c r="M36" s="49" t="str">
        <f>IFERROR(__xludf.DUMMYFUNCTION("""COMPUTED_VALUE"""),".")</f>
        <v>.</v>
      </c>
      <c r="N36" s="7"/>
      <c r="O36" s="8"/>
      <c r="P36" s="8"/>
      <c r="Q36" s="8"/>
    </row>
    <row r="37">
      <c r="A37" s="10"/>
      <c r="B37" s="7"/>
      <c r="C37" s="49">
        <f>IFERROR(__xludf.DUMMYFUNCTION("""COMPUTED_VALUE"""),28.0)</f>
        <v>28</v>
      </c>
      <c r="D37" s="7"/>
      <c r="E37" s="23">
        <f>IFERROR(__xludf.DUMMYFUNCTION("""COMPUTED_VALUE"""),20.0)</f>
        <v>20</v>
      </c>
      <c r="F37" s="7"/>
      <c r="G37" s="48" t="str">
        <f>IFERROR(__xludf.DUMMYFUNCTION("""COMPUTED_VALUE"""),"МАЗ, 30")</f>
        <v>МАЗ, 30</v>
      </c>
      <c r="H37" s="7"/>
      <c r="I37" s="48">
        <f>IFERROR(__xludf.DUMMYFUNCTION("""COMPUTED_VALUE"""),34.0)</f>
        <v>34</v>
      </c>
      <c r="J37" s="7"/>
      <c r="K37" s="23">
        <f>IFERROR(__xludf.DUMMYFUNCTION("""COMPUTED_VALUE"""),36.0)</f>
        <v>36</v>
      </c>
      <c r="L37" s="68"/>
      <c r="M37" s="49">
        <f>IFERROR(__xludf.DUMMYFUNCTION("""COMPUTED_VALUE"""),41.0)</f>
        <v>41</v>
      </c>
      <c r="N37" s="7"/>
      <c r="O37" s="8"/>
      <c r="P37" s="8"/>
      <c r="Q37" s="8"/>
    </row>
    <row r="38" ht="10.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68"/>
      <c r="M38" s="12"/>
      <c r="N38" s="7"/>
      <c r="O38" s="8"/>
      <c r="P38" s="8"/>
      <c r="Q38" s="8"/>
    </row>
    <row r="39">
      <c r="A39" s="10"/>
      <c r="B39" s="7"/>
      <c r="C39" s="23" t="str">
        <f>IFERROR(__xludf.DUMMYFUNCTION("""COMPUTED_VALUE"""),"Консультация по математике ")</f>
        <v>Консультация по математике </v>
      </c>
      <c r="D39" s="7"/>
      <c r="E39" s="76" t="str">
        <f>IFERROR(__xludf.DUMMYFUNCTION("""COMPUTED_VALUE"""),"Биология. Генетика.")</f>
        <v>Биология. Генетика.</v>
      </c>
      <c r="F39" s="7"/>
      <c r="G39" s="96" t="str">
        <f>IFERROR(__xludf.DUMMYFUNCTION("""COMPUTED_VALUE"""),"Лингвистика")</f>
        <v>Лингвистика</v>
      </c>
      <c r="H39" s="7"/>
      <c r="I39" s="95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9" s="7"/>
      <c r="K39" s="23" t="str">
        <f>IFERROR(__xludf.DUMMYFUNCTION("""COMPUTED_VALUE"""),"Консультация по математике для 9Г")</f>
        <v>Консультация по математике для 9Г</v>
      </c>
      <c r="L39" s="68"/>
      <c r="M39" s="96" t="str">
        <f>IFERROR(__xludf.DUMMYFUNCTION("""COMPUTED_VALUE"""),"Лингвистика")</f>
        <v>Лингвистика</v>
      </c>
      <c r="N39" s="7"/>
      <c r="O39" s="8"/>
      <c r="P39" s="8"/>
      <c r="Q39" s="8"/>
    </row>
    <row r="40">
      <c r="A40" s="10"/>
      <c r="B40" s="7"/>
      <c r="C40" s="23" t="str">
        <f>IFERROR(__xludf.DUMMYFUNCTION("""COMPUTED_VALUE"""),"15.00-15.40")</f>
        <v>15.00-15.40</v>
      </c>
      <c r="D40" s="7"/>
      <c r="E40" s="76" t="str">
        <f>IFERROR(__xludf.DUMMYFUNCTION("""COMPUTED_VALUE"""),"15.30-17.00")</f>
        <v>15.30-17.00</v>
      </c>
      <c r="F40" s="7"/>
      <c r="G40" s="24" t="str">
        <f>IFERROR(__xludf.DUMMYFUNCTION("""COMPUTED_VALUE"""),"15.45 - 17.15")</f>
        <v>15.45 - 17.15</v>
      </c>
      <c r="H40" s="7"/>
      <c r="I40" s="94" t="str">
        <f>IFERROR(__xludf.DUMMYFUNCTION("""COMPUTED_VALUE"""),"15:00 - 17:00")</f>
        <v>15:00 - 17:00</v>
      </c>
      <c r="J40" s="7"/>
      <c r="K40" s="23" t="str">
        <f>IFERROR(__xludf.DUMMYFUNCTION("""COMPUTED_VALUE"""),"15.45-16.45")</f>
        <v>15.45-16.45</v>
      </c>
      <c r="L40" s="68"/>
      <c r="M40" s="24" t="str">
        <f>IFERROR(__xludf.DUMMYFUNCTION("""COMPUTED_VALUE"""),"16.30-18.00")</f>
        <v>16.30-18.00</v>
      </c>
      <c r="N40" s="7"/>
      <c r="O40" s="8"/>
      <c r="P40" s="8"/>
      <c r="Q40" s="8"/>
    </row>
    <row r="41">
      <c r="A41" s="10"/>
      <c r="B41" s="7"/>
      <c r="C41" s="23" t="str">
        <f>IFERROR(__xludf.DUMMYFUNCTION("""COMPUTED_VALUE"""),"Васянин С. И.")</f>
        <v>Васянин С. И.</v>
      </c>
      <c r="D41" s="7"/>
      <c r="E41" s="76" t="str">
        <f>IFERROR(__xludf.DUMMYFUNCTION("""COMPUTED_VALUE"""),"Лавренова В. Н.")</f>
        <v>Лавренова В. Н.</v>
      </c>
      <c r="F41" s="7"/>
      <c r="G41" s="24" t="str">
        <f>IFERROR(__xludf.DUMMYFUNCTION("""COMPUTED_VALUE"""),"Бушина А. С.")</f>
        <v>Бушина А. С.</v>
      </c>
      <c r="H41" s="7"/>
      <c r="I41" s="94" t="str">
        <f>IFERROR(__xludf.DUMMYFUNCTION("""COMPUTED_VALUE"""),"Струговщиков В.В.")</f>
        <v>Струговщиков В.В.</v>
      </c>
      <c r="J41" s="7"/>
      <c r="K41" s="23" t="str">
        <f>IFERROR(__xludf.DUMMYFUNCTION("""COMPUTED_VALUE"""),"Пешнин А. М.")</f>
        <v>Пешнин А. М.</v>
      </c>
      <c r="L41" s="68"/>
      <c r="M41" s="24" t="str">
        <f>IFERROR(__xludf.DUMMYFUNCTION("""COMPUTED_VALUE"""),"Зильберман Е. А.")</f>
        <v>Зильберман Е. А.</v>
      </c>
      <c r="N41" s="7"/>
      <c r="O41" s="8"/>
      <c r="P41" s="8"/>
      <c r="Q41" s="8"/>
    </row>
    <row r="42">
      <c r="A42" s="10"/>
      <c r="B42" s="7"/>
      <c r="C42" s="23" t="str">
        <f>IFERROR(__xludf.DUMMYFUNCTION("""COMPUTED_VALUE"""),"9А")</f>
        <v>9А</v>
      </c>
      <c r="D42" s="7"/>
      <c r="E42" s="76" t="str">
        <f>IFERROR(__xludf.DUMMYFUNCTION("""COMPUTED_VALUE"""),"Код: 2052184")</f>
        <v>Код: 2052184</v>
      </c>
      <c r="F42" s="7"/>
      <c r="G42" s="24" t="str">
        <f>IFERROR(__xludf.DUMMYFUNCTION("""COMPUTED_VALUE"""),"Код: 2022681")</f>
        <v>Код: 2022681</v>
      </c>
      <c r="H42" s="7"/>
      <c r="I42" s="94" t="str">
        <f>IFERROR(__xludf.DUMMYFUNCTION("""COMPUTED_VALUE"""),"Код: 2031075")</f>
        <v>Код: 2031075</v>
      </c>
      <c r="J42" s="7"/>
      <c r="K42" s="23" t="str">
        <f>IFERROR(__xludf.DUMMYFUNCTION("""COMPUTED_VALUE"""),".")</f>
        <v>.</v>
      </c>
      <c r="L42" s="68"/>
      <c r="M42" s="24" t="str">
        <f>IFERROR(__xludf.DUMMYFUNCTION("""COMPUTED_VALUE"""),"Код: 2022681")</f>
        <v>Код: 2022681</v>
      </c>
      <c r="N42" s="7"/>
      <c r="O42" s="8"/>
      <c r="P42" s="8"/>
      <c r="Q42" s="8"/>
    </row>
    <row r="43">
      <c r="A43" s="10"/>
      <c r="B43" s="7"/>
      <c r="C43" s="23">
        <f>IFERROR(__xludf.DUMMYFUNCTION("""COMPUTED_VALUE"""),30.0)</f>
        <v>30</v>
      </c>
      <c r="D43" s="7"/>
      <c r="E43" s="76">
        <f>IFERROR(__xludf.DUMMYFUNCTION("""COMPUTED_VALUE"""),52.0)</f>
        <v>52</v>
      </c>
      <c r="F43" s="7"/>
      <c r="G43" s="24">
        <f>IFERROR(__xludf.DUMMYFUNCTION("""COMPUTED_VALUE"""),41.0)</f>
        <v>41</v>
      </c>
      <c r="H43" s="7"/>
      <c r="I43" s="94">
        <f>IFERROR(__xludf.DUMMYFUNCTION("""COMPUTED_VALUE"""),312.0)</f>
        <v>312</v>
      </c>
      <c r="J43" s="7"/>
      <c r="K43" s="23">
        <f>IFERROR(__xludf.DUMMYFUNCTION("""COMPUTED_VALUE"""),412.0)</f>
        <v>412</v>
      </c>
      <c r="L43" s="68"/>
      <c r="M43" s="24" t="str">
        <f>IFERROR(__xludf.DUMMYFUNCTION("""COMPUTED_VALUE"""),"онлайн")</f>
        <v>онлайн</v>
      </c>
      <c r="N43" s="7"/>
      <c r="O43" s="8"/>
      <c r="P43" s="8"/>
      <c r="Q43" s="8"/>
    </row>
    <row r="44" ht="10.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68"/>
      <c r="M44" s="12"/>
      <c r="N44" s="7"/>
      <c r="O44" s="8"/>
      <c r="P44" s="8"/>
      <c r="Q44" s="8"/>
    </row>
    <row r="45">
      <c r="A45" s="10"/>
      <c r="B45" s="7"/>
      <c r="C45" s="10"/>
      <c r="D45" s="7"/>
      <c r="E45" s="50" t="str">
        <f>IFERROR(__xludf.DUMMYFUNCTION("""COMPUTED_VALUE"""),"Олимпиадная астрономия")</f>
        <v>Олимпиадная астрономия</v>
      </c>
      <c r="F45" s="7"/>
      <c r="G45" s="97" t="str">
        <f>IFERROR(__xludf.DUMMYFUNCTION("""COMPUTED_VALUE"""),"Консультация по русскому языку 9А ,9В")</f>
        <v>Консультация по русскому языку 9А ,9В</v>
      </c>
      <c r="H45" s="7"/>
      <c r="I45" s="98" t="str">
        <f>IFERROR(__xludf.DUMMYFUNCTION("""COMPUTED_VALUE"""),"Почитаем вместе")</f>
        <v>Почитаем вместе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68"/>
      <c r="M45" s="10"/>
      <c r="N45" s="7"/>
      <c r="O45" s="8"/>
      <c r="P45" s="8"/>
      <c r="Q45" s="8"/>
    </row>
    <row r="46">
      <c r="A46" s="10"/>
      <c r="B46" s="7"/>
      <c r="C46" s="10"/>
      <c r="D46" s="7"/>
      <c r="E46" s="50" t="str">
        <f>IFERROR(__xludf.DUMMYFUNCTION("""COMPUTED_VALUE"""),"16.00 - 18.00")</f>
        <v>16.00 - 18.00</v>
      </c>
      <c r="F46" s="7"/>
      <c r="G46" s="97" t="str">
        <f>IFERROR(__xludf.DUMMYFUNCTION("""COMPUTED_VALUE"""),"15.45-16.45")</f>
        <v>15.45-16.45</v>
      </c>
      <c r="H46" s="7"/>
      <c r="I46" s="99" t="str">
        <f>IFERROR(__xludf.DUMMYFUNCTION("""COMPUTED_VALUE"""),"15.45-17.15")</f>
        <v>15.45-17.15</v>
      </c>
      <c r="J46" s="7"/>
      <c r="K46" s="25" t="str">
        <f>IFERROR(__xludf.DUMMYFUNCTION("""COMPUTED_VALUE"""),"14.45-17-45")</f>
        <v>14.45-17-45</v>
      </c>
      <c r="L46" s="68"/>
      <c r="M46" s="10"/>
      <c r="N46" s="7"/>
      <c r="O46" s="8"/>
      <c r="P46" s="8"/>
      <c r="Q46" s="8"/>
    </row>
    <row r="47">
      <c r="A47" s="10"/>
      <c r="B47" s="7"/>
      <c r="C47" s="10"/>
      <c r="D47" s="7"/>
      <c r="E47" s="50" t="str">
        <f>IFERROR(__xludf.DUMMYFUNCTION("""COMPUTED_VALUE"""),"Безбородова И.Н.")</f>
        <v>Безбородова И.Н.</v>
      </c>
      <c r="F47" s="7"/>
      <c r="G47" s="97" t="str">
        <f>IFERROR(__xludf.DUMMYFUNCTION("""COMPUTED_VALUE"""),"Петрухина Ю. Б.")</f>
        <v>Петрухина Ю. Б.</v>
      </c>
      <c r="H47" s="7"/>
      <c r="I47" s="99" t="str">
        <f>IFERROR(__xludf.DUMMYFUNCTION("""COMPUTED_VALUE"""),"Петрухина Ю. Б.")</f>
        <v>Петрухина Ю. Б.</v>
      </c>
      <c r="J47" s="7"/>
      <c r="K47" s="25" t="str">
        <f>IFERROR(__xludf.DUMMYFUNCTION("""COMPUTED_VALUE"""),"Антипов М. И.")</f>
        <v>Антипов М. И.</v>
      </c>
      <c r="L47" s="68"/>
      <c r="M47" s="10"/>
      <c r="N47" s="7"/>
      <c r="O47" s="8"/>
      <c r="P47" s="8"/>
      <c r="Q47" s="8"/>
    </row>
    <row r="48">
      <c r="A48" s="10"/>
      <c r="B48" s="7"/>
      <c r="C48" s="10"/>
      <c r="D48" s="7"/>
      <c r="E48" s="50" t="str">
        <f>IFERROR(__xludf.DUMMYFUNCTION("""COMPUTED_VALUE"""),".")</f>
        <v>.</v>
      </c>
      <c r="F48" s="7"/>
      <c r="G48" s="97" t="str">
        <f>IFERROR(__xludf.DUMMYFUNCTION("""COMPUTED_VALUE"""),".")</f>
        <v>.</v>
      </c>
      <c r="H48" s="7"/>
      <c r="I48" s="99" t="str">
        <f>IFERROR(__xludf.DUMMYFUNCTION("""COMPUTED_VALUE"""),"Код: 2032103")</f>
        <v>Код: 2032103</v>
      </c>
      <c r="J48" s="7"/>
      <c r="K48" s="25" t="str">
        <f>IFERROR(__xludf.DUMMYFUNCTION("""COMPUTED_VALUE"""),"Код: 2077503")</f>
        <v>Код: 2077503</v>
      </c>
      <c r="L48" s="68"/>
      <c r="M48" s="10"/>
      <c r="N48" s="7"/>
      <c r="O48" s="8"/>
      <c r="P48" s="8"/>
      <c r="Q48" s="8"/>
    </row>
    <row r="49">
      <c r="A49" s="10"/>
      <c r="B49" s="7"/>
      <c r="C49" s="10"/>
      <c r="D49" s="7"/>
      <c r="E49" s="50">
        <f>IFERROR(__xludf.DUMMYFUNCTION("""COMPUTED_VALUE"""),415.0)</f>
        <v>415</v>
      </c>
      <c r="F49" s="7"/>
      <c r="G49" s="97">
        <f>IFERROR(__xludf.DUMMYFUNCTION("""COMPUTED_VALUE"""),309.0)</f>
        <v>309</v>
      </c>
      <c r="H49" s="7"/>
      <c r="I49" s="99">
        <f>IFERROR(__xludf.DUMMYFUNCTION("""COMPUTED_VALUE"""),309.0)</f>
        <v>309</v>
      </c>
      <c r="J49" s="7"/>
      <c r="K49" s="25">
        <f>IFERROR(__xludf.DUMMYFUNCTION("""COMPUTED_VALUE"""),52.0)</f>
        <v>52</v>
      </c>
      <c r="L49" s="68"/>
      <c r="M49" s="10"/>
      <c r="N49" s="7"/>
      <c r="O49" s="8"/>
      <c r="P49" s="8"/>
      <c r="Q49" s="8"/>
    </row>
    <row r="50" ht="12.7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68"/>
      <c r="M50" s="12"/>
      <c r="N50" s="7"/>
      <c r="O50" s="8"/>
      <c r="P50" s="8"/>
      <c r="Q50" s="8"/>
    </row>
    <row r="51">
      <c r="A51" s="10"/>
      <c r="B51" s="7"/>
      <c r="C51" s="100" t="str">
        <f>IFERROR(__xludf.DUMMYFUNCTION("""COMPUTED_VALUE"""),"Театральный кружок")</f>
        <v>Театральный кружок</v>
      </c>
      <c r="D51" s="7"/>
      <c r="E51" s="71" t="str">
        <f>IFERROR(__xludf.DUMMYFUNCTION("""COMPUTED_VALUE"""),"Исследовательская работа по химии")</f>
        <v>Исследовательская работа по химии</v>
      </c>
      <c r="F51" s="7"/>
      <c r="G51" s="100" t="str">
        <f>IFERROR(__xludf.DUMMYFUNCTION("""COMPUTED_VALUE"""),"Театральный кружок")</f>
        <v>Театральный кружок</v>
      </c>
      <c r="H51" s="7"/>
      <c r="I51" s="100" t="str">
        <f>IFERROR(__xludf.DUMMYFUNCTION("""COMPUTED_VALUE"""),"Театральный кружок")</f>
        <v>Театральный кружок</v>
      </c>
      <c r="J51" s="7"/>
      <c r="K51" s="28" t="str">
        <f>IFERROR(__xludf.DUMMYFUNCTION("""COMPUTED_VALUE"""),"Немецкий язык ")</f>
        <v>Немецкий язык </v>
      </c>
      <c r="L51" s="68"/>
      <c r="M51" s="100" t="str">
        <f>IFERROR(__xludf.DUMMYFUNCTION("""COMPUTED_VALUE"""),"Театральный кружок")</f>
        <v>Театральный кружок</v>
      </c>
      <c r="N51" s="7"/>
      <c r="O51" s="8"/>
      <c r="P51" s="8"/>
      <c r="Q51" s="8"/>
    </row>
    <row r="52">
      <c r="A52" s="10"/>
      <c r="B52" s="7"/>
      <c r="C52" s="100" t="str">
        <f>IFERROR(__xludf.DUMMYFUNCTION("""COMPUTED_VALUE"""),"на больших переменах")</f>
        <v>на больших переменах</v>
      </c>
      <c r="D52" s="7"/>
      <c r="E52" s="71" t="str">
        <f>IFERROR(__xludf.DUMMYFUNCTION("""COMPUTED_VALUE"""),"Код: 2032603")</f>
        <v>Код: 2032603</v>
      </c>
      <c r="F52" s="7"/>
      <c r="G52" s="100" t="str">
        <f>IFERROR(__xludf.DUMMYFUNCTION("""COMPUTED_VALUE"""),"на больших переменах")</f>
        <v>на больших переменах</v>
      </c>
      <c r="H52" s="7"/>
      <c r="I52" s="100" t="str">
        <f>IFERROR(__xludf.DUMMYFUNCTION("""COMPUTED_VALUE"""),"на больших переменах")</f>
        <v>на больших переменах</v>
      </c>
      <c r="J52" s="7"/>
      <c r="K52" s="28" t="str">
        <f>IFERROR(__xludf.DUMMYFUNCTION("""COMPUTED_VALUE"""),"16.00-17.00")</f>
        <v>16.00-17.00</v>
      </c>
      <c r="L52" s="68"/>
      <c r="M52" s="100" t="str">
        <f>IFERROR(__xludf.DUMMYFUNCTION("""COMPUTED_VALUE"""),"на больших переменах")</f>
        <v>на больших переменах</v>
      </c>
      <c r="N52" s="7"/>
      <c r="O52" s="8"/>
      <c r="P52" s="8"/>
      <c r="Q52" s="8"/>
    </row>
    <row r="53">
      <c r="A53" s="10"/>
      <c r="B53" s="7"/>
      <c r="C53" s="100" t="str">
        <f>IFERROR(__xludf.DUMMYFUNCTION("""COMPUTED_VALUE"""),"Код: 2032443")</f>
        <v>Код: 2032443</v>
      </c>
      <c r="D53" s="7"/>
      <c r="E53" s="71" t="str">
        <f>IFERROR(__xludf.DUMMYFUNCTION("""COMPUTED_VALUE"""),"15.45 - 17.15")</f>
        <v>15.45 - 17.15</v>
      </c>
      <c r="F53" s="7"/>
      <c r="G53" s="100" t="str">
        <f>IFERROR(__xludf.DUMMYFUNCTION("""COMPUTED_VALUE"""),"Код: 2032443")</f>
        <v>Код: 2032443</v>
      </c>
      <c r="H53" s="7"/>
      <c r="I53" s="100" t="str">
        <f>IFERROR(__xludf.DUMMYFUNCTION("""COMPUTED_VALUE"""),"Код: 2032443")</f>
        <v>Код: 2032443</v>
      </c>
      <c r="J53" s="7"/>
      <c r="K53" s="28" t="str">
        <f>IFERROR(__xludf.DUMMYFUNCTION("""COMPUTED_VALUE"""),"Рукк М. Ф.")</f>
        <v>Рукк М. Ф.</v>
      </c>
      <c r="L53" s="68"/>
      <c r="M53" s="100" t="str">
        <f>IFERROR(__xludf.DUMMYFUNCTION("""COMPUTED_VALUE"""),"Код: 2032443")</f>
        <v>Код: 2032443</v>
      </c>
      <c r="N53" s="7"/>
      <c r="O53" s="8"/>
      <c r="P53" s="8"/>
      <c r="Q53" s="8"/>
    </row>
    <row r="54">
      <c r="A54" s="10"/>
      <c r="B54" s="7"/>
      <c r="C54" s="100" t="str">
        <f>IFERROR(__xludf.DUMMYFUNCTION("""COMPUTED_VALUE"""),"Ткачук Ю.Б.")</f>
        <v>Ткачук Ю.Б.</v>
      </c>
      <c r="D54" s="7"/>
      <c r="E54" s="71" t="str">
        <f>IFERROR(__xludf.DUMMYFUNCTION("""COMPUTED_VALUE"""),"Шульгин А.Т.")</f>
        <v>Шульгин А.Т.</v>
      </c>
      <c r="F54" s="7"/>
      <c r="G54" s="100" t="str">
        <f>IFERROR(__xludf.DUMMYFUNCTION("""COMPUTED_VALUE"""),"Ткачук Ю.Б.")</f>
        <v>Ткачук Ю.Б.</v>
      </c>
      <c r="H54" s="7"/>
      <c r="I54" s="100" t="str">
        <f>IFERROR(__xludf.DUMMYFUNCTION("""COMPUTED_VALUE"""),"Ткачук Ю.Б.")</f>
        <v>Ткачук Ю.Б.</v>
      </c>
      <c r="J54" s="7"/>
      <c r="K54" s="28" t="str">
        <f>IFERROR(__xludf.DUMMYFUNCTION("""COMPUTED_VALUE"""),"Код: 2077518")</f>
        <v>Код: 2077518</v>
      </c>
      <c r="L54" s="68"/>
      <c r="M54" s="100" t="str">
        <f>IFERROR(__xludf.DUMMYFUNCTION("""COMPUTED_VALUE"""),"Ткачук Ю.Б.")</f>
        <v>Ткачук Ю.Б.</v>
      </c>
      <c r="N54" s="7"/>
      <c r="O54" s="8"/>
      <c r="P54" s="8"/>
      <c r="Q54" s="8"/>
    </row>
    <row r="55">
      <c r="A55" s="10"/>
      <c r="B55" s="7"/>
      <c r="C55" s="100">
        <f>IFERROR(__xludf.DUMMYFUNCTION("""COMPUTED_VALUE"""),44.0)</f>
        <v>44</v>
      </c>
      <c r="D55" s="7"/>
      <c r="E55" s="71">
        <f>IFERROR(__xludf.DUMMYFUNCTION("""COMPUTED_VALUE"""),51.0)</f>
        <v>51</v>
      </c>
      <c r="F55" s="7"/>
      <c r="G55" s="100">
        <f>IFERROR(__xludf.DUMMYFUNCTION("""COMPUTED_VALUE"""),44.0)</f>
        <v>44</v>
      </c>
      <c r="H55" s="7"/>
      <c r="I55" s="100">
        <f>IFERROR(__xludf.DUMMYFUNCTION("""COMPUTED_VALUE"""),44.0)</f>
        <v>44</v>
      </c>
      <c r="J55" s="7"/>
      <c r="K55" s="28">
        <f>IFERROR(__xludf.DUMMYFUNCTION("""COMPUTED_VALUE"""),53.0)</f>
        <v>53</v>
      </c>
      <c r="L55" s="68"/>
      <c r="M55" s="100">
        <f>IFERROR(__xludf.DUMMYFUNCTION("""COMPUTED_VALUE"""),44.0)</f>
        <v>44</v>
      </c>
      <c r="N55" s="7"/>
      <c r="O55" s="8"/>
      <c r="P55" s="8"/>
      <c r="Q55" s="8"/>
    </row>
    <row r="56" ht="11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68"/>
      <c r="M56" s="101"/>
      <c r="N56" s="7"/>
      <c r="O56" s="8"/>
      <c r="P56" s="8"/>
      <c r="Q56" s="8"/>
    </row>
    <row r="57">
      <c r="A57" s="102"/>
      <c r="B57" s="35"/>
      <c r="C57" s="10"/>
      <c r="D57" s="7"/>
      <c r="E57" s="103" t="str">
        <f>IFERROR(__xludf.DUMMYFUNCTION("""COMPUTED_VALUE"""),"Олимпиадный русский язык")</f>
        <v>Олимпиадный русский язык</v>
      </c>
      <c r="F57" s="7"/>
      <c r="G57" s="11" t="str">
        <f>IFERROR(__xludf.DUMMYFUNCTION("""COMPUTED_VALUE"""),"Волейбол")</f>
        <v>Волейбол</v>
      </c>
      <c r="H57" s="7"/>
      <c r="I57" s="19" t="str">
        <f>IFERROR(__xludf.DUMMYFUNCTION("""COMPUTED_VALUE"""),"Робототехника для продолжающих")</f>
        <v>Робототехника для продолжающих</v>
      </c>
      <c r="J57" s="7"/>
      <c r="K57" s="11" t="str">
        <f>IFERROR(__xludf.DUMMYFUNCTION("""COMPUTED_VALUE"""),"Волейбол")</f>
        <v>Волейбол</v>
      </c>
      <c r="L57" s="68"/>
      <c r="M57" s="11" t="str">
        <f>IFERROR(__xludf.DUMMYFUNCTION("""COMPUTED_VALUE"""),"БАДМИНТОН")</f>
        <v>БАДМИНТОН</v>
      </c>
      <c r="N57" s="35"/>
      <c r="O57" s="8"/>
      <c r="P57" s="8"/>
      <c r="Q57" s="8"/>
    </row>
    <row r="58">
      <c r="B58" s="35"/>
      <c r="C58" s="10"/>
      <c r="D58" s="7"/>
      <c r="E58" s="103" t="str">
        <f>IFERROR(__xludf.DUMMYFUNCTION("""COMPUTED_VALUE"""),"16.00-17.30")</f>
        <v>16.00-17.30</v>
      </c>
      <c r="F58" s="7"/>
      <c r="G58" s="11" t="str">
        <f>IFERROR(__xludf.DUMMYFUNCTION("""COMPUTED_VALUE"""),"18.30-20.30")</f>
        <v>18.30-20.30</v>
      </c>
      <c r="H58" s="7"/>
      <c r="I58" s="19" t="str">
        <f>IFERROR(__xludf.DUMMYFUNCTION("""COMPUTED_VALUE"""),"15:00 - 18:00")</f>
        <v>15:00 - 18:00</v>
      </c>
      <c r="J58" s="7"/>
      <c r="K58" s="11" t="str">
        <f>IFERROR(__xludf.DUMMYFUNCTION("""COMPUTED_VALUE"""),"16.00-18.30")</f>
        <v>16.00-18.30</v>
      </c>
      <c r="L58" s="68"/>
      <c r="M58" s="11" t="str">
        <f>IFERROR(__xludf.DUMMYFUNCTION("""COMPUTED_VALUE"""),"15.00-17.00")</f>
        <v>15.00-17.00</v>
      </c>
      <c r="N58" s="35"/>
      <c r="O58" s="8"/>
      <c r="P58" s="8"/>
      <c r="Q58" s="8"/>
    </row>
    <row r="59">
      <c r="B59" s="35"/>
      <c r="C59" s="10"/>
      <c r="D59" s="7"/>
      <c r="E59" s="103" t="str">
        <f>IFERROR(__xludf.DUMMYFUNCTION("""COMPUTED_VALUE"""),"Код: 2056038")</f>
        <v>Код: 2056038</v>
      </c>
      <c r="F59" s="7"/>
      <c r="G59" s="11" t="str">
        <f>IFERROR(__xludf.DUMMYFUNCTION("""COMPUTED_VALUE"""),"Васянин С. И.")</f>
        <v>Васянин С. И.</v>
      </c>
      <c r="H59" s="7"/>
      <c r="I59" s="19" t="str">
        <f>IFERROR(__xludf.DUMMYFUNCTION("""COMPUTED_VALUE"""),"Дементьев Ю.Н.")</f>
        <v>Дементьев Ю.Н.</v>
      </c>
      <c r="J59" s="7"/>
      <c r="K59" s="11" t="str">
        <f>IFERROR(__xludf.DUMMYFUNCTION("""COMPUTED_VALUE"""),"Васянин С. И.")</f>
        <v>Васянин С. И.</v>
      </c>
      <c r="L59" s="68"/>
      <c r="M59" s="11" t="str">
        <f>IFERROR(__xludf.DUMMYFUNCTION("""COMPUTED_VALUE"""),"Седов Г. К.")</f>
        <v>Седов Г. К.</v>
      </c>
      <c r="N59" s="35"/>
      <c r="O59" s="8"/>
      <c r="P59" s="8"/>
      <c r="Q59" s="8"/>
    </row>
    <row r="60">
      <c r="B60" s="35"/>
      <c r="C60" s="10"/>
      <c r="D60" s="7"/>
      <c r="E60" s="103" t="str">
        <f>IFERROR(__xludf.DUMMYFUNCTION("""COMPUTED_VALUE"""),"Соловьева М. ")</f>
        <v>Соловьева М. </v>
      </c>
      <c r="F60" s="7"/>
      <c r="G60" s="11" t="str">
        <f>IFERROR(__xludf.DUMMYFUNCTION("""COMPUTED_VALUE"""),"Код: 2038599")</f>
        <v>Код: 2038599</v>
      </c>
      <c r="H60" s="7"/>
      <c r="I60" s="19" t="str">
        <f>IFERROR(__xludf.DUMMYFUNCTION("""COMPUTED_VALUE"""),"Код: 2030652")</f>
        <v>Код: 2030652</v>
      </c>
      <c r="J60" s="7"/>
      <c r="K60" s="11" t="str">
        <f>IFERROR(__xludf.DUMMYFUNCTION("""COMPUTED_VALUE"""),"Код: 2038599")</f>
        <v>Код: 2038599</v>
      </c>
      <c r="L60" s="68"/>
      <c r="M60" s="11" t="str">
        <f>IFERROR(__xludf.DUMMYFUNCTION("""COMPUTED_VALUE"""),"Код: 2033375")</f>
        <v>Код: 2033375</v>
      </c>
      <c r="N60" s="35"/>
      <c r="O60" s="8"/>
      <c r="P60" s="8"/>
      <c r="Q60" s="8"/>
    </row>
    <row r="61">
      <c r="B61" s="35"/>
      <c r="C61" s="10"/>
      <c r="D61" s="7"/>
      <c r="E61" s="103">
        <f>IFERROR(__xludf.DUMMYFUNCTION("""COMPUTED_VALUE"""),45.0)</f>
        <v>45</v>
      </c>
      <c r="F61" s="7"/>
      <c r="G61" s="11" t="str">
        <f>IFERROR(__xludf.DUMMYFUNCTION("""COMPUTED_VALUE"""),"большой зал")</f>
        <v>большой зал</v>
      </c>
      <c r="H61" s="7"/>
      <c r="I61" s="19">
        <f>IFERROR(__xludf.DUMMYFUNCTION("""COMPUTED_VALUE"""),312.0)</f>
        <v>312</v>
      </c>
      <c r="J61" s="7"/>
      <c r="K61" s="11" t="str">
        <f>IFERROR(__xludf.DUMMYFUNCTION("""COMPUTED_VALUE"""),"большой зал")</f>
        <v>большой зал</v>
      </c>
      <c r="L61" s="68"/>
      <c r="M61" s="11" t="str">
        <f>IFERROR(__xludf.DUMMYFUNCTION("""COMPUTED_VALUE"""),"большой зал")</f>
        <v>большой зал</v>
      </c>
      <c r="N61" s="35"/>
      <c r="O61" s="8"/>
      <c r="P61" s="8"/>
      <c r="Q61" s="8"/>
    </row>
    <row r="62" ht="11.25" customHeight="1">
      <c r="A62" s="35"/>
      <c r="B62" s="35"/>
      <c r="C62" s="12"/>
      <c r="D62" s="7"/>
      <c r="E62" s="12"/>
      <c r="F62" s="7"/>
      <c r="G62" s="12"/>
      <c r="H62" s="7"/>
      <c r="I62" s="12"/>
      <c r="J62" s="7"/>
      <c r="K62" s="12"/>
      <c r="L62" s="68"/>
      <c r="M62" s="12"/>
      <c r="N62" s="35"/>
      <c r="O62" s="8"/>
      <c r="P62" s="8"/>
      <c r="Q62" s="8"/>
    </row>
    <row r="63">
      <c r="A63" s="104" t="str">
        <f>IFERROR(__xludf.DUMMYFUNCTION("""COMPUTED_VALUE"""),"Кружки по информатике с отбором")</f>
        <v>Кружки по информатике с отбором</v>
      </c>
      <c r="B63" s="35"/>
      <c r="C63" s="8"/>
      <c r="D63" s="35"/>
      <c r="E63" s="105" t="str">
        <f>IFERROR(__xludf.DUMMYFUNCTION("""COMPUTED_VALUE"""),"IT-кружок ""Потенциал""")</f>
        <v>IT-кружок "Потенциал"</v>
      </c>
      <c r="F63" s="80"/>
      <c r="G63" s="105" t="str">
        <f>IFERROR(__xludf.DUMMYFUNCTION("""COMPUTED_VALUE"""),"IT-кружок ""Сборная Лицея""")</f>
        <v>IT-кружок "Сборная Лицея"</v>
      </c>
      <c r="H63" s="80"/>
      <c r="I63" s="105" t="str">
        <f>IFERROR(__xludf.DUMMYFUNCTION("""COMPUTED_VALUE"""),"IT-кружок ""Потенциал""")</f>
        <v>IT-кружок "Потенциал"</v>
      </c>
      <c r="J63" s="80"/>
      <c r="K63" s="105" t="str">
        <f>IFERROR(__xludf.DUMMYFUNCTION("""COMPUTED_VALUE"""),"IT-кружок ""Сборная Лицея""")</f>
        <v>IT-кружок "Сборная Лицея"</v>
      </c>
      <c r="L63" s="65"/>
      <c r="M63" s="8"/>
      <c r="N63" s="35"/>
      <c r="O63" s="8"/>
      <c r="P63" s="8"/>
      <c r="Q63" s="8"/>
    </row>
    <row r="64">
      <c r="B64" s="35"/>
      <c r="C64" s="8"/>
      <c r="D64" s="35"/>
      <c r="E64" s="105" t="str">
        <f>IFERROR(__xludf.DUMMYFUNCTION("""COMPUTED_VALUE"""),"16.00-19.00")</f>
        <v>16.00-19.00</v>
      </c>
      <c r="F64" s="80"/>
      <c r="G64" s="105" t="str">
        <f>IFERROR(__xludf.DUMMYFUNCTION("""COMPUTED_VALUE"""),"15.00-21.00")</f>
        <v>15.00-21.00</v>
      </c>
      <c r="H64" s="80"/>
      <c r="I64" s="105" t="str">
        <f>IFERROR(__xludf.DUMMYFUNCTION("""COMPUTED_VALUE"""),"16.00-19.00")</f>
        <v>16.00-19.00</v>
      </c>
      <c r="J64" s="80"/>
      <c r="K64" s="105" t="str">
        <f>IFERROR(__xludf.DUMMYFUNCTION("""COMPUTED_VALUE"""),"16.45-19.15")</f>
        <v>16.45-19.15</v>
      </c>
      <c r="L64" s="65"/>
      <c r="M64" s="8"/>
      <c r="N64" s="35"/>
      <c r="O64" s="8"/>
      <c r="P64" s="8"/>
      <c r="Q64" s="8"/>
    </row>
    <row r="65">
      <c r="B65" s="35"/>
      <c r="C65" s="8"/>
      <c r="D65" s="35"/>
      <c r="E65" s="105" t="str">
        <f>IFERROR(__xludf.DUMMYFUNCTION("""COMPUTED_VALUE"""),"Фёдоров К. Е.")</f>
        <v>Фёдоров К. Е.</v>
      </c>
      <c r="F65" s="80"/>
      <c r="G65" s="105" t="str">
        <f>IFERROR(__xludf.DUMMYFUNCTION("""COMPUTED_VALUE"""),"Фёдоров К. Е.")</f>
        <v>Фёдоров К. Е.</v>
      </c>
      <c r="H65" s="80"/>
      <c r="I65" s="105" t="str">
        <f>IFERROR(__xludf.DUMMYFUNCTION("""COMPUTED_VALUE"""),"Фёдоров К. Е.")</f>
        <v>Фёдоров К. Е.</v>
      </c>
      <c r="J65" s="80"/>
      <c r="K65" s="105" t="str">
        <f>IFERROR(__xludf.DUMMYFUNCTION("""COMPUTED_VALUE"""),"Фёдоров К. Е.")</f>
        <v>Фёдоров К. Е.</v>
      </c>
      <c r="L65" s="65"/>
      <c r="M65" s="8"/>
      <c r="N65" s="35"/>
      <c r="O65" s="8"/>
      <c r="P65" s="8"/>
      <c r="Q65" s="8"/>
    </row>
    <row r="66">
      <c r="B66" s="35"/>
      <c r="C66" s="8"/>
      <c r="D66" s="35"/>
      <c r="E66" s="105" t="str">
        <f>IFERROR(__xludf.DUMMYFUNCTION("""COMPUTED_VALUE"""),"Код: 2051997")</f>
        <v>Код: 2051997</v>
      </c>
      <c r="F66" s="80"/>
      <c r="G66" s="105" t="str">
        <f>IFERROR(__xludf.DUMMYFUNCTION("""COMPUTED_VALUE"""),"Код: 2052059")</f>
        <v>Код: 2052059</v>
      </c>
      <c r="H66" s="80"/>
      <c r="I66" s="105" t="str">
        <f>IFERROR(__xludf.DUMMYFUNCTION("""COMPUTED_VALUE"""),"Код: 2051997")</f>
        <v>Код: 2051997</v>
      </c>
      <c r="J66" s="80"/>
      <c r="K66" s="105" t="str">
        <f>IFERROR(__xludf.DUMMYFUNCTION("""COMPUTED_VALUE"""),"Код: 2052059")</f>
        <v>Код: 2052059</v>
      </c>
      <c r="L66" s="65"/>
      <c r="M66" s="8"/>
      <c r="N66" s="35"/>
      <c r="O66" s="8"/>
      <c r="P66" s="8"/>
      <c r="Q66" s="8"/>
    </row>
    <row r="67">
      <c r="B67" s="35"/>
      <c r="C67" s="8"/>
      <c r="D67" s="35"/>
      <c r="E67" s="105">
        <f>IFERROR(__xludf.DUMMYFUNCTION("""COMPUTED_VALUE"""),25.0)</f>
        <v>25</v>
      </c>
      <c r="F67" s="80"/>
      <c r="G67" s="105">
        <f>IFERROR(__xludf.DUMMYFUNCTION("""COMPUTED_VALUE"""),25.0)</f>
        <v>25</v>
      </c>
      <c r="H67" s="80"/>
      <c r="I67" s="105">
        <f>IFERROR(__xludf.DUMMYFUNCTION("""COMPUTED_VALUE"""),25.0)</f>
        <v>25</v>
      </c>
      <c r="J67" s="80"/>
      <c r="K67" s="105">
        <f>IFERROR(__xludf.DUMMYFUNCTION("""COMPUTED_VALUE"""),25.0)</f>
        <v>25</v>
      </c>
      <c r="L67" s="65"/>
      <c r="M67" s="8"/>
      <c r="N67" s="35"/>
      <c r="O67" s="8"/>
      <c r="P67" s="8"/>
      <c r="Q67" s="8"/>
    </row>
    <row r="68" ht="9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8"/>
      <c r="P68" s="8"/>
      <c r="Q68" s="8"/>
    </row>
    <row r="69">
      <c r="A69" s="8"/>
      <c r="B69" s="35"/>
      <c r="C69" s="61" t="str">
        <f>IFERROR(__xludf.DUMMYFUNCTION("""COMPUTED_VALUE"""),"Шахматы ")</f>
        <v>Шахматы </v>
      </c>
      <c r="D69" s="14"/>
      <c r="E69" s="106"/>
      <c r="F69" s="106"/>
      <c r="G69" s="106"/>
      <c r="H69" s="107"/>
      <c r="I69" s="85" t="str">
        <f>IFERROR(__xludf.DUMMYFUNCTION("""COMPUTED_VALUE"""),"Программирование для начинающих")</f>
        <v>Программирование для начинающих</v>
      </c>
      <c r="J69" s="107"/>
      <c r="K69" s="108" t="str">
        <f>IFERROR(__xludf.DUMMYFUNCTION("""COMPUTED_VALUE"""),"Консультация по информатике")</f>
        <v>Консультация по информатике</v>
      </c>
      <c r="L69" s="109"/>
      <c r="M69" s="85" t="str">
        <f>IFERROR(__xludf.DUMMYFUNCTION("""COMPUTED_VALUE"""),"Программирование для начинающих")</f>
        <v>Программирование для начинающих</v>
      </c>
      <c r="N69" s="35"/>
      <c r="O69" s="8"/>
      <c r="P69" s="8"/>
      <c r="Q69" s="8"/>
    </row>
    <row r="70">
      <c r="A70" s="8"/>
      <c r="B70" s="35"/>
      <c r="C70" s="61" t="str">
        <f>IFERROR(__xludf.DUMMYFUNCTION("""COMPUTED_VALUE"""),"15.30-17.00")</f>
        <v>15.30-17.00</v>
      </c>
      <c r="D70" s="14"/>
      <c r="E70" s="106"/>
      <c r="F70" s="106"/>
      <c r="G70" s="106"/>
      <c r="H70" s="107"/>
      <c r="I70" s="85" t="str">
        <f>IFERROR(__xludf.DUMMYFUNCTION("""COMPUTED_VALUE"""),"15.45 - 18.15")</f>
        <v>15.45 - 18.15</v>
      </c>
      <c r="J70" s="107"/>
      <c r="K70" s="108" t="str">
        <f>IFERROR(__xludf.DUMMYFUNCTION("""COMPUTED_VALUE"""),"15.00-17.00")</f>
        <v>15.00-17.00</v>
      </c>
      <c r="L70" s="109"/>
      <c r="M70" s="85" t="str">
        <f>IFERROR(__xludf.DUMMYFUNCTION("""COMPUTED_VALUE"""),"14.50 - 17.20")</f>
        <v>14.50 - 17.20</v>
      </c>
      <c r="N70" s="35"/>
      <c r="O70" s="8"/>
      <c r="P70" s="8"/>
      <c r="Q70" s="8"/>
    </row>
    <row r="71">
      <c r="A71" s="8"/>
      <c r="B71" s="35"/>
      <c r="C71" s="61" t="str">
        <f>IFERROR(__xludf.DUMMYFUNCTION("""COMPUTED_VALUE"""),"Врублевская А. О.")</f>
        <v>Врублевская А. О.</v>
      </c>
      <c r="D71" s="14"/>
      <c r="E71" s="106"/>
      <c r="F71" s="106"/>
      <c r="G71" s="106"/>
      <c r="H71" s="107"/>
      <c r="I71" s="85" t="str">
        <f>IFERROR(__xludf.DUMMYFUNCTION("""COMPUTED_VALUE"""),"Чернов В. Е.")</f>
        <v>Чернов В. Е.</v>
      </c>
      <c r="J71" s="107"/>
      <c r="K71" s="108" t="str">
        <f>IFERROR(__xludf.DUMMYFUNCTION("""COMPUTED_VALUE"""),"Морозова И. М.")</f>
        <v>Морозова И. М.</v>
      </c>
      <c r="L71" s="109"/>
      <c r="M71" s="85" t="str">
        <f>IFERROR(__xludf.DUMMYFUNCTION("""COMPUTED_VALUE"""),"Чернов В. Е.")</f>
        <v>Чернов В. Е.</v>
      </c>
      <c r="N71" s="35"/>
      <c r="O71" s="8"/>
      <c r="P71" s="8"/>
      <c r="Q71" s="8"/>
    </row>
    <row r="72">
      <c r="A72" s="8"/>
      <c r="B72" s="35"/>
      <c r="C72" s="61" t="str">
        <f>IFERROR(__xludf.DUMMYFUNCTION("""COMPUTED_VALUE"""),"Код: 2052591")</f>
        <v>Код: 2052591</v>
      </c>
      <c r="D72" s="14"/>
      <c r="E72" s="106"/>
      <c r="F72" s="106"/>
      <c r="G72" s="106"/>
      <c r="H72" s="107"/>
      <c r="I72" s="85" t="str">
        <f>IFERROR(__xludf.DUMMYFUNCTION("""COMPUTED_VALUE"""),"Код: 2052417")</f>
        <v>Код: 2052417</v>
      </c>
      <c r="J72" s="107"/>
      <c r="K72" s="108" t="str">
        <f>IFERROR(__xludf.DUMMYFUNCTION("""COMPUTED_VALUE"""),"9А, 9В, 9Г, 9Д")</f>
        <v>9А, 9В, 9Г, 9Д</v>
      </c>
      <c r="L72" s="109"/>
      <c r="M72" s="85" t="str">
        <f>IFERROR(__xludf.DUMMYFUNCTION("""COMPUTED_VALUE"""),"Код: 2052417")</f>
        <v>Код: 2052417</v>
      </c>
      <c r="N72" s="35"/>
      <c r="O72" s="8"/>
      <c r="P72" s="8"/>
      <c r="Q72" s="8"/>
    </row>
    <row r="73">
      <c r="A73" s="8"/>
      <c r="B73" s="35"/>
      <c r="C73" s="61">
        <f>IFERROR(__xludf.DUMMYFUNCTION("""COMPUTED_VALUE"""),311.0)</f>
        <v>311</v>
      </c>
      <c r="D73" s="14"/>
      <c r="E73" s="106"/>
      <c r="F73" s="106"/>
      <c r="G73" s="106"/>
      <c r="H73" s="107"/>
      <c r="I73" s="85">
        <f>IFERROR(__xludf.DUMMYFUNCTION("""COMPUTED_VALUE"""),23.0)</f>
        <v>23</v>
      </c>
      <c r="J73" s="107"/>
      <c r="K73" s="108">
        <f>IFERROR(__xludf.DUMMYFUNCTION("""COMPUTED_VALUE"""),23.0)</f>
        <v>23</v>
      </c>
      <c r="L73" s="109"/>
      <c r="M73" s="85" t="str">
        <f>IFERROR(__xludf.DUMMYFUNCTION("""COMPUTED_VALUE"""),"24, 25, 26")</f>
        <v>24, 25, 26</v>
      </c>
      <c r="N73" s="35"/>
      <c r="O73" s="8"/>
      <c r="P73" s="8"/>
      <c r="Q73" s="8"/>
    </row>
    <row r="74" ht="10.5" customHeight="1">
      <c r="A74" s="17"/>
      <c r="B74" s="17"/>
      <c r="C74" s="61"/>
      <c r="D74" s="17"/>
      <c r="E74" s="107"/>
      <c r="F74" s="107"/>
      <c r="G74" s="107"/>
      <c r="H74" s="107"/>
      <c r="I74" s="107"/>
      <c r="J74" s="107"/>
      <c r="K74" s="107"/>
      <c r="L74" s="17"/>
      <c r="M74" s="17"/>
      <c r="N74" s="17"/>
      <c r="O74" s="8"/>
      <c r="P74" s="8"/>
      <c r="Q74" s="8"/>
    </row>
    <row r="75">
      <c r="A75" s="14"/>
      <c r="B75" s="17"/>
      <c r="C75" s="110" t="str">
        <f>IFERROR(__xludf.DUMMYFUNCTION("""COMPUTED_VALUE"""),"Экология. Экологические проекты")</f>
        <v>Экология. Экологические проекты</v>
      </c>
      <c r="D75" s="35"/>
      <c r="E75" s="110" t="str">
        <f>IFERROR(__xludf.DUMMYFUNCTION("""COMPUTED_VALUE"""),"Экология. Экологические проекты")</f>
        <v>Экология. Экологические проекты</v>
      </c>
      <c r="F75" s="35"/>
      <c r="G75" s="110" t="str">
        <f>IFERROR(__xludf.DUMMYFUNCTION("""COMPUTED_VALUE"""),"Экология. Экологические проекты")</f>
        <v>Экология. Экологические проекты</v>
      </c>
      <c r="H75" s="35"/>
      <c r="I75" s="110" t="str">
        <f>IFERROR(__xludf.DUMMYFUNCTION("""COMPUTED_VALUE"""),"Экология. Экологические проекты")</f>
        <v>Экология. Экологические проекты</v>
      </c>
      <c r="J75" s="35"/>
      <c r="K75" s="110" t="str">
        <f>IFERROR(__xludf.DUMMYFUNCTION("""COMPUTED_VALUE"""),"Экология. Экологические проекты")</f>
        <v>Экология. Экологические проекты</v>
      </c>
      <c r="L75" s="65"/>
      <c r="M75" s="110" t="str">
        <f>IFERROR(__xludf.DUMMYFUNCTION("""COMPUTED_VALUE"""),"Экологические проекты")</f>
        <v>Экологические проекты</v>
      </c>
      <c r="N75" s="17"/>
      <c r="O75" s="8"/>
      <c r="P75" s="8"/>
      <c r="Q75" s="8"/>
    </row>
    <row r="76">
      <c r="A76" s="14"/>
      <c r="B76" s="17"/>
      <c r="C76" s="110" t="str">
        <f>IFERROR(__xludf.DUMMYFUNCTION("""COMPUTED_VALUE"""),"19.00-20.30")</f>
        <v>19.00-20.30</v>
      </c>
      <c r="D76" s="35"/>
      <c r="E76" s="110" t="str">
        <f>IFERROR(__xludf.DUMMYFUNCTION("""COMPUTED_VALUE"""),"19.00-20.30")</f>
        <v>19.00-20.30</v>
      </c>
      <c r="F76" s="35"/>
      <c r="G76" s="110" t="str">
        <f>IFERROR(__xludf.DUMMYFUNCTION("""COMPUTED_VALUE"""),"19.00-20.30")</f>
        <v>19.00-20.30</v>
      </c>
      <c r="H76" s="35"/>
      <c r="I76" s="110" t="str">
        <f>IFERROR(__xludf.DUMMYFUNCTION("""COMPUTED_VALUE"""),"19.00-20.30")</f>
        <v>19.00-20.30</v>
      </c>
      <c r="J76" s="35"/>
      <c r="K76" s="110" t="str">
        <f>IFERROR(__xludf.DUMMYFUNCTION("""COMPUTED_VALUE"""),"19.00-20.30")</f>
        <v>19.00-20.30</v>
      </c>
      <c r="L76" s="65"/>
      <c r="M76" s="110" t="str">
        <f>IFERROR(__xludf.DUMMYFUNCTION("""COMPUTED_VALUE"""),"19.00-20.30")</f>
        <v>19.00-20.30</v>
      </c>
      <c r="N76" s="17"/>
      <c r="O76" s="8"/>
      <c r="P76" s="8"/>
      <c r="Q76" s="8"/>
    </row>
    <row r="77">
      <c r="A77" s="14"/>
      <c r="B77" s="17"/>
      <c r="C77" s="110" t="str">
        <f>IFERROR(__xludf.DUMMYFUNCTION("""COMPUTED_VALUE"""),"Пономарева Н. Л.")</f>
        <v>Пономарева Н. Л.</v>
      </c>
      <c r="D77" s="35"/>
      <c r="E77" s="110" t="str">
        <f>IFERROR(__xludf.DUMMYFUNCTION("""COMPUTED_VALUE"""),"Пономарева Н. Л.")</f>
        <v>Пономарева Н. Л.</v>
      </c>
      <c r="F77" s="35"/>
      <c r="G77" s="110" t="str">
        <f>IFERROR(__xludf.DUMMYFUNCTION("""COMPUTED_VALUE"""),"Пономарева Н. Л.")</f>
        <v>Пономарева Н. Л.</v>
      </c>
      <c r="H77" s="35"/>
      <c r="I77" s="110" t="str">
        <f>IFERROR(__xludf.DUMMYFUNCTION("""COMPUTED_VALUE"""),"Пономарева Н. Л.")</f>
        <v>Пономарева Н. Л.</v>
      </c>
      <c r="J77" s="35"/>
      <c r="K77" s="110" t="str">
        <f>IFERROR(__xludf.DUMMYFUNCTION("""COMPUTED_VALUE"""),"Пономарева Н. Л.")</f>
        <v>Пономарева Н. Л.</v>
      </c>
      <c r="L77" s="65"/>
      <c r="M77" s="110" t="str">
        <f>IFERROR(__xludf.DUMMYFUNCTION("""COMPUTED_VALUE"""),"Пономарева Н. Л.")</f>
        <v>Пономарева Н. Л.</v>
      </c>
      <c r="N77" s="17"/>
      <c r="O77" s="8"/>
      <c r="P77" s="8"/>
      <c r="Q77" s="8"/>
    </row>
    <row r="78">
      <c r="A78" s="14"/>
      <c r="B78" s="17"/>
      <c r="C78" s="110" t="str">
        <f>IFERROR(__xludf.DUMMYFUNCTION("""COMPUTED_VALUE"""),"Код: 2043039
2043093")</f>
        <v>Код: 2043039
2043093</v>
      </c>
      <c r="D78" s="35"/>
      <c r="E78" s="110" t="str">
        <f>IFERROR(__xludf.DUMMYFUNCTION("""COMPUTED_VALUE"""),"Код: 2043039
2043093")</f>
        <v>Код: 2043039
2043093</v>
      </c>
      <c r="F78" s="35"/>
      <c r="G78" s="110" t="str">
        <f>IFERROR(__xludf.DUMMYFUNCTION("""COMPUTED_VALUE"""),"Код: 2043039
2043093")</f>
        <v>Код: 2043039
2043093</v>
      </c>
      <c r="H78" s="35"/>
      <c r="I78" s="110" t="str">
        <f>IFERROR(__xludf.DUMMYFUNCTION("""COMPUTED_VALUE"""),"Код: 2043039
2043093")</f>
        <v>Код: 2043039
2043093</v>
      </c>
      <c r="J78" s="35"/>
      <c r="K78" s="110" t="str">
        <f>IFERROR(__xludf.DUMMYFUNCTION("""COMPUTED_VALUE"""),"Код: 2043039
2043093")</f>
        <v>Код: 2043039
2043093</v>
      </c>
      <c r="L78" s="65"/>
      <c r="M78" s="110" t="str">
        <f>IFERROR(__xludf.DUMMYFUNCTION("""COMPUTED_VALUE"""),"Код: 2043039
2043093")</f>
        <v>Код: 2043039
2043093</v>
      </c>
      <c r="N78" s="17"/>
      <c r="O78" s="8"/>
      <c r="P78" s="8"/>
      <c r="Q78" s="8"/>
    </row>
    <row r="79">
      <c r="A79" s="14"/>
      <c r="B79" s="17"/>
      <c r="C79" s="110" t="str">
        <f>IFERROR(__xludf.DUMMYFUNCTION("""COMPUTED_VALUE"""),"онлайн")</f>
        <v>онлайн</v>
      </c>
      <c r="D79" s="35"/>
      <c r="E79" s="110" t="str">
        <f>IFERROR(__xludf.DUMMYFUNCTION("""COMPUTED_VALUE"""),"онлайн")</f>
        <v>онлайн</v>
      </c>
      <c r="F79" s="35"/>
      <c r="G79" s="110" t="str">
        <f>IFERROR(__xludf.DUMMYFUNCTION("""COMPUTED_VALUE"""),"онлайн")</f>
        <v>онлайн</v>
      </c>
      <c r="H79" s="35"/>
      <c r="I79" s="110" t="str">
        <f>IFERROR(__xludf.DUMMYFUNCTION("""COMPUTED_VALUE"""),"онлайн")</f>
        <v>онлайн</v>
      </c>
      <c r="J79" s="35"/>
      <c r="K79" s="110" t="str">
        <f>IFERROR(__xludf.DUMMYFUNCTION("""COMPUTED_VALUE"""),"онлайн")</f>
        <v>онлайн</v>
      </c>
      <c r="L79" s="65"/>
      <c r="M79" s="110" t="str">
        <f>IFERROR(__xludf.DUMMYFUNCTION("""COMPUTED_VALUE"""),"онлайн")</f>
        <v>онлайн</v>
      </c>
      <c r="N79" s="17"/>
      <c r="O79" s="8"/>
      <c r="P79" s="8"/>
      <c r="Q79" s="8"/>
    </row>
    <row r="80" ht="9.75" customHeight="1">
      <c r="A80" s="65"/>
      <c r="B80" s="6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8"/>
      <c r="P80" s="8"/>
      <c r="Q80" s="8"/>
    </row>
    <row r="81">
      <c r="A81" s="39"/>
      <c r="B81" s="39"/>
      <c r="C81" s="81"/>
      <c r="D81" s="80"/>
      <c r="E81" s="92" t="str">
        <f>IFERROR(__xludf.DUMMYFUNCTION("""COMPUTED_VALUE"""),"Футбол")</f>
        <v>Футбол</v>
      </c>
      <c r="F81" s="111"/>
      <c r="G81" s="92" t="str">
        <f>IFERROR(__xludf.DUMMYFUNCTION("""COMPUTED_VALUE"""),"
Волейбол ")</f>
        <v>
Волейбол </v>
      </c>
      <c r="H81" s="111"/>
      <c r="I81" s="92" t="str">
        <f>IFERROR(__xludf.DUMMYFUNCTION("""COMPUTED_VALUE"""),"Волейбол ")</f>
        <v>Волейбол </v>
      </c>
      <c r="J81" s="111"/>
      <c r="K81" s="92" t="str">
        <f>IFERROR(__xludf.DUMMYFUNCTION("""COMPUTED_VALUE"""),"Баскетбол")</f>
        <v>Баскетбол</v>
      </c>
      <c r="L81" s="65"/>
      <c r="M81" s="87" t="str">
        <f>IFERROR(__xludf.DUMMYFUNCTION("""COMPUTED_VALUE"""),"Базовое программирование ")</f>
        <v>Базовое программирование </v>
      </c>
      <c r="N81" s="35"/>
      <c r="O81" s="8"/>
      <c r="P81" s="8"/>
      <c r="Q81" s="8"/>
    </row>
    <row r="82">
      <c r="A82" s="112"/>
      <c r="B82" s="112"/>
      <c r="C82" s="81"/>
      <c r="D82" s="80"/>
      <c r="E82" s="92" t="str">
        <f>IFERROR(__xludf.DUMMYFUNCTION("""COMPUTED_VALUE"""),"15.45-17.15")</f>
        <v>15.45-17.15</v>
      </c>
      <c r="F82" s="111"/>
      <c r="G82" s="92" t="str">
        <f>IFERROR(__xludf.DUMMYFUNCTION("""COMPUTED_VALUE"""),"15-17.30 девочки,15.45-17.30 мальчики")</f>
        <v>15-17.30 девочки,15.45-17.30 мальчики</v>
      </c>
      <c r="H82" s="111"/>
      <c r="I82" s="92" t="str">
        <f>IFERROR(__xludf.DUMMYFUNCTION("""COMPUTED_VALUE"""),"15.00-16.30")</f>
        <v>15.00-16.30</v>
      </c>
      <c r="J82" s="111"/>
      <c r="K82" s="92" t="str">
        <f>IFERROR(__xludf.DUMMYFUNCTION("""COMPUTED_VALUE"""),"16.00-19.00")</f>
        <v>16.00-19.00</v>
      </c>
      <c r="L82" s="65"/>
      <c r="M82" s="87" t="str">
        <f>IFERROR(__xludf.DUMMYFUNCTION("""COMPUTED_VALUE"""),"15.00-17.30")</f>
        <v>15.00-17.30</v>
      </c>
      <c r="N82" s="58"/>
      <c r="O82" s="5"/>
      <c r="P82" s="5"/>
      <c r="Q82" s="5"/>
    </row>
    <row r="83">
      <c r="A83" s="112"/>
      <c r="B83" s="112"/>
      <c r="C83" s="81"/>
      <c r="D83" s="80"/>
      <c r="E83" s="92" t="str">
        <f>IFERROR(__xludf.DUMMYFUNCTION("""COMPUTED_VALUE"""),"Миронов Е. В.")</f>
        <v>Миронов Е. В.</v>
      </c>
      <c r="F83" s="111"/>
      <c r="G83" s="92" t="str">
        <f>IFERROR(__xludf.DUMMYFUNCTION("""COMPUTED_VALUE"""),"Заричный А. А., Миронов Е. В.")</f>
        <v>Заричный А. А., Миронов Е. В.</v>
      </c>
      <c r="H83" s="111"/>
      <c r="I83" s="92" t="str">
        <f>IFERROR(__xludf.DUMMYFUNCTION("""COMPUTED_VALUE"""),"Меджалоглу С. С., Заричный А. А.")</f>
        <v>Меджалоглу С. С., Заричный А. А.</v>
      </c>
      <c r="J83" s="111"/>
      <c r="K83" s="92" t="str">
        <f>IFERROR(__xludf.DUMMYFUNCTION("""COMPUTED_VALUE"""),"Забавкина М. А.")</f>
        <v>Забавкина М. А.</v>
      </c>
      <c r="L83" s="65"/>
      <c r="M83" s="87" t="str">
        <f>IFERROR(__xludf.DUMMYFUNCTION("""COMPUTED_VALUE"""),"Степашин Е. А.")</f>
        <v>Степашин Е. А.</v>
      </c>
      <c r="N83" s="58"/>
      <c r="O83" s="5"/>
      <c r="P83" s="5"/>
      <c r="Q83" s="5"/>
    </row>
    <row r="84">
      <c r="A84" s="112"/>
      <c r="B84" s="112"/>
      <c r="C84" s="81"/>
      <c r="D84" s="80"/>
      <c r="E84" s="92" t="str">
        <f>IFERROR(__xludf.DUMMYFUNCTION("""COMPUTED_VALUE"""),"Код: 2039215")</f>
        <v>Код: 2039215</v>
      </c>
      <c r="F84" s="111"/>
      <c r="G84" s="92" t="str">
        <f>IFERROR(__xludf.DUMMYFUNCTION("""COMPUTED_VALUE"""),"Код: 2038776")</f>
        <v>Код: 2038776</v>
      </c>
      <c r="H84" s="111"/>
      <c r="I84" s="92" t="str">
        <f>IFERROR(__xludf.DUMMYFUNCTION("""COMPUTED_VALUE"""),"Код: 2038776")</f>
        <v>Код: 2038776</v>
      </c>
      <c r="J84" s="111"/>
      <c r="K84" s="92" t="str">
        <f>IFERROR(__xludf.DUMMYFUNCTION("""COMPUTED_VALUE"""),"Код: 2037759")</f>
        <v>Код: 2037759</v>
      </c>
      <c r="L84" s="65"/>
      <c r="M84" s="87" t="str">
        <f>IFERROR(__xludf.DUMMYFUNCTION("""COMPUTED_VALUE"""),"Код: 2054892")</f>
        <v>Код: 2054892</v>
      </c>
      <c r="N84" s="58"/>
      <c r="O84" s="5"/>
      <c r="P84" s="5"/>
      <c r="Q84" s="5"/>
    </row>
    <row r="85">
      <c r="A85" s="112"/>
      <c r="B85" s="112"/>
      <c r="C85" s="81"/>
      <c r="D85" s="80"/>
      <c r="E85" s="92" t="str">
        <f>IFERROR(__xludf.DUMMYFUNCTION("""COMPUTED_VALUE"""),"большой зал")</f>
        <v>большой зал</v>
      </c>
      <c r="F85" s="111"/>
      <c r="G85" s="92" t="str">
        <f>IFERROR(__xludf.DUMMYFUNCTION("""COMPUTED_VALUE"""),"большой зал")</f>
        <v>большой зал</v>
      </c>
      <c r="H85" s="111"/>
      <c r="I85" s="92" t="str">
        <f>IFERROR(__xludf.DUMMYFUNCTION("""COMPUTED_VALUE"""),"малый зал")</f>
        <v>малый зал</v>
      </c>
      <c r="J85" s="111"/>
      <c r="K85" s="92" t="str">
        <f>IFERROR(__xludf.DUMMYFUNCTION("""COMPUTED_VALUE"""),"малый зал")</f>
        <v>малый зал</v>
      </c>
      <c r="L85" s="65"/>
      <c r="M85" s="87" t="str">
        <f>IFERROR(__xludf.DUMMYFUNCTION("""COMPUTED_VALUE"""),"24 ,25, 26")</f>
        <v>24 ,25, 26</v>
      </c>
      <c r="N85" s="58"/>
      <c r="O85" s="5"/>
      <c r="P85" s="5"/>
      <c r="Q85" s="5"/>
    </row>
    <row r="86" ht="11.2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"/>
      <c r="P86" s="5"/>
      <c r="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</sheetData>
  <mergeCells count="3">
    <mergeCell ref="A3:A13"/>
    <mergeCell ref="A57:A61"/>
    <mergeCell ref="A63:A67"/>
  </mergeCells>
  <hyperlinks>
    <hyperlink r:id="rId1" ref="E27"/>
    <hyperlink r:id="rId2" ref="K27"/>
    <hyperlink r:id="rId3" ref="G39"/>
    <hyperlink r:id="rId4" ref="I39"/>
    <hyperlink r:id="rId5" ref="M39"/>
    <hyperlink r:id="rId6" ref="I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3.5"/>
    <col customWidth="1" min="4" max="4" width="2.38"/>
    <col customWidth="1" min="5" max="5" width="37.75"/>
    <col customWidth="1" min="6" max="6" width="2.0"/>
    <col customWidth="1" min="7" max="7" width="35.25"/>
    <col customWidth="1" min="8" max="8" width="2.38"/>
    <col customWidth="1" min="9" max="9" width="36.0"/>
    <col customWidth="1" min="10" max="10" width="2.25"/>
    <col customWidth="1" min="11" max="11" width="36.38"/>
    <col customWidth="1" min="12" max="12" width="2.13"/>
    <col customWidth="1" min="13" max="13" width="36.8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</row>
    <row r="2">
      <c r="A2" s="6" t="str">
        <f>IFERROR(__xludf.DUMMYFUNCTION("IMPORTRANGE(""https://docs.google.com/spreadsheets/d/1RktLaT5GiT1q9_lejLsOtigGXC6_6STQuI7nfprWzdM/edit#gid=0"",""расписание кружков!a305:n382"")"),"10 класс")</f>
        <v>10 класс</v>
      </c>
      <c r="B2" s="6"/>
      <c r="C2" s="6" t="str">
        <f>IFERROR(__xludf.DUMMYFUNCTION("""COMPUTED_VALUE"""),"10 класс")</f>
        <v>10 класс</v>
      </c>
      <c r="D2" s="6"/>
      <c r="E2" s="6" t="str">
        <f>IFERROR(__xludf.DUMMYFUNCTION("""COMPUTED_VALUE"""),"10 класс")</f>
        <v>10 класс</v>
      </c>
      <c r="F2" s="7"/>
      <c r="G2" s="6" t="str">
        <f>IFERROR(__xludf.DUMMYFUNCTION("""COMPUTED_VALUE"""),"10 класс")</f>
        <v>10 класс</v>
      </c>
      <c r="H2" s="6"/>
      <c r="I2" s="6" t="str">
        <f>IFERROR(__xludf.DUMMYFUNCTION("""COMPUTED_VALUE"""),"10 класс")</f>
        <v>10 класс</v>
      </c>
      <c r="J2" s="6"/>
      <c r="K2" s="6" t="str">
        <f>IFERROR(__xludf.DUMMYFUNCTION("""COMPUTED_VALUE"""),"10 класс")</f>
        <v>10 класс</v>
      </c>
      <c r="L2" s="6"/>
      <c r="M2" s="6" t="str">
        <f>IFERROR(__xludf.DUMMYFUNCTION("""COMPUTED_VALUE"""),"10 класс")</f>
        <v>10 класс</v>
      </c>
      <c r="N2" s="6"/>
      <c r="O2" s="8"/>
      <c r="P2" s="8"/>
    </row>
    <row r="3">
      <c r="A3" s="7" t="str">
        <f>IFERROR(__xludf.DUMMYFUNCTION("""COMPUTED_VALUE"""),"УТРО")</f>
        <v>УТРО</v>
      </c>
      <c r="B3" s="7"/>
      <c r="C3" s="14"/>
      <c r="D3" s="14"/>
      <c r="E3" s="14"/>
      <c r="F3" s="17"/>
      <c r="G3" s="56" t="str">
        <f>IFERROR(__xludf.DUMMYFUNCTION("""COMPUTED_VALUE"""),"Консультация по математике")</f>
        <v>Консультация по математике</v>
      </c>
      <c r="H3" s="14"/>
      <c r="I3" s="14"/>
      <c r="J3" s="14"/>
      <c r="K3" s="14"/>
      <c r="L3" s="14"/>
      <c r="M3" s="14"/>
      <c r="N3" s="7"/>
      <c r="O3" s="8"/>
      <c r="P3" s="8"/>
    </row>
    <row r="4">
      <c r="B4" s="7"/>
      <c r="C4" s="14"/>
      <c r="D4" s="14"/>
      <c r="E4" s="14"/>
      <c r="F4" s="17"/>
      <c r="G4" s="56" t="str">
        <f>IFERROR(__xludf.DUMMYFUNCTION("""COMPUTED_VALUE"""),"07.45-08.45")</f>
        <v>07.45-08.45</v>
      </c>
      <c r="H4" s="14"/>
      <c r="I4" s="14"/>
      <c r="J4" s="14"/>
      <c r="K4" s="14"/>
      <c r="L4" s="14"/>
      <c r="M4" s="14"/>
      <c r="N4" s="7"/>
      <c r="O4" s="8"/>
      <c r="P4" s="8"/>
    </row>
    <row r="5">
      <c r="B5" s="7"/>
      <c r="C5" s="14"/>
      <c r="D5" s="14"/>
      <c r="E5" s="14"/>
      <c r="F5" s="17"/>
      <c r="G5" s="56" t="str">
        <f>IFERROR(__xludf.DUMMYFUNCTION("""COMPUTED_VALUE"""),"Космакова М. В.")</f>
        <v>Космакова М. В.</v>
      </c>
      <c r="H5" s="14"/>
      <c r="I5" s="14"/>
      <c r="J5" s="14"/>
      <c r="K5" s="14"/>
      <c r="L5" s="14"/>
      <c r="M5" s="14"/>
      <c r="N5" s="7"/>
      <c r="O5" s="8"/>
      <c r="P5" s="8"/>
    </row>
    <row r="6">
      <c r="B6" s="7"/>
      <c r="C6" s="14"/>
      <c r="D6" s="14"/>
      <c r="E6" s="14"/>
      <c r="F6" s="17"/>
      <c r="G6" s="56" t="str">
        <f>IFERROR(__xludf.DUMMYFUNCTION("""COMPUTED_VALUE"""),"10А")</f>
        <v>10А</v>
      </c>
      <c r="H6" s="14"/>
      <c r="I6" s="14"/>
      <c r="J6" s="14"/>
      <c r="K6" s="14"/>
      <c r="L6" s="14"/>
      <c r="M6" s="14"/>
      <c r="N6" s="7"/>
      <c r="O6" s="8"/>
      <c r="P6" s="8"/>
    </row>
    <row r="7">
      <c r="B7" s="7"/>
      <c r="C7" s="14"/>
      <c r="D7" s="14"/>
      <c r="E7" s="14"/>
      <c r="F7" s="17"/>
      <c r="G7" s="56">
        <f>IFERROR(__xludf.DUMMYFUNCTION("""COMPUTED_VALUE"""),34.0)</f>
        <v>34</v>
      </c>
      <c r="H7" s="14"/>
      <c r="I7" s="14"/>
      <c r="J7" s="14"/>
      <c r="K7" s="14"/>
      <c r="L7" s="14"/>
      <c r="M7" s="14"/>
      <c r="N7" s="7"/>
      <c r="O7" s="8"/>
      <c r="P7" s="8"/>
    </row>
    <row r="8">
      <c r="A8" s="7"/>
      <c r="B8" s="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7"/>
      <c r="O8" s="8"/>
      <c r="P8" s="8"/>
    </row>
    <row r="9">
      <c r="A9" s="10"/>
      <c r="B9" s="7"/>
      <c r="C9" s="10"/>
      <c r="D9" s="7"/>
      <c r="E9" s="42" t="str">
        <f>IFERROR(__xludf.DUMMYFUNCTION("""COMPUTED_VALUE"""),"Олимпиадная физика
 для нефизического профиля")</f>
        <v>Олимпиадная физика
 для нефизического профиля</v>
      </c>
      <c r="F9" s="7"/>
      <c r="G9" s="41" t="str">
        <f>IFERROR(__xludf.DUMMYFUNCTION("""COMPUTED_VALUE"""),"Скорая физическая помощь")</f>
        <v>Скорая физическая помощь</v>
      </c>
      <c r="H9" s="7"/>
      <c r="I9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9" s="7"/>
      <c r="K9" s="19" t="str">
        <f>IFERROR(__xludf.DUMMYFUNCTION("""COMPUTED_VALUE"""),"Подготовка проектов к ВсОШ и конкурсам")</f>
        <v>Подготовка проектов к ВсОШ и конкурсам</v>
      </c>
      <c r="L9" s="7"/>
      <c r="M9" s="10"/>
      <c r="N9" s="7"/>
      <c r="O9" s="8"/>
      <c r="P9" s="8"/>
    </row>
    <row r="10">
      <c r="A10" s="10"/>
      <c r="B10" s="7"/>
      <c r="C10" s="10"/>
      <c r="D10" s="7"/>
      <c r="E10" s="42" t="str">
        <f>IFERROR(__xludf.DUMMYFUNCTION("""COMPUTED_VALUE"""),"15.45 - 17.45")</f>
        <v>15.45 - 17.45</v>
      </c>
      <c r="F10" s="7"/>
      <c r="G10" s="41" t="str">
        <f>IFERROR(__xludf.DUMMYFUNCTION("""COMPUTED_VALUE"""),"15.45 - 17.45")</f>
        <v>15.45 - 17.45</v>
      </c>
      <c r="H10" s="7"/>
      <c r="I10" s="19" t="str">
        <f>IFERROR(__xludf.DUMMYFUNCTION("""COMPUTED_VALUE"""),"15:00 - 17:00")</f>
        <v>15:00 - 17:00</v>
      </c>
      <c r="J10" s="7"/>
      <c r="K10" s="19" t="str">
        <f>IFERROR(__xludf.DUMMYFUNCTION("""COMPUTED_VALUE"""),"15.00 - 18.00")</f>
        <v>15.00 - 18.00</v>
      </c>
      <c r="L10" s="7"/>
      <c r="M10" s="10"/>
      <c r="N10" s="7"/>
      <c r="O10" s="8"/>
      <c r="P10" s="8"/>
    </row>
    <row r="11">
      <c r="A11" s="10"/>
      <c r="B11" s="7"/>
      <c r="C11" s="10"/>
      <c r="D11" s="7"/>
      <c r="E11" s="42" t="str">
        <f>IFERROR(__xludf.DUMMYFUNCTION("""COMPUTED_VALUE"""),"Гук Н.Д.")</f>
        <v>Гук Н.Д.</v>
      </c>
      <c r="F11" s="7"/>
      <c r="G11" s="41" t="str">
        <f>IFERROR(__xludf.DUMMYFUNCTION("""COMPUTED_VALUE"""),"Гук Н.Д.")</f>
        <v>Гук Н.Д.</v>
      </c>
      <c r="H11" s="7"/>
      <c r="I11" s="19" t="str">
        <f>IFERROR(__xludf.DUMMYFUNCTION("""COMPUTED_VALUE"""),"Струговщиков В.В.")</f>
        <v>Струговщиков В.В.</v>
      </c>
      <c r="J11" s="7"/>
      <c r="K11" s="19" t="str">
        <f>IFERROR(__xludf.DUMMYFUNCTION("""COMPUTED_VALUE"""),"Дементьев Ю.Н.")</f>
        <v>Дементьев Ю.Н.</v>
      </c>
      <c r="L11" s="7"/>
      <c r="M11" s="10"/>
      <c r="N11" s="7"/>
      <c r="O11" s="8"/>
      <c r="P11" s="8"/>
    </row>
    <row r="12">
      <c r="A12" s="10"/>
      <c r="B12" s="7"/>
      <c r="C12" s="10"/>
      <c r="D12" s="7"/>
      <c r="E12" s="42" t="str">
        <f>IFERROR(__xludf.DUMMYFUNCTION("""COMPUTED_VALUE"""),"Код: 2033088")</f>
        <v>Код: 2033088</v>
      </c>
      <c r="F12" s="7"/>
      <c r="G12" s="41" t="str">
        <f>IFERROR(__xludf.DUMMYFUNCTION("""COMPUTED_VALUE"""),"Код: 2033029")</f>
        <v>Код: 2033029</v>
      </c>
      <c r="H12" s="7"/>
      <c r="I12" s="19" t="str">
        <f>IFERROR(__xludf.DUMMYFUNCTION("""COMPUTED_VALUE"""),"Код: 2031075")</f>
        <v>Код: 2031075</v>
      </c>
      <c r="J12" s="7"/>
      <c r="K12" s="19" t="str">
        <f>IFERROR(__xludf.DUMMYFUNCTION("""COMPUTED_VALUE"""),"Код: 2031020")</f>
        <v>Код: 2031020</v>
      </c>
      <c r="L12" s="7"/>
      <c r="M12" s="10"/>
      <c r="N12" s="7"/>
      <c r="O12" s="8"/>
      <c r="P12" s="8"/>
    </row>
    <row r="13">
      <c r="A13" s="10"/>
      <c r="B13" s="7"/>
      <c r="C13" s="10"/>
      <c r="D13" s="7"/>
      <c r="E13" s="42">
        <f>IFERROR(__xludf.DUMMYFUNCTION("""COMPUTED_VALUE"""),413.0)</f>
        <v>413</v>
      </c>
      <c r="F13" s="7"/>
      <c r="G13" s="41">
        <f>IFERROR(__xludf.DUMMYFUNCTION("""COMPUTED_VALUE"""),414.0)</f>
        <v>414</v>
      </c>
      <c r="H13" s="7"/>
      <c r="I13" s="19">
        <f>IFERROR(__xludf.DUMMYFUNCTION("""COMPUTED_VALUE"""),312.0)</f>
        <v>312</v>
      </c>
      <c r="J13" s="7"/>
      <c r="K13" s="19">
        <f>IFERROR(__xludf.DUMMYFUNCTION("""COMPUTED_VALUE"""),312.0)</f>
        <v>312</v>
      </c>
      <c r="L13" s="7"/>
      <c r="M13" s="10"/>
      <c r="N13" s="7"/>
      <c r="O13" s="8"/>
      <c r="P13" s="8"/>
    </row>
    <row r="14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</row>
    <row r="15" ht="33.75" customHeight="1">
      <c r="A15" s="10"/>
      <c r="B15" s="7"/>
      <c r="C15" s="10"/>
      <c r="D15" s="7"/>
      <c r="E15" s="50" t="str">
        <f>IFERROR(__xludf.DUMMYFUNCTION("""COMPUTED_VALUE"""),"Олимпиадная астрономия")</f>
        <v>Олимпиадная астрономия</v>
      </c>
      <c r="F15" s="7"/>
      <c r="G15" s="74" t="str">
        <f>IFERROR(__xludf.DUMMYFUNCTION("""COMPUTED_VALUE"""),"Олимпиадная экономика")</f>
        <v>Олимпиадная экономика</v>
      </c>
      <c r="H15" s="7"/>
      <c r="I15" s="10"/>
      <c r="J15" s="7"/>
      <c r="K15" s="113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15" s="7"/>
      <c r="M15" s="10"/>
      <c r="N15" s="7"/>
      <c r="O15" s="8"/>
      <c r="P15" s="8"/>
    </row>
    <row r="16">
      <c r="A16" s="10"/>
      <c r="B16" s="7"/>
      <c r="C16" s="10"/>
      <c r="D16" s="7"/>
      <c r="E16" s="50" t="str">
        <f>IFERROR(__xludf.DUMMYFUNCTION("""COMPUTED_VALUE"""),"16.00 - 18.00")</f>
        <v>16.00 - 18.00</v>
      </c>
      <c r="F16" s="7"/>
      <c r="G16" s="74" t="str">
        <f>IFERROR(__xludf.DUMMYFUNCTION("""COMPUTED_VALUE"""),"15.45-17.30")</f>
        <v>15.45-17.30</v>
      </c>
      <c r="H16" s="7"/>
      <c r="I16" s="10"/>
      <c r="J16" s="7"/>
      <c r="K16" s="114" t="str">
        <f>IFERROR(__xludf.DUMMYFUNCTION("""COMPUTED_VALUE"""),"15:00 - 17:00")</f>
        <v>15:00 - 17:00</v>
      </c>
      <c r="L16" s="7"/>
      <c r="M16" s="10"/>
      <c r="N16" s="7"/>
      <c r="O16" s="8"/>
      <c r="P16" s="8"/>
    </row>
    <row r="17">
      <c r="A17" s="10"/>
      <c r="B17" s="7"/>
      <c r="C17" s="10"/>
      <c r="D17" s="7"/>
      <c r="E17" s="50" t="str">
        <f>IFERROR(__xludf.DUMMYFUNCTION("""COMPUTED_VALUE"""),"Безбородова И.Н.")</f>
        <v>Безбородова И.Н.</v>
      </c>
      <c r="F17" s="7"/>
      <c r="G17" s="74" t="str">
        <f>IFERROR(__xludf.DUMMYFUNCTION("""COMPUTED_VALUE"""),"Белёв С. Г.")</f>
        <v>Белёв С. Г.</v>
      </c>
      <c r="H17" s="7"/>
      <c r="I17" s="10"/>
      <c r="J17" s="7"/>
      <c r="K17" s="114" t="str">
        <f>IFERROR(__xludf.DUMMYFUNCTION("""COMPUTED_VALUE"""),"Струговщиков В.В.")</f>
        <v>Струговщиков В.В.</v>
      </c>
      <c r="L17" s="7"/>
      <c r="M17" s="10"/>
      <c r="N17" s="7"/>
      <c r="O17" s="8"/>
      <c r="P17" s="8"/>
    </row>
    <row r="18">
      <c r="A18" s="10"/>
      <c r="B18" s="7"/>
      <c r="C18" s="10"/>
      <c r="D18" s="7"/>
      <c r="E18" s="50" t="str">
        <f>IFERROR(__xludf.DUMMYFUNCTION("""COMPUTED_VALUE"""),".")</f>
        <v>.</v>
      </c>
      <c r="F18" s="7"/>
      <c r="G18" s="74" t="str">
        <f>IFERROR(__xludf.DUMMYFUNCTION("""COMPUTED_VALUE"""),"Код: ")</f>
        <v>Код: </v>
      </c>
      <c r="H18" s="7"/>
      <c r="I18" s="10"/>
      <c r="J18" s="7"/>
      <c r="K18" s="114" t="str">
        <f>IFERROR(__xludf.DUMMYFUNCTION("""COMPUTED_VALUE"""),"Код: 2031075")</f>
        <v>Код: 2031075</v>
      </c>
      <c r="L18" s="7"/>
      <c r="M18" s="10"/>
      <c r="N18" s="7"/>
      <c r="O18" s="8"/>
      <c r="P18" s="8"/>
    </row>
    <row r="19">
      <c r="A19" s="10"/>
      <c r="B19" s="7"/>
      <c r="C19" s="10"/>
      <c r="D19" s="7"/>
      <c r="E19" s="50">
        <f>IFERROR(__xludf.DUMMYFUNCTION("""COMPUTED_VALUE"""),415.0)</f>
        <v>415</v>
      </c>
      <c r="F19" s="7"/>
      <c r="G19" s="74">
        <f>IFERROR(__xludf.DUMMYFUNCTION("""COMPUTED_VALUE"""),310.0)</f>
        <v>310</v>
      </c>
      <c r="H19" s="7"/>
      <c r="I19" s="10"/>
      <c r="J19" s="7"/>
      <c r="K19" s="114">
        <f>IFERROR(__xludf.DUMMYFUNCTION("""COMPUTED_VALUE"""),312.0)</f>
        <v>312</v>
      </c>
      <c r="L19" s="7"/>
      <c r="M19" s="10"/>
      <c r="N19" s="7"/>
      <c r="O19" s="8"/>
      <c r="P19" s="8"/>
    </row>
    <row r="20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  <c r="P20" s="8"/>
    </row>
    <row r="21">
      <c r="A21" s="10"/>
      <c r="B21" s="7"/>
      <c r="C21" s="115" t="str">
        <f>IFERROR(__xludf.DUMMYFUNCTION("""COMPUTED_VALUE"""),"Консультация по английскому языку ")</f>
        <v>Консультация по английскому языку </v>
      </c>
      <c r="D21" s="7"/>
      <c r="E21" s="76" t="str">
        <f>IFERROR(__xludf.DUMMYFUNCTION("""COMPUTED_VALUE"""),"Биология. Генетика.")</f>
        <v>Биология. Генетика.</v>
      </c>
      <c r="F21" s="7"/>
      <c r="G21" s="14"/>
      <c r="H21" s="7"/>
      <c r="I21" s="28" t="str">
        <f>IFERROR(__xludf.DUMMYFUNCTION("""COMPUTED_VALUE"""),"Олимпиадный английский язык")</f>
        <v>Олимпиадный английский язык</v>
      </c>
      <c r="J21" s="7"/>
      <c r="K21" s="48" t="str">
        <f>IFERROR(__xludf.DUMMYFUNCTION("""COMPUTED_VALUE"""),"Олимпиадные задачи (1 страта)")</f>
        <v>Олимпиадные задачи (1 страта)</v>
      </c>
      <c r="L21" s="7"/>
      <c r="M21" s="28" t="str">
        <f>IFERROR(__xludf.DUMMYFUNCTION("""COMPUTED_VALUE"""),"Олимпиадный английский язык")</f>
        <v>Олимпиадный английский язык</v>
      </c>
      <c r="N21" s="7"/>
      <c r="O21" s="8"/>
      <c r="P21" s="8"/>
    </row>
    <row r="22">
      <c r="A22" s="10"/>
      <c r="B22" s="7"/>
      <c r="C22" s="115" t="str">
        <f>IFERROR(__xludf.DUMMYFUNCTION("""COMPUTED_VALUE"""),"10Б, 10Г, 10Д")</f>
        <v>10Б, 10Г, 10Д</v>
      </c>
      <c r="D22" s="7"/>
      <c r="E22" s="76" t="str">
        <f>IFERROR(__xludf.DUMMYFUNCTION("""COMPUTED_VALUE"""),"15.30-17.00")</f>
        <v>15.30-17.00</v>
      </c>
      <c r="F22" s="7"/>
      <c r="G22" s="14"/>
      <c r="H22" s="7"/>
      <c r="I22" s="28" t="str">
        <f>IFERROR(__xludf.DUMMYFUNCTION("""COMPUTED_VALUE"""),"16.00-17.30")</f>
        <v>16.00-17.30</v>
      </c>
      <c r="J22" s="7"/>
      <c r="K22" s="48" t="str">
        <f>IFERROR(__xludf.DUMMYFUNCTION("""COMPUTED_VALUE"""),"Код: 2033564")</f>
        <v>Код: 2033564</v>
      </c>
      <c r="L22" s="7"/>
      <c r="M22" s="28" t="str">
        <f>IFERROR(__xludf.DUMMYFUNCTION("""COMPUTED_VALUE"""),"18.00-19.30")</f>
        <v>18.00-19.30</v>
      </c>
      <c r="N22" s="7"/>
      <c r="O22" s="8"/>
      <c r="P22" s="8"/>
    </row>
    <row r="23">
      <c r="A23" s="10"/>
      <c r="B23" s="7"/>
      <c r="C23" s="115" t="str">
        <f>IFERROR(__xludf.DUMMYFUNCTION("""COMPUTED_VALUE"""),"14.50-15.35")</f>
        <v>14.50-15.35</v>
      </c>
      <c r="D23" s="7"/>
      <c r="E23" s="76" t="str">
        <f>IFERROR(__xludf.DUMMYFUNCTION("""COMPUTED_VALUE"""),"Лавренова В. Н.")</f>
        <v>Лавренова В. Н.</v>
      </c>
      <c r="F23" s="7"/>
      <c r="G23" s="14"/>
      <c r="H23" s="7"/>
      <c r="I23" s="28" t="str">
        <f>IFERROR(__xludf.DUMMYFUNCTION("""COMPUTED_VALUE"""),"Тевелева А. ")</f>
        <v>Тевелева А. </v>
      </c>
      <c r="J23" s="7"/>
      <c r="K23" s="48" t="str">
        <f>IFERROR(__xludf.DUMMYFUNCTION("""COMPUTED_VALUE"""),"16.15-18.15")</f>
        <v>16.15-18.15</v>
      </c>
      <c r="L23" s="7"/>
      <c r="M23" s="28" t="str">
        <f>IFERROR(__xludf.DUMMYFUNCTION("""COMPUTED_VALUE"""),"Тевелева А. ")</f>
        <v>Тевелева А. </v>
      </c>
      <c r="N23" s="7"/>
      <c r="O23" s="8"/>
      <c r="P23" s="8"/>
    </row>
    <row r="24">
      <c r="A24" s="10"/>
      <c r="B24" s="7"/>
      <c r="C24" s="115" t="str">
        <f>IFERROR(__xludf.DUMMYFUNCTION("""COMPUTED_VALUE"""),"Белоусова Ю.П.")</f>
        <v>Белоусова Ю.П.</v>
      </c>
      <c r="D24" s="7"/>
      <c r="E24" s="76" t="str">
        <f>IFERROR(__xludf.DUMMYFUNCTION("""COMPUTED_VALUE"""),"Код: 2052184")</f>
        <v>Код: 2052184</v>
      </c>
      <c r="F24" s="7"/>
      <c r="G24" s="14"/>
      <c r="H24" s="7"/>
      <c r="I24" s="28" t="str">
        <f>IFERROR(__xludf.DUMMYFUNCTION("""COMPUTED_VALUE"""),"Код: 2035254")</f>
        <v>Код: 2035254</v>
      </c>
      <c r="J24" s="7"/>
      <c r="K24" s="48" t="str">
        <f>IFERROR(__xludf.DUMMYFUNCTION("""COMPUTED_VALUE"""),"Бибиков П.В.")</f>
        <v>Бибиков П.В.</v>
      </c>
      <c r="L24" s="7"/>
      <c r="M24" s="28" t="str">
        <f>IFERROR(__xludf.DUMMYFUNCTION("""COMPUTED_VALUE"""),"Код: 2035254")</f>
        <v>Код: 2035254</v>
      </c>
      <c r="N24" s="7"/>
      <c r="O24" s="8"/>
      <c r="P24" s="8"/>
    </row>
    <row r="25">
      <c r="A25" s="10"/>
      <c r="B25" s="7"/>
      <c r="C25" s="115">
        <f>IFERROR(__xludf.DUMMYFUNCTION("""COMPUTED_VALUE"""),22.0)</f>
        <v>22</v>
      </c>
      <c r="D25" s="7"/>
      <c r="E25" s="76">
        <f>IFERROR(__xludf.DUMMYFUNCTION("""COMPUTED_VALUE"""),52.0)</f>
        <v>52</v>
      </c>
      <c r="F25" s="7"/>
      <c r="G25" s="14"/>
      <c r="H25" s="7"/>
      <c r="I25" s="28">
        <f>IFERROR(__xludf.DUMMYFUNCTION("""COMPUTED_VALUE"""),47.0)</f>
        <v>47</v>
      </c>
      <c r="J25" s="7"/>
      <c r="K25" s="48">
        <f>IFERROR(__xludf.DUMMYFUNCTION("""COMPUTED_VALUE"""),35.0)</f>
        <v>35</v>
      </c>
      <c r="L25" s="7"/>
      <c r="M25" s="28" t="str">
        <f>IFERROR(__xludf.DUMMYFUNCTION("""COMPUTED_VALUE"""),"онлайн")</f>
        <v>онлайн</v>
      </c>
      <c r="N25" s="7"/>
      <c r="O25" s="8"/>
      <c r="P25" s="8"/>
    </row>
    <row r="26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</row>
    <row r="27">
      <c r="A27" s="10"/>
      <c r="B27" s="7"/>
      <c r="C27" s="54" t="str">
        <f>IFERROR(__xludf.DUMMYFUNCTION("""COMPUTED_VALUE"""),"Экология. Экологические проекты")</f>
        <v>Экология. Экологические проекты</v>
      </c>
      <c r="D27" s="7"/>
      <c r="E27" s="54" t="str">
        <f>IFERROR(__xludf.DUMMYFUNCTION("""COMPUTED_VALUE"""),"Экология. Экологические проекты")</f>
        <v>Экология. Экологические проекты</v>
      </c>
      <c r="F27" s="7"/>
      <c r="G27" s="54" t="str">
        <f>IFERROR(__xludf.DUMMYFUNCTION("""COMPUTED_VALUE"""),"Экология. Экологические проекты")</f>
        <v>Экология. Экологические проекты</v>
      </c>
      <c r="H27" s="7"/>
      <c r="I27" s="116" t="str">
        <f>IFERROR(__xludf.DUMMYFUNCTION("""COMPUTED_VALUE"""),"Экология. Экологические проекты")</f>
        <v>Экология. Экологические проекты</v>
      </c>
      <c r="J27" s="7"/>
      <c r="K27" s="54" t="str">
        <f>IFERROR(__xludf.DUMMYFUNCTION("""COMPUTED_VALUE"""),"Экология. Экологические проекты")</f>
        <v>Экология. Экологические проекты</v>
      </c>
      <c r="L27" s="7"/>
      <c r="M27" s="54" t="str">
        <f>IFERROR(__xludf.DUMMYFUNCTION("""COMPUTED_VALUE"""),"Экологические проекты")</f>
        <v>Экологические проекты</v>
      </c>
      <c r="N27" s="7"/>
      <c r="O27" s="8"/>
      <c r="P27" s="8"/>
    </row>
    <row r="28">
      <c r="A28" s="10"/>
      <c r="B28" s="7"/>
      <c r="C28" s="54" t="str">
        <f>IFERROR(__xludf.DUMMYFUNCTION("""COMPUTED_VALUE"""),"19.00-20.30")</f>
        <v>19.00-20.30</v>
      </c>
      <c r="D28" s="7"/>
      <c r="E28" s="54" t="str">
        <f>IFERROR(__xludf.DUMMYFUNCTION("""COMPUTED_VALUE"""),"19.00-20.30")</f>
        <v>19.00-20.30</v>
      </c>
      <c r="F28" s="7"/>
      <c r="G28" s="54" t="str">
        <f>IFERROR(__xludf.DUMMYFUNCTION("""COMPUTED_VALUE"""),"19.00-20.30")</f>
        <v>19.00-20.30</v>
      </c>
      <c r="H28" s="7"/>
      <c r="I28" s="116" t="str">
        <f>IFERROR(__xludf.DUMMYFUNCTION("""COMPUTED_VALUE"""),"19.00-20.30")</f>
        <v>19.00-20.30</v>
      </c>
      <c r="J28" s="7"/>
      <c r="K28" s="54" t="str">
        <f>IFERROR(__xludf.DUMMYFUNCTION("""COMPUTED_VALUE"""),"19.00-20.30")</f>
        <v>19.00-20.30</v>
      </c>
      <c r="L28" s="7"/>
      <c r="M28" s="54" t="str">
        <f>IFERROR(__xludf.DUMMYFUNCTION("""COMPUTED_VALUE"""),"19.00-20.30")</f>
        <v>19.00-20.30</v>
      </c>
      <c r="N28" s="7"/>
      <c r="O28" s="8"/>
      <c r="P28" s="8"/>
    </row>
    <row r="29">
      <c r="A29" s="10"/>
      <c r="B29" s="7"/>
      <c r="C29" s="54" t="str">
        <f>IFERROR(__xludf.DUMMYFUNCTION("""COMPUTED_VALUE"""),"Пономарева Н. Л.")</f>
        <v>Пономарева Н. Л.</v>
      </c>
      <c r="D29" s="7"/>
      <c r="E29" s="54" t="str">
        <f>IFERROR(__xludf.DUMMYFUNCTION("""COMPUTED_VALUE"""),"Пономарева Н. Л.")</f>
        <v>Пономарева Н. Л.</v>
      </c>
      <c r="F29" s="7"/>
      <c r="G29" s="54" t="str">
        <f>IFERROR(__xludf.DUMMYFUNCTION("""COMPUTED_VALUE"""),"Пономарева Н. Л.")</f>
        <v>Пономарева Н. Л.</v>
      </c>
      <c r="H29" s="7"/>
      <c r="I29" s="116" t="str">
        <f>IFERROR(__xludf.DUMMYFUNCTION("""COMPUTED_VALUE"""),"Пономарева Н. Л.")</f>
        <v>Пономарева Н. Л.</v>
      </c>
      <c r="J29" s="7"/>
      <c r="K29" s="54" t="str">
        <f>IFERROR(__xludf.DUMMYFUNCTION("""COMPUTED_VALUE"""),"Пономарева Н. Л.")</f>
        <v>Пономарева Н. Л.</v>
      </c>
      <c r="L29" s="7"/>
      <c r="M29" s="54" t="str">
        <f>IFERROR(__xludf.DUMMYFUNCTION("""COMPUTED_VALUE"""),"Пономарева Н. Л.")</f>
        <v>Пономарева Н. Л.</v>
      </c>
      <c r="N29" s="7"/>
      <c r="O29" s="8"/>
      <c r="P29" s="8"/>
    </row>
    <row r="30">
      <c r="A30" s="10"/>
      <c r="B30" s="7"/>
      <c r="C30" s="54" t="str">
        <f>IFERROR(__xludf.DUMMYFUNCTION("""COMPUTED_VALUE"""),"Код: 2043039
2043093")</f>
        <v>Код: 2043039
2043093</v>
      </c>
      <c r="D30" s="7"/>
      <c r="E30" s="54" t="str">
        <f>IFERROR(__xludf.DUMMYFUNCTION("""COMPUTED_VALUE"""),"Код: 2043039
2043093")</f>
        <v>Код: 2043039
2043093</v>
      </c>
      <c r="F30" s="7"/>
      <c r="G30" s="54" t="str">
        <f>IFERROR(__xludf.DUMMYFUNCTION("""COMPUTED_VALUE"""),"Код: 2043039
2043093")</f>
        <v>Код: 2043039
2043093</v>
      </c>
      <c r="H30" s="7"/>
      <c r="I30" s="116" t="str">
        <f>IFERROR(__xludf.DUMMYFUNCTION("""COMPUTED_VALUE"""),"Код: 2043039
2043093")</f>
        <v>Код: 2043039
2043093</v>
      </c>
      <c r="J30" s="7"/>
      <c r="K30" s="54" t="str">
        <f>IFERROR(__xludf.DUMMYFUNCTION("""COMPUTED_VALUE"""),"Код: 2043039
2043093")</f>
        <v>Код: 2043039
2043093</v>
      </c>
      <c r="L30" s="7"/>
      <c r="M30" s="54" t="str">
        <f>IFERROR(__xludf.DUMMYFUNCTION("""COMPUTED_VALUE"""),"Код: 2043039
2043093")</f>
        <v>Код: 2043039
2043093</v>
      </c>
      <c r="N30" s="7"/>
      <c r="O30" s="8"/>
      <c r="P30" s="8"/>
    </row>
    <row r="31">
      <c r="A31" s="10"/>
      <c r="B31" s="7"/>
      <c r="C31" s="54" t="str">
        <f>IFERROR(__xludf.DUMMYFUNCTION("""COMPUTED_VALUE"""),"онлайн")</f>
        <v>онлайн</v>
      </c>
      <c r="D31" s="7"/>
      <c r="E31" s="54" t="str">
        <f>IFERROR(__xludf.DUMMYFUNCTION("""COMPUTED_VALUE"""),"онлайн")</f>
        <v>онлайн</v>
      </c>
      <c r="F31" s="7"/>
      <c r="G31" s="54" t="str">
        <f>IFERROR(__xludf.DUMMYFUNCTION("""COMPUTED_VALUE"""),"онлайн")</f>
        <v>онлайн</v>
      </c>
      <c r="H31" s="7"/>
      <c r="I31" s="116" t="str">
        <f>IFERROR(__xludf.DUMMYFUNCTION("""COMPUTED_VALUE"""),"онлайн")</f>
        <v>онлайн</v>
      </c>
      <c r="J31" s="7"/>
      <c r="K31" s="54" t="str">
        <f>IFERROR(__xludf.DUMMYFUNCTION("""COMPUTED_VALUE"""),"онлайн")</f>
        <v>онлайн</v>
      </c>
      <c r="L31" s="7"/>
      <c r="M31" s="54" t="str">
        <f>IFERROR(__xludf.DUMMYFUNCTION("""COMPUTED_VALUE"""),"онлайн")</f>
        <v>онлайн</v>
      </c>
      <c r="N31" s="7"/>
      <c r="O31" s="8"/>
      <c r="P31" s="8"/>
    </row>
    <row r="32" ht="9.7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</row>
    <row r="33">
      <c r="A33" s="14"/>
      <c r="B33" s="7"/>
      <c r="C33" s="10"/>
      <c r="D33" s="7"/>
      <c r="E33" s="21" t="str">
        <f>IFERROR(__xludf.DUMMYFUNCTION("""COMPUTED_VALUE"""),"Практикум IoT")</f>
        <v>Практикум IoT</v>
      </c>
      <c r="F33" s="38"/>
      <c r="G33" s="96" t="str">
        <f>IFERROR(__xludf.DUMMYFUNCTION("""COMPUTED_VALUE"""),"Лингвистика")</f>
        <v>Лингвистика</v>
      </c>
      <c r="H33" s="38"/>
      <c r="I33" s="117" t="str">
        <f>IFERROR(__xludf.DUMMYFUNCTION("""COMPUTED_VALUE"""),"Почитаем вместе")</f>
        <v>Почитаем вместе</v>
      </c>
      <c r="J33" s="7"/>
      <c r="K33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33" s="7"/>
      <c r="M33" s="96" t="str">
        <f>IFERROR(__xludf.DUMMYFUNCTION("""COMPUTED_VALUE"""),"Лингвистика")</f>
        <v>Лингвистика</v>
      </c>
      <c r="N33" s="7"/>
      <c r="O33" s="8"/>
      <c r="P33" s="8"/>
    </row>
    <row r="34">
      <c r="A34" s="14"/>
      <c r="B34" s="7"/>
      <c r="C34" s="10"/>
      <c r="D34" s="7"/>
      <c r="E34" s="19" t="str">
        <f>IFERROR(__xludf.DUMMYFUNCTION("""COMPUTED_VALUE"""),"16:30 - 18:00")</f>
        <v>16:30 - 18:00</v>
      </c>
      <c r="F34" s="38"/>
      <c r="G34" s="24" t="str">
        <f>IFERROR(__xludf.DUMMYFUNCTION("""COMPUTED_VALUE"""),"15.45 - 17.15")</f>
        <v>15.45 - 17.15</v>
      </c>
      <c r="H34" s="38"/>
      <c r="I34" s="118" t="str">
        <f>IFERROR(__xludf.DUMMYFUNCTION("""COMPUTED_VALUE"""),"15.45-17.15")</f>
        <v>15.45-17.15</v>
      </c>
      <c r="J34" s="7"/>
      <c r="K34" s="25" t="str">
        <f>IFERROR(__xludf.DUMMYFUNCTION("""COMPUTED_VALUE"""),"14.45-17-45")</f>
        <v>14.45-17-45</v>
      </c>
      <c r="L34" s="7"/>
      <c r="M34" s="24" t="str">
        <f>IFERROR(__xludf.DUMMYFUNCTION("""COMPUTED_VALUE"""),"15.45 - 17.15")</f>
        <v>15.45 - 17.15</v>
      </c>
      <c r="N34" s="7"/>
      <c r="O34" s="8"/>
      <c r="P34" s="8"/>
    </row>
    <row r="35">
      <c r="A35" s="14"/>
      <c r="B35" s="7"/>
      <c r="C35" s="10"/>
      <c r="D35" s="7"/>
      <c r="E35" s="19" t="str">
        <f>IFERROR(__xludf.DUMMYFUNCTION("""COMPUTED_VALUE"""),"Дементьев Ю.Н.")</f>
        <v>Дементьев Ю.Н.</v>
      </c>
      <c r="F35" s="38"/>
      <c r="G35" s="24" t="str">
        <f>IFERROR(__xludf.DUMMYFUNCTION("""COMPUTED_VALUE"""),"Бушина А. С.")</f>
        <v>Бушина А. С.</v>
      </c>
      <c r="H35" s="38"/>
      <c r="I35" s="118" t="str">
        <f>IFERROR(__xludf.DUMMYFUNCTION("""COMPUTED_VALUE"""),"Петрухина Ю. Б.")</f>
        <v>Петрухина Ю. Б.</v>
      </c>
      <c r="J35" s="7"/>
      <c r="K35" s="25" t="str">
        <f>IFERROR(__xludf.DUMMYFUNCTION("""COMPUTED_VALUE"""),"Антипов М. И.")</f>
        <v>Антипов М. И.</v>
      </c>
      <c r="L35" s="7"/>
      <c r="M35" s="24" t="str">
        <f>IFERROR(__xludf.DUMMYFUNCTION("""COMPUTED_VALUE"""),"Зильберман Е. А.")</f>
        <v>Зильберман Е. А.</v>
      </c>
      <c r="N35" s="7"/>
      <c r="O35" s="8"/>
      <c r="P35" s="8"/>
    </row>
    <row r="36">
      <c r="A36" s="14"/>
      <c r="B36" s="7"/>
      <c r="C36" s="10"/>
      <c r="D36" s="7"/>
      <c r="E36" s="19" t="str">
        <f>IFERROR(__xludf.DUMMYFUNCTION("""COMPUTED_VALUE"""),"Код: 2030967
")</f>
        <v>Код: 2030967
</v>
      </c>
      <c r="F36" s="38"/>
      <c r="G36" s="24" t="str">
        <f>IFERROR(__xludf.DUMMYFUNCTION("""COMPUTED_VALUE"""),"Код: 2022681")</f>
        <v>Код: 2022681</v>
      </c>
      <c r="H36" s="38"/>
      <c r="I36" s="118" t="str">
        <f>IFERROR(__xludf.DUMMYFUNCTION("""COMPUTED_VALUE"""),"Код: 2032103")</f>
        <v>Код: 2032103</v>
      </c>
      <c r="J36" s="7"/>
      <c r="K36" s="25" t="str">
        <f>IFERROR(__xludf.DUMMYFUNCTION("""COMPUTED_VALUE"""),"Код: 2077503")</f>
        <v>Код: 2077503</v>
      </c>
      <c r="L36" s="7"/>
      <c r="M36" s="24" t="str">
        <f>IFERROR(__xludf.DUMMYFUNCTION("""COMPUTED_VALUE"""),"Код: 2022681")</f>
        <v>Код: 2022681</v>
      </c>
      <c r="N36" s="7"/>
      <c r="O36" s="8"/>
      <c r="P36" s="8"/>
    </row>
    <row r="37">
      <c r="A37" s="14"/>
      <c r="B37" s="7"/>
      <c r="C37" s="10"/>
      <c r="D37" s="7"/>
      <c r="E37" s="19">
        <f>IFERROR(__xludf.DUMMYFUNCTION("""COMPUTED_VALUE"""),312.0)</f>
        <v>312</v>
      </c>
      <c r="F37" s="38"/>
      <c r="G37" s="24">
        <f>IFERROR(__xludf.DUMMYFUNCTION("""COMPUTED_VALUE"""),41.0)</f>
        <v>41</v>
      </c>
      <c r="H37" s="38"/>
      <c r="I37" s="118">
        <f>IFERROR(__xludf.DUMMYFUNCTION("""COMPUTED_VALUE"""),309.0)</f>
        <v>309</v>
      </c>
      <c r="J37" s="7"/>
      <c r="K37" s="25">
        <f>IFERROR(__xludf.DUMMYFUNCTION("""COMPUTED_VALUE"""),52.0)</f>
        <v>52</v>
      </c>
      <c r="L37" s="7"/>
      <c r="M37" s="24" t="str">
        <f>IFERROR(__xludf.DUMMYFUNCTION("""COMPUTED_VALUE"""),"с 18.09 онлайн")</f>
        <v>с 18.09 онлайн</v>
      </c>
      <c r="N37" s="7"/>
      <c r="O37" s="8"/>
      <c r="P37" s="8"/>
    </row>
    <row r="38" ht="13.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</row>
    <row r="39">
      <c r="A39" s="34" t="str">
        <f>IFERROR(__xludf.DUMMYFUNCTION("""COMPUTED_VALUE"""),"Кружки по информатике с отбором")</f>
        <v>Кружки по информатике с отбором</v>
      </c>
      <c r="B39" s="7"/>
      <c r="C39" s="10"/>
      <c r="D39" s="7"/>
      <c r="E39" s="34" t="str">
        <f>IFERROR(__xludf.DUMMYFUNCTION("""COMPUTED_VALUE"""),"IT-кружок ""Потенциал""")</f>
        <v>IT-кружок "Потенциал"</v>
      </c>
      <c r="F39" s="38"/>
      <c r="G39" s="34" t="str">
        <f>IFERROR(__xludf.DUMMYFUNCTION("""COMPUTED_VALUE"""),"IT-кружок ""Сборная Лицея""")</f>
        <v>IT-кружок "Сборная Лицея"</v>
      </c>
      <c r="H39" s="38"/>
      <c r="I39" s="34" t="str">
        <f>IFERROR(__xludf.DUMMYFUNCTION("""COMPUTED_VALUE"""),"IT-кружок ""Потенциал""")</f>
        <v>IT-кружок "Потенциал"</v>
      </c>
      <c r="J39" s="38"/>
      <c r="K39" s="34" t="str">
        <f>IFERROR(__xludf.DUMMYFUNCTION("""COMPUTED_VALUE"""),"IT-кружок ""Сборная Лицея""")</f>
        <v>IT-кружок "Сборная Лицея"</v>
      </c>
      <c r="L39" s="7"/>
      <c r="M39" s="10"/>
      <c r="N39" s="7"/>
      <c r="O39" s="8"/>
      <c r="P39" s="8"/>
    </row>
    <row r="40">
      <c r="B40" s="7"/>
      <c r="C40" s="10"/>
      <c r="D40" s="7"/>
      <c r="E40" s="34" t="str">
        <f>IFERROR(__xludf.DUMMYFUNCTION("""COMPUTED_VALUE"""),"16.00-19.00")</f>
        <v>16.00-19.00</v>
      </c>
      <c r="F40" s="38"/>
      <c r="G40" s="34" t="str">
        <f>IFERROR(__xludf.DUMMYFUNCTION("""COMPUTED_VALUE"""),"15.00-21.00")</f>
        <v>15.00-21.00</v>
      </c>
      <c r="H40" s="38"/>
      <c r="I40" s="34" t="str">
        <f>IFERROR(__xludf.DUMMYFUNCTION("""COMPUTED_VALUE"""),"16.00-19.00")</f>
        <v>16.00-19.00</v>
      </c>
      <c r="J40" s="38"/>
      <c r="K40" s="34" t="str">
        <f>IFERROR(__xludf.DUMMYFUNCTION("""COMPUTED_VALUE"""),"16.45-19.15")</f>
        <v>16.45-19.15</v>
      </c>
      <c r="L40" s="7"/>
      <c r="M40" s="10"/>
      <c r="N40" s="7"/>
      <c r="O40" s="8"/>
      <c r="P40" s="8"/>
    </row>
    <row r="41">
      <c r="B41" s="7"/>
      <c r="C41" s="10"/>
      <c r="D41" s="7"/>
      <c r="E41" s="34" t="str">
        <f>IFERROR(__xludf.DUMMYFUNCTION("""COMPUTED_VALUE"""),"Фёдоров К. Е.")</f>
        <v>Фёдоров К. Е.</v>
      </c>
      <c r="F41" s="38"/>
      <c r="G41" s="34" t="str">
        <f>IFERROR(__xludf.DUMMYFUNCTION("""COMPUTED_VALUE"""),"Фёдоров К. Е.")</f>
        <v>Фёдоров К. Е.</v>
      </c>
      <c r="H41" s="38"/>
      <c r="I41" s="34" t="str">
        <f>IFERROR(__xludf.DUMMYFUNCTION("""COMPUTED_VALUE"""),"Фёдоров К. Е.")</f>
        <v>Фёдоров К. Е.</v>
      </c>
      <c r="J41" s="38"/>
      <c r="K41" s="34" t="str">
        <f>IFERROR(__xludf.DUMMYFUNCTION("""COMPUTED_VALUE"""),"Фёдоров К. Е.")</f>
        <v>Фёдоров К. Е.</v>
      </c>
      <c r="L41" s="7"/>
      <c r="M41" s="10"/>
      <c r="N41" s="7"/>
      <c r="O41" s="8"/>
      <c r="P41" s="8"/>
    </row>
    <row r="42">
      <c r="B42" s="7"/>
      <c r="C42" s="10"/>
      <c r="D42" s="7"/>
      <c r="E42" s="34" t="str">
        <f>IFERROR(__xludf.DUMMYFUNCTION("""COMPUTED_VALUE"""),"Код: 2051997")</f>
        <v>Код: 2051997</v>
      </c>
      <c r="F42" s="38"/>
      <c r="G42" s="34" t="str">
        <f>IFERROR(__xludf.DUMMYFUNCTION("""COMPUTED_VALUE"""),"Код: 2052059")</f>
        <v>Код: 2052059</v>
      </c>
      <c r="H42" s="38"/>
      <c r="I42" s="34" t="str">
        <f>IFERROR(__xludf.DUMMYFUNCTION("""COMPUTED_VALUE"""),"Код: 2051997")</f>
        <v>Код: 2051997</v>
      </c>
      <c r="J42" s="38"/>
      <c r="K42" s="34" t="str">
        <f>IFERROR(__xludf.DUMMYFUNCTION("""COMPUTED_VALUE"""),"Код: 2052059")</f>
        <v>Код: 2052059</v>
      </c>
      <c r="L42" s="7"/>
      <c r="M42" s="10"/>
      <c r="N42" s="7"/>
      <c r="O42" s="8"/>
      <c r="P42" s="8"/>
    </row>
    <row r="43">
      <c r="B43" s="7"/>
      <c r="C43" s="10"/>
      <c r="D43" s="7"/>
      <c r="E43" s="34" t="str">
        <f>IFERROR(__xludf.DUMMYFUNCTION("""COMPUTED_VALUE"""),"23, 25")</f>
        <v>23, 25</v>
      </c>
      <c r="F43" s="38"/>
      <c r="G43" s="34">
        <f>IFERROR(__xludf.DUMMYFUNCTION("""COMPUTED_VALUE"""),25.0)</f>
        <v>25</v>
      </c>
      <c r="H43" s="38"/>
      <c r="I43" s="34">
        <f>IFERROR(__xludf.DUMMYFUNCTION("""COMPUTED_VALUE"""),25.0)</f>
        <v>25</v>
      </c>
      <c r="J43" s="38"/>
      <c r="K43" s="34">
        <f>IFERROR(__xludf.DUMMYFUNCTION("""COMPUTED_VALUE"""),25.0)</f>
        <v>25</v>
      </c>
      <c r="L43" s="7"/>
      <c r="M43" s="10"/>
      <c r="N43" s="7"/>
      <c r="O43" s="8"/>
      <c r="P43" s="8"/>
    </row>
    <row r="44" ht="8.2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</row>
    <row r="45">
      <c r="A45" s="119"/>
      <c r="B45" s="7"/>
      <c r="C45" s="10"/>
      <c r="D45" s="7"/>
      <c r="E45" s="14"/>
      <c r="F45" s="7"/>
      <c r="G45" s="14"/>
      <c r="H45" s="7"/>
      <c r="I45" s="62" t="str">
        <f>IFERROR(__xludf.DUMMYFUNCTION("""COMPUTED_VALUE"""),"IT-кружок ""Профиль"" для MIT")</f>
        <v>IT-кружок "Профиль" для MIT</v>
      </c>
      <c r="J45" s="7"/>
      <c r="K45" s="120" t="str">
        <f>IFERROR(__xludf.DUMMYFUNCTION("""COMPUTED_VALUE"""),"Консультация по информатике")</f>
        <v>Консультация по информатике</v>
      </c>
      <c r="L45" s="7"/>
      <c r="M45" s="121" t="str">
        <f>IFERROR(__xludf.DUMMYFUNCTION("""COMPUTED_VALUE"""),"Базовое программирование ")</f>
        <v>Базовое программирование </v>
      </c>
      <c r="N45" s="7"/>
      <c r="O45" s="8"/>
      <c r="P45" s="8"/>
    </row>
    <row r="46">
      <c r="B46" s="7"/>
      <c r="C46" s="10"/>
      <c r="D46" s="7"/>
      <c r="E46" s="14"/>
      <c r="F46" s="7"/>
      <c r="G46" s="14"/>
      <c r="H46" s="7"/>
      <c r="I46" s="62" t="str">
        <f>IFERROR(__xludf.DUMMYFUNCTION("""COMPUTED_VALUE"""),"16.40-18.00")</f>
        <v>16.40-18.00</v>
      </c>
      <c r="J46" s="7"/>
      <c r="K46" s="120" t="str">
        <f>IFERROR(__xludf.DUMMYFUNCTION("""COMPUTED_VALUE"""),"15.00-17.00")</f>
        <v>15.00-17.00</v>
      </c>
      <c r="L46" s="7"/>
      <c r="M46" s="121" t="str">
        <f>IFERROR(__xludf.DUMMYFUNCTION("""COMPUTED_VALUE"""),"15.00-17.30")</f>
        <v>15.00-17.30</v>
      </c>
      <c r="N46" s="7"/>
      <c r="O46" s="8"/>
      <c r="P46" s="8"/>
    </row>
    <row r="47">
      <c r="B47" s="7"/>
      <c r="C47" s="10"/>
      <c r="D47" s="7"/>
      <c r="E47" s="14"/>
      <c r="F47" s="7"/>
      <c r="G47" s="14"/>
      <c r="H47" s="7"/>
      <c r="I47" s="62" t="str">
        <f>IFERROR(__xludf.DUMMYFUNCTION("""COMPUTED_VALUE"""),"Фёдоров К. Е.")</f>
        <v>Фёдоров К. Е.</v>
      </c>
      <c r="J47" s="7"/>
      <c r="K47" s="120" t="str">
        <f>IFERROR(__xludf.DUMMYFUNCTION("""COMPUTED_VALUE"""),"Морозова И. М.")</f>
        <v>Морозова И. М.</v>
      </c>
      <c r="L47" s="7"/>
      <c r="M47" s="121" t="str">
        <f>IFERROR(__xludf.DUMMYFUNCTION("""COMPUTED_VALUE"""),"Степашин Е. А.")</f>
        <v>Степашин Е. А.</v>
      </c>
      <c r="N47" s="7"/>
      <c r="O47" s="8"/>
      <c r="P47" s="8"/>
    </row>
    <row r="48">
      <c r="B48" s="7"/>
      <c r="C48" s="10"/>
      <c r="D48" s="7"/>
      <c r="E48" s="14"/>
      <c r="F48" s="7"/>
      <c r="G48" s="14"/>
      <c r="H48" s="7"/>
      <c r="I48" s="62" t="str">
        <f>IFERROR(__xludf.DUMMYFUNCTION("""COMPUTED_VALUE"""),"Код:")</f>
        <v>Код:</v>
      </c>
      <c r="J48" s="7"/>
      <c r="K48" s="120" t="str">
        <f>IFERROR(__xludf.DUMMYFUNCTION("""COMPUTED_VALUE"""),"10 классы")</f>
        <v>10 классы</v>
      </c>
      <c r="L48" s="7"/>
      <c r="M48" s="121" t="str">
        <f>IFERROR(__xludf.DUMMYFUNCTION("""COMPUTED_VALUE"""),"Код: 2054892")</f>
        <v>Код: 2054892</v>
      </c>
      <c r="N48" s="7"/>
      <c r="O48" s="8"/>
      <c r="P48" s="8"/>
    </row>
    <row r="49">
      <c r="B49" s="7"/>
      <c r="C49" s="10"/>
      <c r="D49" s="7"/>
      <c r="E49" s="14"/>
      <c r="F49" s="7"/>
      <c r="G49" s="14"/>
      <c r="H49" s="7"/>
      <c r="I49" s="62">
        <f>IFERROR(__xludf.DUMMYFUNCTION("""COMPUTED_VALUE"""),25.0)</f>
        <v>25</v>
      </c>
      <c r="J49" s="7"/>
      <c r="K49" s="120">
        <f>IFERROR(__xludf.DUMMYFUNCTION("""COMPUTED_VALUE"""),23.0)</f>
        <v>23</v>
      </c>
      <c r="L49" s="7"/>
      <c r="M49" s="121" t="str">
        <f>IFERROR(__xludf.DUMMYFUNCTION("""COMPUTED_VALUE"""),"24 ,25, 26")</f>
        <v>24 ,25, 26</v>
      </c>
      <c r="N49" s="7"/>
      <c r="O49" s="8"/>
      <c r="P49" s="8"/>
    </row>
    <row r="50" ht="10.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</row>
    <row r="51">
      <c r="A51" s="10"/>
      <c r="B51" s="7"/>
      <c r="C51" s="100" t="str">
        <f>IFERROR(__xludf.DUMMYFUNCTION("""COMPUTED_VALUE"""),"Театральный кружок")</f>
        <v>Театральный кружок</v>
      </c>
      <c r="D51" s="7"/>
      <c r="E51" s="103" t="str">
        <f>IFERROR(__xludf.DUMMYFUNCTION("""COMPUTED_VALUE"""),"Олимпиадный русский язык")</f>
        <v>Олимпиадный русский язык</v>
      </c>
      <c r="F51" s="7"/>
      <c r="G51" s="100" t="str">
        <f>IFERROR(__xludf.DUMMYFUNCTION("""COMPUTED_VALUE"""),"Театральный кружок")</f>
        <v>Театральный кружок</v>
      </c>
      <c r="H51" s="7"/>
      <c r="I51" s="100" t="str">
        <f>IFERROR(__xludf.DUMMYFUNCTION("""COMPUTED_VALUE"""),"Театральный кружок")</f>
        <v>Театральный кружок</v>
      </c>
      <c r="J51" s="7"/>
      <c r="K51" s="100" t="str">
        <f>IFERROR(__xludf.DUMMYFUNCTION("""COMPUTED_VALUE"""),"Театральный кружок")</f>
        <v>Театральный кружок</v>
      </c>
      <c r="L51" s="7"/>
      <c r="M51" s="100" t="str">
        <f>IFERROR(__xludf.DUMMYFUNCTION("""COMPUTED_VALUE"""),"Театральный кружок")</f>
        <v>Театральный кружок</v>
      </c>
      <c r="N51" s="7"/>
      <c r="O51" s="8"/>
      <c r="P51" s="8"/>
    </row>
    <row r="52">
      <c r="A52" s="10"/>
      <c r="B52" s="7"/>
      <c r="C52" s="100" t="str">
        <f>IFERROR(__xludf.DUMMYFUNCTION("""COMPUTED_VALUE"""),"на больших переменах")</f>
        <v>на больших переменах</v>
      </c>
      <c r="D52" s="7"/>
      <c r="E52" s="103" t="str">
        <f>IFERROR(__xludf.DUMMYFUNCTION("""COMPUTED_VALUE"""),"16.00-17.30")</f>
        <v>16.00-17.30</v>
      </c>
      <c r="F52" s="7"/>
      <c r="G52" s="100" t="str">
        <f>IFERROR(__xludf.DUMMYFUNCTION("""COMPUTED_VALUE"""),"на больших переменах")</f>
        <v>на больших переменах</v>
      </c>
      <c r="H52" s="7"/>
      <c r="I52" s="100" t="str">
        <f>IFERROR(__xludf.DUMMYFUNCTION("""COMPUTED_VALUE"""),"на больших переменах")</f>
        <v>на больших переменах</v>
      </c>
      <c r="J52" s="7"/>
      <c r="K52" s="100" t="str">
        <f>IFERROR(__xludf.DUMMYFUNCTION("""COMPUTED_VALUE"""),"на больших переменах")</f>
        <v>на больших переменах</v>
      </c>
      <c r="L52" s="7"/>
      <c r="M52" s="100" t="str">
        <f>IFERROR(__xludf.DUMMYFUNCTION("""COMPUTED_VALUE"""),"на больших переменах")</f>
        <v>на больших переменах</v>
      </c>
      <c r="N52" s="7"/>
      <c r="O52" s="8"/>
      <c r="P52" s="8"/>
    </row>
    <row r="53">
      <c r="A53" s="10"/>
      <c r="B53" s="7"/>
      <c r="C53" s="100" t="str">
        <f>IFERROR(__xludf.DUMMYFUNCTION("""COMPUTED_VALUE"""),"Код: 2032443")</f>
        <v>Код: 2032443</v>
      </c>
      <c r="D53" s="7"/>
      <c r="E53" s="103" t="str">
        <f>IFERROR(__xludf.DUMMYFUNCTION("""COMPUTED_VALUE"""),"Код: 2056038")</f>
        <v>Код: 2056038</v>
      </c>
      <c r="F53" s="7"/>
      <c r="G53" s="100" t="str">
        <f>IFERROR(__xludf.DUMMYFUNCTION("""COMPUTED_VALUE"""),"Код: 2032443")</f>
        <v>Код: 2032443</v>
      </c>
      <c r="H53" s="7"/>
      <c r="I53" s="100" t="str">
        <f>IFERROR(__xludf.DUMMYFUNCTION("""COMPUTED_VALUE"""),"Код: 2032443")</f>
        <v>Код: 2032443</v>
      </c>
      <c r="J53" s="7"/>
      <c r="K53" s="100" t="str">
        <f>IFERROR(__xludf.DUMMYFUNCTION("""COMPUTED_VALUE"""),"Код: 2032443")</f>
        <v>Код: 2032443</v>
      </c>
      <c r="L53" s="7"/>
      <c r="M53" s="100" t="str">
        <f>IFERROR(__xludf.DUMMYFUNCTION("""COMPUTED_VALUE"""),"Код: 2032443")</f>
        <v>Код: 2032443</v>
      </c>
      <c r="N53" s="7"/>
      <c r="O53" s="8"/>
      <c r="P53" s="8"/>
    </row>
    <row r="54">
      <c r="A54" s="10"/>
      <c r="B54" s="7"/>
      <c r="C54" s="100" t="str">
        <f>IFERROR(__xludf.DUMMYFUNCTION("""COMPUTED_VALUE"""),"Ткачук Ю.Б.")</f>
        <v>Ткачук Ю.Б.</v>
      </c>
      <c r="D54" s="7"/>
      <c r="E54" s="103" t="str">
        <f>IFERROR(__xludf.DUMMYFUNCTION("""COMPUTED_VALUE"""),"Соловьева М. ")</f>
        <v>Соловьева М. </v>
      </c>
      <c r="F54" s="7"/>
      <c r="G54" s="100" t="str">
        <f>IFERROR(__xludf.DUMMYFUNCTION("""COMPUTED_VALUE"""),"Ткачук Ю.Б.")</f>
        <v>Ткачук Ю.Б.</v>
      </c>
      <c r="H54" s="7"/>
      <c r="I54" s="100" t="str">
        <f>IFERROR(__xludf.DUMMYFUNCTION("""COMPUTED_VALUE"""),"Ткачук Ю.Б.")</f>
        <v>Ткачук Ю.Б.</v>
      </c>
      <c r="J54" s="7"/>
      <c r="K54" s="100" t="str">
        <f>IFERROR(__xludf.DUMMYFUNCTION("""COMPUTED_VALUE"""),"Ткачук Ю.Б.")</f>
        <v>Ткачук Ю.Б.</v>
      </c>
      <c r="L54" s="7"/>
      <c r="M54" s="100" t="str">
        <f>IFERROR(__xludf.DUMMYFUNCTION("""COMPUTED_VALUE"""),"Ткачук Ю.Б.")</f>
        <v>Ткачук Ю.Б.</v>
      </c>
      <c r="N54" s="7"/>
      <c r="O54" s="8"/>
      <c r="P54" s="8"/>
    </row>
    <row r="55">
      <c r="A55" s="10"/>
      <c r="B55" s="7"/>
      <c r="C55" s="100">
        <f>IFERROR(__xludf.DUMMYFUNCTION("""COMPUTED_VALUE"""),44.0)</f>
        <v>44</v>
      </c>
      <c r="D55" s="7"/>
      <c r="E55" s="103">
        <f>IFERROR(__xludf.DUMMYFUNCTION("""COMPUTED_VALUE"""),45.0)</f>
        <v>45</v>
      </c>
      <c r="F55" s="7"/>
      <c r="G55" s="100">
        <f>IFERROR(__xludf.DUMMYFUNCTION("""COMPUTED_VALUE"""),44.0)</f>
        <v>44</v>
      </c>
      <c r="H55" s="7"/>
      <c r="I55" s="100">
        <f>IFERROR(__xludf.DUMMYFUNCTION("""COMPUTED_VALUE"""),44.0)</f>
        <v>44</v>
      </c>
      <c r="J55" s="7"/>
      <c r="K55" s="100">
        <f>IFERROR(__xludf.DUMMYFUNCTION("""COMPUTED_VALUE"""),44.0)</f>
        <v>44</v>
      </c>
      <c r="L55" s="7"/>
      <c r="M55" s="100">
        <f>IFERROR(__xludf.DUMMYFUNCTION("""COMPUTED_VALUE"""),44.0)</f>
        <v>44</v>
      </c>
      <c r="N55" s="7"/>
      <c r="O55" s="8"/>
      <c r="P55" s="8"/>
    </row>
    <row r="56" ht="11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2"/>
      <c r="L56" s="7"/>
      <c r="M56" s="12"/>
      <c r="N56" s="7"/>
      <c r="O56" s="8"/>
      <c r="P56" s="8"/>
    </row>
    <row r="57">
      <c r="A57" s="10"/>
      <c r="B57" s="7"/>
      <c r="C57" s="10"/>
      <c r="D57" s="7"/>
      <c r="E57" s="11" t="str">
        <f>IFERROR(__xludf.DUMMYFUNCTION("""COMPUTED_VALUE"""),"Футбол")</f>
        <v>Футбол</v>
      </c>
      <c r="F57" s="7"/>
      <c r="G57" s="11" t="str">
        <f>IFERROR(__xludf.DUMMYFUNCTION("""COMPUTED_VALUE"""),"
Волейбол ")</f>
        <v>
Волейбол </v>
      </c>
      <c r="H57" s="7"/>
      <c r="I57" s="11" t="str">
        <f>IFERROR(__xludf.DUMMYFUNCTION("""COMPUTED_VALUE"""),"Волейбол ")</f>
        <v>Волейбол </v>
      </c>
      <c r="J57" s="7"/>
      <c r="K57" s="52" t="str">
        <f>IFERROR(__xludf.DUMMYFUNCTION("""COMPUTED_VALUE"""),"Консультация по математике")</f>
        <v>Консультация по математике</v>
      </c>
      <c r="L57" s="7"/>
      <c r="M57" s="11" t="str">
        <f>IFERROR(__xludf.DUMMYFUNCTION("""COMPUTED_VALUE"""),"БАДМИНТОН")</f>
        <v>БАДМИНТОН</v>
      </c>
      <c r="N57" s="7"/>
      <c r="O57" s="8"/>
      <c r="P57" s="8"/>
    </row>
    <row r="58">
      <c r="A58" s="10"/>
      <c r="B58" s="7"/>
      <c r="C58" s="10"/>
      <c r="D58" s="7"/>
      <c r="E58" s="11" t="str">
        <f>IFERROR(__xludf.DUMMYFUNCTION("""COMPUTED_VALUE"""),"15.45-17.15")</f>
        <v>15.45-17.15</v>
      </c>
      <c r="F58" s="7"/>
      <c r="G58" s="11" t="str">
        <f>IFERROR(__xludf.DUMMYFUNCTION("""COMPUTED_VALUE"""),"15-17.30 девочки,15.45-17.30 мальчики")</f>
        <v>15-17.30 девочки,15.45-17.30 мальчики</v>
      </c>
      <c r="H58" s="7"/>
      <c r="I58" s="11" t="str">
        <f>IFERROR(__xludf.DUMMYFUNCTION("""COMPUTED_VALUE"""),"15.00-16.30")</f>
        <v>15.00-16.30</v>
      </c>
      <c r="J58" s="7"/>
      <c r="K58" s="52" t="str">
        <f>IFERROR(__xludf.DUMMYFUNCTION("""COMPUTED_VALUE"""),"15.45-17.00")</f>
        <v>15.45-17.00</v>
      </c>
      <c r="L58" s="7"/>
      <c r="M58" s="11" t="str">
        <f>IFERROR(__xludf.DUMMYFUNCTION("""COMPUTED_VALUE"""),"15.00-17.00")</f>
        <v>15.00-17.00</v>
      </c>
      <c r="N58" s="7"/>
      <c r="O58" s="8"/>
      <c r="P58" s="8"/>
    </row>
    <row r="59">
      <c r="A59" s="10"/>
      <c r="B59" s="7"/>
      <c r="C59" s="10"/>
      <c r="D59" s="7"/>
      <c r="E59" s="11" t="str">
        <f>IFERROR(__xludf.DUMMYFUNCTION("""COMPUTED_VALUE"""),"Миронов Е. В.")</f>
        <v>Миронов Е. В.</v>
      </c>
      <c r="F59" s="7"/>
      <c r="G59" s="11" t="str">
        <f>IFERROR(__xludf.DUMMYFUNCTION("""COMPUTED_VALUE"""),"Заричный А. А., Миронов Е. В.")</f>
        <v>Заричный А. А., Миронов Е. В.</v>
      </c>
      <c r="H59" s="7"/>
      <c r="I59" s="11" t="str">
        <f>IFERROR(__xludf.DUMMYFUNCTION("""COMPUTED_VALUE"""),"Меджалоглу С. С., Заричный А. А.")</f>
        <v>Меджалоглу С. С., Заричный А. А.</v>
      </c>
      <c r="J59" s="7"/>
      <c r="K59" s="52" t="str">
        <f>IFERROR(__xludf.DUMMYFUNCTION("""COMPUTED_VALUE"""),"Горюнова Н. В.")</f>
        <v>Горюнова Н. В.</v>
      </c>
      <c r="L59" s="7"/>
      <c r="M59" s="11" t="str">
        <f>IFERROR(__xludf.DUMMYFUNCTION("""COMPUTED_VALUE"""),"Седов Г. К.")</f>
        <v>Седов Г. К.</v>
      </c>
      <c r="N59" s="7"/>
      <c r="O59" s="8"/>
      <c r="P59" s="8"/>
    </row>
    <row r="60">
      <c r="A60" s="10"/>
      <c r="B60" s="7"/>
      <c r="C60" s="10"/>
      <c r="D60" s="7"/>
      <c r="E60" s="11" t="str">
        <f>IFERROR(__xludf.DUMMYFUNCTION("""COMPUTED_VALUE"""),"Код: 2039215")</f>
        <v>Код: 2039215</v>
      </c>
      <c r="F60" s="7"/>
      <c r="G60" s="11" t="str">
        <f>IFERROR(__xludf.DUMMYFUNCTION("""COMPUTED_VALUE"""),"Код: 2038776")</f>
        <v>Код: 2038776</v>
      </c>
      <c r="H60" s="7"/>
      <c r="I60" s="11" t="str">
        <f>IFERROR(__xludf.DUMMYFUNCTION("""COMPUTED_VALUE"""),"Код: 2038776")</f>
        <v>Код: 2038776</v>
      </c>
      <c r="J60" s="7"/>
      <c r="K60" s="52" t="str">
        <f>IFERROR(__xludf.DUMMYFUNCTION("""COMPUTED_VALUE"""),"8В, 8Д, 10Б")</f>
        <v>8В, 8Д, 10Б</v>
      </c>
      <c r="L60" s="7"/>
      <c r="M60" s="11" t="str">
        <f>IFERROR(__xludf.DUMMYFUNCTION("""COMPUTED_VALUE"""),"Код: 2033375")</f>
        <v>Код: 2033375</v>
      </c>
      <c r="N60" s="7"/>
      <c r="O60" s="8"/>
      <c r="P60" s="8"/>
    </row>
    <row r="61" ht="18.0" customHeight="1">
      <c r="A61" s="10"/>
      <c r="B61" s="7"/>
      <c r="C61" s="10"/>
      <c r="D61" s="7"/>
      <c r="E61" s="11" t="str">
        <f>IFERROR(__xludf.DUMMYFUNCTION("""COMPUTED_VALUE"""),"большой зал")</f>
        <v>большой зал</v>
      </c>
      <c r="F61" s="7"/>
      <c r="G61" s="11" t="str">
        <f>IFERROR(__xludf.DUMMYFUNCTION("""COMPUTED_VALUE"""),"большой зал")</f>
        <v>большой зал</v>
      </c>
      <c r="H61" s="7"/>
      <c r="I61" s="11" t="str">
        <f>IFERROR(__xludf.DUMMYFUNCTION("""COMPUTED_VALUE"""),"малый зал")</f>
        <v>малый зал</v>
      </c>
      <c r="J61" s="7"/>
      <c r="K61" s="52" t="str">
        <f>IFERROR(__xludf.DUMMYFUNCTION("""COMPUTED_VALUE"""),"с 18.09. в 33")</f>
        <v>с 18.09. в 33</v>
      </c>
      <c r="L61" s="7"/>
      <c r="M61" s="11" t="str">
        <f>IFERROR(__xludf.DUMMYFUNCTION("""COMPUTED_VALUE"""),"большой зал")</f>
        <v>большой зал</v>
      </c>
      <c r="N61" s="7"/>
      <c r="O61" s="8"/>
      <c r="P61" s="8"/>
    </row>
    <row r="62" ht="9.0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</row>
    <row r="63">
      <c r="A63" s="5"/>
      <c r="B63" s="58"/>
      <c r="C63" s="5"/>
      <c r="D63" s="58"/>
      <c r="E63" s="5"/>
      <c r="F63" s="58"/>
      <c r="G63" s="11" t="str">
        <f>IFERROR(__xludf.DUMMYFUNCTION("""COMPUTED_VALUE"""),"Волейбол")</f>
        <v>Волейбол</v>
      </c>
      <c r="H63" s="58"/>
      <c r="I63" s="5"/>
      <c r="J63" s="58"/>
      <c r="K63" s="11" t="str">
        <f>IFERROR(__xludf.DUMMYFUNCTION("""COMPUTED_VALUE"""),"Волейбол")</f>
        <v>Волейбол</v>
      </c>
      <c r="L63" s="58"/>
      <c r="M63" s="5"/>
      <c r="N63" s="58"/>
      <c r="O63" s="5"/>
      <c r="P63" s="5"/>
    </row>
    <row r="64">
      <c r="A64" s="5"/>
      <c r="B64" s="58"/>
      <c r="C64" s="5"/>
      <c r="D64" s="58"/>
      <c r="E64" s="5"/>
      <c r="F64" s="58"/>
      <c r="G64" s="11" t="str">
        <f>IFERROR(__xludf.DUMMYFUNCTION("""COMPUTED_VALUE"""),"18.30-20.30")</f>
        <v>18.30-20.30</v>
      </c>
      <c r="H64" s="58"/>
      <c r="I64" s="5"/>
      <c r="J64" s="58"/>
      <c r="K64" s="11" t="str">
        <f>IFERROR(__xludf.DUMMYFUNCTION("""COMPUTED_VALUE"""),"16.00-18.30")</f>
        <v>16.00-18.30</v>
      </c>
      <c r="L64" s="58"/>
      <c r="M64" s="5"/>
      <c r="N64" s="58"/>
      <c r="O64" s="5"/>
      <c r="P64" s="5"/>
    </row>
    <row r="65">
      <c r="A65" s="5"/>
      <c r="B65" s="58"/>
      <c r="C65" s="5"/>
      <c r="D65" s="58"/>
      <c r="E65" s="5"/>
      <c r="F65" s="58"/>
      <c r="G65" s="11" t="str">
        <f>IFERROR(__xludf.DUMMYFUNCTION("""COMPUTED_VALUE"""),"Васянин С. И.")</f>
        <v>Васянин С. И.</v>
      </c>
      <c r="H65" s="58"/>
      <c r="I65" s="5"/>
      <c r="J65" s="58"/>
      <c r="K65" s="11" t="str">
        <f>IFERROR(__xludf.DUMMYFUNCTION("""COMPUTED_VALUE"""),"Васянин С. И.")</f>
        <v>Васянин С. И.</v>
      </c>
      <c r="L65" s="58"/>
      <c r="M65" s="5"/>
      <c r="N65" s="58"/>
      <c r="O65" s="5"/>
      <c r="P65" s="5"/>
    </row>
    <row r="66">
      <c r="A66" s="5"/>
      <c r="B66" s="58"/>
      <c r="C66" s="5"/>
      <c r="D66" s="58"/>
      <c r="E66" s="5"/>
      <c r="F66" s="58"/>
      <c r="G66" s="11" t="str">
        <f>IFERROR(__xludf.DUMMYFUNCTION("""COMPUTED_VALUE"""),"Код: 2038599")</f>
        <v>Код: 2038599</v>
      </c>
      <c r="H66" s="58"/>
      <c r="I66" s="5"/>
      <c r="J66" s="58"/>
      <c r="K66" s="11" t="str">
        <f>IFERROR(__xludf.DUMMYFUNCTION("""COMPUTED_VALUE"""),"Код: 2038599")</f>
        <v>Код: 2038599</v>
      </c>
      <c r="L66" s="58"/>
      <c r="M66" s="5"/>
      <c r="N66" s="58"/>
      <c r="O66" s="5"/>
      <c r="P66" s="5"/>
    </row>
    <row r="67">
      <c r="A67" s="5"/>
      <c r="B67" s="58"/>
      <c r="C67" s="5"/>
      <c r="D67" s="58"/>
      <c r="E67" s="5"/>
      <c r="F67" s="58"/>
      <c r="G67" s="11" t="str">
        <f>IFERROR(__xludf.DUMMYFUNCTION("""COMPUTED_VALUE"""),"большой зал")</f>
        <v>большой зал</v>
      </c>
      <c r="H67" s="58"/>
      <c r="I67" s="5"/>
      <c r="J67" s="58"/>
      <c r="K67" s="11" t="str">
        <f>IFERROR(__xludf.DUMMYFUNCTION("""COMPUTED_VALUE"""),"большой зал")</f>
        <v>большой зал</v>
      </c>
      <c r="L67" s="58"/>
      <c r="M67" s="5"/>
      <c r="N67" s="58"/>
      <c r="O67" s="5"/>
      <c r="P67" s="5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17"/>
      <c r="L68" s="58"/>
      <c r="M68" s="58"/>
      <c r="N68" s="58"/>
      <c r="O68" s="5"/>
      <c r="P68" s="5"/>
    </row>
    <row r="69">
      <c r="A69" s="5"/>
      <c r="B69" s="58"/>
      <c r="C69" s="5"/>
      <c r="D69" s="58"/>
      <c r="E69" s="71" t="str">
        <f>IFERROR(__xludf.DUMMYFUNCTION("""COMPUTED_VALUE"""),"Исследовательская работа по химии")</f>
        <v>Исследовательская работа по химии</v>
      </c>
      <c r="F69" s="58"/>
      <c r="G69" s="5"/>
      <c r="H69" s="58"/>
      <c r="I69" s="90" t="str">
        <f>IFERROR(__xludf.DUMMYFUNCTION("""COMPUTED_VALUE"""),"Программирование для начинающих")</f>
        <v>Программирование для начинающих</v>
      </c>
      <c r="J69" s="58"/>
      <c r="K69" s="28" t="str">
        <f>IFERROR(__xludf.DUMMYFUNCTION("""COMPUTED_VALUE"""),"Немецкий язык ")</f>
        <v>Немецкий язык </v>
      </c>
      <c r="L69" s="58"/>
      <c r="M69" s="90" t="str">
        <f>IFERROR(__xludf.DUMMYFUNCTION("""COMPUTED_VALUE"""),"Программирование для начинающих")</f>
        <v>Программирование для начинающих</v>
      </c>
      <c r="N69" s="58"/>
      <c r="O69" s="5"/>
      <c r="P69" s="5"/>
    </row>
    <row r="70">
      <c r="A70" s="5"/>
      <c r="B70" s="58"/>
      <c r="C70" s="5"/>
      <c r="D70" s="58"/>
      <c r="E70" s="71" t="str">
        <f>IFERROR(__xludf.DUMMYFUNCTION("""COMPUTED_VALUE"""),"Код: 2032603")</f>
        <v>Код: 2032603</v>
      </c>
      <c r="F70" s="58"/>
      <c r="G70" s="5"/>
      <c r="H70" s="58"/>
      <c r="I70" s="90" t="str">
        <f>IFERROR(__xludf.DUMMYFUNCTION("""COMPUTED_VALUE"""),"15.45 - 18.15")</f>
        <v>15.45 - 18.15</v>
      </c>
      <c r="J70" s="58"/>
      <c r="K70" s="28" t="str">
        <f>IFERROR(__xludf.DUMMYFUNCTION("""COMPUTED_VALUE"""),"16.00-17.00")</f>
        <v>16.00-17.00</v>
      </c>
      <c r="L70" s="58"/>
      <c r="M70" s="90" t="str">
        <f>IFERROR(__xludf.DUMMYFUNCTION("""COMPUTED_VALUE"""),"14.50 - 17.20")</f>
        <v>14.50 - 17.20</v>
      </c>
      <c r="N70" s="58"/>
      <c r="O70" s="5"/>
      <c r="P70" s="5"/>
    </row>
    <row r="71">
      <c r="A71" s="5"/>
      <c r="B71" s="58"/>
      <c r="C71" s="5"/>
      <c r="D71" s="58"/>
      <c r="E71" s="71" t="str">
        <f>IFERROR(__xludf.DUMMYFUNCTION("""COMPUTED_VALUE"""),"15.45 - 17.15")</f>
        <v>15.45 - 17.15</v>
      </c>
      <c r="F71" s="58"/>
      <c r="G71" s="5"/>
      <c r="H71" s="58"/>
      <c r="I71" s="90" t="str">
        <f>IFERROR(__xludf.DUMMYFUNCTION("""COMPUTED_VALUE"""),"Чернов В. Е.")</f>
        <v>Чернов В. Е.</v>
      </c>
      <c r="J71" s="58"/>
      <c r="K71" s="28" t="str">
        <f>IFERROR(__xludf.DUMMYFUNCTION("""COMPUTED_VALUE"""),"Рукк М. Ф.")</f>
        <v>Рукк М. Ф.</v>
      </c>
      <c r="L71" s="58"/>
      <c r="M71" s="90" t="str">
        <f>IFERROR(__xludf.DUMMYFUNCTION("""COMPUTED_VALUE"""),"Чернов В. Е.")</f>
        <v>Чернов В. Е.</v>
      </c>
      <c r="N71" s="58"/>
      <c r="O71" s="5"/>
      <c r="P71" s="5"/>
    </row>
    <row r="72">
      <c r="A72" s="5"/>
      <c r="B72" s="58"/>
      <c r="C72" s="5"/>
      <c r="D72" s="58"/>
      <c r="E72" s="71" t="str">
        <f>IFERROR(__xludf.DUMMYFUNCTION("""COMPUTED_VALUE"""),"Шульгин А.Т.")</f>
        <v>Шульгин А.Т.</v>
      </c>
      <c r="F72" s="58"/>
      <c r="G72" s="5"/>
      <c r="H72" s="58"/>
      <c r="I72" s="90" t="str">
        <f>IFERROR(__xludf.DUMMYFUNCTION("""COMPUTED_VALUE"""),"Код: 2052417")</f>
        <v>Код: 2052417</v>
      </c>
      <c r="J72" s="58"/>
      <c r="K72" s="28" t="str">
        <f>IFERROR(__xludf.DUMMYFUNCTION("""COMPUTED_VALUE"""),"Код: 2077518")</f>
        <v>Код: 2077518</v>
      </c>
      <c r="L72" s="58"/>
      <c r="M72" s="90" t="str">
        <f>IFERROR(__xludf.DUMMYFUNCTION("""COMPUTED_VALUE"""),"Код: 2052417")</f>
        <v>Код: 2052417</v>
      </c>
      <c r="N72" s="58"/>
      <c r="O72" s="5"/>
      <c r="P72" s="5"/>
    </row>
    <row r="73">
      <c r="A73" s="5"/>
      <c r="B73" s="58"/>
      <c r="C73" s="5"/>
      <c r="D73" s="58"/>
      <c r="E73" s="71">
        <f>IFERROR(__xludf.DUMMYFUNCTION("""COMPUTED_VALUE"""),51.0)</f>
        <v>51</v>
      </c>
      <c r="F73" s="58"/>
      <c r="G73" s="5"/>
      <c r="H73" s="58"/>
      <c r="I73" s="90">
        <f>IFERROR(__xludf.DUMMYFUNCTION("""COMPUTED_VALUE"""),23.0)</f>
        <v>23</v>
      </c>
      <c r="J73" s="58"/>
      <c r="K73" s="28">
        <f>IFERROR(__xludf.DUMMYFUNCTION("""COMPUTED_VALUE"""),53.0)</f>
        <v>53</v>
      </c>
      <c r="L73" s="58"/>
      <c r="M73" s="90" t="str">
        <f>IFERROR(__xludf.DUMMYFUNCTION("""COMPUTED_VALUE"""),"24, 25, 26")</f>
        <v>24, 25, 26</v>
      </c>
      <c r="N73" s="58"/>
      <c r="O73" s="5"/>
      <c r="P73" s="5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</sheetData>
  <mergeCells count="3">
    <mergeCell ref="A3:A7"/>
    <mergeCell ref="A39:A43"/>
    <mergeCell ref="A45:A49"/>
  </mergeCells>
  <hyperlinks>
    <hyperlink r:id="rId1" ref="I9"/>
    <hyperlink r:id="rId2" ref="K15"/>
    <hyperlink r:id="rId3" ref="E33"/>
    <hyperlink r:id="rId4" ref="G33"/>
    <hyperlink r:id="rId5" ref="I33"/>
    <hyperlink r:id="rId6" ref="M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.63"/>
    <col customWidth="1" min="3" max="3" width="35.5"/>
    <col customWidth="1" min="4" max="4" width="1.63"/>
    <col customWidth="1" min="5" max="5" width="38.25"/>
    <col customWidth="1" min="6" max="6" width="1.75"/>
    <col customWidth="1" min="7" max="7" width="38.88"/>
    <col customWidth="1" min="8" max="8" width="1.63"/>
    <col customWidth="1" min="9" max="9" width="37.88"/>
    <col customWidth="1" min="10" max="10" width="1.5"/>
    <col customWidth="1" min="11" max="11" width="35.75"/>
    <col customWidth="1" min="12" max="12" width="1.88"/>
    <col customWidth="1" min="13" max="13" width="35.38"/>
    <col customWidth="1" min="14" max="14" width="2.0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</row>
    <row r="2">
      <c r="A2" s="6" t="str">
        <f>IFERROR(__xludf.DUMMYFUNCTION("IMPORTRANGE(""https://docs.google.com/spreadsheets/d/1RktLaT5GiT1q9_lejLsOtigGXC6_6STQuI7nfprWzdM/edit#gid=0"",""расписание кружков!a383:n445"")"),"11 класс")</f>
        <v>11 класс</v>
      </c>
      <c r="B2" s="7"/>
      <c r="C2" s="6" t="str">
        <f>IFERROR(__xludf.DUMMYFUNCTION("""COMPUTED_VALUE"""),"11 класс")</f>
        <v>11 класс</v>
      </c>
      <c r="D2" s="7"/>
      <c r="E2" s="6" t="str">
        <f>IFERROR(__xludf.DUMMYFUNCTION("""COMPUTED_VALUE"""),"11 класс")</f>
        <v>11 класс</v>
      </c>
      <c r="F2" s="7"/>
      <c r="G2" s="6" t="str">
        <f>IFERROR(__xludf.DUMMYFUNCTION("""COMPUTED_VALUE"""),"11 класс")</f>
        <v>11 класс</v>
      </c>
      <c r="H2" s="7"/>
      <c r="I2" s="6" t="str">
        <f>IFERROR(__xludf.DUMMYFUNCTION("""COMPUTED_VALUE"""),"11 класс")</f>
        <v>11 класс</v>
      </c>
      <c r="J2" s="7"/>
      <c r="K2" s="6" t="str">
        <f>IFERROR(__xludf.DUMMYFUNCTION("""COMPUTED_VALUE"""),"11 класс")</f>
        <v>11 класс</v>
      </c>
      <c r="L2" s="7"/>
      <c r="M2" s="6" t="str">
        <f>IFERROR(__xludf.DUMMYFUNCTION("""COMPUTED_VALUE"""),"11 класс")</f>
        <v>11 класс</v>
      </c>
      <c r="N2" s="7"/>
      <c r="O2" s="8"/>
    </row>
    <row r="3">
      <c r="A3" s="123"/>
      <c r="B3" s="7"/>
      <c r="C3" s="10"/>
      <c r="D3" s="7"/>
      <c r="E3" s="124" t="str">
        <f>IFERROR(__xludf.DUMMYFUNCTION("""COMPUTED_VALUE"""),"Олимпиадная астрономия")</f>
        <v>Олимпиадная астрономия</v>
      </c>
      <c r="F3" s="7"/>
      <c r="G3" s="10"/>
      <c r="H3" s="7"/>
      <c r="I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" s="7"/>
      <c r="K3" s="41" t="str">
        <f>IFERROR(__xludf.DUMMYFUNCTION("""COMPUTED_VALUE"""),"Скорая физическая помощь")</f>
        <v>Скорая физическая помощь</v>
      </c>
      <c r="L3" s="7"/>
      <c r="M3" s="42" t="str">
        <f>IFERROR(__xludf.DUMMYFUNCTION("""COMPUTED_VALUE"""),"Олипиада Физ-Тех")</f>
        <v>Олипиада Физ-Тех</v>
      </c>
      <c r="N3" s="7"/>
      <c r="O3" s="8"/>
    </row>
    <row r="4">
      <c r="A4" s="123"/>
      <c r="B4" s="7"/>
      <c r="C4" s="10"/>
      <c r="D4" s="7"/>
      <c r="E4" s="124" t="str">
        <f>IFERROR(__xludf.DUMMYFUNCTION("""COMPUTED_VALUE"""),"16.00 - 18.00")</f>
        <v>16.00 - 18.00</v>
      </c>
      <c r="F4" s="7"/>
      <c r="G4" s="10"/>
      <c r="H4" s="7"/>
      <c r="I4" s="19" t="str">
        <f>IFERROR(__xludf.DUMMYFUNCTION("""COMPUTED_VALUE"""),"15:00 - 17:00")</f>
        <v>15:00 - 17:00</v>
      </c>
      <c r="J4" s="7"/>
      <c r="K4" s="41" t="str">
        <f>IFERROR(__xludf.DUMMYFUNCTION("""COMPUTED_VALUE"""),"15.45 - 17.45")</f>
        <v>15.45 - 17.45</v>
      </c>
      <c r="L4" s="7"/>
      <c r="M4" s="42" t="str">
        <f>IFERROR(__xludf.DUMMYFUNCTION("""COMPUTED_VALUE"""),"15.00 - 17.00")</f>
        <v>15.00 - 17.00</v>
      </c>
      <c r="N4" s="7"/>
      <c r="O4" s="8"/>
    </row>
    <row r="5">
      <c r="A5" s="123"/>
      <c r="B5" s="7"/>
      <c r="C5" s="10"/>
      <c r="D5" s="7"/>
      <c r="E5" s="124" t="str">
        <f>IFERROR(__xludf.DUMMYFUNCTION("""COMPUTED_VALUE"""),"Безбородова И.Н.")</f>
        <v>Безбородова И.Н.</v>
      </c>
      <c r="F5" s="7"/>
      <c r="G5" s="10"/>
      <c r="H5" s="7"/>
      <c r="I5" s="19" t="str">
        <f>IFERROR(__xludf.DUMMYFUNCTION("""COMPUTED_VALUE"""),"Струговщиков В.В.")</f>
        <v>Струговщиков В.В.</v>
      </c>
      <c r="J5" s="7"/>
      <c r="K5" s="41" t="str">
        <f>IFERROR(__xludf.DUMMYFUNCTION("""COMPUTED_VALUE"""),"Гук Н.Д.")</f>
        <v>Гук Н.Д.</v>
      </c>
      <c r="L5" s="7"/>
      <c r="M5" s="42" t="str">
        <f>IFERROR(__xludf.DUMMYFUNCTION("""COMPUTED_VALUE"""),"Кондратьев А.В.")</f>
        <v>Кондратьев А.В.</v>
      </c>
      <c r="N5" s="7"/>
      <c r="O5" s="8"/>
    </row>
    <row r="6">
      <c r="A6" s="123"/>
      <c r="B6" s="7"/>
      <c r="C6" s="10"/>
      <c r="D6" s="7"/>
      <c r="E6" s="124" t="str">
        <f>IFERROR(__xludf.DUMMYFUNCTION("""COMPUTED_VALUE"""),".")</f>
        <v>.</v>
      </c>
      <c r="F6" s="7"/>
      <c r="G6" s="10"/>
      <c r="H6" s="7"/>
      <c r="I6" s="19" t="str">
        <f>IFERROR(__xludf.DUMMYFUNCTION("""COMPUTED_VALUE"""),"Код: 2031075")</f>
        <v>Код: 2031075</v>
      </c>
      <c r="J6" s="7"/>
      <c r="K6" s="41" t="str">
        <f>IFERROR(__xludf.DUMMYFUNCTION("""COMPUTED_VALUE"""),"Код: 2033029")</f>
        <v>Код: 2033029</v>
      </c>
      <c r="L6" s="7"/>
      <c r="M6" s="42" t="str">
        <f>IFERROR(__xludf.DUMMYFUNCTION("""COMPUTED_VALUE"""),"Код: 2052390")</f>
        <v>Код: 2052390</v>
      </c>
      <c r="N6" s="7"/>
      <c r="O6" s="8"/>
    </row>
    <row r="7">
      <c r="A7" s="123"/>
      <c r="B7" s="7"/>
      <c r="C7" s="10"/>
      <c r="D7" s="7"/>
      <c r="E7" s="124">
        <f>IFERROR(__xludf.DUMMYFUNCTION("""COMPUTED_VALUE"""),415.0)</f>
        <v>415</v>
      </c>
      <c r="F7" s="7"/>
      <c r="G7" s="10"/>
      <c r="H7" s="7"/>
      <c r="I7" s="19">
        <f>IFERROR(__xludf.DUMMYFUNCTION("""COMPUTED_VALUE"""),312.0)</f>
        <v>312</v>
      </c>
      <c r="J7" s="7"/>
      <c r="K7" s="41">
        <f>IFERROR(__xludf.DUMMYFUNCTION("""COMPUTED_VALUE"""),414.0)</f>
        <v>414</v>
      </c>
      <c r="L7" s="7"/>
      <c r="M7" s="42">
        <f>IFERROR(__xludf.DUMMYFUNCTION("""COMPUTED_VALUE"""),415.0)</f>
        <v>415</v>
      </c>
      <c r="N7" s="7"/>
      <c r="O7" s="8"/>
    </row>
    <row r="8" ht="9.75" customHeight="1">
      <c r="A8" s="12"/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</row>
    <row r="9">
      <c r="A9" s="10"/>
      <c r="B9" s="7"/>
      <c r="C9" s="10"/>
      <c r="D9" s="7"/>
      <c r="E9" s="95" t="str">
        <f>IFERROR(__xludf.DUMMYFUNCTION("""COMPUTED_VALUE"""),"Практикум IoT")</f>
        <v>Практикум IoT</v>
      </c>
      <c r="F9" s="7"/>
      <c r="G9" s="27"/>
      <c r="H9" s="7"/>
      <c r="I9" s="117" t="str">
        <f>IFERROR(__xludf.DUMMYFUNCTION("""COMPUTED_VALUE"""),"Почитаем вместе")</f>
        <v>Почитаем вместе</v>
      </c>
      <c r="J9" s="7"/>
      <c r="K9" s="94" t="str">
        <f>IFERROR(__xludf.DUMMYFUNCTION("""COMPUTED_VALUE"""),"Подготовка проектов к ВсОШ и конкурсам")</f>
        <v>Подготовка проектов к ВсОШ и конкурсам</v>
      </c>
      <c r="L9" s="7"/>
      <c r="M9" s="28" t="str">
        <f>IFERROR(__xludf.DUMMYFUNCTION("""COMPUTED_VALUE"""),"Олимпиадный английский язык")</f>
        <v>Олимпиадный английский язык</v>
      </c>
      <c r="N9" s="7"/>
      <c r="O9" s="8"/>
    </row>
    <row r="10">
      <c r="A10" s="10"/>
      <c r="B10" s="7"/>
      <c r="C10" s="10"/>
      <c r="D10" s="7"/>
      <c r="E10" s="94" t="str">
        <f>IFERROR(__xludf.DUMMYFUNCTION("""COMPUTED_VALUE"""),"16:30 - 18:00")</f>
        <v>16:30 - 18:00</v>
      </c>
      <c r="F10" s="7"/>
      <c r="G10" s="27"/>
      <c r="H10" s="7"/>
      <c r="I10" s="118" t="str">
        <f>IFERROR(__xludf.DUMMYFUNCTION("""COMPUTED_VALUE"""),"15.45-17.15")</f>
        <v>15.45-17.15</v>
      </c>
      <c r="J10" s="7"/>
      <c r="K10" s="94" t="str">
        <f>IFERROR(__xludf.DUMMYFUNCTION("""COMPUTED_VALUE"""),"15.00 - 18.00")</f>
        <v>15.00 - 18.00</v>
      </c>
      <c r="L10" s="7"/>
      <c r="M10" s="28" t="str">
        <f>IFERROR(__xludf.DUMMYFUNCTION("""COMPUTED_VALUE"""),"18.00-19.30")</f>
        <v>18.00-19.30</v>
      </c>
      <c r="N10" s="7"/>
      <c r="O10" s="8"/>
    </row>
    <row r="11">
      <c r="A11" s="10"/>
      <c r="B11" s="7"/>
      <c r="C11" s="10"/>
      <c r="D11" s="7"/>
      <c r="E11" s="94" t="str">
        <f>IFERROR(__xludf.DUMMYFUNCTION("""COMPUTED_VALUE"""),"Дементьев Ю.Н.")</f>
        <v>Дементьев Ю.Н.</v>
      </c>
      <c r="F11" s="7"/>
      <c r="G11" s="27"/>
      <c r="H11" s="7"/>
      <c r="I11" s="118" t="str">
        <f>IFERROR(__xludf.DUMMYFUNCTION("""COMPUTED_VALUE"""),"Петрухина Ю. Б.")</f>
        <v>Петрухина Ю. Б.</v>
      </c>
      <c r="J11" s="7"/>
      <c r="K11" s="94" t="str">
        <f>IFERROR(__xludf.DUMMYFUNCTION("""COMPUTED_VALUE"""),"Дементьев Ю.Н.")</f>
        <v>Дементьев Ю.Н.</v>
      </c>
      <c r="L11" s="7"/>
      <c r="M11" s="28" t="str">
        <f>IFERROR(__xludf.DUMMYFUNCTION("""COMPUTED_VALUE"""),"Тевелева А. ")</f>
        <v>Тевелева А. </v>
      </c>
      <c r="N11" s="7"/>
      <c r="O11" s="8"/>
    </row>
    <row r="12">
      <c r="A12" s="10"/>
      <c r="B12" s="7"/>
      <c r="C12" s="10"/>
      <c r="D12" s="7"/>
      <c r="E12" s="94" t="str">
        <f>IFERROR(__xludf.DUMMYFUNCTION("""COMPUTED_VALUE"""),"Код: 2030967
")</f>
        <v>Код: 2030967
</v>
      </c>
      <c r="F12" s="7"/>
      <c r="G12" s="27"/>
      <c r="H12" s="7"/>
      <c r="I12" s="118" t="str">
        <f>IFERROR(__xludf.DUMMYFUNCTION("""COMPUTED_VALUE"""),"Код: 2032103")</f>
        <v>Код: 2032103</v>
      </c>
      <c r="J12" s="7"/>
      <c r="K12" s="94" t="str">
        <f>IFERROR(__xludf.DUMMYFUNCTION("""COMPUTED_VALUE"""),"Код: 2031020")</f>
        <v>Код: 2031020</v>
      </c>
      <c r="L12" s="7"/>
      <c r="M12" s="28" t="str">
        <f>IFERROR(__xludf.DUMMYFUNCTION("""COMPUTED_VALUE"""),"Код: 2035254")</f>
        <v>Код: 2035254</v>
      </c>
      <c r="N12" s="7"/>
      <c r="O12" s="8"/>
    </row>
    <row r="13">
      <c r="A13" s="10"/>
      <c r="B13" s="7"/>
      <c r="C13" s="10"/>
      <c r="D13" s="7"/>
      <c r="E13" s="94">
        <f>IFERROR(__xludf.DUMMYFUNCTION("""COMPUTED_VALUE"""),312.0)</f>
        <v>312</v>
      </c>
      <c r="F13" s="7"/>
      <c r="G13" s="27"/>
      <c r="H13" s="7"/>
      <c r="I13" s="118">
        <f>IFERROR(__xludf.DUMMYFUNCTION("""COMPUTED_VALUE"""),309.0)</f>
        <v>309</v>
      </c>
      <c r="J13" s="7"/>
      <c r="K13" s="94">
        <f>IFERROR(__xludf.DUMMYFUNCTION("""COMPUTED_VALUE"""),312.0)</f>
        <v>312</v>
      </c>
      <c r="L13" s="7"/>
      <c r="M13" s="28" t="str">
        <f>IFERROR(__xludf.DUMMYFUNCTION("""COMPUTED_VALUE"""),"онлайн")</f>
        <v>онлайн</v>
      </c>
      <c r="N13" s="7"/>
      <c r="O13" s="8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</row>
    <row r="15" ht="33.75" customHeight="1">
      <c r="A15" s="10"/>
      <c r="B15" s="7"/>
      <c r="C15" s="10"/>
      <c r="D15" s="7"/>
      <c r="E15" s="74" t="str">
        <f>IFERROR(__xludf.DUMMYFUNCTION("""COMPUTED_VALUE"""),"Олимпиадная экономика")</f>
        <v>Олимпиадная экономика</v>
      </c>
      <c r="F15" s="7"/>
      <c r="G15" s="74" t="str">
        <f>IFERROR(__xludf.DUMMYFUNCTION("""COMPUTED_VALUE"""),"Олимпиадная экономика")</f>
        <v>Олимпиадная экономика</v>
      </c>
      <c r="H15" s="7"/>
      <c r="I15" s="45" t="str">
        <f>IFERROR(__xludf.DUMMYFUNCTION("""COMPUTED_VALUE"""),"Подготовка к ЕГЭ по РЯ для 11 А,Б")</f>
        <v>Подготовка к ЕГЭ по РЯ для 11 А,Б</v>
      </c>
      <c r="J15" s="7"/>
      <c r="K15" s="10"/>
      <c r="L15" s="7"/>
      <c r="M15" s="62" t="str">
        <f>IFERROR(__xludf.DUMMYFUNCTION("""COMPUTED_VALUE"""),"Базовое программирование ")</f>
        <v>Базовое программирование </v>
      </c>
      <c r="N15" s="7"/>
      <c r="O15" s="8"/>
    </row>
    <row r="16">
      <c r="A16" s="10"/>
      <c r="B16" s="7"/>
      <c r="C16" s="10"/>
      <c r="D16" s="7"/>
      <c r="E16" s="74" t="str">
        <f>IFERROR(__xludf.DUMMYFUNCTION("""COMPUTED_VALUE"""),"11.45-13.35")</f>
        <v>11.45-13.35</v>
      </c>
      <c r="F16" s="7"/>
      <c r="G16" s="74" t="str">
        <f>IFERROR(__xludf.DUMMYFUNCTION("""COMPUTED_VALUE"""),"15.45-17.30")</f>
        <v>15.45-17.30</v>
      </c>
      <c r="H16" s="7"/>
      <c r="I16" s="45" t="str">
        <f>IFERROR(__xludf.DUMMYFUNCTION("""COMPUTED_VALUE"""),"15.00-16.30")</f>
        <v>15.00-16.30</v>
      </c>
      <c r="J16" s="7"/>
      <c r="K16" s="10"/>
      <c r="L16" s="7"/>
      <c r="M16" s="62" t="str">
        <f>IFERROR(__xludf.DUMMYFUNCTION("""COMPUTED_VALUE"""),"15.00-17.30")</f>
        <v>15.00-17.30</v>
      </c>
      <c r="N16" s="7"/>
      <c r="O16" s="8"/>
    </row>
    <row r="17">
      <c r="A17" s="10"/>
      <c r="B17" s="7"/>
      <c r="C17" s="10"/>
      <c r="D17" s="7"/>
      <c r="E17" s="74" t="str">
        <f>IFERROR(__xludf.DUMMYFUNCTION("""COMPUTED_VALUE"""),"Елицур Д. А.")</f>
        <v>Елицур Д. А.</v>
      </c>
      <c r="F17" s="7"/>
      <c r="G17" s="74" t="str">
        <f>IFERROR(__xludf.DUMMYFUNCTION("""COMPUTED_VALUE"""),"Белёв С. Г.")</f>
        <v>Белёв С. Г.</v>
      </c>
      <c r="H17" s="7"/>
      <c r="I17" s="45" t="str">
        <f>IFERROR(__xludf.DUMMYFUNCTION("""COMPUTED_VALUE"""),"Консультация")</f>
        <v>Консультация</v>
      </c>
      <c r="J17" s="7"/>
      <c r="K17" s="10"/>
      <c r="L17" s="7"/>
      <c r="M17" s="62" t="str">
        <f>IFERROR(__xludf.DUMMYFUNCTION("""COMPUTED_VALUE"""),"Степашин Е. А.")</f>
        <v>Степашин Е. А.</v>
      </c>
      <c r="N17" s="7"/>
      <c r="O17" s="8"/>
    </row>
    <row r="18">
      <c r="A18" s="10"/>
      <c r="B18" s="7"/>
      <c r="C18" s="10"/>
      <c r="D18" s="7"/>
      <c r="E18" s="74" t="str">
        <f>IFERROR(__xludf.DUMMYFUNCTION("""COMPUTED_VALUE"""),"Код: 2077394")</f>
        <v>Код: 2077394</v>
      </c>
      <c r="F18" s="7"/>
      <c r="G18" s="74" t="str">
        <f>IFERROR(__xludf.DUMMYFUNCTION("""COMPUTED_VALUE"""),"Код: 2077394")</f>
        <v>Код: 2077394</v>
      </c>
      <c r="H18" s="7"/>
      <c r="I18" s="45" t="str">
        <f>IFERROR(__xludf.DUMMYFUNCTION("""COMPUTED_VALUE"""),"Подрезкова Т. В.")</f>
        <v>Подрезкова Т. В.</v>
      </c>
      <c r="J18" s="7"/>
      <c r="K18" s="10"/>
      <c r="L18" s="7"/>
      <c r="M18" s="62" t="str">
        <f>IFERROR(__xludf.DUMMYFUNCTION("""COMPUTED_VALUE"""),"Код: 2054892")</f>
        <v>Код: 2054892</v>
      </c>
      <c r="N18" s="7"/>
      <c r="O18" s="8"/>
    </row>
    <row r="19">
      <c r="A19" s="10"/>
      <c r="B19" s="7"/>
      <c r="C19" s="10"/>
      <c r="D19" s="7"/>
      <c r="E19" s="74">
        <f>IFERROR(__xludf.DUMMYFUNCTION("""COMPUTED_VALUE"""),47.0)</f>
        <v>47</v>
      </c>
      <c r="F19" s="7"/>
      <c r="G19" s="74">
        <f>IFERROR(__xludf.DUMMYFUNCTION("""COMPUTED_VALUE"""),310.0)</f>
        <v>310</v>
      </c>
      <c r="H19" s="7"/>
      <c r="I19" s="45">
        <f>IFERROR(__xludf.DUMMYFUNCTION("""COMPUTED_VALUE"""),40.0)</f>
        <v>40</v>
      </c>
      <c r="J19" s="7"/>
      <c r="K19" s="10"/>
      <c r="L19" s="7"/>
      <c r="M19" s="62" t="str">
        <f>IFERROR(__xludf.DUMMYFUNCTION("""COMPUTED_VALUE"""),"24 ,25, 26")</f>
        <v>24 ,25, 26</v>
      </c>
      <c r="N19" s="7"/>
      <c r="O19" s="8"/>
    </row>
    <row r="20" ht="7.5" customHeight="1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</row>
    <row r="21">
      <c r="A21" s="10"/>
      <c r="B21" s="7"/>
      <c r="C21" s="10"/>
      <c r="D21" s="7"/>
      <c r="E21" s="71" t="str">
        <f>IFERROR(__xludf.DUMMYFUNCTION("""COMPUTED_VALUE"""),"Исследовательская работа по химии")</f>
        <v>Исследовательская работа по химии</v>
      </c>
      <c r="F21" s="7"/>
      <c r="G21" s="11" t="str">
        <f>IFERROR(__xludf.DUMMYFUNCTION("""COMPUTED_VALUE"""),"Волейбол")</f>
        <v>Волейбол</v>
      </c>
      <c r="H21" s="7"/>
      <c r="I21" s="32" t="str">
        <f>IFERROR(__xludf.DUMMYFUNCTION("""COMPUTED_VALUE"""),"Решение заданий повышенной сложности в формате ЕГЭ по информатике для непрофильных подгрупп")</f>
        <v>Решение заданий повышенной сложности в формате ЕГЭ по информатике для непрофильных подгрупп</v>
      </c>
      <c r="J21" s="7"/>
      <c r="K21" s="11" t="str">
        <f>IFERROR(__xludf.DUMMYFUNCTION("""COMPUTED_VALUE"""),"Волейбол")</f>
        <v>Волейбол</v>
      </c>
      <c r="L21" s="7"/>
      <c r="M21" s="85" t="str">
        <f>IFERROR(__xludf.DUMMYFUNCTION("""COMPUTED_VALUE"""),"Программирование для начинающих")</f>
        <v>Программирование для начинающих</v>
      </c>
      <c r="N21" s="7"/>
      <c r="O21" s="8"/>
    </row>
    <row r="22">
      <c r="A22" s="10"/>
      <c r="B22" s="7"/>
      <c r="C22" s="10"/>
      <c r="D22" s="7"/>
      <c r="E22" s="71" t="str">
        <f>IFERROR(__xludf.DUMMYFUNCTION("""COMPUTED_VALUE"""),"Код: 2032603")</f>
        <v>Код: 2032603</v>
      </c>
      <c r="F22" s="7"/>
      <c r="G22" s="11" t="str">
        <f>IFERROR(__xludf.DUMMYFUNCTION("""COMPUTED_VALUE"""),"18.30-20.30")</f>
        <v>18.30-20.30</v>
      </c>
      <c r="H22" s="7"/>
      <c r="I22" s="32" t="str">
        <f>IFERROR(__xludf.DUMMYFUNCTION("""COMPUTED_VALUE"""),"15.00-17.00")</f>
        <v>15.00-17.00</v>
      </c>
      <c r="J22" s="7"/>
      <c r="K22" s="11" t="str">
        <f>IFERROR(__xludf.DUMMYFUNCTION("""COMPUTED_VALUE"""),"16.00-18.30")</f>
        <v>16.00-18.30</v>
      </c>
      <c r="L22" s="7"/>
      <c r="M22" s="85" t="str">
        <f>IFERROR(__xludf.DUMMYFUNCTION("""COMPUTED_VALUE"""),"14.50 - 17.20")</f>
        <v>14.50 - 17.20</v>
      </c>
      <c r="N22" s="7"/>
      <c r="O22" s="8"/>
    </row>
    <row r="23">
      <c r="A23" s="10"/>
      <c r="B23" s="7"/>
      <c r="C23" s="10"/>
      <c r="D23" s="7"/>
      <c r="E23" s="71" t="str">
        <f>IFERROR(__xludf.DUMMYFUNCTION("""COMPUTED_VALUE"""),"15.45 - 17.15")</f>
        <v>15.45 - 17.15</v>
      </c>
      <c r="F23" s="7"/>
      <c r="G23" s="11" t="str">
        <f>IFERROR(__xludf.DUMMYFUNCTION("""COMPUTED_VALUE"""),"Васянин С. И.")</f>
        <v>Васянин С. И.</v>
      </c>
      <c r="H23" s="7"/>
      <c r="I23" s="32" t="str">
        <f>IFERROR(__xludf.DUMMYFUNCTION("""COMPUTED_VALUE"""),"Пенкина А. Е.")</f>
        <v>Пенкина А. Е.</v>
      </c>
      <c r="J23" s="7"/>
      <c r="K23" s="11" t="str">
        <f>IFERROR(__xludf.DUMMYFUNCTION("""COMPUTED_VALUE"""),"Васянин С. И.")</f>
        <v>Васянин С. И.</v>
      </c>
      <c r="L23" s="7"/>
      <c r="M23" s="85" t="str">
        <f>IFERROR(__xludf.DUMMYFUNCTION("""COMPUTED_VALUE"""),"Чернов В. Е.")</f>
        <v>Чернов В. Е.</v>
      </c>
      <c r="N23" s="7"/>
      <c r="O23" s="8"/>
    </row>
    <row r="24">
      <c r="A24" s="10"/>
      <c r="B24" s="7"/>
      <c r="C24" s="10"/>
      <c r="D24" s="7"/>
      <c r="E24" s="71" t="str">
        <f>IFERROR(__xludf.DUMMYFUNCTION("""COMPUTED_VALUE"""),"Шульгин А.Т.")</f>
        <v>Шульгин А.Т.</v>
      </c>
      <c r="F24" s="7"/>
      <c r="G24" s="11" t="str">
        <f>IFERROR(__xludf.DUMMYFUNCTION("""COMPUTED_VALUE"""),"Код: 2038599")</f>
        <v>Код: 2038599</v>
      </c>
      <c r="H24" s="7"/>
      <c r="I24" s="32" t="str">
        <f>IFERROR(__xludf.DUMMYFUNCTION("""COMPUTED_VALUE"""),"Код: 2054900")</f>
        <v>Код: 2054900</v>
      </c>
      <c r="J24" s="7"/>
      <c r="K24" s="11" t="str">
        <f>IFERROR(__xludf.DUMMYFUNCTION("""COMPUTED_VALUE"""),"Код: 2038599")</f>
        <v>Код: 2038599</v>
      </c>
      <c r="L24" s="7"/>
      <c r="M24" s="85" t="str">
        <f>IFERROR(__xludf.DUMMYFUNCTION("""COMPUTED_VALUE"""),"Код: 2052417")</f>
        <v>Код: 2052417</v>
      </c>
      <c r="N24" s="7"/>
      <c r="O24" s="8"/>
    </row>
    <row r="25">
      <c r="A25" s="10"/>
      <c r="B25" s="7"/>
      <c r="C25" s="10"/>
      <c r="D25" s="7"/>
      <c r="E25" s="71">
        <f>IFERROR(__xludf.DUMMYFUNCTION("""COMPUTED_VALUE"""),51.0)</f>
        <v>51</v>
      </c>
      <c r="F25" s="7"/>
      <c r="G25" s="11" t="str">
        <f>IFERROR(__xludf.DUMMYFUNCTION("""COMPUTED_VALUE"""),"большой зал")</f>
        <v>большой зал</v>
      </c>
      <c r="H25" s="7"/>
      <c r="I25" s="32">
        <f>IFERROR(__xludf.DUMMYFUNCTION("""COMPUTED_VALUE"""),26.0)</f>
        <v>26</v>
      </c>
      <c r="J25" s="7"/>
      <c r="K25" s="11" t="str">
        <f>IFERROR(__xludf.DUMMYFUNCTION("""COMPUTED_VALUE"""),"большой зал")</f>
        <v>большой зал</v>
      </c>
      <c r="L25" s="7"/>
      <c r="M25" s="85" t="str">
        <f>IFERROR(__xludf.DUMMYFUNCTION("""COMPUTED_VALUE"""),"24, 25, 26")</f>
        <v>24, 25, 26</v>
      </c>
      <c r="N25" s="7"/>
      <c r="O25" s="8"/>
    </row>
    <row r="26" ht="11.25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</row>
    <row r="27">
      <c r="A27" s="10"/>
      <c r="B27" s="7"/>
      <c r="C27" s="54" t="str">
        <f>IFERROR(__xludf.DUMMYFUNCTION("""COMPUTED_VALUE"""),"Экология. Экологические проекты")</f>
        <v>Экология. Экологические проекты</v>
      </c>
      <c r="D27" s="7"/>
      <c r="E27" s="116" t="str">
        <f>IFERROR(__xludf.DUMMYFUNCTION("""COMPUTED_VALUE"""),"Экология. Экологические проекты")</f>
        <v>Экология. Экологические проекты</v>
      </c>
      <c r="F27" s="7"/>
      <c r="G27" s="54" t="str">
        <f>IFERROR(__xludf.DUMMYFUNCTION("""COMPUTED_VALUE"""),"Экология. Экологические проекты")</f>
        <v>Экология. Экологические проекты</v>
      </c>
      <c r="H27" s="7"/>
      <c r="I27" s="54" t="str">
        <f>IFERROR(__xludf.DUMMYFUNCTION("""COMPUTED_VALUE"""),"Экология. Экологические проекты")</f>
        <v>Экология. Экологические проекты</v>
      </c>
      <c r="J27" s="7"/>
      <c r="K27" s="54" t="str">
        <f>IFERROR(__xludf.DUMMYFUNCTION("""COMPUTED_VALUE"""),"Экология. Экологические проекты")</f>
        <v>Экология. Экологические проекты</v>
      </c>
      <c r="L27" s="7"/>
      <c r="M27" s="54" t="str">
        <f>IFERROR(__xludf.DUMMYFUNCTION("""COMPUTED_VALUE"""),"Экологические проекты")</f>
        <v>Экологические проекты</v>
      </c>
      <c r="N27" s="7"/>
      <c r="O27" s="8"/>
    </row>
    <row r="28">
      <c r="A28" s="10"/>
      <c r="B28" s="7"/>
      <c r="C28" s="54" t="str">
        <f>IFERROR(__xludf.DUMMYFUNCTION("""COMPUTED_VALUE"""),"19.00-20.30")</f>
        <v>19.00-20.30</v>
      </c>
      <c r="D28" s="7"/>
      <c r="E28" s="116" t="str">
        <f>IFERROR(__xludf.DUMMYFUNCTION("""COMPUTED_VALUE"""),"19.00-20.30")</f>
        <v>19.00-20.30</v>
      </c>
      <c r="F28" s="7"/>
      <c r="G28" s="54" t="str">
        <f>IFERROR(__xludf.DUMMYFUNCTION("""COMPUTED_VALUE"""),"19.00-20.30")</f>
        <v>19.00-20.30</v>
      </c>
      <c r="H28" s="7"/>
      <c r="I28" s="54" t="str">
        <f>IFERROR(__xludf.DUMMYFUNCTION("""COMPUTED_VALUE"""),"19.00-20.30")</f>
        <v>19.00-20.30</v>
      </c>
      <c r="J28" s="7"/>
      <c r="K28" s="54" t="str">
        <f>IFERROR(__xludf.DUMMYFUNCTION("""COMPUTED_VALUE"""),"19.00-20.30")</f>
        <v>19.00-20.30</v>
      </c>
      <c r="L28" s="7"/>
      <c r="M28" s="54" t="str">
        <f>IFERROR(__xludf.DUMMYFUNCTION("""COMPUTED_VALUE"""),"19.00-20.30")</f>
        <v>19.00-20.30</v>
      </c>
      <c r="N28" s="7"/>
      <c r="O28" s="8"/>
    </row>
    <row r="29">
      <c r="A29" s="10"/>
      <c r="B29" s="7"/>
      <c r="C29" s="54" t="str">
        <f>IFERROR(__xludf.DUMMYFUNCTION("""COMPUTED_VALUE"""),"Пономарева Н. Л.")</f>
        <v>Пономарева Н. Л.</v>
      </c>
      <c r="D29" s="7"/>
      <c r="E29" s="116" t="str">
        <f>IFERROR(__xludf.DUMMYFUNCTION("""COMPUTED_VALUE"""),"Пономарева Н. Л.")</f>
        <v>Пономарева Н. Л.</v>
      </c>
      <c r="F29" s="7"/>
      <c r="G29" s="54" t="str">
        <f>IFERROR(__xludf.DUMMYFUNCTION("""COMPUTED_VALUE"""),"Пономарева Н. Л.")</f>
        <v>Пономарева Н. Л.</v>
      </c>
      <c r="H29" s="7"/>
      <c r="I29" s="54" t="str">
        <f>IFERROR(__xludf.DUMMYFUNCTION("""COMPUTED_VALUE"""),"Пономарева Н. Л.")</f>
        <v>Пономарева Н. Л.</v>
      </c>
      <c r="J29" s="7"/>
      <c r="K29" s="54" t="str">
        <f>IFERROR(__xludf.DUMMYFUNCTION("""COMPUTED_VALUE"""),"Пономарева Н. Л.")</f>
        <v>Пономарева Н. Л.</v>
      </c>
      <c r="L29" s="7"/>
      <c r="M29" s="54" t="str">
        <f>IFERROR(__xludf.DUMMYFUNCTION("""COMPUTED_VALUE"""),"Пономарева Н. Л.")</f>
        <v>Пономарева Н. Л.</v>
      </c>
      <c r="N29" s="7"/>
      <c r="O29" s="8"/>
    </row>
    <row r="30">
      <c r="A30" s="10"/>
      <c r="B30" s="7"/>
      <c r="C30" s="54" t="str">
        <f>IFERROR(__xludf.DUMMYFUNCTION("""COMPUTED_VALUE"""),"Код: 2043039
2043093")</f>
        <v>Код: 2043039
2043093</v>
      </c>
      <c r="D30" s="7"/>
      <c r="E30" s="116" t="str">
        <f>IFERROR(__xludf.DUMMYFUNCTION("""COMPUTED_VALUE"""),"Код: 2043039
2043093")</f>
        <v>Код: 2043039
2043093</v>
      </c>
      <c r="F30" s="7"/>
      <c r="G30" s="54" t="str">
        <f>IFERROR(__xludf.DUMMYFUNCTION("""COMPUTED_VALUE"""),"Код: 2043039
2043093")</f>
        <v>Код: 2043039
2043093</v>
      </c>
      <c r="H30" s="7"/>
      <c r="I30" s="54" t="str">
        <f>IFERROR(__xludf.DUMMYFUNCTION("""COMPUTED_VALUE"""),"Код: 2043039
2043093")</f>
        <v>Код: 2043039
2043093</v>
      </c>
      <c r="J30" s="7"/>
      <c r="K30" s="54" t="str">
        <f>IFERROR(__xludf.DUMMYFUNCTION("""COMPUTED_VALUE"""),"Код: 2043039
2043093")</f>
        <v>Код: 2043039
2043093</v>
      </c>
      <c r="L30" s="7"/>
      <c r="M30" s="54" t="str">
        <f>IFERROR(__xludf.DUMMYFUNCTION("""COMPUTED_VALUE"""),"Код: 2043039
2043093")</f>
        <v>Код: 2043039
2043093</v>
      </c>
      <c r="N30" s="7"/>
      <c r="O30" s="8"/>
    </row>
    <row r="31">
      <c r="A31" s="10"/>
      <c r="B31" s="7"/>
      <c r="C31" s="54" t="str">
        <f>IFERROR(__xludf.DUMMYFUNCTION("""COMPUTED_VALUE"""),"онлайн")</f>
        <v>онлайн</v>
      </c>
      <c r="D31" s="7"/>
      <c r="E31" s="116" t="str">
        <f>IFERROR(__xludf.DUMMYFUNCTION("""COMPUTED_VALUE"""),"онлайн")</f>
        <v>онлайн</v>
      </c>
      <c r="F31" s="7"/>
      <c r="G31" s="54" t="str">
        <f>IFERROR(__xludf.DUMMYFUNCTION("""COMPUTED_VALUE"""),"онлайн")</f>
        <v>онлайн</v>
      </c>
      <c r="H31" s="7"/>
      <c r="I31" s="54" t="str">
        <f>IFERROR(__xludf.DUMMYFUNCTION("""COMPUTED_VALUE"""),"онлайн")</f>
        <v>онлайн</v>
      </c>
      <c r="J31" s="7"/>
      <c r="K31" s="54" t="str">
        <f>IFERROR(__xludf.DUMMYFUNCTION("""COMPUTED_VALUE"""),"онлайн")</f>
        <v>онлайн</v>
      </c>
      <c r="L31" s="7"/>
      <c r="M31" s="54" t="str">
        <f>IFERROR(__xludf.DUMMYFUNCTION("""COMPUTED_VALUE"""),"онлайн")</f>
        <v>онлайн</v>
      </c>
      <c r="N31" s="7"/>
      <c r="O31" s="8"/>
    </row>
    <row r="32" ht="13.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</row>
    <row r="33">
      <c r="A33" s="53" t="str">
        <f>IFERROR(__xludf.DUMMYFUNCTION("""COMPUTED_VALUE"""),"Кружки по информатике с отбором")</f>
        <v>Кружки по информатике с отбором</v>
      </c>
      <c r="B33" s="38"/>
      <c r="C33" s="125"/>
      <c r="D33" s="38"/>
      <c r="E33" s="34" t="str">
        <f>IFERROR(__xludf.DUMMYFUNCTION("""COMPUTED_VALUE"""),"IT-кружок ""Потенциал""")</f>
        <v>IT-кружок "Потенциал"</v>
      </c>
      <c r="F33" s="38"/>
      <c r="G33" s="34" t="str">
        <f>IFERROR(__xludf.DUMMYFUNCTION("""COMPUTED_VALUE"""),"IT-кружок ""Сборная Лицея""")</f>
        <v>IT-кружок "Сборная Лицея"</v>
      </c>
      <c r="H33" s="38"/>
      <c r="I33" s="34" t="str">
        <f>IFERROR(__xludf.DUMMYFUNCTION("""COMPUTED_VALUE"""),"IT-кружок ""Потенциал""")</f>
        <v>IT-кружок "Потенциал"</v>
      </c>
      <c r="J33" s="38"/>
      <c r="K33" s="34" t="str">
        <f>IFERROR(__xludf.DUMMYFUNCTION("""COMPUTED_VALUE"""),"IT-кружок ""Сборная Лицея""")</f>
        <v>IT-кружок "Сборная Лицея"</v>
      </c>
      <c r="L33" s="38"/>
      <c r="M33" s="125"/>
      <c r="N33" s="38"/>
      <c r="O33" s="39"/>
    </row>
    <row r="34">
      <c r="B34" s="38"/>
      <c r="C34" s="125"/>
      <c r="D34" s="38"/>
      <c r="E34" s="34" t="str">
        <f>IFERROR(__xludf.DUMMYFUNCTION("""COMPUTED_VALUE"""),"16.00-19.00")</f>
        <v>16.00-19.00</v>
      </c>
      <c r="F34" s="38"/>
      <c r="G34" s="34" t="str">
        <f>IFERROR(__xludf.DUMMYFUNCTION("""COMPUTED_VALUE"""),"15.00-21.00")</f>
        <v>15.00-21.00</v>
      </c>
      <c r="H34" s="38"/>
      <c r="I34" s="34" t="str">
        <f>IFERROR(__xludf.DUMMYFUNCTION("""COMPUTED_VALUE"""),"16.00-19.00")</f>
        <v>16.00-19.00</v>
      </c>
      <c r="J34" s="38"/>
      <c r="K34" s="34" t="str">
        <f>IFERROR(__xludf.DUMMYFUNCTION("""COMPUTED_VALUE"""),"16.45-19.15")</f>
        <v>16.45-19.15</v>
      </c>
      <c r="L34" s="38"/>
      <c r="M34" s="125"/>
      <c r="N34" s="38"/>
      <c r="O34" s="39"/>
    </row>
    <row r="35">
      <c r="B35" s="38"/>
      <c r="C35" s="125"/>
      <c r="D35" s="38"/>
      <c r="E35" s="34" t="str">
        <f>IFERROR(__xludf.DUMMYFUNCTION("""COMPUTED_VALUE"""),"Фёдоров К. Е.")</f>
        <v>Фёдоров К. Е.</v>
      </c>
      <c r="F35" s="38"/>
      <c r="G35" s="34" t="str">
        <f>IFERROR(__xludf.DUMMYFUNCTION("""COMPUTED_VALUE"""),"Фёдоров К. Е.")</f>
        <v>Фёдоров К. Е.</v>
      </c>
      <c r="H35" s="38"/>
      <c r="I35" s="34" t="str">
        <f>IFERROR(__xludf.DUMMYFUNCTION("""COMPUTED_VALUE"""),"Фёдоров К. Е.")</f>
        <v>Фёдоров К. Е.</v>
      </c>
      <c r="J35" s="38"/>
      <c r="K35" s="34" t="str">
        <f>IFERROR(__xludf.DUMMYFUNCTION("""COMPUTED_VALUE"""),"Фёдоров К. Е.")</f>
        <v>Фёдоров К. Е.</v>
      </c>
      <c r="L35" s="38"/>
      <c r="M35" s="125"/>
      <c r="N35" s="38"/>
      <c r="O35" s="39"/>
    </row>
    <row r="36">
      <c r="B36" s="38"/>
      <c r="C36" s="125"/>
      <c r="D36" s="38"/>
      <c r="E36" s="34" t="str">
        <f>IFERROR(__xludf.DUMMYFUNCTION("""COMPUTED_VALUE"""),"Код: 2051997")</f>
        <v>Код: 2051997</v>
      </c>
      <c r="F36" s="38"/>
      <c r="G36" s="34" t="str">
        <f>IFERROR(__xludf.DUMMYFUNCTION("""COMPUTED_VALUE"""),"Код: 2052059")</f>
        <v>Код: 2052059</v>
      </c>
      <c r="H36" s="38"/>
      <c r="I36" s="34" t="str">
        <f>IFERROR(__xludf.DUMMYFUNCTION("""COMPUTED_VALUE"""),"Код: 2051997")</f>
        <v>Код: 2051997</v>
      </c>
      <c r="J36" s="38"/>
      <c r="K36" s="34" t="str">
        <f>IFERROR(__xludf.DUMMYFUNCTION("""COMPUTED_VALUE"""),"Код: 2052059")</f>
        <v>Код: 2052059</v>
      </c>
      <c r="L36" s="38"/>
      <c r="M36" s="125"/>
      <c r="N36" s="38"/>
      <c r="O36" s="39"/>
    </row>
    <row r="37">
      <c r="B37" s="38"/>
      <c r="C37" s="27"/>
      <c r="D37" s="38"/>
      <c r="E37" s="34" t="str">
        <f>IFERROR(__xludf.DUMMYFUNCTION("""COMPUTED_VALUE"""),"23, 25")</f>
        <v>23, 25</v>
      </c>
      <c r="F37" s="38"/>
      <c r="G37" s="34">
        <f>IFERROR(__xludf.DUMMYFUNCTION("""COMPUTED_VALUE"""),25.0)</f>
        <v>25</v>
      </c>
      <c r="H37" s="38"/>
      <c r="I37" s="34">
        <f>IFERROR(__xludf.DUMMYFUNCTION("""COMPUTED_VALUE"""),25.0)</f>
        <v>25</v>
      </c>
      <c r="J37" s="38"/>
      <c r="K37" s="34">
        <f>IFERROR(__xludf.DUMMYFUNCTION("""COMPUTED_VALUE"""),25.0)</f>
        <v>25</v>
      </c>
      <c r="L37" s="38"/>
      <c r="M37" s="125"/>
      <c r="N37" s="38"/>
      <c r="O37" s="39"/>
    </row>
    <row r="38" ht="12.75" customHeight="1">
      <c r="A38" s="12"/>
      <c r="B38" s="7"/>
      <c r="C38" s="12"/>
      <c r="D38" s="7"/>
      <c r="E38" s="12"/>
      <c r="F38" s="7"/>
      <c r="G38" s="68"/>
      <c r="H38" s="7"/>
      <c r="I38" s="12"/>
      <c r="J38" s="7"/>
      <c r="K38" s="12"/>
      <c r="L38" s="7"/>
      <c r="M38" s="12"/>
      <c r="N38" s="7"/>
      <c r="O38" s="8"/>
    </row>
    <row r="39">
      <c r="A39" s="10"/>
      <c r="B39" s="7"/>
      <c r="C39" s="100" t="str">
        <f>IFERROR(__xludf.DUMMYFUNCTION("""COMPUTED_VALUE"""),"Театральный кружок")</f>
        <v>Театральный кружок</v>
      </c>
      <c r="D39" s="7"/>
      <c r="E39" s="76" t="str">
        <f>IFERROR(__xludf.DUMMYFUNCTION("""COMPUTED_VALUE"""),"Биология. Генетика.")</f>
        <v>Биология. Генетика.</v>
      </c>
      <c r="F39" s="7"/>
      <c r="G39" s="100" t="str">
        <f>IFERROR(__xludf.DUMMYFUNCTION("""COMPUTED_VALUE"""),"Театральный кружок")</f>
        <v>Театральный кружок</v>
      </c>
      <c r="H39" s="7"/>
      <c r="I39" s="100" t="str">
        <f>IFERROR(__xludf.DUMMYFUNCTION("""COMPUTED_VALUE"""),"Театральный кружок")</f>
        <v>Театральный кружок</v>
      </c>
      <c r="J39" s="7"/>
      <c r="K39" s="100" t="str">
        <f>IFERROR(__xludf.DUMMYFUNCTION("""COMPUTED_VALUE"""),"Театральный кружок")</f>
        <v>Театральный кружок</v>
      </c>
      <c r="L39" s="7"/>
      <c r="M39" s="100" t="str">
        <f>IFERROR(__xludf.DUMMYFUNCTION("""COMPUTED_VALUE"""),"Театральный кружок")</f>
        <v>Театральный кружок</v>
      </c>
      <c r="N39" s="7"/>
      <c r="O39" s="8"/>
    </row>
    <row r="40">
      <c r="A40" s="10"/>
      <c r="B40" s="7"/>
      <c r="C40" s="100" t="str">
        <f>IFERROR(__xludf.DUMMYFUNCTION("""COMPUTED_VALUE"""),"на больших переменах")</f>
        <v>на больших переменах</v>
      </c>
      <c r="D40" s="7"/>
      <c r="E40" s="76" t="str">
        <f>IFERROR(__xludf.DUMMYFUNCTION("""COMPUTED_VALUE"""),"15.30-17.00")</f>
        <v>15.30-17.00</v>
      </c>
      <c r="F40" s="7"/>
      <c r="G40" s="100" t="str">
        <f>IFERROR(__xludf.DUMMYFUNCTION("""COMPUTED_VALUE"""),"на больших переменах")</f>
        <v>на больших переменах</v>
      </c>
      <c r="H40" s="7"/>
      <c r="I40" s="100" t="str">
        <f>IFERROR(__xludf.DUMMYFUNCTION("""COMPUTED_VALUE"""),"на больших переменах")</f>
        <v>на больших переменах</v>
      </c>
      <c r="J40" s="7"/>
      <c r="K40" s="100" t="str">
        <f>IFERROR(__xludf.DUMMYFUNCTION("""COMPUTED_VALUE"""),"на больших переменах")</f>
        <v>на больших переменах</v>
      </c>
      <c r="L40" s="7"/>
      <c r="M40" s="100" t="str">
        <f>IFERROR(__xludf.DUMMYFUNCTION("""COMPUTED_VALUE"""),"на больших переменах")</f>
        <v>на больших переменах</v>
      </c>
      <c r="N40" s="7"/>
      <c r="O40" s="8"/>
    </row>
    <row r="41">
      <c r="A41" s="10"/>
      <c r="B41" s="7"/>
      <c r="C41" s="100" t="str">
        <f>IFERROR(__xludf.DUMMYFUNCTION("""COMPUTED_VALUE"""),"Код: 2032443")</f>
        <v>Код: 2032443</v>
      </c>
      <c r="D41" s="7"/>
      <c r="E41" s="76" t="str">
        <f>IFERROR(__xludf.DUMMYFUNCTION("""COMPUTED_VALUE"""),"Лавренова В. Н.")</f>
        <v>Лавренова В. Н.</v>
      </c>
      <c r="F41" s="7"/>
      <c r="G41" s="100" t="str">
        <f>IFERROR(__xludf.DUMMYFUNCTION("""COMPUTED_VALUE"""),"Код: 2032443")</f>
        <v>Код: 2032443</v>
      </c>
      <c r="H41" s="7"/>
      <c r="I41" s="100" t="str">
        <f>IFERROR(__xludf.DUMMYFUNCTION("""COMPUTED_VALUE"""),"Код: 2032443")</f>
        <v>Код: 2032443</v>
      </c>
      <c r="J41" s="7"/>
      <c r="K41" s="100" t="str">
        <f>IFERROR(__xludf.DUMMYFUNCTION("""COMPUTED_VALUE"""),"Код: 2032443")</f>
        <v>Код: 2032443</v>
      </c>
      <c r="L41" s="7"/>
      <c r="M41" s="100" t="str">
        <f>IFERROR(__xludf.DUMMYFUNCTION("""COMPUTED_VALUE"""),"Код: 2032443")</f>
        <v>Код: 2032443</v>
      </c>
      <c r="N41" s="7"/>
      <c r="O41" s="8"/>
    </row>
    <row r="42">
      <c r="A42" s="10"/>
      <c r="B42" s="7"/>
      <c r="C42" s="100" t="str">
        <f>IFERROR(__xludf.DUMMYFUNCTION("""COMPUTED_VALUE"""),"Ткачук Ю.Б.")</f>
        <v>Ткачук Ю.Б.</v>
      </c>
      <c r="D42" s="7"/>
      <c r="E42" s="76" t="str">
        <f>IFERROR(__xludf.DUMMYFUNCTION("""COMPUTED_VALUE"""),"Код: 2052184")</f>
        <v>Код: 2052184</v>
      </c>
      <c r="F42" s="7"/>
      <c r="G42" s="100" t="str">
        <f>IFERROR(__xludf.DUMMYFUNCTION("""COMPUTED_VALUE"""),"Ткачук Ю.Б.")</f>
        <v>Ткачук Ю.Б.</v>
      </c>
      <c r="H42" s="7"/>
      <c r="I42" s="100" t="str">
        <f>IFERROR(__xludf.DUMMYFUNCTION("""COMPUTED_VALUE"""),"Ткачук Ю.Б.")</f>
        <v>Ткачук Ю.Б.</v>
      </c>
      <c r="J42" s="7"/>
      <c r="K42" s="100" t="str">
        <f>IFERROR(__xludf.DUMMYFUNCTION("""COMPUTED_VALUE"""),"Ткачук Ю.Б.")</f>
        <v>Ткачук Ю.Б.</v>
      </c>
      <c r="L42" s="7"/>
      <c r="M42" s="100" t="str">
        <f>IFERROR(__xludf.DUMMYFUNCTION("""COMPUTED_VALUE"""),"Ткачук Ю.Б.")</f>
        <v>Ткачук Ю.Б.</v>
      </c>
      <c r="N42" s="7"/>
      <c r="O42" s="8"/>
    </row>
    <row r="43">
      <c r="A43" s="10"/>
      <c r="B43" s="7"/>
      <c r="C43" s="100">
        <f>IFERROR(__xludf.DUMMYFUNCTION("""COMPUTED_VALUE"""),44.0)</f>
        <v>44</v>
      </c>
      <c r="D43" s="7"/>
      <c r="E43" s="76">
        <f>IFERROR(__xludf.DUMMYFUNCTION("""COMPUTED_VALUE"""),52.0)</f>
        <v>52</v>
      </c>
      <c r="F43" s="7"/>
      <c r="G43" s="100">
        <f>IFERROR(__xludf.DUMMYFUNCTION("""COMPUTED_VALUE"""),44.0)</f>
        <v>44</v>
      </c>
      <c r="H43" s="7"/>
      <c r="I43" s="100">
        <f>IFERROR(__xludf.DUMMYFUNCTION("""COMPUTED_VALUE"""),44.0)</f>
        <v>44</v>
      </c>
      <c r="J43" s="7"/>
      <c r="K43" s="100">
        <f>IFERROR(__xludf.DUMMYFUNCTION("""COMPUTED_VALUE"""),44.0)</f>
        <v>44</v>
      </c>
      <c r="L43" s="7"/>
      <c r="M43" s="100">
        <f>IFERROR(__xludf.DUMMYFUNCTION("""COMPUTED_VALUE"""),44.0)</f>
        <v>44</v>
      </c>
      <c r="N43" s="7"/>
      <c r="O43" s="8"/>
    </row>
    <row r="44" ht="10.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</row>
    <row r="45">
      <c r="A45" s="10"/>
      <c r="B45" s="7"/>
      <c r="C45" s="10"/>
      <c r="D45" s="7"/>
      <c r="E45" s="126" t="str">
        <f>IFERROR(__xludf.DUMMYFUNCTION("""COMPUTED_VALUE"""),"Олимпиадный русский язык")</f>
        <v>Олимпиадный русский язык</v>
      </c>
      <c r="F45" s="38"/>
      <c r="G45" s="96" t="str">
        <f>IFERROR(__xludf.DUMMYFUNCTION("""COMPUTED_VALUE"""),"Лингвистика")</f>
        <v>Лингвистика</v>
      </c>
      <c r="H45" s="38"/>
      <c r="I45" s="27" t="str">
        <f>IFERROR(__xludf.DUMMYFUNCTION("""COMPUTED_VALUE"""),"Олимпиадный английский язык")</f>
        <v>Олимпиадный английский язык</v>
      </c>
      <c r="J45" s="38"/>
      <c r="K45" s="28" t="str">
        <f>IFERROR(__xludf.DUMMYFUNCTION("""COMPUTED_VALUE"""),"Немецкий язык ")</f>
        <v>Немецкий язык </v>
      </c>
      <c r="L45" s="38"/>
      <c r="M45" s="96" t="str">
        <f>IFERROR(__xludf.DUMMYFUNCTION("""COMPUTED_VALUE"""),"Лингвистика")</f>
        <v>Лингвистика</v>
      </c>
      <c r="N45" s="7"/>
      <c r="O45" s="8"/>
    </row>
    <row r="46">
      <c r="A46" s="10"/>
      <c r="B46" s="7"/>
      <c r="C46" s="10"/>
      <c r="D46" s="7"/>
      <c r="E46" s="126" t="str">
        <f>IFERROR(__xludf.DUMMYFUNCTION("""COMPUTED_VALUE"""),"16.00-17.30")</f>
        <v>16.00-17.30</v>
      </c>
      <c r="F46" s="38"/>
      <c r="G46" s="24" t="str">
        <f>IFERROR(__xludf.DUMMYFUNCTION("""COMPUTED_VALUE"""),"15.45 - 17.15")</f>
        <v>15.45 - 17.15</v>
      </c>
      <c r="H46" s="38"/>
      <c r="I46" s="27" t="str">
        <f>IFERROR(__xludf.DUMMYFUNCTION("""COMPUTED_VALUE"""),"16.00-17.30")</f>
        <v>16.00-17.30</v>
      </c>
      <c r="J46" s="38"/>
      <c r="K46" s="28" t="str">
        <f>IFERROR(__xludf.DUMMYFUNCTION("""COMPUTED_VALUE"""),"16.00-17.00")</f>
        <v>16.00-17.00</v>
      </c>
      <c r="L46" s="38"/>
      <c r="M46" s="24" t="str">
        <f>IFERROR(__xludf.DUMMYFUNCTION("""COMPUTED_VALUE"""),"15.45 - 17.15")</f>
        <v>15.45 - 17.15</v>
      </c>
      <c r="N46" s="7"/>
      <c r="O46" s="8"/>
    </row>
    <row r="47">
      <c r="A47" s="10"/>
      <c r="B47" s="7"/>
      <c r="C47" s="10"/>
      <c r="D47" s="7"/>
      <c r="E47" s="126" t="str">
        <f>IFERROR(__xludf.DUMMYFUNCTION("""COMPUTED_VALUE"""),"Код: 2056038")</f>
        <v>Код: 2056038</v>
      </c>
      <c r="F47" s="38"/>
      <c r="G47" s="24" t="str">
        <f>IFERROR(__xludf.DUMMYFUNCTION("""COMPUTED_VALUE"""),"Бушина А. С.")</f>
        <v>Бушина А. С.</v>
      </c>
      <c r="H47" s="38"/>
      <c r="I47" s="27" t="str">
        <f>IFERROR(__xludf.DUMMYFUNCTION("""COMPUTED_VALUE"""),"Тевелева А. ")</f>
        <v>Тевелева А. </v>
      </c>
      <c r="J47" s="38"/>
      <c r="K47" s="28" t="str">
        <f>IFERROR(__xludf.DUMMYFUNCTION("""COMPUTED_VALUE"""),"Рукк М. Ф.")</f>
        <v>Рукк М. Ф.</v>
      </c>
      <c r="L47" s="38"/>
      <c r="M47" s="24" t="str">
        <f>IFERROR(__xludf.DUMMYFUNCTION("""COMPUTED_VALUE"""),"Зильберман Е. А.")</f>
        <v>Зильберман Е. А.</v>
      </c>
      <c r="N47" s="7"/>
      <c r="O47" s="8"/>
    </row>
    <row r="48">
      <c r="A48" s="10"/>
      <c r="B48" s="7"/>
      <c r="C48" s="10"/>
      <c r="D48" s="7"/>
      <c r="E48" s="126" t="str">
        <f>IFERROR(__xludf.DUMMYFUNCTION("""COMPUTED_VALUE"""),"Соловьева М. ")</f>
        <v>Соловьева М. </v>
      </c>
      <c r="F48" s="38"/>
      <c r="G48" s="24" t="str">
        <f>IFERROR(__xludf.DUMMYFUNCTION("""COMPUTED_VALUE"""),"Код: 2022681")</f>
        <v>Код: 2022681</v>
      </c>
      <c r="H48" s="38"/>
      <c r="I48" s="27" t="str">
        <f>IFERROR(__xludf.DUMMYFUNCTION("""COMPUTED_VALUE"""),"Код: 2035254")</f>
        <v>Код: 2035254</v>
      </c>
      <c r="J48" s="38"/>
      <c r="K48" s="28" t="str">
        <f>IFERROR(__xludf.DUMMYFUNCTION("""COMPUTED_VALUE"""),"Код: 2077518")</f>
        <v>Код: 2077518</v>
      </c>
      <c r="L48" s="38"/>
      <c r="M48" s="24" t="str">
        <f>IFERROR(__xludf.DUMMYFUNCTION("""COMPUTED_VALUE"""),"Код: 2022681")</f>
        <v>Код: 2022681</v>
      </c>
      <c r="N48" s="7"/>
      <c r="O48" s="8"/>
    </row>
    <row r="49">
      <c r="A49" s="10"/>
      <c r="B49" s="7"/>
      <c r="C49" s="10"/>
      <c r="D49" s="7"/>
      <c r="E49" s="126">
        <f>IFERROR(__xludf.DUMMYFUNCTION("""COMPUTED_VALUE"""),45.0)</f>
        <v>45</v>
      </c>
      <c r="F49" s="38"/>
      <c r="G49" s="24">
        <f>IFERROR(__xludf.DUMMYFUNCTION("""COMPUTED_VALUE"""),41.0)</f>
        <v>41</v>
      </c>
      <c r="H49" s="38"/>
      <c r="I49" s="27">
        <f>IFERROR(__xludf.DUMMYFUNCTION("""COMPUTED_VALUE"""),47.0)</f>
        <v>47</v>
      </c>
      <c r="J49" s="38"/>
      <c r="K49" s="28">
        <f>IFERROR(__xludf.DUMMYFUNCTION("""COMPUTED_VALUE"""),53.0)</f>
        <v>53</v>
      </c>
      <c r="L49" s="38"/>
      <c r="M49" s="24" t="str">
        <f>IFERROR(__xludf.DUMMYFUNCTION("""COMPUTED_VALUE"""),"с 18.09 онлайн")</f>
        <v>с 18.09 онлайн</v>
      </c>
      <c r="N49" s="7"/>
      <c r="O49" s="8"/>
    </row>
    <row r="50" ht="12.7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</row>
    <row r="51">
      <c r="A51" s="10"/>
      <c r="B51" s="7"/>
      <c r="C51" s="10"/>
      <c r="D51" s="7"/>
      <c r="E51" s="11" t="str">
        <f>IFERROR(__xludf.DUMMYFUNCTION("""COMPUTED_VALUE"""),"Футбол")</f>
        <v>Футбол</v>
      </c>
      <c r="F51" s="7"/>
      <c r="G51" s="11" t="str">
        <f>IFERROR(__xludf.DUMMYFUNCTION("""COMPUTED_VALUE"""),"
Волейбол ")</f>
        <v>
Волейбол </v>
      </c>
      <c r="H51" s="7"/>
      <c r="I51" s="11" t="str">
        <f>IFERROR(__xludf.DUMMYFUNCTION("""COMPUTED_VALUE"""),"Волейбол ")</f>
        <v>Волейбол </v>
      </c>
      <c r="J51" s="7"/>
      <c r="K51" s="11" t="str">
        <f>IFERROR(__xludf.DUMMYFUNCTION("""COMPUTED_VALUE"""),"Баскетбол")</f>
        <v>Баскетбол</v>
      </c>
      <c r="L51" s="7"/>
      <c r="M51" s="11" t="str">
        <f>IFERROR(__xludf.DUMMYFUNCTION("""COMPUTED_VALUE"""),"БАДМИНТОН")</f>
        <v>БАДМИНТОН</v>
      </c>
      <c r="N51" s="7"/>
      <c r="O51" s="8"/>
    </row>
    <row r="52">
      <c r="A52" s="10"/>
      <c r="B52" s="7"/>
      <c r="C52" s="10"/>
      <c r="D52" s="7"/>
      <c r="E52" s="11" t="str">
        <f>IFERROR(__xludf.DUMMYFUNCTION("""COMPUTED_VALUE"""),"15.45-17.15")</f>
        <v>15.45-17.15</v>
      </c>
      <c r="F52" s="7"/>
      <c r="G52" s="11" t="str">
        <f>IFERROR(__xludf.DUMMYFUNCTION("""COMPUTED_VALUE"""),"15-17.30 девочки,15.45-17.30 мальчики")</f>
        <v>15-17.30 девочки,15.45-17.30 мальчики</v>
      </c>
      <c r="H52" s="7"/>
      <c r="I52" s="11" t="str">
        <f>IFERROR(__xludf.DUMMYFUNCTION("""COMPUTED_VALUE"""),"15.00-16.30")</f>
        <v>15.00-16.30</v>
      </c>
      <c r="J52" s="7"/>
      <c r="K52" s="11" t="str">
        <f>IFERROR(__xludf.DUMMYFUNCTION("""COMPUTED_VALUE"""),"16.00-19.00")</f>
        <v>16.00-19.00</v>
      </c>
      <c r="L52" s="7"/>
      <c r="M52" s="11" t="str">
        <f>IFERROR(__xludf.DUMMYFUNCTION("""COMPUTED_VALUE"""),"15.00-17.00")</f>
        <v>15.00-17.00</v>
      </c>
      <c r="N52" s="7"/>
      <c r="O52" s="8"/>
    </row>
    <row r="53">
      <c r="A53" s="10"/>
      <c r="B53" s="7"/>
      <c r="C53" s="10"/>
      <c r="D53" s="7"/>
      <c r="E53" s="11" t="str">
        <f>IFERROR(__xludf.DUMMYFUNCTION("""COMPUTED_VALUE"""),"Миронов Е. В.")</f>
        <v>Миронов Е. В.</v>
      </c>
      <c r="F53" s="7"/>
      <c r="G53" s="11" t="str">
        <f>IFERROR(__xludf.DUMMYFUNCTION("""COMPUTED_VALUE"""),"Заричный А. А., Миронов Е. В.")</f>
        <v>Заричный А. А., Миронов Е. В.</v>
      </c>
      <c r="H53" s="7"/>
      <c r="I53" s="11" t="str">
        <f>IFERROR(__xludf.DUMMYFUNCTION("""COMPUTED_VALUE"""),"Меджалоглу С. С., Заричный А. А.")</f>
        <v>Меджалоглу С. С., Заричный А. А.</v>
      </c>
      <c r="J53" s="7"/>
      <c r="K53" s="11" t="str">
        <f>IFERROR(__xludf.DUMMYFUNCTION("""COMPUTED_VALUE"""),"Забавкина М. А.")</f>
        <v>Забавкина М. А.</v>
      </c>
      <c r="L53" s="7"/>
      <c r="M53" s="11" t="str">
        <f>IFERROR(__xludf.DUMMYFUNCTION("""COMPUTED_VALUE"""),"Седов Г. К.")</f>
        <v>Седов Г. К.</v>
      </c>
      <c r="N53" s="7"/>
      <c r="O53" s="8"/>
    </row>
    <row r="54">
      <c r="A54" s="10"/>
      <c r="B54" s="7"/>
      <c r="C54" s="10"/>
      <c r="D54" s="7"/>
      <c r="E54" s="11" t="str">
        <f>IFERROR(__xludf.DUMMYFUNCTION("""COMPUTED_VALUE"""),"Код: 2039215")</f>
        <v>Код: 2039215</v>
      </c>
      <c r="F54" s="7"/>
      <c r="G54" s="11" t="str">
        <f>IFERROR(__xludf.DUMMYFUNCTION("""COMPUTED_VALUE"""),"Код: 2038776")</f>
        <v>Код: 2038776</v>
      </c>
      <c r="H54" s="7"/>
      <c r="I54" s="11" t="str">
        <f>IFERROR(__xludf.DUMMYFUNCTION("""COMPUTED_VALUE"""),"Код: 2038776")</f>
        <v>Код: 2038776</v>
      </c>
      <c r="J54" s="7"/>
      <c r="K54" s="11" t="str">
        <f>IFERROR(__xludf.DUMMYFUNCTION("""COMPUTED_VALUE"""),"Код: 2037759")</f>
        <v>Код: 2037759</v>
      </c>
      <c r="L54" s="7"/>
      <c r="M54" s="11" t="str">
        <f>IFERROR(__xludf.DUMMYFUNCTION("""COMPUTED_VALUE"""),"Код: 2033375")</f>
        <v>Код: 2033375</v>
      </c>
      <c r="N54" s="7"/>
      <c r="O54" s="8"/>
    </row>
    <row r="55">
      <c r="A55" s="10"/>
      <c r="B55" s="7"/>
      <c r="C55" s="10"/>
      <c r="D55" s="7"/>
      <c r="E55" s="11" t="str">
        <f>IFERROR(__xludf.DUMMYFUNCTION("""COMPUTED_VALUE"""),"большой зал")</f>
        <v>большой зал</v>
      </c>
      <c r="F55" s="7"/>
      <c r="G55" s="11" t="str">
        <f>IFERROR(__xludf.DUMMYFUNCTION("""COMPUTED_VALUE"""),"большой зал")</f>
        <v>большой зал</v>
      </c>
      <c r="H55" s="7"/>
      <c r="I55" s="11" t="str">
        <f>IFERROR(__xludf.DUMMYFUNCTION("""COMPUTED_VALUE"""),"малый зал")</f>
        <v>малый зал</v>
      </c>
      <c r="J55" s="7"/>
      <c r="K55" s="11" t="str">
        <f>IFERROR(__xludf.DUMMYFUNCTION("""COMPUTED_VALUE"""),"малый зал")</f>
        <v>малый зал</v>
      </c>
      <c r="L55" s="7"/>
      <c r="M55" s="11" t="str">
        <f>IFERROR(__xludf.DUMMYFUNCTION("""COMPUTED_VALUE"""),"большой зал")</f>
        <v>большой зал</v>
      </c>
      <c r="N55" s="7"/>
      <c r="O55" s="8"/>
    </row>
    <row r="56" ht="10.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</row>
    <row r="57">
      <c r="A57" s="10"/>
      <c r="B57" s="7"/>
      <c r="C57" s="10"/>
      <c r="D57" s="7"/>
      <c r="E57" s="10"/>
      <c r="F57" s="7"/>
      <c r="G57" s="10"/>
      <c r="H57" s="7"/>
      <c r="I57" s="45" t="str">
        <f>IFERROR(__xludf.DUMMYFUNCTION("""COMPUTED_VALUE"""),"Подготовка к ЕГЭ по РЯ 11Г")</f>
        <v>Подготовка к ЕГЭ по РЯ 11Г</v>
      </c>
      <c r="J57" s="7"/>
      <c r="K57" s="10"/>
      <c r="L57" s="7"/>
      <c r="M57" s="10"/>
      <c r="N57" s="7"/>
      <c r="O57" s="8"/>
    </row>
    <row r="58">
      <c r="A58" s="10"/>
      <c r="B58" s="7"/>
      <c r="C58" s="10"/>
      <c r="D58" s="7"/>
      <c r="E58" s="10"/>
      <c r="F58" s="7"/>
      <c r="G58" s="10"/>
      <c r="H58" s="7"/>
      <c r="I58" s="45" t="str">
        <f>IFERROR(__xludf.DUMMYFUNCTION("""COMPUTED_VALUE"""),"15.00-16.30")</f>
        <v>15.00-16.30</v>
      </c>
      <c r="J58" s="7"/>
      <c r="K58" s="10"/>
      <c r="L58" s="7"/>
      <c r="M58" s="10"/>
      <c r="N58" s="7"/>
      <c r="O58" s="8"/>
    </row>
    <row r="59">
      <c r="A59" s="10"/>
      <c r="B59" s="7"/>
      <c r="C59" s="10"/>
      <c r="D59" s="7"/>
      <c r="E59" s="10"/>
      <c r="F59" s="7"/>
      <c r="G59" s="10"/>
      <c r="H59" s="7"/>
      <c r="I59" s="45" t="str">
        <f>IFERROR(__xludf.DUMMYFUNCTION("""COMPUTED_VALUE"""),"Консультация")</f>
        <v>Консультация</v>
      </c>
      <c r="J59" s="7"/>
      <c r="K59" s="10"/>
      <c r="L59" s="7"/>
      <c r="M59" s="10"/>
      <c r="N59" s="7"/>
      <c r="O59" s="8"/>
    </row>
    <row r="60">
      <c r="A60" s="10"/>
      <c r="B60" s="7"/>
      <c r="C60" s="10"/>
      <c r="D60" s="7"/>
      <c r="E60" s="10"/>
      <c r="F60" s="7"/>
      <c r="G60" s="10"/>
      <c r="H60" s="7"/>
      <c r="I60" s="45" t="str">
        <f>IFERROR(__xludf.DUMMYFUNCTION("""COMPUTED_VALUE"""),"Орлова О. Ю.")</f>
        <v>Орлова О. Ю.</v>
      </c>
      <c r="J60" s="7"/>
      <c r="K60" s="10"/>
      <c r="L60" s="7"/>
      <c r="M60" s="10"/>
      <c r="N60" s="7"/>
      <c r="O60" s="8"/>
    </row>
    <row r="61">
      <c r="A61" s="10"/>
      <c r="B61" s="7"/>
      <c r="C61" s="10"/>
      <c r="D61" s="7"/>
      <c r="E61" s="10"/>
      <c r="F61" s="7"/>
      <c r="G61" s="10"/>
      <c r="H61" s="7"/>
      <c r="I61" s="45">
        <f>IFERROR(__xludf.DUMMYFUNCTION("""COMPUTED_VALUE"""),41.0)</f>
        <v>41</v>
      </c>
      <c r="J61" s="7"/>
      <c r="K61" s="10"/>
      <c r="L61" s="7"/>
      <c r="M61" s="10"/>
      <c r="N61" s="7"/>
      <c r="O61" s="8"/>
    </row>
    <row r="62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</row>
    <row r="63">
      <c r="A63" s="8"/>
      <c r="B63" s="35"/>
      <c r="C63" s="8"/>
      <c r="D63" s="35"/>
      <c r="E63" s="8"/>
      <c r="F63" s="35"/>
      <c r="G63" s="8"/>
      <c r="H63" s="35"/>
      <c r="I63" s="8"/>
      <c r="J63" s="35"/>
      <c r="K63" s="8"/>
      <c r="L63" s="35"/>
      <c r="M63" s="8"/>
      <c r="N63" s="35"/>
      <c r="O63" s="8"/>
    </row>
    <row r="64">
      <c r="A64" s="8"/>
      <c r="B64" s="35"/>
      <c r="C64" s="8"/>
      <c r="D64" s="35"/>
      <c r="E64" s="8"/>
      <c r="F64" s="35"/>
      <c r="G64" s="8"/>
      <c r="H64" s="35"/>
      <c r="I64" s="8"/>
      <c r="J64" s="35"/>
      <c r="K64" s="8"/>
      <c r="L64" s="35"/>
      <c r="M64" s="8"/>
      <c r="N64" s="35"/>
      <c r="O64" s="8"/>
    </row>
    <row r="65">
      <c r="A65" s="8"/>
      <c r="B65" s="35"/>
      <c r="C65" s="8"/>
      <c r="D65" s="35"/>
      <c r="E65" s="8"/>
      <c r="F65" s="35"/>
      <c r="G65" s="8"/>
      <c r="H65" s="35"/>
      <c r="I65" s="8"/>
      <c r="J65" s="35"/>
      <c r="K65" s="8"/>
      <c r="L65" s="35"/>
      <c r="M65" s="8"/>
      <c r="N65" s="35"/>
      <c r="O65" s="8"/>
    </row>
    <row r="66">
      <c r="A66" s="8"/>
      <c r="B66" s="35"/>
      <c r="C66" s="8"/>
      <c r="D66" s="35"/>
      <c r="E66" s="8"/>
      <c r="F66" s="35"/>
      <c r="G66" s="8"/>
      <c r="H66" s="35"/>
      <c r="I66" s="8"/>
      <c r="J66" s="35"/>
      <c r="K66" s="8"/>
      <c r="L66" s="35"/>
      <c r="M66" s="8"/>
      <c r="N66" s="35"/>
      <c r="O66" s="8"/>
    </row>
    <row r="67">
      <c r="A67" s="8"/>
      <c r="B67" s="35"/>
      <c r="C67" s="8"/>
      <c r="D67" s="35"/>
      <c r="E67" s="8"/>
      <c r="F67" s="35"/>
      <c r="G67" s="8"/>
      <c r="H67" s="35"/>
      <c r="I67" s="8"/>
      <c r="J67" s="35"/>
      <c r="K67" s="8"/>
      <c r="L67" s="35"/>
      <c r="M67" s="8"/>
      <c r="N67" s="35"/>
      <c r="O67" s="8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>
      <c r="A69" s="8"/>
      <c r="B69" s="35"/>
      <c r="C69" s="8"/>
      <c r="D69" s="35"/>
      <c r="E69" s="8"/>
      <c r="F69" s="35"/>
      <c r="G69" s="8"/>
      <c r="H69" s="35"/>
      <c r="I69" s="8"/>
      <c r="J69" s="35"/>
      <c r="K69" s="8"/>
      <c r="L69" s="35"/>
      <c r="M69" s="8"/>
      <c r="N69" s="35"/>
      <c r="O69" s="8"/>
    </row>
    <row r="70">
      <c r="A70" s="8"/>
      <c r="B70" s="35"/>
      <c r="C70" s="8"/>
      <c r="D70" s="35"/>
      <c r="E70" s="8"/>
      <c r="F70" s="35"/>
      <c r="G70" s="8"/>
      <c r="H70" s="35"/>
      <c r="I70" s="8"/>
      <c r="J70" s="35"/>
      <c r="K70" s="8"/>
      <c r="L70" s="35"/>
      <c r="M70" s="8"/>
      <c r="N70" s="35"/>
      <c r="O70" s="8"/>
    </row>
    <row r="71">
      <c r="A71" s="8"/>
      <c r="B71" s="35"/>
      <c r="C71" s="8"/>
      <c r="D71" s="35"/>
      <c r="E71" s="8"/>
      <c r="F71" s="35"/>
      <c r="G71" s="8"/>
      <c r="H71" s="35"/>
      <c r="I71" s="8"/>
      <c r="J71" s="35"/>
      <c r="K71" s="8"/>
      <c r="L71" s="35"/>
      <c r="M71" s="8"/>
      <c r="N71" s="35"/>
      <c r="O71" s="8"/>
    </row>
    <row r="72">
      <c r="A72" s="8"/>
      <c r="B72" s="35"/>
      <c r="C72" s="8"/>
      <c r="D72" s="35"/>
      <c r="E72" s="8"/>
      <c r="F72" s="35"/>
      <c r="G72" s="8"/>
      <c r="H72" s="35"/>
      <c r="I72" s="8"/>
      <c r="J72" s="35"/>
      <c r="K72" s="8"/>
      <c r="L72" s="35"/>
      <c r="M72" s="8"/>
      <c r="N72" s="35"/>
      <c r="O72" s="8"/>
    </row>
    <row r="73">
      <c r="A73" s="8"/>
      <c r="B73" s="35"/>
      <c r="C73" s="8"/>
      <c r="D73" s="35"/>
      <c r="E73" s="8"/>
      <c r="F73" s="35"/>
      <c r="G73" s="8"/>
      <c r="H73" s="35"/>
      <c r="I73" s="8"/>
      <c r="J73" s="35"/>
      <c r="K73" s="8"/>
      <c r="L73" s="35"/>
      <c r="M73" s="8"/>
      <c r="N73" s="35"/>
      <c r="O73" s="8"/>
    </row>
    <row r="74">
      <c r="A74" s="65"/>
      <c r="B74" s="35"/>
      <c r="C74" s="65"/>
      <c r="D74" s="35"/>
      <c r="E74" s="65"/>
      <c r="F74" s="35"/>
      <c r="G74" s="65"/>
      <c r="H74" s="35"/>
      <c r="I74" s="65"/>
      <c r="J74" s="35"/>
      <c r="K74" s="65"/>
      <c r="L74" s="35"/>
      <c r="M74" s="65"/>
      <c r="N74" s="35"/>
      <c r="O74" s="65"/>
    </row>
    <row r="75">
      <c r="A75" s="8"/>
      <c r="B75" s="35"/>
      <c r="C75" s="8"/>
      <c r="D75" s="35"/>
      <c r="E75" s="8"/>
      <c r="F75" s="35"/>
      <c r="G75" s="8"/>
      <c r="H75" s="35"/>
      <c r="I75" s="8"/>
      <c r="J75" s="35"/>
      <c r="K75" s="8"/>
      <c r="L75" s="35"/>
      <c r="M75" s="8"/>
      <c r="N75" s="35"/>
      <c r="O75" s="8"/>
    </row>
    <row r="76">
      <c r="A76" s="8"/>
      <c r="B76" s="35"/>
      <c r="C76" s="8"/>
      <c r="D76" s="35"/>
      <c r="E76" s="8"/>
      <c r="F76" s="35"/>
      <c r="G76" s="8"/>
      <c r="H76" s="35"/>
      <c r="I76" s="8"/>
      <c r="J76" s="35"/>
      <c r="K76" s="8"/>
      <c r="L76" s="35"/>
      <c r="M76" s="8"/>
      <c r="N76" s="35"/>
      <c r="O76" s="8"/>
    </row>
    <row r="77">
      <c r="A77" s="8"/>
      <c r="B77" s="35"/>
      <c r="C77" s="8"/>
      <c r="D77" s="35"/>
      <c r="E77" s="8"/>
      <c r="F77" s="35"/>
      <c r="G77" s="8"/>
      <c r="H77" s="35"/>
      <c r="I77" s="8"/>
      <c r="J77" s="35"/>
      <c r="K77" s="8"/>
      <c r="L77" s="35"/>
      <c r="M77" s="8"/>
      <c r="N77" s="35"/>
      <c r="O77" s="8"/>
    </row>
    <row r="78">
      <c r="A78" s="8"/>
      <c r="B78" s="35"/>
      <c r="C78" s="8"/>
      <c r="D78" s="35"/>
      <c r="E78" s="8"/>
      <c r="F78" s="35"/>
      <c r="G78" s="8"/>
      <c r="H78" s="35"/>
      <c r="I78" s="8"/>
      <c r="J78" s="35"/>
      <c r="K78" s="8"/>
      <c r="L78" s="35"/>
      <c r="M78" s="8"/>
      <c r="N78" s="35"/>
      <c r="O78" s="8"/>
    </row>
    <row r="79">
      <c r="A79" s="8"/>
      <c r="B79" s="35"/>
      <c r="C79" s="8"/>
      <c r="D79" s="35"/>
      <c r="E79" s="8"/>
      <c r="F79" s="35"/>
      <c r="G79" s="8"/>
      <c r="H79" s="35"/>
      <c r="I79" s="8"/>
      <c r="J79" s="35"/>
      <c r="K79" s="8"/>
      <c r="L79" s="35"/>
      <c r="M79" s="8"/>
      <c r="N79" s="35"/>
      <c r="O79" s="8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>
      <c r="A81" s="8"/>
      <c r="B81" s="35"/>
      <c r="C81" s="8"/>
      <c r="D81" s="35"/>
      <c r="E81" s="8"/>
      <c r="F81" s="35"/>
      <c r="G81" s="8"/>
      <c r="H81" s="35"/>
      <c r="I81" s="8"/>
      <c r="J81" s="35"/>
      <c r="K81" s="8"/>
      <c r="L81" s="35"/>
      <c r="M81" s="8"/>
      <c r="N81" s="35"/>
      <c r="O81" s="8"/>
    </row>
    <row r="82">
      <c r="A82" s="8"/>
      <c r="B82" s="35"/>
      <c r="C82" s="8"/>
      <c r="D82" s="35"/>
      <c r="E82" s="8"/>
      <c r="F82" s="35"/>
      <c r="G82" s="8"/>
      <c r="H82" s="35"/>
      <c r="I82" s="8"/>
      <c r="J82" s="35"/>
      <c r="K82" s="8"/>
      <c r="L82" s="35"/>
      <c r="M82" s="8"/>
      <c r="N82" s="35"/>
      <c r="O82" s="8"/>
    </row>
    <row r="83">
      <c r="A83" s="8"/>
      <c r="B83" s="35"/>
      <c r="C83" s="8"/>
      <c r="D83" s="35"/>
      <c r="E83" s="8"/>
      <c r="F83" s="35"/>
      <c r="G83" s="8"/>
      <c r="H83" s="35"/>
      <c r="I83" s="8"/>
      <c r="J83" s="35"/>
      <c r="K83" s="8"/>
      <c r="L83" s="35"/>
      <c r="M83" s="8"/>
      <c r="N83" s="35"/>
      <c r="O83" s="8"/>
    </row>
    <row r="84">
      <c r="A84" s="8"/>
      <c r="B84" s="35"/>
      <c r="C84" s="8"/>
      <c r="D84" s="35"/>
      <c r="E84" s="8"/>
      <c r="F84" s="35"/>
      <c r="G84" s="8"/>
      <c r="H84" s="35"/>
      <c r="I84" s="8"/>
      <c r="J84" s="35"/>
      <c r="K84" s="8"/>
      <c r="L84" s="35"/>
      <c r="M84" s="8"/>
      <c r="N84" s="35"/>
      <c r="O84" s="8"/>
    </row>
    <row r="85">
      <c r="A85" s="8"/>
      <c r="B85" s="35"/>
      <c r="C85" s="8"/>
      <c r="D85" s="35"/>
      <c r="E85" s="8"/>
      <c r="F85" s="35"/>
      <c r="G85" s="8"/>
      <c r="H85" s="35"/>
      <c r="I85" s="8"/>
      <c r="J85" s="35"/>
      <c r="K85" s="8"/>
      <c r="L85" s="35"/>
      <c r="M85" s="8"/>
      <c r="N85" s="35"/>
      <c r="O85" s="8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</sheetData>
  <mergeCells count="1">
    <mergeCell ref="A33:A37"/>
  </mergeCells>
  <hyperlinks>
    <hyperlink r:id="rId1" ref="I3"/>
    <hyperlink r:id="rId2" ref="E9"/>
    <hyperlink r:id="rId3" ref="I9"/>
    <hyperlink r:id="rId4" ref="G45"/>
    <hyperlink r:id="rId5" ref="M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