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codeName="ThisWorkbook"/>
  <mc:AlternateContent xmlns:mc="http://schemas.openxmlformats.org/markup-compatibility/2006">
    <mc:Choice Requires="x15">
      <x15ac:absPath xmlns:x15ac="http://schemas.microsoft.com/office/spreadsheetml/2010/11/ac" url="C:\Users\MiNotebook\Documents\УЧЕБА Канада\Financial Modelling\Practtice\"/>
    </mc:Choice>
  </mc:AlternateContent>
  <bookViews>
    <workbookView xWindow="600" yWindow="230" windowWidth="11100" windowHeight="6350" tabRatio="845"/>
  </bookViews>
  <sheets>
    <sheet name="Cover" sheetId="20" r:id="rId1"/>
    <sheet name="Summary" sheetId="17" r:id="rId2"/>
    <sheet name="Assumptions" sheetId="2" r:id="rId3"/>
    <sheet name="Scenarios" sheetId="7" r:id="rId4"/>
    <sheet name="Model" sheetId="6" r:id="rId5"/>
    <sheet name="UFCF" sheetId="21" r:id="rId6"/>
    <sheet name="DCF Schedule" sheetId="11" r:id="rId7"/>
    <sheet name="Alt DCF Sched" sheetId="22" r:id="rId8"/>
  </sheets>
  <definedNames>
    <definedName name="_xlnm.Print_Area" localSheetId="7">'Alt DCF Sched'!$B$1:$O$34</definedName>
    <definedName name="_xlnm.Print_Area" localSheetId="2">Assumptions!$B$1:$O$41,Assumptions!$B$44:$N$93</definedName>
    <definedName name="_xlnm.Print_Area" localSheetId="0">Cover!$A$1:$J$25</definedName>
    <definedName name="_xlnm.Print_Area" localSheetId="6">'DCF Schedule'!$B$1:$Q$53</definedName>
    <definedName name="_xlnm.Print_Area" localSheetId="4">Model!$B$1:$P$38,Model!$B$41:$O$86,Model!$B$89:$P$130,Model!$B$133:$O$166,Model!$B$169:$O$208,Model!$B$211:$O$233,Model!$B$235:$O$279,Model!$B$281:$O$308,Model!$B$310:$O$354,Model!$B$356:$O$391,Model!$B$393:$O$422</definedName>
    <definedName name="_xlnm.Print_Area" localSheetId="3">Scenarios!$B$1:$L$44</definedName>
    <definedName name="_xlnm.Print_Area" localSheetId="1">Summary!$B$1:$U$41</definedName>
    <definedName name="_xlnm.Print_Area" localSheetId="5">UFCF!$B$1:$O$45,UFCF!$B$48:$P$77</definedName>
  </definedNames>
  <calcPr calcId="171027" iterate="1"/>
</workbook>
</file>

<file path=xl/calcChain.xml><?xml version="1.0" encoding="utf-8"?>
<calcChain xmlns="http://schemas.openxmlformats.org/spreadsheetml/2006/main">
  <c r="B7" i="20" l="1"/>
  <c r="I415" i="6"/>
  <c r="G38" i="7"/>
  <c r="K27" i="6"/>
  <c r="G31" i="7"/>
  <c r="K12" i="6" s="1"/>
  <c r="G20" i="7"/>
  <c r="K9" i="6" s="1"/>
  <c r="G13" i="7"/>
  <c r="K15" i="6" s="1"/>
  <c r="K16" i="6"/>
  <c r="G6" i="7"/>
  <c r="H38" i="7"/>
  <c r="L27" i="6" s="1"/>
  <c r="H31" i="7"/>
  <c r="L12" i="6"/>
  <c r="H20" i="7"/>
  <c r="L9" i="6" s="1"/>
  <c r="H13" i="7"/>
  <c r="L15" i="6" s="1"/>
  <c r="I38" i="7"/>
  <c r="M27" i="6" s="1"/>
  <c r="I31" i="7"/>
  <c r="M12" i="6" s="1"/>
  <c r="I20" i="7"/>
  <c r="M9" i="6" s="1"/>
  <c r="I13" i="7"/>
  <c r="J38" i="7"/>
  <c r="N27" i="6" s="1"/>
  <c r="J31" i="7"/>
  <c r="N12" i="6" s="1"/>
  <c r="J20" i="7"/>
  <c r="N9" i="6" s="1"/>
  <c r="J13" i="7"/>
  <c r="N15" i="6" s="1"/>
  <c r="N50" i="6" s="1"/>
  <c r="K38" i="7"/>
  <c r="O27" i="6" s="1"/>
  <c r="K31" i="7"/>
  <c r="O12" i="6" s="1"/>
  <c r="K20" i="7"/>
  <c r="O9" i="6" s="1"/>
  <c r="K13" i="7"/>
  <c r="O15" i="6" s="1"/>
  <c r="O50" i="6" s="1"/>
  <c r="L38" i="7"/>
  <c r="P27" i="6"/>
  <c r="L20" i="7"/>
  <c r="P9" i="6" s="1"/>
  <c r="L13" i="7"/>
  <c r="P15" i="6" s="1"/>
  <c r="J6" i="2"/>
  <c r="V7" i="17" s="1"/>
  <c r="C15" i="7"/>
  <c r="P1" i="6"/>
  <c r="Q1" i="11" s="1"/>
  <c r="O1" i="22" s="1"/>
  <c r="E7" i="21"/>
  <c r="K39" i="21"/>
  <c r="F37" i="21"/>
  <c r="K16" i="21"/>
  <c r="K20" i="21"/>
  <c r="C10" i="11"/>
  <c r="G8" i="11"/>
  <c r="J8" i="11"/>
  <c r="M8" i="11" s="1"/>
  <c r="P8" i="11" s="1"/>
  <c r="J27" i="2" s="1"/>
  <c r="P68" i="21"/>
  <c r="P69" i="21"/>
  <c r="P70" i="21"/>
  <c r="P71" i="21"/>
  <c r="K22" i="6"/>
  <c r="L22" i="6"/>
  <c r="M22" i="6" s="1"/>
  <c r="N22" i="6"/>
  <c r="O22" i="6" s="1"/>
  <c r="P22" i="6" s="1"/>
  <c r="K26" i="6"/>
  <c r="L26" i="6"/>
  <c r="M26" i="6" s="1"/>
  <c r="N26" i="6"/>
  <c r="O26" i="6" s="1"/>
  <c r="P26" i="6" s="1"/>
  <c r="K77" i="6"/>
  <c r="K78" i="6"/>
  <c r="K79" i="6"/>
  <c r="K80" i="6"/>
  <c r="K81" i="6"/>
  <c r="K82" i="6"/>
  <c r="K54" i="6"/>
  <c r="K55" i="6"/>
  <c r="K56" i="6" s="1"/>
  <c r="K105" i="6"/>
  <c r="F220" i="6"/>
  <c r="F219" i="6"/>
  <c r="K222" i="6"/>
  <c r="L222" i="6" s="1"/>
  <c r="J301" i="6"/>
  <c r="J302" i="6"/>
  <c r="J303" i="6"/>
  <c r="K296" i="6"/>
  <c r="K297" i="6"/>
  <c r="K298" i="6"/>
  <c r="L296" i="6"/>
  <c r="L297" i="6"/>
  <c r="L298" i="6"/>
  <c r="M296" i="6"/>
  <c r="M297" i="6"/>
  <c r="M298" i="6"/>
  <c r="N296" i="6"/>
  <c r="N297" i="6"/>
  <c r="N298" i="6"/>
  <c r="O296" i="6"/>
  <c r="O297" i="6"/>
  <c r="O298" i="6"/>
  <c r="E241" i="6"/>
  <c r="D263" i="6" s="1"/>
  <c r="J347" i="6"/>
  <c r="K345" i="6" s="1"/>
  <c r="K347" i="6" s="1"/>
  <c r="K346" i="6"/>
  <c r="J338" i="6"/>
  <c r="K336" i="6" s="1"/>
  <c r="K349" i="6"/>
  <c r="K340" i="6"/>
  <c r="L346" i="6"/>
  <c r="M346" i="6"/>
  <c r="M332" i="6" s="1"/>
  <c r="N346" i="6"/>
  <c r="O346" i="6"/>
  <c r="G14" i="11"/>
  <c r="J14" i="11"/>
  <c r="J25" i="11" s="1"/>
  <c r="I29" i="6"/>
  <c r="I49" i="6"/>
  <c r="I61" i="6" s="1"/>
  <c r="J29" i="6"/>
  <c r="J49" i="6"/>
  <c r="H29" i="6"/>
  <c r="H49" i="6"/>
  <c r="H72" i="6" s="1"/>
  <c r="H64" i="6"/>
  <c r="H63" i="6"/>
  <c r="H60" i="6"/>
  <c r="H59" i="6"/>
  <c r="J9" i="2"/>
  <c r="L33" i="7"/>
  <c r="L31" i="7"/>
  <c r="P12" i="6" s="1"/>
  <c r="P14" i="6" s="1"/>
  <c r="K35" i="7"/>
  <c r="J35" i="7"/>
  <c r="I35" i="7"/>
  <c r="H35" i="7"/>
  <c r="L35" i="7" s="1"/>
  <c r="K34" i="7"/>
  <c r="J34" i="7"/>
  <c r="I34" i="7"/>
  <c r="H34" i="7"/>
  <c r="G35" i="7"/>
  <c r="G34" i="7"/>
  <c r="J83" i="6"/>
  <c r="J14" i="6"/>
  <c r="J35" i="6" s="1"/>
  <c r="J36" i="6"/>
  <c r="J101" i="6" s="1"/>
  <c r="K163" i="6"/>
  <c r="H59" i="2"/>
  <c r="G59" i="2"/>
  <c r="K59" i="21" s="1"/>
  <c r="G70" i="2"/>
  <c r="K108" i="6"/>
  <c r="H70" i="2"/>
  <c r="L108" i="6"/>
  <c r="I70" i="2"/>
  <c r="M108" i="6"/>
  <c r="J70" i="2"/>
  <c r="N108" i="6"/>
  <c r="K70" i="2"/>
  <c r="O108" i="6"/>
  <c r="J388" i="6"/>
  <c r="K385" i="6"/>
  <c r="K388" i="6" s="1"/>
  <c r="K366" i="6"/>
  <c r="J383" i="6"/>
  <c r="K382" i="6"/>
  <c r="L382" i="6"/>
  <c r="M382" i="6" s="1"/>
  <c r="N382" i="6" s="1"/>
  <c r="O382" i="6" s="1"/>
  <c r="K383" i="6"/>
  <c r="K386" i="6" s="1"/>
  <c r="K387" i="6"/>
  <c r="L366" i="6"/>
  <c r="L387" i="6"/>
  <c r="M366" i="6"/>
  <c r="M387" i="6"/>
  <c r="N366" i="6"/>
  <c r="N387" i="6"/>
  <c r="O366" i="6"/>
  <c r="O387" i="6"/>
  <c r="C35" i="7"/>
  <c r="C34" i="7"/>
  <c r="N332" i="6"/>
  <c r="L332" i="6"/>
  <c r="K332" i="6"/>
  <c r="F18" i="22"/>
  <c r="J26" i="22"/>
  <c r="K26" i="22"/>
  <c r="L26" i="22" s="1"/>
  <c r="M26" i="22"/>
  <c r="N26" i="22" s="1"/>
  <c r="K11" i="22"/>
  <c r="L11" i="22" s="1"/>
  <c r="M11" i="22"/>
  <c r="N11" i="22"/>
  <c r="I27" i="22"/>
  <c r="I28" i="22" s="1"/>
  <c r="I29" i="22" s="1"/>
  <c r="I30" i="22" s="1"/>
  <c r="I31" i="22" s="1"/>
  <c r="I13" i="22"/>
  <c r="I14" i="22"/>
  <c r="I15" i="22"/>
  <c r="I16" i="22"/>
  <c r="F14" i="22"/>
  <c r="G17" i="11"/>
  <c r="F16" i="22"/>
  <c r="B1" i="17"/>
  <c r="B44" i="2" s="1"/>
  <c r="J7" i="2"/>
  <c r="G54" i="2"/>
  <c r="H54" i="2" s="1"/>
  <c r="I54" i="2"/>
  <c r="J54" i="2" s="1"/>
  <c r="K54" i="2" s="1"/>
  <c r="J33" i="2" s="1"/>
  <c r="D7" i="2"/>
  <c r="E19" i="2"/>
  <c r="P51" i="11"/>
  <c r="M14" i="11"/>
  <c r="M25" i="11" s="1"/>
  <c r="P14" i="11"/>
  <c r="P25" i="11" s="1"/>
  <c r="P36" i="11" s="1"/>
  <c r="P48" i="11" s="1"/>
  <c r="M51" i="11"/>
  <c r="M36" i="11"/>
  <c r="M48" i="11" s="1"/>
  <c r="J51" i="11"/>
  <c r="J36" i="11"/>
  <c r="J48" i="11"/>
  <c r="G51" i="11"/>
  <c r="G25" i="11"/>
  <c r="G36" i="11"/>
  <c r="G48" i="11"/>
  <c r="P39" i="11"/>
  <c r="M39" i="11"/>
  <c r="J39" i="11"/>
  <c r="G39" i="11"/>
  <c r="P28" i="11"/>
  <c r="M28" i="11"/>
  <c r="J28" i="11"/>
  <c r="G28" i="11"/>
  <c r="P17" i="11"/>
  <c r="M17" i="11"/>
  <c r="J17" i="11"/>
  <c r="I14" i="6"/>
  <c r="I35" i="6" s="1"/>
  <c r="I37" i="6" s="1"/>
  <c r="I102" i="6" s="1"/>
  <c r="I36" i="6"/>
  <c r="I83" i="6"/>
  <c r="H14" i="6"/>
  <c r="H35" i="6"/>
  <c r="H37" i="6" s="1"/>
  <c r="H102" i="6" s="1"/>
  <c r="H36" i="6"/>
  <c r="H83" i="6"/>
  <c r="I421" i="6"/>
  <c r="J404" i="6"/>
  <c r="J405" i="6"/>
  <c r="J407" i="6" s="1"/>
  <c r="J421" i="6" s="1"/>
  <c r="J323" i="6"/>
  <c r="K321" i="6" s="1"/>
  <c r="J203" i="6"/>
  <c r="K150" i="6"/>
  <c r="L150" i="6" s="1"/>
  <c r="M150" i="6" s="1"/>
  <c r="N150" i="6" s="1"/>
  <c r="O150" i="6" s="1"/>
  <c r="J231" i="6"/>
  <c r="J111" i="6"/>
  <c r="J142" i="6"/>
  <c r="J119" i="6"/>
  <c r="K21" i="6"/>
  <c r="K23" i="6"/>
  <c r="L21" i="6"/>
  <c r="L23" i="6" s="1"/>
  <c r="I231" i="6"/>
  <c r="I111" i="6" s="1"/>
  <c r="I142" i="6" s="1"/>
  <c r="I119" i="6"/>
  <c r="H231" i="6"/>
  <c r="H111" i="6" s="1"/>
  <c r="H142" i="6"/>
  <c r="H119" i="6"/>
  <c r="J367" i="6"/>
  <c r="K365" i="6" s="1"/>
  <c r="K367" i="6"/>
  <c r="K201" i="6" s="1"/>
  <c r="L365" i="6"/>
  <c r="L367" i="6" s="1"/>
  <c r="O157" i="6"/>
  <c r="N157" i="6"/>
  <c r="L157" i="6"/>
  <c r="N156" i="6"/>
  <c r="L156" i="6"/>
  <c r="K157" i="6"/>
  <c r="J378" i="6"/>
  <c r="K369" i="6"/>
  <c r="L369" i="6" s="1"/>
  <c r="K375" i="6"/>
  <c r="M369" i="6"/>
  <c r="N369" i="6" s="1"/>
  <c r="O369" i="6" s="1"/>
  <c r="I27" i="6"/>
  <c r="J27" i="6"/>
  <c r="I15" i="6"/>
  <c r="J15" i="6"/>
  <c r="J151" i="6"/>
  <c r="I151" i="6"/>
  <c r="H151" i="6"/>
  <c r="J403" i="6"/>
  <c r="J406" i="6"/>
  <c r="I418" i="6"/>
  <c r="I412" i="6"/>
  <c r="K254" i="6"/>
  <c r="J144" i="6"/>
  <c r="J143" i="6"/>
  <c r="I143" i="6"/>
  <c r="I144" i="6"/>
  <c r="H144" i="6"/>
  <c r="H143" i="6"/>
  <c r="J56" i="6"/>
  <c r="I56" i="6"/>
  <c r="I101" i="6"/>
  <c r="J100" i="6"/>
  <c r="J97" i="6"/>
  <c r="I97" i="6"/>
  <c r="J23" i="6"/>
  <c r="J31" i="6"/>
  <c r="I23" i="6"/>
  <c r="I31" i="6" s="1"/>
  <c r="H17" i="6"/>
  <c r="F16" i="6"/>
  <c r="F17" i="6" s="1"/>
  <c r="L349" i="6"/>
  <c r="M349" i="6" s="1"/>
  <c r="L340" i="6"/>
  <c r="M340" i="6" s="1"/>
  <c r="N340" i="6"/>
  <c r="O340" i="6" s="1"/>
  <c r="K273" i="6"/>
  <c r="F271" i="6"/>
  <c r="K250" i="6"/>
  <c r="K325" i="6"/>
  <c r="L325" i="6" s="1"/>
  <c r="M325" i="6" s="1"/>
  <c r="N325" i="6" s="1"/>
  <c r="O325" i="6" s="1"/>
  <c r="K192" i="6"/>
  <c r="L192" i="6" s="1"/>
  <c r="M192" i="6" s="1"/>
  <c r="N192" i="6" s="1"/>
  <c r="O192" i="6" s="1"/>
  <c r="K185" i="6"/>
  <c r="L185" i="6"/>
  <c r="M185" i="6"/>
  <c r="N185" i="6"/>
  <c r="O185" i="6" s="1"/>
  <c r="K181" i="6"/>
  <c r="L181" i="6" s="1"/>
  <c r="M181" i="6" s="1"/>
  <c r="N181" i="6" s="1"/>
  <c r="O181" i="6" s="1"/>
  <c r="K156" i="6"/>
  <c r="D266" i="6"/>
  <c r="H56" i="6"/>
  <c r="F55" i="6"/>
  <c r="F56" i="6" s="1"/>
  <c r="F59" i="6" s="1"/>
  <c r="F60" i="6" s="1"/>
  <c r="F61" i="6" s="1"/>
  <c r="F62" i="6" s="1"/>
  <c r="F63" i="6" s="1"/>
  <c r="F64" i="6" s="1"/>
  <c r="F65" i="6" s="1"/>
  <c r="F67" i="6" s="1"/>
  <c r="J197" i="6"/>
  <c r="J193" i="6"/>
  <c r="J199" i="6" s="1"/>
  <c r="J205" i="6" s="1"/>
  <c r="J207" i="6" s="1"/>
  <c r="J182" i="6"/>
  <c r="J186" i="6" s="1"/>
  <c r="P95" i="6"/>
  <c r="H100" i="6"/>
  <c r="H97" i="6"/>
  <c r="H23" i="6"/>
  <c r="H31" i="6"/>
  <c r="C24" i="7"/>
  <c r="C42" i="7" s="1"/>
  <c r="C23" i="7"/>
  <c r="C41" i="7"/>
  <c r="C22" i="7"/>
  <c r="C40" i="7" s="1"/>
  <c r="L34" i="7"/>
  <c r="C16" i="7"/>
  <c r="C17" i="7"/>
  <c r="C33" i="7"/>
  <c r="O35" i="17"/>
  <c r="Z7" i="17"/>
  <c r="S35" i="17" s="1"/>
  <c r="M35" i="17"/>
  <c r="O33" i="17"/>
  <c r="S33" i="17"/>
  <c r="M33" i="17"/>
  <c r="O31" i="17"/>
  <c r="S31" i="17"/>
  <c r="M31" i="17"/>
  <c r="Z5" i="17"/>
  <c r="K14" i="17" s="1"/>
  <c r="I16" i="17"/>
  <c r="M16" i="17" s="1"/>
  <c r="Q16" i="17" s="1"/>
  <c r="Z6" i="17"/>
  <c r="I18" i="17"/>
  <c r="M18" i="17" s="1"/>
  <c r="Q18" i="17"/>
  <c r="Q11" i="17"/>
  <c r="D35" i="17"/>
  <c r="D33" i="17"/>
  <c r="D31" i="17"/>
  <c r="D28" i="17"/>
  <c r="P54" i="21"/>
  <c r="D32" i="21"/>
  <c r="H101" i="6"/>
  <c r="O14" i="17"/>
  <c r="S14" i="17" s="1"/>
  <c r="J72" i="6"/>
  <c r="J73" i="6"/>
  <c r="J60" i="6"/>
  <c r="J59" i="6"/>
  <c r="J64" i="6"/>
  <c r="J61" i="6"/>
  <c r="K18" i="17"/>
  <c r="O18" i="17" s="1"/>
  <c r="S18" i="17" s="1"/>
  <c r="M157" i="6"/>
  <c r="M21" i="6"/>
  <c r="N21" i="6" s="1"/>
  <c r="J37" i="6"/>
  <c r="J102" i="6"/>
  <c r="B1" i="2"/>
  <c r="B1" i="7" s="1"/>
  <c r="B2" i="6" s="1"/>
  <c r="J304" i="6"/>
  <c r="K149" i="6"/>
  <c r="K72" i="21"/>
  <c r="I64" i="6"/>
  <c r="I73" i="6"/>
  <c r="I62" i="6"/>
  <c r="I60" i="6"/>
  <c r="L383" i="6"/>
  <c r="M383" i="6" s="1"/>
  <c r="N383" i="6"/>
  <c r="M222" i="6"/>
  <c r="N222" i="6" s="1"/>
  <c r="O222" i="6" s="1"/>
  <c r="C21" i="11"/>
  <c r="L149" i="6"/>
  <c r="L151" i="6" s="1"/>
  <c r="K83" i="6"/>
  <c r="D29" i="21"/>
  <c r="L40" i="21"/>
  <c r="L41" i="21"/>
  <c r="L403" i="6"/>
  <c r="L331" i="6"/>
  <c r="L274" i="6"/>
  <c r="L275" i="6"/>
  <c r="L386" i="6"/>
  <c r="K390" i="6"/>
  <c r="K123" i="6"/>
  <c r="L385" i="6"/>
  <c r="I100" i="6"/>
  <c r="K274" i="6"/>
  <c r="K40" i="21"/>
  <c r="K41" i="21" s="1"/>
  <c r="K42" i="21" s="1"/>
  <c r="K43" i="21" s="1"/>
  <c r="K12" i="21" s="1"/>
  <c r="K151" i="6"/>
  <c r="K331" i="6" s="1"/>
  <c r="K403" i="6"/>
  <c r="M386" i="6"/>
  <c r="J292" i="6"/>
  <c r="K275" i="6"/>
  <c r="K276" i="6" s="1"/>
  <c r="K277" i="6"/>
  <c r="K246" i="6" s="1"/>
  <c r="P48" i="21"/>
  <c r="O1" i="21" s="1"/>
  <c r="G65" i="2"/>
  <c r="D49" i="2"/>
  <c r="H6" i="7"/>
  <c r="I6" i="7" s="1"/>
  <c r="L50" i="6"/>
  <c r="L78" i="6" s="1"/>
  <c r="H65" i="2" l="1"/>
  <c r="I65" i="2" s="1"/>
  <c r="J65" i="2" s="1"/>
  <c r="K65" i="2" s="1"/>
  <c r="G76" i="2"/>
  <c r="B2" i="21"/>
  <c r="B394" i="6"/>
  <c r="B170" i="6"/>
  <c r="B311" i="6"/>
  <c r="B357" i="6" s="1"/>
  <c r="B212" i="6"/>
  <c r="B90" i="6"/>
  <c r="B42" i="6"/>
  <c r="B282" i="6"/>
  <c r="K278" i="6"/>
  <c r="L273" i="6" s="1"/>
  <c r="B236" i="6"/>
  <c r="L345" i="6"/>
  <c r="L347" i="6" s="1"/>
  <c r="K196" i="6"/>
  <c r="L388" i="6"/>
  <c r="O21" i="6"/>
  <c r="N23" i="6"/>
  <c r="K44" i="21"/>
  <c r="L39" i="21" s="1"/>
  <c r="B134" i="6"/>
  <c r="C32" i="11"/>
  <c r="D40" i="17"/>
  <c r="N386" i="6"/>
  <c r="O383" i="6"/>
  <c r="O386" i="6" s="1"/>
  <c r="N349" i="6"/>
  <c r="L201" i="6"/>
  <c r="M365" i="6"/>
  <c r="M367" i="6" s="1"/>
  <c r="I17" i="6"/>
  <c r="I14" i="17"/>
  <c r="M14" i="17" s="1"/>
  <c r="Q14" i="17" s="1"/>
  <c r="J74" i="6"/>
  <c r="J85" i="6" s="1"/>
  <c r="J104" i="6" s="1"/>
  <c r="Q31" i="17"/>
  <c r="Q33" i="17"/>
  <c r="Q35" i="17"/>
  <c r="J17" i="6"/>
  <c r="M156" i="6"/>
  <c r="L59" i="21"/>
  <c r="L72" i="21"/>
  <c r="M23" i="6"/>
  <c r="K16" i="17"/>
  <c r="O16" i="17" s="1"/>
  <c r="S16" i="17" s="1"/>
  <c r="H73" i="6"/>
  <c r="H74" i="6" s="1"/>
  <c r="H85" i="6" s="1"/>
  <c r="H104" i="6" s="1"/>
  <c r="H106" i="6" s="1"/>
  <c r="H109" i="6" s="1"/>
  <c r="H62" i="6"/>
  <c r="H61" i="6"/>
  <c r="H65" i="6" s="1"/>
  <c r="H67" i="6" s="1"/>
  <c r="I59" i="6"/>
  <c r="I72" i="6"/>
  <c r="I74" i="6" s="1"/>
  <c r="I85" i="6" s="1"/>
  <c r="I104" i="6" s="1"/>
  <c r="I106" i="6" s="1"/>
  <c r="I109" i="6" s="1"/>
  <c r="I63" i="6"/>
  <c r="O332" i="6"/>
  <c r="O156" i="6"/>
  <c r="K350" i="6"/>
  <c r="Q28" i="17"/>
  <c r="J62" i="6"/>
  <c r="J63" i="6"/>
  <c r="K28" i="6"/>
  <c r="K29" i="6" s="1"/>
  <c r="L105" i="6"/>
  <c r="L80" i="6"/>
  <c r="O41" i="6"/>
  <c r="P89" i="6" s="1"/>
  <c r="O211" i="6" s="1"/>
  <c r="O133" i="6" s="1"/>
  <c r="O169" i="6" s="1"/>
  <c r="O14" i="6"/>
  <c r="M14" i="6"/>
  <c r="N14" i="6"/>
  <c r="L14" i="6"/>
  <c r="L55" i="6"/>
  <c r="L16" i="6"/>
  <c r="L81" i="6"/>
  <c r="L82" i="6"/>
  <c r="L77" i="6"/>
  <c r="L79" i="6"/>
  <c r="L54" i="6"/>
  <c r="O235" i="6"/>
  <c r="O281" i="6" s="1"/>
  <c r="M15" i="6"/>
  <c r="M50" i="6" s="1"/>
  <c r="M78" i="6" s="1"/>
  <c r="I56" i="2"/>
  <c r="K14" i="6"/>
  <c r="K17" i="6" s="1"/>
  <c r="V11" i="17"/>
  <c r="V28" i="17" s="1"/>
  <c r="M7" i="6"/>
  <c r="J6" i="7"/>
  <c r="H76" i="2"/>
  <c r="I76" i="2" s="1"/>
  <c r="J76" i="2" s="1"/>
  <c r="K76" i="2" s="1"/>
  <c r="G86" i="2"/>
  <c r="H86" i="2" s="1"/>
  <c r="I86" i="2" s="1"/>
  <c r="J86" i="2" s="1"/>
  <c r="K86" i="2" s="1"/>
  <c r="K7" i="6"/>
  <c r="L7" i="6"/>
  <c r="D18" i="22"/>
  <c r="I112" i="6" l="1"/>
  <c r="I127" i="6"/>
  <c r="H112" i="6"/>
  <c r="H127" i="6"/>
  <c r="M345" i="6"/>
  <c r="M347" i="6" s="1"/>
  <c r="L196" i="6"/>
  <c r="L350" i="6"/>
  <c r="L278" i="6"/>
  <c r="M273" i="6" s="1"/>
  <c r="O349" i="6"/>
  <c r="C44" i="11"/>
  <c r="J25" i="2" s="1"/>
  <c r="D39" i="17"/>
  <c r="P21" i="6"/>
  <c r="P23" i="6" s="1"/>
  <c r="O23" i="6"/>
  <c r="B2" i="22"/>
  <c r="B2" i="11"/>
  <c r="B49" i="21"/>
  <c r="L390" i="6"/>
  <c r="L123" i="6" s="1"/>
  <c r="M385" i="6"/>
  <c r="M388" i="6" s="1"/>
  <c r="J106" i="6"/>
  <c r="J109" i="6" s="1"/>
  <c r="J293" i="6"/>
  <c r="L28" i="6"/>
  <c r="J65" i="6"/>
  <c r="J67" i="6" s="1"/>
  <c r="I65" i="6"/>
  <c r="I67" i="6" s="1"/>
  <c r="N365" i="6"/>
  <c r="N367" i="6" s="1"/>
  <c r="M201" i="6"/>
  <c r="L276" i="6"/>
  <c r="L277" i="6" s="1"/>
  <c r="L246" i="6" s="1"/>
  <c r="L42" i="21"/>
  <c r="L43" i="21" s="1"/>
  <c r="L12" i="21" s="1"/>
  <c r="N78" i="6"/>
  <c r="J56" i="2"/>
  <c r="I59" i="2"/>
  <c r="O310" i="6"/>
  <c r="O356" i="6" s="1"/>
  <c r="O393" i="6"/>
  <c r="M82" i="6"/>
  <c r="K97" i="6"/>
  <c r="K49" i="6"/>
  <c r="K31" i="6"/>
  <c r="K36" i="6"/>
  <c r="K101" i="6" s="1"/>
  <c r="K35" i="6"/>
  <c r="M54" i="6"/>
  <c r="M81" i="6"/>
  <c r="M16" i="6"/>
  <c r="L17" i="6"/>
  <c r="L56" i="6"/>
  <c r="M55" i="6"/>
  <c r="M105" i="6"/>
  <c r="N105" i="6" s="1"/>
  <c r="O105" i="6" s="1"/>
  <c r="M79" i="6"/>
  <c r="M80" i="6"/>
  <c r="L83" i="6"/>
  <c r="M77" i="6"/>
  <c r="L29" i="6"/>
  <c r="M28" i="6"/>
  <c r="L271" i="6"/>
  <c r="L287" i="6"/>
  <c r="L47" i="6"/>
  <c r="L316" i="6"/>
  <c r="L54" i="21"/>
  <c r="L95" i="6"/>
  <c r="L217" i="6"/>
  <c r="L175" i="6"/>
  <c r="L241" i="6"/>
  <c r="L399" i="6"/>
  <c r="L7" i="21" s="1"/>
  <c r="L37" i="21" s="1"/>
  <c r="L139" i="6"/>
  <c r="L362" i="6"/>
  <c r="N7" i="6"/>
  <c r="K6" i="7"/>
  <c r="K271" i="6"/>
  <c r="K241" i="6"/>
  <c r="K54" i="21"/>
  <c r="K287" i="6"/>
  <c r="K399" i="6"/>
  <c r="K7" i="21" s="1"/>
  <c r="K37" i="21" s="1"/>
  <c r="K95" i="6"/>
  <c r="K362" i="6"/>
  <c r="K139" i="6"/>
  <c r="J7" i="6"/>
  <c r="K316" i="6"/>
  <c r="K47" i="6"/>
  <c r="K217" i="6"/>
  <c r="K175" i="6"/>
  <c r="M54" i="21"/>
  <c r="M47" i="6"/>
  <c r="M95" i="6"/>
  <c r="M241" i="6"/>
  <c r="M217" i="6"/>
  <c r="M139" i="6"/>
  <c r="M175" i="6"/>
  <c r="M287" i="6"/>
  <c r="M289" i="6" s="1"/>
  <c r="M271" i="6"/>
  <c r="M316" i="6"/>
  <c r="M399" i="6"/>
  <c r="M7" i="21" s="1"/>
  <c r="M37" i="21" s="1"/>
  <c r="M362" i="6"/>
  <c r="H115" i="6" l="1"/>
  <c r="H121" i="6" s="1"/>
  <c r="H128" i="6"/>
  <c r="J402" i="6"/>
  <c r="J127" i="6"/>
  <c r="J112" i="6"/>
  <c r="N385" i="6"/>
  <c r="N388" i="6" s="1"/>
  <c r="M390" i="6"/>
  <c r="M123" i="6" s="1"/>
  <c r="L44" i="21"/>
  <c r="M39" i="21" s="1"/>
  <c r="O365" i="6"/>
  <c r="O367" i="6" s="1"/>
  <c r="O201" i="6" s="1"/>
  <c r="N201" i="6"/>
  <c r="N345" i="6"/>
  <c r="N347" i="6" s="1"/>
  <c r="M196" i="6"/>
  <c r="M350" i="6"/>
  <c r="I115" i="6"/>
  <c r="I121" i="6" s="1"/>
  <c r="I128" i="6"/>
  <c r="N81" i="6"/>
  <c r="K100" i="6"/>
  <c r="K37" i="6"/>
  <c r="K102" i="6" s="1"/>
  <c r="O78" i="6"/>
  <c r="M83" i="6"/>
  <c r="N77" i="6"/>
  <c r="N79" i="6"/>
  <c r="N82" i="6"/>
  <c r="M149" i="6"/>
  <c r="M59" i="21"/>
  <c r="M72" i="21"/>
  <c r="M29" i="6"/>
  <c r="N28" i="6"/>
  <c r="N54" i="6"/>
  <c r="K56" i="2"/>
  <c r="J59" i="2"/>
  <c r="L36" i="6"/>
  <c r="L101" i="6" s="1"/>
  <c r="L49" i="6"/>
  <c r="L97" i="6"/>
  <c r="L35" i="6"/>
  <c r="L31" i="6"/>
  <c r="N80" i="6"/>
  <c r="N55" i="6"/>
  <c r="M56" i="6"/>
  <c r="N16" i="6"/>
  <c r="M17" i="6"/>
  <c r="K63" i="6"/>
  <c r="K72" i="6"/>
  <c r="K64" i="6"/>
  <c r="K73" i="6"/>
  <c r="K60" i="6"/>
  <c r="K61" i="6"/>
  <c r="K59" i="6"/>
  <c r="K62" i="6"/>
  <c r="J362" i="6"/>
  <c r="J316" i="6"/>
  <c r="J287" i="6"/>
  <c r="J399" i="6"/>
  <c r="I7" i="6"/>
  <c r="J175" i="6"/>
  <c r="J217" i="6"/>
  <c r="J47" i="6"/>
  <c r="J95" i="6" s="1"/>
  <c r="J139" i="6"/>
  <c r="D225" i="6"/>
  <c r="O7" i="6"/>
  <c r="J30" i="2"/>
  <c r="E13" i="2"/>
  <c r="L289" i="6"/>
  <c r="E28" i="17"/>
  <c r="V31" i="17"/>
  <c r="N287" i="6"/>
  <c r="N289" i="6" s="1"/>
  <c r="N47" i="6"/>
  <c r="N399" i="6"/>
  <c r="N7" i="21" s="1"/>
  <c r="N37" i="21" s="1"/>
  <c r="N54" i="21"/>
  <c r="N271" i="6"/>
  <c r="N362" i="6"/>
  <c r="N175" i="6"/>
  <c r="N316" i="6"/>
  <c r="N95" i="6"/>
  <c r="N139" i="6"/>
  <c r="N241" i="6"/>
  <c r="N217" i="6"/>
  <c r="I124" i="6" l="1"/>
  <c r="I141" i="6"/>
  <c r="I145" i="6" s="1"/>
  <c r="J415" i="6"/>
  <c r="J419" i="6"/>
  <c r="J418" i="6"/>
  <c r="J413" i="6"/>
  <c r="J416" i="6"/>
  <c r="J412" i="6"/>
  <c r="O345" i="6"/>
  <c r="O347" i="6" s="1"/>
  <c r="N196" i="6"/>
  <c r="N350" i="6"/>
  <c r="N390" i="6"/>
  <c r="N123" i="6" s="1"/>
  <c r="O385" i="6"/>
  <c r="O388" i="6" s="1"/>
  <c r="O390" i="6" s="1"/>
  <c r="O123" i="6" s="1"/>
  <c r="P123" i="6" s="1"/>
  <c r="J128" i="6"/>
  <c r="J115" i="6"/>
  <c r="J121" i="6" s="1"/>
  <c r="H141" i="6"/>
  <c r="H145" i="6" s="1"/>
  <c r="H124" i="6"/>
  <c r="O54" i="6"/>
  <c r="K292" i="6"/>
  <c r="N56" i="6"/>
  <c r="O55" i="6"/>
  <c r="L100" i="6"/>
  <c r="L37" i="6"/>
  <c r="L102" i="6" s="1"/>
  <c r="N149" i="6"/>
  <c r="N72" i="21"/>
  <c r="N59" i="21"/>
  <c r="O79" i="6"/>
  <c r="K65" i="6"/>
  <c r="K67" i="6" s="1"/>
  <c r="O16" i="6"/>
  <c r="N17" i="6"/>
  <c r="L56" i="2"/>
  <c r="L59" i="2" s="1"/>
  <c r="K59" i="2"/>
  <c r="N29" i="6"/>
  <c r="O28" i="6"/>
  <c r="M151" i="6"/>
  <c r="M331" i="6" s="1"/>
  <c r="M274" i="6"/>
  <c r="M40" i="21"/>
  <c r="M403" i="6"/>
  <c r="K74" i="6"/>
  <c r="K85" i="6" s="1"/>
  <c r="K104" i="6" s="1"/>
  <c r="O80" i="6"/>
  <c r="L62" i="6"/>
  <c r="L60" i="6"/>
  <c r="L72" i="6"/>
  <c r="L74" i="6" s="1"/>
  <c r="L85" i="6" s="1"/>
  <c r="L104" i="6" s="1"/>
  <c r="L64" i="6"/>
  <c r="L63" i="6"/>
  <c r="L73" i="6"/>
  <c r="L61" i="6"/>
  <c r="L59" i="6"/>
  <c r="M97" i="6"/>
  <c r="M35" i="6"/>
  <c r="M49" i="6"/>
  <c r="M31" i="6"/>
  <c r="M36" i="6"/>
  <c r="M101" i="6" s="1"/>
  <c r="O82" i="6"/>
  <c r="O77" i="6"/>
  <c r="N83" i="6"/>
  <c r="O81" i="6"/>
  <c r="E225" i="6"/>
  <c r="K225" i="6" s="1"/>
  <c r="K231" i="6" s="1"/>
  <c r="K111" i="6" s="1"/>
  <c r="D226" i="6"/>
  <c r="O139" i="6"/>
  <c r="O271" i="6"/>
  <c r="O362" i="6"/>
  <c r="O95" i="6"/>
  <c r="O217" i="6"/>
  <c r="O399" i="6"/>
  <c r="O7" i="21" s="1"/>
  <c r="O37" i="21" s="1"/>
  <c r="O316" i="6"/>
  <c r="O241" i="6"/>
  <c r="O287" i="6"/>
  <c r="O289" i="6" s="1"/>
  <c r="O175" i="6"/>
  <c r="O54" i="21"/>
  <c r="O47" i="6"/>
  <c r="K289" i="6"/>
  <c r="E17" i="11"/>
  <c r="V6" i="17"/>
  <c r="E14" i="11"/>
  <c r="V5" i="17"/>
  <c r="I287" i="6"/>
  <c r="J289" i="6" s="1"/>
  <c r="I95" i="6"/>
  <c r="I139" i="6"/>
  <c r="H7" i="6"/>
  <c r="I47" i="6"/>
  <c r="I217" i="6"/>
  <c r="J141" i="6" l="1"/>
  <c r="J145" i="6" s="1"/>
  <c r="J129" i="6"/>
  <c r="J124" i="6"/>
  <c r="O196" i="6"/>
  <c r="O350" i="6"/>
  <c r="M60" i="6"/>
  <c r="M72" i="6"/>
  <c r="M59" i="6"/>
  <c r="M63" i="6"/>
  <c r="M61" i="6"/>
  <c r="M62" i="6"/>
  <c r="M64" i="6"/>
  <c r="M73" i="6"/>
  <c r="O72" i="21"/>
  <c r="O59" i="21"/>
  <c r="O149" i="6"/>
  <c r="K106" i="6"/>
  <c r="K109" i="6" s="1"/>
  <c r="K112" i="6" s="1"/>
  <c r="K293" i="6"/>
  <c r="K302" i="6" s="1"/>
  <c r="K180" i="6" s="1"/>
  <c r="P28" i="6"/>
  <c r="P29" i="6" s="1"/>
  <c r="O29" i="6"/>
  <c r="N274" i="6"/>
  <c r="N275" i="6" s="1"/>
  <c r="N40" i="21"/>
  <c r="N41" i="21" s="1"/>
  <c r="N403" i="6"/>
  <c r="N151" i="6"/>
  <c r="N331" i="6" s="1"/>
  <c r="O56" i="6"/>
  <c r="L293" i="6"/>
  <c r="L106" i="6"/>
  <c r="L109" i="6" s="1"/>
  <c r="M275" i="6"/>
  <c r="M276" i="6" s="1"/>
  <c r="M277" i="6" s="1"/>
  <c r="M246" i="6" s="1"/>
  <c r="M37" i="6"/>
  <c r="M102" i="6" s="1"/>
  <c r="M100" i="6"/>
  <c r="P111" i="6"/>
  <c r="P67" i="21" s="1"/>
  <c r="P72" i="21"/>
  <c r="P59" i="21"/>
  <c r="O83" i="6"/>
  <c r="L65" i="6"/>
  <c r="L67" i="6" s="1"/>
  <c r="M41" i="21"/>
  <c r="M42" i="21" s="1"/>
  <c r="M43" i="21" s="1"/>
  <c r="M12" i="21" s="1"/>
  <c r="N35" i="6"/>
  <c r="N49" i="6"/>
  <c r="N36" i="6"/>
  <c r="N101" i="6" s="1"/>
  <c r="N97" i="6"/>
  <c r="N31" i="6"/>
  <c r="P16" i="6"/>
  <c r="P17" i="6" s="1"/>
  <c r="O17" i="6"/>
  <c r="L292" i="6"/>
  <c r="L301" i="6" s="1"/>
  <c r="L179" i="6" s="1"/>
  <c r="J296" i="6"/>
  <c r="J298" i="6"/>
  <c r="J297" i="6"/>
  <c r="K67" i="21"/>
  <c r="K11" i="21"/>
  <c r="K245" i="6"/>
  <c r="K142" i="6"/>
  <c r="K184" i="6" s="1"/>
  <c r="H47" i="6"/>
  <c r="H217" i="6"/>
  <c r="H139" i="6"/>
  <c r="H95" i="6"/>
  <c r="D16" i="22"/>
  <c r="E28" i="11"/>
  <c r="E39" i="11" s="1"/>
  <c r="E51" i="11" s="1"/>
  <c r="L225" i="6"/>
  <c r="O225" i="6"/>
  <c r="K303" i="6"/>
  <c r="K191" i="6" s="1"/>
  <c r="K301" i="6"/>
  <c r="M225" i="6"/>
  <c r="N225" i="6"/>
  <c r="E25" i="11"/>
  <c r="E36" i="11" s="1"/>
  <c r="E48" i="11" s="1"/>
  <c r="D14" i="22"/>
  <c r="E226" i="6"/>
  <c r="N226" i="6" s="1"/>
  <c r="D227" i="6"/>
  <c r="M278" i="6" l="1"/>
  <c r="N273" i="6" s="1"/>
  <c r="L302" i="6"/>
  <c r="L303" i="6"/>
  <c r="L191" i="6" s="1"/>
  <c r="O35" i="6"/>
  <c r="O31" i="6"/>
  <c r="O36" i="6"/>
  <c r="O101" i="6" s="1"/>
  <c r="O97" i="6"/>
  <c r="O49" i="6"/>
  <c r="M65" i="6"/>
  <c r="M67" i="6" s="1"/>
  <c r="N37" i="6"/>
  <c r="N102" i="6" s="1"/>
  <c r="N100" i="6"/>
  <c r="P36" i="6"/>
  <c r="P101" i="6" s="1"/>
  <c r="P31" i="6"/>
  <c r="P97" i="6"/>
  <c r="P35" i="6"/>
  <c r="K56" i="21"/>
  <c r="K402" i="6"/>
  <c r="K127" i="6"/>
  <c r="M74" i="6"/>
  <c r="M85" i="6" s="1"/>
  <c r="M104" i="6" s="1"/>
  <c r="M292" i="6"/>
  <c r="M301" i="6" s="1"/>
  <c r="O274" i="6"/>
  <c r="O275" i="6" s="1"/>
  <c r="O403" i="6"/>
  <c r="O40" i="21"/>
  <c r="O41" i="21" s="1"/>
  <c r="O151" i="6"/>
  <c r="O331" i="6" s="1"/>
  <c r="N60" i="6"/>
  <c r="N72" i="6"/>
  <c r="N61" i="6"/>
  <c r="N62" i="6"/>
  <c r="N63" i="6"/>
  <c r="N59" i="6"/>
  <c r="N73" i="6"/>
  <c r="N64" i="6"/>
  <c r="L56" i="21"/>
  <c r="L127" i="6"/>
  <c r="L402" i="6"/>
  <c r="M44" i="21"/>
  <c r="N39" i="21" s="1"/>
  <c r="N42" i="21" s="1"/>
  <c r="N43" i="21" s="1"/>
  <c r="N12" i="21" s="1"/>
  <c r="N276" i="6"/>
  <c r="N277" i="6" s="1"/>
  <c r="N246" i="6" s="1"/>
  <c r="L226" i="6"/>
  <c r="L231" i="6" s="1"/>
  <c r="L111" i="6" s="1"/>
  <c r="K179" i="6"/>
  <c r="K304" i="6"/>
  <c r="K128" i="6"/>
  <c r="K9" i="21"/>
  <c r="D228" i="6"/>
  <c r="E227" i="6"/>
  <c r="O227" i="6" s="1"/>
  <c r="O226" i="6"/>
  <c r="M226" i="6"/>
  <c r="N227" i="6" l="1"/>
  <c r="M227" i="6"/>
  <c r="M231" i="6" s="1"/>
  <c r="M111" i="6" s="1"/>
  <c r="N278" i="6"/>
  <c r="O273" i="6" s="1"/>
  <c r="O276" i="6" s="1"/>
  <c r="O277" i="6" s="1"/>
  <c r="O246" i="6" s="1"/>
  <c r="O60" i="6"/>
  <c r="O62" i="6"/>
  <c r="O64" i="6"/>
  <c r="O59" i="6"/>
  <c r="O63" i="6"/>
  <c r="O61" i="6"/>
  <c r="O73" i="6"/>
  <c r="O72" i="6"/>
  <c r="N65" i="6"/>
  <c r="N67" i="6" s="1"/>
  <c r="N74" i="6"/>
  <c r="N85" i="6" s="1"/>
  <c r="N104" i="6" s="1"/>
  <c r="M106" i="6"/>
  <c r="M109" i="6" s="1"/>
  <c r="M293" i="6"/>
  <c r="P100" i="6"/>
  <c r="P37" i="6"/>
  <c r="P102" i="6" s="1"/>
  <c r="N44" i="21"/>
  <c r="O39" i="21" s="1"/>
  <c r="O42" i="21" s="1"/>
  <c r="O43" i="21" s="1"/>
  <c r="O12" i="21" s="1"/>
  <c r="O100" i="6"/>
  <c r="O37" i="6"/>
  <c r="O102" i="6" s="1"/>
  <c r="M179" i="6"/>
  <c r="N292" i="6"/>
  <c r="N301" i="6" s="1"/>
  <c r="L180" i="6"/>
  <c r="L304" i="6"/>
  <c r="L306" i="6" s="1"/>
  <c r="L11" i="21"/>
  <c r="L245" i="6"/>
  <c r="L112" i="6"/>
  <c r="L67" i="21"/>
  <c r="L142" i="6"/>
  <c r="L184" i="6" s="1"/>
  <c r="K29" i="21"/>
  <c r="K13" i="21"/>
  <c r="D229" i="6"/>
  <c r="E228" i="6"/>
  <c r="N228" i="6" s="1"/>
  <c r="N231" i="6" s="1"/>
  <c r="N111" i="6" s="1"/>
  <c r="K306" i="6"/>
  <c r="M67" i="21" l="1"/>
  <c r="M142" i="6"/>
  <c r="M184" i="6" s="1"/>
  <c r="M11" i="21"/>
  <c r="M112" i="6"/>
  <c r="M9" i="21" s="1"/>
  <c r="M245" i="6"/>
  <c r="O228" i="6"/>
  <c r="M302" i="6"/>
  <c r="M303" i="6"/>
  <c r="M191" i="6" s="1"/>
  <c r="O44" i="21"/>
  <c r="M56" i="21"/>
  <c r="M127" i="6"/>
  <c r="M402" i="6"/>
  <c r="O74" i="6"/>
  <c r="O85" i="6" s="1"/>
  <c r="O104" i="6" s="1"/>
  <c r="O65" i="6"/>
  <c r="O67" i="6" s="1"/>
  <c r="N179" i="6"/>
  <c r="O292" i="6"/>
  <c r="O301" i="6" s="1"/>
  <c r="N106" i="6"/>
  <c r="N109" i="6" s="1"/>
  <c r="N293" i="6"/>
  <c r="O278" i="6"/>
  <c r="K17" i="21"/>
  <c r="K58" i="21"/>
  <c r="K144" i="6"/>
  <c r="K71" i="21" s="1"/>
  <c r="N67" i="21"/>
  <c r="N11" i="21"/>
  <c r="N245" i="6"/>
  <c r="N112" i="6"/>
  <c r="N142" i="6"/>
  <c r="L58" i="21"/>
  <c r="L144" i="6"/>
  <c r="L71" i="21" s="1"/>
  <c r="E229" i="6"/>
  <c r="O229" i="6" s="1"/>
  <c r="O231" i="6" s="1"/>
  <c r="O111" i="6" s="1"/>
  <c r="L9" i="21"/>
  <c r="L128" i="6"/>
  <c r="N184" i="6" l="1"/>
  <c r="M128" i="6"/>
  <c r="O179" i="6"/>
  <c r="M180" i="6"/>
  <c r="M304" i="6"/>
  <c r="N303" i="6"/>
  <c r="N191" i="6" s="1"/>
  <c r="N302" i="6"/>
  <c r="O106" i="6"/>
  <c r="O109" i="6" s="1"/>
  <c r="O293" i="6"/>
  <c r="N402" i="6"/>
  <c r="N127" i="6"/>
  <c r="N56" i="21"/>
  <c r="O142" i="6"/>
  <c r="O184" i="6" s="1"/>
  <c r="O245" i="6"/>
  <c r="O67" i="21"/>
  <c r="O11" i="21"/>
  <c r="M29" i="21"/>
  <c r="M13" i="21"/>
  <c r="L29" i="21"/>
  <c r="L13" i="21"/>
  <c r="L16" i="21"/>
  <c r="K24" i="21"/>
  <c r="N9" i="21"/>
  <c r="N128" i="6"/>
  <c r="K18" i="21"/>
  <c r="O303" i="6" l="1"/>
  <c r="O191" i="6" s="1"/>
  <c r="O302" i="6"/>
  <c r="O402" i="6"/>
  <c r="O56" i="21"/>
  <c r="O127" i="6"/>
  <c r="P127" i="6" s="1"/>
  <c r="P109" i="6" s="1"/>
  <c r="O112" i="6"/>
  <c r="O128" i="6" s="1"/>
  <c r="N180" i="6"/>
  <c r="N304" i="6"/>
  <c r="N306" i="6" s="1"/>
  <c r="M306" i="6"/>
  <c r="N29" i="21"/>
  <c r="N13" i="21"/>
  <c r="K21" i="21"/>
  <c r="K22" i="21" s="1"/>
  <c r="L20" i="21" s="1"/>
  <c r="L17" i="21"/>
  <c r="L24" i="21" s="1"/>
  <c r="O9" i="21" l="1"/>
  <c r="O29" i="21" s="1"/>
  <c r="N58" i="21"/>
  <c r="N144" i="6"/>
  <c r="N71" i="21" s="1"/>
  <c r="P56" i="21"/>
  <c r="P112" i="6"/>
  <c r="P115" i="6" s="1"/>
  <c r="M58" i="21"/>
  <c r="M144" i="6"/>
  <c r="M71" i="21" s="1"/>
  <c r="O180" i="6"/>
  <c r="O304" i="6"/>
  <c r="O306" i="6" s="1"/>
  <c r="O13" i="21"/>
  <c r="M16" i="21"/>
  <c r="K27" i="21"/>
  <c r="K32" i="21" s="1"/>
  <c r="L18" i="21"/>
  <c r="K25" i="21"/>
  <c r="O58" i="21" l="1"/>
  <c r="O144" i="6"/>
  <c r="O71" i="21" s="1"/>
  <c r="P117" i="6"/>
  <c r="F12" i="22"/>
  <c r="M17" i="21"/>
  <c r="K57" i="21"/>
  <c r="K60" i="21" s="1"/>
  <c r="K33" i="21"/>
  <c r="K34" i="21" s="1"/>
  <c r="L21" i="21"/>
  <c r="L22" i="21" s="1"/>
  <c r="L27" i="21" l="1"/>
  <c r="L32" i="21" s="1"/>
  <c r="L33" i="21" s="1"/>
  <c r="L34" i="21" s="1"/>
  <c r="P57" i="21"/>
  <c r="P60" i="21" s="1"/>
  <c r="P119" i="6"/>
  <c r="P121" i="6" s="1"/>
  <c r="M24" i="21"/>
  <c r="M18" i="21"/>
  <c r="N16" i="21"/>
  <c r="M20" i="21"/>
  <c r="L25" i="21"/>
  <c r="L57" i="21" l="1"/>
  <c r="L60" i="21" s="1"/>
  <c r="J11" i="11"/>
  <c r="J33" i="11"/>
  <c r="P45" i="11"/>
  <c r="P22" i="11"/>
  <c r="J45" i="11"/>
  <c r="G45" i="11"/>
  <c r="J22" i="11"/>
  <c r="P33" i="11"/>
  <c r="G11" i="11"/>
  <c r="F20" i="22"/>
  <c r="M45" i="11"/>
  <c r="G22" i="11"/>
  <c r="M22" i="11"/>
  <c r="M33" i="11"/>
  <c r="M11" i="11"/>
  <c r="G33" i="11"/>
  <c r="P11" i="11"/>
  <c r="P124" i="6"/>
  <c r="P66" i="21"/>
  <c r="P73" i="21" s="1"/>
  <c r="P75" i="21" s="1"/>
  <c r="N17" i="21"/>
  <c r="M21" i="21"/>
  <c r="M27" i="21" s="1"/>
  <c r="M32" i="21" s="1"/>
  <c r="M22" i="21" l="1"/>
  <c r="N20" i="21" s="1"/>
  <c r="M57" i="21"/>
  <c r="M60" i="21" s="1"/>
  <c r="M33" i="21"/>
  <c r="M34" i="21" s="1"/>
  <c r="N24" i="21"/>
  <c r="N18" i="21"/>
  <c r="O16" i="21"/>
  <c r="O17" i="21" s="1"/>
  <c r="M25" i="21" l="1"/>
  <c r="N21" i="21"/>
  <c r="N22" i="21" s="1"/>
  <c r="O20" i="21" s="1"/>
  <c r="O24" i="21"/>
  <c r="O18" i="21"/>
  <c r="N27" i="21" l="1"/>
  <c r="N32" i="21" s="1"/>
  <c r="N25" i="21"/>
  <c r="O21" i="21"/>
  <c r="O22" i="21" s="1"/>
  <c r="O25" i="21" s="1"/>
  <c r="N57" i="21"/>
  <c r="N60" i="21" s="1"/>
  <c r="N33" i="21"/>
  <c r="N34" i="21" s="1"/>
  <c r="O27" i="21" l="1"/>
  <c r="O32" i="21" s="1"/>
  <c r="O57" i="21" l="1"/>
  <c r="O60" i="21" s="1"/>
  <c r="O33" i="21"/>
  <c r="O34" i="21" s="1"/>
  <c r="J21" i="11" l="1"/>
  <c r="J10" i="11"/>
  <c r="F11" i="22"/>
  <c r="F13" i="22" s="1"/>
  <c r="P10" i="11"/>
  <c r="G32" i="11"/>
  <c r="P44" i="11"/>
  <c r="G10" i="11"/>
  <c r="G21" i="11"/>
  <c r="M21" i="11"/>
  <c r="J32" i="11"/>
  <c r="J44" i="11"/>
  <c r="M10" i="11"/>
  <c r="P21" i="11"/>
  <c r="G44" i="11"/>
  <c r="M32" i="11"/>
  <c r="M44" i="11"/>
  <c r="P32" i="11"/>
  <c r="G46" i="11" l="1"/>
  <c r="H44" i="11"/>
  <c r="P46" i="11"/>
  <c r="Q44" i="11" s="1"/>
  <c r="J12" i="11"/>
  <c r="P34" i="11"/>
  <c r="Q32" i="11"/>
  <c r="P23" i="11"/>
  <c r="M23" i="11"/>
  <c r="N21" i="11" s="1"/>
  <c r="G34" i="11"/>
  <c r="J23" i="11"/>
  <c r="M46" i="11"/>
  <c r="G23" i="11"/>
  <c r="H21" i="11" s="1"/>
  <c r="P12" i="11"/>
  <c r="Q10" i="11"/>
  <c r="M34" i="11"/>
  <c r="J46" i="11"/>
  <c r="K44" i="11" s="1"/>
  <c r="G12" i="11"/>
  <c r="H10" i="11" s="1"/>
  <c r="I11" i="22"/>
  <c r="F15" i="22"/>
  <c r="F17" i="22" s="1"/>
  <c r="I26" i="22" s="1"/>
  <c r="J34" i="11"/>
  <c r="K32" i="11" s="1"/>
  <c r="M12" i="11"/>
  <c r="K22" i="11" l="1"/>
  <c r="J26" i="11"/>
  <c r="J29" i="11" s="1"/>
  <c r="G26" i="11"/>
  <c r="G29" i="11" s="1"/>
  <c r="H22" i="11"/>
  <c r="H23" i="11" s="1"/>
  <c r="P37" i="11"/>
  <c r="P40" i="11" s="1"/>
  <c r="Q33" i="11"/>
  <c r="Q34" i="11" s="1"/>
  <c r="G15" i="11"/>
  <c r="G18" i="11" s="1"/>
  <c r="H11" i="11"/>
  <c r="H12" i="11" s="1"/>
  <c r="N33" i="11"/>
  <c r="M37" i="11"/>
  <c r="M40" i="11" s="1"/>
  <c r="W14" i="17"/>
  <c r="K33" i="11"/>
  <c r="K34" i="11" s="1"/>
  <c r="J37" i="11"/>
  <c r="J40" i="11" s="1"/>
  <c r="N32" i="11"/>
  <c r="K21" i="11"/>
  <c r="Y14" i="17"/>
  <c r="N22" i="11"/>
  <c r="N23" i="11" s="1"/>
  <c r="M26" i="11"/>
  <c r="M29" i="11" s="1"/>
  <c r="Q45" i="11"/>
  <c r="Q46" i="11" s="1"/>
  <c r="P49" i="11"/>
  <c r="P52" i="11" s="1"/>
  <c r="M15" i="11"/>
  <c r="M18" i="11" s="1"/>
  <c r="N11" i="11"/>
  <c r="N45" i="11"/>
  <c r="M49" i="11"/>
  <c r="M52" i="11" s="1"/>
  <c r="H33" i="11"/>
  <c r="G37" i="11"/>
  <c r="G40" i="11" s="1"/>
  <c r="Q22" i="11"/>
  <c r="P26" i="11"/>
  <c r="P29" i="11" s="1"/>
  <c r="J15" i="11"/>
  <c r="J18" i="11" s="1"/>
  <c r="K11" i="11"/>
  <c r="N10" i="11"/>
  <c r="J49" i="11"/>
  <c r="J52" i="11" s="1"/>
  <c r="K45" i="11"/>
  <c r="K46" i="11" s="1"/>
  <c r="P15" i="11"/>
  <c r="P18" i="11" s="1"/>
  <c r="Q11" i="11"/>
  <c r="Q12" i="11" s="1"/>
  <c r="N44" i="11"/>
  <c r="H32" i="11"/>
  <c r="H34" i="11" s="1"/>
  <c r="Q21" i="11"/>
  <c r="K10" i="11"/>
  <c r="G49" i="11"/>
  <c r="G52" i="11" s="1"/>
  <c r="H45" i="11"/>
  <c r="H46" i="11" s="1"/>
  <c r="K12" i="11" l="1"/>
  <c r="N12" i="11"/>
  <c r="Q23" i="11"/>
  <c r="N34" i="11"/>
  <c r="K23" i="11"/>
  <c r="N46" i="11"/>
  <c r="G37" i="2" l="1"/>
  <c r="G38" i="2"/>
  <c r="G39" i="2"/>
  <c r="G40" i="2"/>
  <c r="K114" i="6"/>
  <c r="L114" i="6"/>
  <c r="M114" i="6"/>
  <c r="N114" i="6"/>
  <c r="O114" i="6"/>
  <c r="K115" i="6"/>
  <c r="L115" i="6"/>
  <c r="M115" i="6"/>
  <c r="N115" i="6"/>
  <c r="O115" i="6"/>
  <c r="K117" i="6"/>
  <c r="L117" i="6"/>
  <c r="M117" i="6"/>
  <c r="N117" i="6"/>
  <c r="O117" i="6"/>
  <c r="K118" i="6"/>
  <c r="L118" i="6"/>
  <c r="M118" i="6"/>
  <c r="N118" i="6"/>
  <c r="O118" i="6"/>
  <c r="K119" i="6"/>
  <c r="L119" i="6"/>
  <c r="M119" i="6"/>
  <c r="N119" i="6"/>
  <c r="O119" i="6"/>
  <c r="K121" i="6"/>
  <c r="L121" i="6"/>
  <c r="M121" i="6"/>
  <c r="N121" i="6"/>
  <c r="O121" i="6"/>
  <c r="K124" i="6"/>
  <c r="L124" i="6"/>
  <c r="M124" i="6"/>
  <c r="N124" i="6"/>
  <c r="O124" i="6"/>
  <c r="K129" i="6"/>
  <c r="L129" i="6"/>
  <c r="M129" i="6"/>
  <c r="N129" i="6"/>
  <c r="O129" i="6"/>
  <c r="K141" i="6"/>
  <c r="L141" i="6"/>
  <c r="M141" i="6"/>
  <c r="N141" i="6"/>
  <c r="O141" i="6"/>
  <c r="K143" i="6"/>
  <c r="L143" i="6"/>
  <c r="M143" i="6"/>
  <c r="N143" i="6"/>
  <c r="O143" i="6"/>
  <c r="K145" i="6"/>
  <c r="L145" i="6"/>
  <c r="M145" i="6"/>
  <c r="N145" i="6"/>
  <c r="O145" i="6"/>
  <c r="K155" i="6"/>
  <c r="L155" i="6"/>
  <c r="M155" i="6"/>
  <c r="N155" i="6"/>
  <c r="O155" i="6"/>
  <c r="K158" i="6"/>
  <c r="L158" i="6"/>
  <c r="M158" i="6"/>
  <c r="N158" i="6"/>
  <c r="O158" i="6"/>
  <c r="K159" i="6"/>
  <c r="L159" i="6"/>
  <c r="M159" i="6"/>
  <c r="N159" i="6"/>
  <c r="O159" i="6"/>
  <c r="K162" i="6"/>
  <c r="L162" i="6"/>
  <c r="M162" i="6"/>
  <c r="N162" i="6"/>
  <c r="O162" i="6"/>
  <c r="L163" i="6"/>
  <c r="M163" i="6"/>
  <c r="N163" i="6"/>
  <c r="O163" i="6"/>
  <c r="K164" i="6"/>
  <c r="L164" i="6"/>
  <c r="M164" i="6"/>
  <c r="N164" i="6"/>
  <c r="O164" i="6"/>
  <c r="K178" i="6"/>
  <c r="L178" i="6"/>
  <c r="M178" i="6"/>
  <c r="N178" i="6"/>
  <c r="O178" i="6"/>
  <c r="K182" i="6"/>
  <c r="L182" i="6"/>
  <c r="M182" i="6"/>
  <c r="N182" i="6"/>
  <c r="O182" i="6"/>
  <c r="K186" i="6"/>
  <c r="L186" i="6"/>
  <c r="M186" i="6"/>
  <c r="N186" i="6"/>
  <c r="O186" i="6"/>
  <c r="K190" i="6"/>
  <c r="L190" i="6"/>
  <c r="M190" i="6"/>
  <c r="N190" i="6"/>
  <c r="O190" i="6"/>
  <c r="K193" i="6"/>
  <c r="L193" i="6"/>
  <c r="M193" i="6"/>
  <c r="N193" i="6"/>
  <c r="O193" i="6"/>
  <c r="K195" i="6"/>
  <c r="L195" i="6"/>
  <c r="M195" i="6"/>
  <c r="N195" i="6"/>
  <c r="O195" i="6"/>
  <c r="K197" i="6"/>
  <c r="L197" i="6"/>
  <c r="M197" i="6"/>
  <c r="N197" i="6"/>
  <c r="O197" i="6"/>
  <c r="K199" i="6"/>
  <c r="L199" i="6"/>
  <c r="M199" i="6"/>
  <c r="N199" i="6"/>
  <c r="O199" i="6"/>
  <c r="K202" i="6"/>
  <c r="L202" i="6"/>
  <c r="M202" i="6"/>
  <c r="N202" i="6"/>
  <c r="O202" i="6"/>
  <c r="K203" i="6"/>
  <c r="L203" i="6"/>
  <c r="M203" i="6"/>
  <c r="N203" i="6"/>
  <c r="O203" i="6"/>
  <c r="K205" i="6"/>
  <c r="L205" i="6"/>
  <c r="M205" i="6"/>
  <c r="N205" i="6"/>
  <c r="O205" i="6"/>
  <c r="K207" i="6"/>
  <c r="L207" i="6"/>
  <c r="M207" i="6"/>
  <c r="N207" i="6"/>
  <c r="O207" i="6"/>
  <c r="K243" i="6"/>
  <c r="L243" i="6"/>
  <c r="M243" i="6"/>
  <c r="N243" i="6"/>
  <c r="O243" i="6"/>
  <c r="K247" i="6"/>
  <c r="L247" i="6"/>
  <c r="M247" i="6"/>
  <c r="N247" i="6"/>
  <c r="O247" i="6"/>
  <c r="L250" i="6"/>
  <c r="M250" i="6"/>
  <c r="N250" i="6"/>
  <c r="O250" i="6"/>
  <c r="K251" i="6"/>
  <c r="L251" i="6"/>
  <c r="M251" i="6"/>
  <c r="N251" i="6"/>
  <c r="O251" i="6"/>
  <c r="K252" i="6"/>
  <c r="L252" i="6"/>
  <c r="M252" i="6"/>
  <c r="N252" i="6"/>
  <c r="O252" i="6"/>
  <c r="L254" i="6"/>
  <c r="M254" i="6"/>
  <c r="N254" i="6"/>
  <c r="O254" i="6"/>
  <c r="K255" i="6"/>
  <c r="L255" i="6"/>
  <c r="M255" i="6"/>
  <c r="N255" i="6"/>
  <c r="O255" i="6"/>
  <c r="K256" i="6"/>
  <c r="L256" i="6"/>
  <c r="M256" i="6"/>
  <c r="N256" i="6"/>
  <c r="O256" i="6"/>
  <c r="K258" i="6"/>
  <c r="L258" i="6"/>
  <c r="M258" i="6"/>
  <c r="N258" i="6"/>
  <c r="O258" i="6"/>
  <c r="K259" i="6"/>
  <c r="L259" i="6"/>
  <c r="M259" i="6"/>
  <c r="N259" i="6"/>
  <c r="O259" i="6"/>
  <c r="K261" i="6"/>
  <c r="L261" i="6"/>
  <c r="M261" i="6"/>
  <c r="N261" i="6"/>
  <c r="O261" i="6"/>
  <c r="K263" i="6"/>
  <c r="L263" i="6"/>
  <c r="M263" i="6"/>
  <c r="N263" i="6"/>
  <c r="O263" i="6"/>
  <c r="K266" i="6"/>
  <c r="L266" i="6"/>
  <c r="M266" i="6"/>
  <c r="N266" i="6"/>
  <c r="O266" i="6"/>
  <c r="K267" i="6"/>
  <c r="L267" i="6"/>
  <c r="M267" i="6"/>
  <c r="N267" i="6"/>
  <c r="O267" i="6"/>
  <c r="K268" i="6"/>
  <c r="L268" i="6"/>
  <c r="M268" i="6"/>
  <c r="N268" i="6"/>
  <c r="O268" i="6"/>
  <c r="L321" i="6"/>
  <c r="M321" i="6"/>
  <c r="N321" i="6"/>
  <c r="O321" i="6"/>
  <c r="K322" i="6"/>
  <c r="L322" i="6"/>
  <c r="M322" i="6"/>
  <c r="N322" i="6"/>
  <c r="O322" i="6"/>
  <c r="K323" i="6"/>
  <c r="L323" i="6"/>
  <c r="M323" i="6"/>
  <c r="N323" i="6"/>
  <c r="O323" i="6"/>
  <c r="K326" i="6"/>
  <c r="L326" i="6"/>
  <c r="M326" i="6"/>
  <c r="N326" i="6"/>
  <c r="O326" i="6"/>
  <c r="K330" i="6"/>
  <c r="L330" i="6"/>
  <c r="M330" i="6"/>
  <c r="N330" i="6"/>
  <c r="O330" i="6"/>
  <c r="K333" i="6"/>
  <c r="L333" i="6"/>
  <c r="M333" i="6"/>
  <c r="N333" i="6"/>
  <c r="O333" i="6"/>
  <c r="K334" i="6"/>
  <c r="L334" i="6"/>
  <c r="M334" i="6"/>
  <c r="N334" i="6"/>
  <c r="O334" i="6"/>
  <c r="L336" i="6"/>
  <c r="M336" i="6"/>
  <c r="N336" i="6"/>
  <c r="O336" i="6"/>
  <c r="K337" i="6"/>
  <c r="L337" i="6"/>
  <c r="M337" i="6"/>
  <c r="N337" i="6"/>
  <c r="O337" i="6"/>
  <c r="K338" i="6"/>
  <c r="L338" i="6"/>
  <c r="M338" i="6"/>
  <c r="N338" i="6"/>
  <c r="O338" i="6"/>
  <c r="K341" i="6"/>
  <c r="L341" i="6"/>
  <c r="M341" i="6"/>
  <c r="N341" i="6"/>
  <c r="O341" i="6"/>
  <c r="K353" i="6"/>
  <c r="L353" i="6"/>
  <c r="M353" i="6"/>
  <c r="N353" i="6"/>
  <c r="O353" i="6"/>
  <c r="K370" i="6"/>
  <c r="L370" i="6"/>
  <c r="M370" i="6"/>
  <c r="N370" i="6"/>
  <c r="O370" i="6"/>
  <c r="K371" i="6"/>
  <c r="L371" i="6"/>
  <c r="M371" i="6"/>
  <c r="N371" i="6"/>
  <c r="O371" i="6"/>
  <c r="L375" i="6"/>
  <c r="M375" i="6"/>
  <c r="N375" i="6"/>
  <c r="O375" i="6"/>
  <c r="K376" i="6"/>
  <c r="L376" i="6"/>
  <c r="M376" i="6"/>
  <c r="N376" i="6"/>
  <c r="O376" i="6"/>
  <c r="K377" i="6"/>
  <c r="L377" i="6"/>
  <c r="M377" i="6"/>
  <c r="N377" i="6"/>
  <c r="O377" i="6"/>
  <c r="K378" i="6"/>
  <c r="L378" i="6"/>
  <c r="M378" i="6"/>
  <c r="N378" i="6"/>
  <c r="O378" i="6"/>
  <c r="K404" i="6"/>
  <c r="L404" i="6"/>
  <c r="M404" i="6"/>
  <c r="N404" i="6"/>
  <c r="O404" i="6"/>
  <c r="K405" i="6"/>
  <c r="L405" i="6"/>
  <c r="M405" i="6"/>
  <c r="N405" i="6"/>
  <c r="O405" i="6"/>
  <c r="K406" i="6"/>
  <c r="L406" i="6"/>
  <c r="M406" i="6"/>
  <c r="N406" i="6"/>
  <c r="O406" i="6"/>
  <c r="K407" i="6"/>
  <c r="L407" i="6"/>
  <c r="M407" i="6"/>
  <c r="N407" i="6"/>
  <c r="O407" i="6"/>
  <c r="K412" i="6"/>
  <c r="L412" i="6"/>
  <c r="M412" i="6"/>
  <c r="N412" i="6"/>
  <c r="O412" i="6"/>
  <c r="K413" i="6"/>
  <c r="L413" i="6"/>
  <c r="M413" i="6"/>
  <c r="N413" i="6"/>
  <c r="O413" i="6"/>
  <c r="K415" i="6"/>
  <c r="L415" i="6"/>
  <c r="M415" i="6"/>
  <c r="N415" i="6"/>
  <c r="O415" i="6"/>
  <c r="K416" i="6"/>
  <c r="L416" i="6"/>
  <c r="M416" i="6"/>
  <c r="N416" i="6"/>
  <c r="O416" i="6"/>
  <c r="K418" i="6"/>
  <c r="L418" i="6"/>
  <c r="M418" i="6"/>
  <c r="N418" i="6"/>
  <c r="O418" i="6"/>
  <c r="K419" i="6"/>
  <c r="L419" i="6"/>
  <c r="M419" i="6"/>
  <c r="N419" i="6"/>
  <c r="O419" i="6"/>
  <c r="K421" i="6"/>
  <c r="L421" i="6"/>
  <c r="M421" i="6"/>
  <c r="N421" i="6"/>
  <c r="O421" i="6"/>
  <c r="W31" i="17"/>
  <c r="K66" i="21"/>
  <c r="L66" i="21"/>
  <c r="M66" i="21"/>
  <c r="N66" i="21"/>
  <c r="O66" i="21"/>
  <c r="K68" i="21"/>
  <c r="L68" i="21"/>
  <c r="M68" i="21"/>
  <c r="N68" i="21"/>
  <c r="O68" i="21"/>
  <c r="K69" i="21"/>
  <c r="L69" i="21"/>
  <c r="M69" i="21"/>
  <c r="N69" i="21"/>
  <c r="O69" i="21"/>
  <c r="K70" i="21"/>
  <c r="L70" i="21"/>
  <c r="M70" i="21"/>
  <c r="N70" i="21"/>
  <c r="O70" i="21"/>
  <c r="K73" i="21"/>
  <c r="L73" i="21"/>
  <c r="M73" i="21"/>
  <c r="N73" i="21"/>
  <c r="O73" i="21"/>
  <c r="K75" i="21"/>
  <c r="L75" i="21"/>
  <c r="M75" i="21"/>
  <c r="N75" i="21"/>
  <c r="O75" i="21"/>
</calcChain>
</file>

<file path=xl/comments1.xml><?xml version="1.0" encoding="utf-8"?>
<comments xmlns="http://schemas.openxmlformats.org/spreadsheetml/2006/main">
  <authors>
    <author>Ian Schnoor</author>
  </authors>
  <commentList>
    <comment ref="D67" authorId="0" shapeId="0">
      <text>
        <r>
          <rPr>
            <sz val="9"/>
            <color indexed="81"/>
            <rFont val="Tahoma"/>
            <family val="2"/>
          </rPr>
          <t xml:space="preserve">If entering adjustments, replace the current label with the specific name of the adjustment (ie. Headcount reductions)
</t>
        </r>
      </text>
    </comment>
    <comment ref="D68" authorId="0" shapeId="0">
      <text>
        <r>
          <rPr>
            <sz val="9"/>
            <color indexed="81"/>
            <rFont val="Tahoma"/>
            <family val="2"/>
          </rPr>
          <t xml:space="preserve">If entering adjustments, replace the current label with the specific name of the adjustment (ie. Headcount reductions)
</t>
        </r>
      </text>
    </comment>
    <comment ref="D69" authorId="0" shapeId="0">
      <text>
        <r>
          <rPr>
            <sz val="9"/>
            <color indexed="81"/>
            <rFont val="Tahoma"/>
            <family val="2"/>
          </rPr>
          <t xml:space="preserve">If entering adjustments, replace the current label with the specific name of the adjustment (ie. Headcount reductions)
</t>
        </r>
      </text>
    </comment>
  </commentList>
</comments>
</file>

<file path=xl/comments2.xml><?xml version="1.0" encoding="utf-8"?>
<comments xmlns="http://schemas.openxmlformats.org/spreadsheetml/2006/main">
  <authors>
    <author>Ian Schnoor</author>
  </authors>
  <commentList>
    <comment ref="P57" authorId="0" shapeId="0">
      <text>
        <r>
          <rPr>
            <b/>
            <sz val="10"/>
            <color indexed="81"/>
            <rFont val="Tahoma"/>
            <family val="2"/>
          </rPr>
          <t>Ian Schnoor:</t>
        </r>
        <r>
          <rPr>
            <sz val="10"/>
            <color indexed="81"/>
            <rFont val="Tahoma"/>
            <family val="2"/>
          </rPr>
          <t xml:space="preserve">
Be careful when linking this cell.  It needs to get linked to the Income Statement.</t>
        </r>
      </text>
    </comment>
  </commentList>
</comments>
</file>

<file path=xl/comments3.xml><?xml version="1.0" encoding="utf-8"?>
<comments xmlns="http://schemas.openxmlformats.org/spreadsheetml/2006/main">
  <authors>
    <author>Ian Schnoor</author>
  </authors>
  <commentList>
    <comment ref="F20" authorId="0" shapeId="0">
      <text>
        <r>
          <rPr>
            <sz val="10"/>
            <color indexed="81"/>
            <rFont val="Tahoma"/>
            <family val="2"/>
          </rPr>
          <t xml:space="preserve">When using an EBITDA multiple to value the terminal period in a DCF model, it is often helpful to calculate the Implied Terminal Growth rate.  This is done by creating the following formula that sets the Perpetuity Approach equal to the EBITDA multiple approach.
</t>
        </r>
        <r>
          <rPr>
            <u/>
            <sz val="10"/>
            <color indexed="81"/>
            <rFont val="Tahoma"/>
            <family val="2"/>
          </rPr>
          <t xml:space="preserve">  Term CF </t>
        </r>
        <r>
          <rPr>
            <sz val="10"/>
            <color indexed="81"/>
            <rFont val="Tahoma"/>
            <family val="2"/>
          </rPr>
          <t xml:space="preserve">     =    </t>
        </r>
        <r>
          <rPr>
            <u/>
            <sz val="10"/>
            <color indexed="81"/>
            <rFont val="Tahoma"/>
            <family val="2"/>
          </rPr>
          <t xml:space="preserve">Term EBITDA x Multiple
   (r - g)    </t>
        </r>
        <r>
          <rPr>
            <sz val="10"/>
            <color indexed="81"/>
            <rFont val="Tahoma"/>
            <family val="2"/>
          </rPr>
          <t xml:space="preserve">                  (1 + r )^</t>
        </r>
        <r>
          <rPr>
            <vertAlign val="superscript"/>
            <sz val="10"/>
            <color indexed="81"/>
            <rFont val="Tahoma"/>
            <family val="2"/>
          </rPr>
          <t>5.5</t>
        </r>
        <r>
          <rPr>
            <sz val="10"/>
            <color indexed="81"/>
            <rFont val="Tahoma"/>
            <family val="2"/>
          </rPr>
          <t xml:space="preserve">
(1 + r)^</t>
        </r>
        <r>
          <rPr>
            <vertAlign val="superscript"/>
            <sz val="10"/>
            <color indexed="81"/>
            <rFont val="Tahoma"/>
            <family val="2"/>
          </rPr>
          <t xml:space="preserve">4.5
</t>
        </r>
        <r>
          <rPr>
            <sz val="10"/>
            <color indexed="81"/>
            <rFont val="Tahoma"/>
            <family val="2"/>
          </rPr>
          <t xml:space="preserve">Now, rearrange the formula to solve for g.
g =  </t>
        </r>
        <r>
          <rPr>
            <u/>
            <sz val="10"/>
            <color indexed="81"/>
            <rFont val="Tahoma"/>
            <family val="2"/>
          </rPr>
          <t xml:space="preserve"> - Term CF (1 + r)       </t>
        </r>
        <r>
          <rPr>
            <sz val="10"/>
            <color indexed="81"/>
            <rFont val="Tahoma"/>
            <family val="2"/>
          </rPr>
          <t xml:space="preserve">    + r</t>
        </r>
        <r>
          <rPr>
            <u/>
            <sz val="10"/>
            <color indexed="81"/>
            <rFont val="Tahoma"/>
            <family val="2"/>
          </rPr>
          <t xml:space="preserve">
</t>
        </r>
        <r>
          <rPr>
            <sz val="10"/>
            <color indexed="81"/>
            <rFont val="Tahoma"/>
            <family val="2"/>
          </rPr>
          <t xml:space="preserve">       Term EBITDA x Multiple
The formula in cell F21 is not as simplified as the formula above.  In cell F21, you can still see the exponents on both (1+r) terms.</t>
        </r>
      </text>
    </comment>
  </commentList>
</comments>
</file>

<file path=xl/sharedStrings.xml><?xml version="1.0" encoding="utf-8"?>
<sst xmlns="http://schemas.openxmlformats.org/spreadsheetml/2006/main" count="601" uniqueCount="317">
  <si>
    <t>Pricing Case</t>
  </si>
  <si>
    <t>to</t>
  </si>
  <si>
    <t>Pricing</t>
  </si>
  <si>
    <t>Terminal Year</t>
  </si>
  <si>
    <t>(CDN$ millions)</t>
  </si>
  <si>
    <t>Exchange Rate</t>
  </si>
  <si>
    <t>Total</t>
  </si>
  <si>
    <t>Strategic</t>
  </si>
  <si>
    <t>Projected</t>
  </si>
  <si>
    <t>Term.</t>
  </si>
  <si>
    <t>WACC</t>
  </si>
  <si>
    <t>Terminal Value Growth Rate</t>
  </si>
  <si>
    <t>PV of Cash Flows</t>
  </si>
  <si>
    <t>(C$ Millions)</t>
  </si>
  <si>
    <t>Net Revenue</t>
  </si>
  <si>
    <t>Cost of Sales</t>
  </si>
  <si>
    <t>EBITDA</t>
  </si>
  <si>
    <t>Depreciation &amp; Amortization</t>
  </si>
  <si>
    <t>EBIT</t>
  </si>
  <si>
    <t>Net Income</t>
  </si>
  <si>
    <t>Capacity</t>
  </si>
  <si>
    <t>Operating Activities</t>
  </si>
  <si>
    <t>Other</t>
  </si>
  <si>
    <t>Operating Cash Flow</t>
  </si>
  <si>
    <t>ASSETS</t>
  </si>
  <si>
    <t>Cash</t>
  </si>
  <si>
    <t>Accounts Receivable</t>
  </si>
  <si>
    <t>Inventory</t>
  </si>
  <si>
    <t>Total Current Assets</t>
  </si>
  <si>
    <t>Net PP&amp;E</t>
  </si>
  <si>
    <t>Total Assets</t>
  </si>
  <si>
    <t>LIABILITIES AND EQUITY</t>
  </si>
  <si>
    <t>Accounts Payable</t>
  </si>
  <si>
    <t>Total Current Liabilities</t>
  </si>
  <si>
    <t>Total Long Term Liabilities</t>
  </si>
  <si>
    <t>Total Liabilities</t>
  </si>
  <si>
    <t>Shareholder's Equity</t>
  </si>
  <si>
    <t>Total Liabilities and Equity</t>
  </si>
  <si>
    <t>Check</t>
  </si>
  <si>
    <t>Days In</t>
  </si>
  <si>
    <t>Inventories</t>
  </si>
  <si>
    <t>Account Balances</t>
  </si>
  <si>
    <t>Net Working Capital</t>
  </si>
  <si>
    <t>A</t>
  </si>
  <si>
    <t>Deduct CCA for Tax Purposes</t>
  </si>
  <si>
    <t>Tax Loss Carry Forward Schedule</t>
  </si>
  <si>
    <t>B</t>
  </si>
  <si>
    <t>CCA Schedule</t>
  </si>
  <si>
    <t>Blended CCA Rate</t>
  </si>
  <si>
    <t xml:space="preserve">UCC Beginning </t>
  </si>
  <si>
    <t>Chemicals</t>
  </si>
  <si>
    <t>(US$ / C$)</t>
  </si>
  <si>
    <t>Variable Costs</t>
  </si>
  <si>
    <t>Total Variable Costs</t>
  </si>
  <si>
    <t>Fixed Costs</t>
  </si>
  <si>
    <t>S,G &amp; A</t>
  </si>
  <si>
    <t>Income Statement</t>
  </si>
  <si>
    <t>Margins</t>
  </si>
  <si>
    <t>EBITDA Margin</t>
  </si>
  <si>
    <t>EBIT Margin</t>
  </si>
  <si>
    <t>Depreciation to Existing Assets</t>
  </si>
  <si>
    <t>Total Depreciation</t>
  </si>
  <si>
    <t>Term</t>
  </si>
  <si>
    <t>Operating Days</t>
  </si>
  <si>
    <t>(Days)</t>
  </si>
  <si>
    <t>Revenue</t>
  </si>
  <si>
    <t>Gross Revenue</t>
  </si>
  <si>
    <t>Total Costs</t>
  </si>
  <si>
    <t>Depreciation</t>
  </si>
  <si>
    <t>Maintenance</t>
  </si>
  <si>
    <t>Environmental</t>
  </si>
  <si>
    <t>Cash Flow Statement</t>
  </si>
  <si>
    <t>Costs of Production</t>
  </si>
  <si>
    <t>Income Tax Schedule</t>
  </si>
  <si>
    <t>Enterprise Value</t>
  </si>
  <si>
    <t>Working Capital Schedule</t>
  </si>
  <si>
    <t>Total Fixed Costs</t>
  </si>
  <si>
    <t>Freight &amp; Warehousing</t>
  </si>
  <si>
    <t>Implied Operating Rate</t>
  </si>
  <si>
    <t>Energy</t>
  </si>
  <si>
    <t>Supplies</t>
  </si>
  <si>
    <t>Operating Labour</t>
  </si>
  <si>
    <t>Salaries &amp; Benefits</t>
  </si>
  <si>
    <t>COSTS IN MILLIONS OF CDN$</t>
  </si>
  <si>
    <t>CAPEX</t>
  </si>
  <si>
    <t>DCF Valuation Schedule</t>
  </si>
  <si>
    <t>Change in the Cash Position</t>
  </si>
  <si>
    <t>Beginning Cash</t>
  </si>
  <si>
    <t>Ending Cash</t>
  </si>
  <si>
    <t>Economic and Pricing Scenarios</t>
  </si>
  <si>
    <t>Capex used in the model is maintenance Capex only</t>
  </si>
  <si>
    <t>Base Case</t>
  </si>
  <si>
    <t>Best Case</t>
  </si>
  <si>
    <t>Worst Case</t>
  </si>
  <si>
    <t>(days)</t>
  </si>
  <si>
    <t xml:space="preserve">Gross Sales Price </t>
  </si>
  <si>
    <t>Raw Material</t>
  </si>
  <si>
    <t>Debt and Interest Schedule</t>
  </si>
  <si>
    <t>Net Sales Price</t>
  </si>
  <si>
    <t>Amount Outstanding - Beginning</t>
  </si>
  <si>
    <t>Additions / (Repayments)</t>
  </si>
  <si>
    <t>Amount Outstanding - Ending</t>
  </si>
  <si>
    <t>Interest Rate</t>
  </si>
  <si>
    <t>Annual Interest Expense</t>
  </si>
  <si>
    <t>Equity Value</t>
  </si>
  <si>
    <t>Annual Interest Income</t>
  </si>
  <si>
    <t>Change in Cash</t>
  </si>
  <si>
    <t>Financing Activities</t>
  </si>
  <si>
    <t>Interest Expense</t>
  </si>
  <si>
    <t>Net Interest Expense</t>
  </si>
  <si>
    <t>EBT</t>
  </si>
  <si>
    <t>Unlevered Free Cash Flow (DCF Valuation)</t>
  </si>
  <si>
    <t>(US$/unit)</t>
  </si>
  <si>
    <t>(CDN$/unit)</t>
  </si>
  <si>
    <t>Units per day</t>
  </si>
  <si>
    <t>(Units)</t>
  </si>
  <si>
    <t>(000's units)</t>
  </si>
  <si>
    <t>COSTS PER UNIT</t>
  </si>
  <si>
    <t>(C$/unit)</t>
  </si>
  <si>
    <t>C$MM</t>
  </si>
  <si>
    <t>PV of Terminal Year</t>
  </si>
  <si>
    <t>FX Rate - US$ / C$</t>
  </si>
  <si>
    <t>Sales Price - US$/Unit</t>
  </si>
  <si>
    <t>Avg. of Last 5 Years</t>
  </si>
  <si>
    <t>The product pricing cases used in the model are as follows:</t>
  </si>
  <si>
    <t>-</t>
  </si>
  <si>
    <t>- Low end of the discount rate (WACC) range:</t>
  </si>
  <si>
    <t>- Low end of the terminal value growth rate:</t>
  </si>
  <si>
    <t>- Operating Days per Year:</t>
  </si>
  <si>
    <t>- Values are calculated assuming a share purchase</t>
  </si>
  <si>
    <t>- Tax rate assumed in the model:</t>
  </si>
  <si>
    <t>- Blended CCA Rate assumed in the model:</t>
  </si>
  <si>
    <t>- Opening TLCF balance (C$MM):</t>
  </si>
  <si>
    <t>- Opening UCC balance (C$MM):</t>
  </si>
  <si>
    <t>GENERAL</t>
  </si>
  <si>
    <t>PRODUCT PRICING</t>
  </si>
  <si>
    <t>VALUATION</t>
  </si>
  <si>
    <t>OPERATIONS</t>
  </si>
  <si>
    <t>TAXES</t>
  </si>
  <si>
    <t>COSTS</t>
  </si>
  <si>
    <t>Cost Item</t>
  </si>
  <si>
    <t>Raw Materials</t>
  </si>
  <si>
    <t>Increases</t>
  </si>
  <si>
    <t>Inflation on a unit basis</t>
  </si>
  <si>
    <t>Salaries</t>
  </si>
  <si>
    <t>SG&amp;A</t>
  </si>
  <si>
    <t>Inflation on a total $ basis</t>
  </si>
  <si>
    <t>DEPRECIATION</t>
  </si>
  <si>
    <t>Straight Line</t>
  </si>
  <si>
    <t>WORKING CAPITAL DAYS</t>
  </si>
  <si>
    <t>TERMINAL YEAR</t>
  </si>
  <si>
    <t>- This EBITDA Margin is used to calculate EBITDA</t>
  </si>
  <si>
    <t>- Full cash taxes are paid (ie. no deferred taxes)</t>
  </si>
  <si>
    <t>- Depreciation is equal to Capex</t>
  </si>
  <si>
    <t>- No changes in working capital</t>
  </si>
  <si>
    <t>CAPITAL EXPENDITURES (CAPEX)</t>
  </si>
  <si>
    <t xml:space="preserve">If productivity enhancing (strategic) capex is added, corresponding changes to the model's capacity and/or cost structure </t>
  </si>
  <si>
    <t>will need to be incorporated</t>
  </si>
  <si>
    <t>ECONOMIC SCENARIOS</t>
  </si>
  <si>
    <t>- Depreciation Methodology Used:</t>
  </si>
  <si>
    <t>Current Income Taxes</t>
  </si>
  <si>
    <t>Total Income Taxes</t>
  </si>
  <si>
    <t>Tax Rate</t>
  </si>
  <si>
    <t>Taxes as Appearing on Income Statement</t>
  </si>
  <si>
    <t>Total Income Taxes (Same as Accounting Taxes Above)</t>
  </si>
  <si>
    <t>Terminal EBITDA Multiple</t>
  </si>
  <si>
    <t>Alternate DCF Valuation Schedule</t>
  </si>
  <si>
    <t>Terminal Year EBITDA Multiple</t>
  </si>
  <si>
    <t>Enterprise Values - Sensitivity Table</t>
  </si>
  <si>
    <t>(1)</t>
  </si>
  <si>
    <t>Cost Inflation</t>
  </si>
  <si>
    <t>SCENARIO SWITCH:</t>
  </si>
  <si>
    <t>Scenario</t>
  </si>
  <si>
    <t>Enterprise Values</t>
  </si>
  <si>
    <t>Revenue Schedule</t>
  </si>
  <si>
    <t>Three scenarios have been used for Inflation, FX and Product Pricing</t>
  </si>
  <si>
    <t>PV of 5 yr Cash Flows</t>
  </si>
  <si>
    <t>Base Case Scenario</t>
  </si>
  <si>
    <t>Best Case Scenario</t>
  </si>
  <si>
    <t>Worst Case Scenario</t>
  </si>
  <si>
    <t>Credit Statistics and Covenants</t>
  </si>
  <si>
    <t>Credit Statistic Values</t>
  </si>
  <si>
    <t>Capital Expenditures</t>
  </si>
  <si>
    <t>Total Debt</t>
  </si>
  <si>
    <t>Net Debt</t>
  </si>
  <si>
    <t>Consolidated Ratios</t>
  </si>
  <si>
    <t>Net Debt / EBITDA</t>
  </si>
  <si>
    <t>Covenant</t>
  </si>
  <si>
    <t>EBITDA Cushion</t>
  </si>
  <si>
    <t>Interest Coverage (EBITDA / Interest)</t>
  </si>
  <si>
    <t>Net Debt / Capitalization</t>
  </si>
  <si>
    <t>INTEREST RATES AND DEBT COVENANTS</t>
  </si>
  <si>
    <t>Debt Covenants</t>
  </si>
  <si>
    <t xml:space="preserve">Interest Coverage (EBITDA / Interest) </t>
  </si>
  <si>
    <t>Existing TLCF Used</t>
  </si>
  <si>
    <t xml:space="preserve">Earnings Before Taxes (as is on I/S)   </t>
  </si>
  <si>
    <t>Earnings after use of Existing TLCF</t>
  </si>
  <si>
    <t>Newly Created TLCF - Beginning</t>
  </si>
  <si>
    <t>Newly Created TLCF Used (Added)</t>
  </si>
  <si>
    <t>Newly Created TLCF - Ending</t>
  </si>
  <si>
    <t>Remaining Existing TLCF</t>
  </si>
  <si>
    <t>Total TLCF Available</t>
  </si>
  <si>
    <t>Plus: New Capex</t>
  </si>
  <si>
    <t>1/2 of New Capex</t>
  </si>
  <si>
    <t>UCC After New Capex (1/2 Year)</t>
  </si>
  <si>
    <t>Less: CCA Available and Used</t>
  </si>
  <si>
    <t>C</t>
  </si>
  <si>
    <t>D</t>
  </si>
  <si>
    <t>E</t>
  </si>
  <si>
    <t>UCC Ending (C + D - E)</t>
  </si>
  <si>
    <t>Earnings Before TLCF after CCA</t>
  </si>
  <si>
    <t>Unlevered Free Cash Flow Schedule</t>
  </si>
  <si>
    <t>Income Tax Schedule for Calculating UFCF</t>
  </si>
  <si>
    <t>Unlevered Free Cash Flow</t>
  </si>
  <si>
    <t>Investing Activities</t>
  </si>
  <si>
    <t>Investing Cash Flow</t>
  </si>
  <si>
    <t>Financing Cash Flow</t>
  </si>
  <si>
    <t>Balance Sheet</t>
  </si>
  <si>
    <t>Earnings Before INTEREST and Taxes</t>
  </si>
  <si>
    <t>(C$ MM)</t>
  </si>
  <si>
    <t>Days per Year</t>
  </si>
  <si>
    <t>Inputs and Assumptions</t>
  </si>
  <si>
    <t>- Factory Capacity (Units per day):</t>
  </si>
  <si>
    <t>SALES SCENARIOS</t>
  </si>
  <si>
    <t>Sales Volume Growth</t>
  </si>
  <si>
    <t>(%)</t>
  </si>
  <si>
    <t>Sales Volume</t>
  </si>
  <si>
    <t>Annual Sales Volume</t>
  </si>
  <si>
    <t>Earnings per Share</t>
  </si>
  <si>
    <t>(MM's)</t>
  </si>
  <si>
    <t>(C$ / share)</t>
  </si>
  <si>
    <t>Change in Working Capital</t>
  </si>
  <si>
    <t>Shareholders' Equity Schedule</t>
  </si>
  <si>
    <t>Common Shares</t>
  </si>
  <si>
    <t>Dividend Payout Rate</t>
  </si>
  <si>
    <t>Common Dividend</t>
  </si>
  <si>
    <t>Retained Earnings</t>
  </si>
  <si>
    <t>EQUITY</t>
  </si>
  <si>
    <t>Common Dividend Payout Rate</t>
  </si>
  <si>
    <t xml:space="preserve">- Cost of Equity </t>
  </si>
  <si>
    <t>CHANGE IN DEBT AND EQUITY</t>
  </si>
  <si>
    <t>Common Stock Issuance / (Buy-back)</t>
  </si>
  <si>
    <t>Common Shares Issuance/ (Buy-Back)</t>
  </si>
  <si>
    <t>Common Dividends</t>
  </si>
  <si>
    <t>Shares Outstanding</t>
  </si>
  <si>
    <t>Cost of Equity</t>
  </si>
  <si>
    <t>Average Stock Price</t>
  </si>
  <si>
    <t>New Issuance / (Buy-Back)</t>
  </si>
  <si>
    <t>Fully Diluted Shares O/S (MM) - Beginning</t>
  </si>
  <si>
    <t>Fully Diluted Shares O/S (MM) - Ending</t>
  </si>
  <si>
    <t>Stock Option Grants</t>
  </si>
  <si>
    <t>Stock Option Grants (MM)</t>
  </si>
  <si>
    <t>Return on Equity</t>
  </si>
  <si>
    <t>Equity Value per Share</t>
  </si>
  <si>
    <t>Changes in working capital</t>
  </si>
  <si>
    <t>Dividends</t>
  </si>
  <si>
    <t>FINANCING COMPONENT</t>
  </si>
  <si>
    <t>Equity Values</t>
  </si>
  <si>
    <t>(C$ per share)</t>
  </si>
  <si>
    <t xml:space="preserve">    (C$ MM)</t>
  </si>
  <si>
    <t>P/E Multiple Valuation</t>
  </si>
  <si>
    <t>P/E Multiple Range</t>
  </si>
  <si>
    <t>Summary Values</t>
  </si>
  <si>
    <r>
      <t xml:space="preserve">Discounted Cash Flow Valuation </t>
    </r>
    <r>
      <rPr>
        <b/>
        <vertAlign val="superscript"/>
        <sz val="12"/>
        <rFont val="Times New Roman"/>
        <family val="1"/>
      </rPr>
      <t>(1)</t>
    </r>
  </si>
  <si>
    <t>Equity per Share</t>
  </si>
  <si>
    <t>Stock Price on:</t>
  </si>
  <si>
    <t>Premium / (Discount)</t>
  </si>
  <si>
    <t>and sales volume growth</t>
  </si>
  <si>
    <t>Insurance</t>
  </si>
  <si>
    <t>Adjustments</t>
  </si>
  <si>
    <t>Adjustment 1</t>
  </si>
  <si>
    <t>Adjustment 2</t>
  </si>
  <si>
    <t>Adjustment 3</t>
  </si>
  <si>
    <t>EARNINGS ADJUSTMENTS (PRE-EBITDA)</t>
  </si>
  <si>
    <t>Revolver</t>
  </si>
  <si>
    <t>Senior Secured Term Debt</t>
  </si>
  <si>
    <t>Revolver Issuance / (Repayment)</t>
  </si>
  <si>
    <t>Term Debt Issuance / (Repayment)</t>
  </si>
  <si>
    <t>Interest rate earned on cash balances:</t>
  </si>
  <si>
    <t>Interest rate on the Bank Revolver:</t>
  </si>
  <si>
    <t>Interest rate on the Senior Secured Term Debt:</t>
  </si>
  <si>
    <t>Sr. Term Debt Issuance / (Repayment)</t>
  </si>
  <si>
    <t>Bank Debt - Revolver</t>
  </si>
  <si>
    <t>Equity Value per Share - Sensitivity Table</t>
  </si>
  <si>
    <t>Medallion Mouldings</t>
  </si>
  <si>
    <t>Total Book Capitalization</t>
  </si>
  <si>
    <t>Depreciation Schedule</t>
  </si>
  <si>
    <t>CHECK CALCULATION ON UFCF</t>
  </si>
  <si>
    <t>Financial Model</t>
  </si>
  <si>
    <t>Average Diluted Shares O/S</t>
  </si>
  <si>
    <t>FCF After Mandatory Debt Repayment and Dividend</t>
  </si>
  <si>
    <t>Mandatory Debt Repayments</t>
  </si>
  <si>
    <t>Revolver Outstanding - Beginning</t>
  </si>
  <si>
    <t>Revolver Outstanding - Ending</t>
  </si>
  <si>
    <t>Research Forecast</t>
  </si>
  <si>
    <t>Average Fully Diluted Shares O/S</t>
  </si>
  <si>
    <t xml:space="preserve"> </t>
  </si>
  <si>
    <t>Implied TV Growth Rate</t>
  </si>
  <si>
    <t>Tax Shelter on Interest Expense</t>
  </si>
  <si>
    <t>Interest Coverage ((EBITDA - CAPEX) / Int.)</t>
  </si>
  <si>
    <t>Current Taxes</t>
  </si>
  <si>
    <t>Interest Rates</t>
  </si>
  <si>
    <t>- Years remaining for depreciation of existing assets:</t>
  </si>
  <si>
    <t>- Years used for depreciation of new assets:</t>
  </si>
  <si>
    <t>Interest Coverage ((EBITDA-CAPEX) / Int)</t>
  </si>
  <si>
    <t>Years Remaining on Existing Assets:</t>
  </si>
  <si>
    <t>Depreciation Years on New Assets:</t>
  </si>
  <si>
    <t>Existing TLCF - Initial Balance</t>
  </si>
  <si>
    <t>Taxable Income (after CCA and TLCF)</t>
  </si>
  <si>
    <t>Income Statement Items</t>
  </si>
  <si>
    <t>First year of forecast in financial model:</t>
  </si>
  <si>
    <t>per Unit</t>
  </si>
  <si>
    <t>MM</t>
  </si>
  <si>
    <t>(C$ Millions, except per share amounts)</t>
  </si>
  <si>
    <t>Add Back Accounting Depreciation</t>
  </si>
  <si>
    <t>Deferred Income Taxes</t>
  </si>
  <si>
    <t>Increase (Decrease) in Deferred Income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</si>
</sst>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1">
    <numFmt numFmtId="164" formatCode="&quot;$&quot;#,##0_);\(&quot;$&quot;#,##0\)"/>
    <numFmt numFmtId="165" formatCode="&quot;$&quot;#,##0_);[Red]\(&quot;$&quot;#,##0\)"/>
    <numFmt numFmtId="166" formatCode="&quot;$&quot;#,##0.00_);\(&quot;$&quot;#,##0.00\)"/>
    <numFmt numFmtId="167" formatCode="&quot;$&quot;#,##0.00_);[Red]\(&quot;$&quot;#,##0.00\)"/>
    <numFmt numFmtId="168" formatCode="_(* #,##0.00_);_(* \(#,##0.00\);_(* &quot;-&quot;??_);_(@_)"/>
    <numFmt numFmtId="169" formatCode="_(* #,##0.0_);_(* \(#,##0.0\);_(* &quot;-&quot;??_);_(@_)"/>
    <numFmt numFmtId="170" formatCode="_(* #,##0_);_(* \(#,##0\);_(* &quot;-&quot;??_);_(@_)"/>
    <numFmt numFmtId="171" formatCode="0.0%"/>
    <numFmt numFmtId="172" formatCode="0.0000"/>
    <numFmt numFmtId="173" formatCode="#,##0.0_);\(#,##0.0\)"/>
    <numFmt numFmtId="174" formatCode="&quot;$&quot;#,##0.0_);\(&quot;$&quot;#,##0.0\)"/>
    <numFmt numFmtId="175" formatCode="#,##0.000_);\(#,##0.000\)"/>
    <numFmt numFmtId="176" formatCode="0.0_);\(0.0\)"/>
    <numFmt numFmtId="177" formatCode="0.00_);\(0.00\)"/>
    <numFmt numFmtId="178" formatCode="0.000_);\(0.000\)"/>
    <numFmt numFmtId="179" formatCode="0\A"/>
    <numFmt numFmtId="180" formatCode="&quot;- EBITDA margin of &quot;0.0%"/>
    <numFmt numFmtId="181" formatCode="&quot;- Opening UCC pool of &quot;&quot;$&quot;#,###.0&quot; million as of January 1, 1999&quot;"/>
    <numFmt numFmtId="182" formatCode="0%;\(0%\)"/>
    <numFmt numFmtId="183" formatCode="0.00\ "/>
    <numFmt numFmtId="184" formatCode="_-* #,##0_-;\-* #,##0_-;_-* &quot;-&quot;??_-;_-@_-"/>
    <numFmt numFmtId="185" formatCode="0_);\(0\)"/>
    <numFmt numFmtId="186" formatCode="0.0%\ ;\(0.0%\)"/>
    <numFmt numFmtId="187" formatCode="mmmm\ d\,\ yyyy"/>
    <numFmt numFmtId="188" formatCode="\+0%;\(0%\)"/>
    <numFmt numFmtId="189" formatCode="&quot;$&quot;#,##0.0"/>
    <numFmt numFmtId="190" formatCode="0\ &quot;years&quot;"/>
    <numFmt numFmtId="191" formatCode="0.0\ \x"/>
    <numFmt numFmtId="192" formatCode="#,##0.0000_);\(#,##0.0000\)"/>
    <numFmt numFmtId="193" formatCode="&quot;$&quot;#,##0.000_);\(&quot;$&quot;#,##0.000\)"/>
    <numFmt numFmtId="194" formatCode="0\F"/>
    <numFmt numFmtId="195" formatCode="\&lt;\ 0.0\ \x\ "/>
    <numFmt numFmtId="196" formatCode="\&gt;\ 0.0\ \x\ "/>
    <numFmt numFmtId="197" formatCode="\&lt;\ 0.0%\ ;\(0.0%\)"/>
    <numFmt numFmtId="198" formatCode="0.0\ \x\ "/>
    <numFmt numFmtId="199" formatCode="&quot;$&quot;#,##0.0000_);\(&quot;$&quot;#,##0.0000\)"/>
    <numFmt numFmtId="200" formatCode="&quot;$&quot;#,##0.000000_);\(&quot;$&quot;#,##0.000000\)"/>
    <numFmt numFmtId="201" formatCode="0.0%;\(0.0%\)"/>
    <numFmt numFmtId="202" formatCode="0.0\x\ "/>
    <numFmt numFmtId="203" formatCode="0.0%\ "/>
    <numFmt numFmtId="204" formatCode="&quot;Medallion Model&quot;;;;@"/>
  </numFmts>
  <fonts count="93">
    <font>
      <sz val="10"/>
      <name val="Arial"/>
      <family val="2"/>
    </font>
    <font>
      <sz val="10"/>
      <name val="Book Antiqua"/>
      <family val="1"/>
    </font>
    <font>
      <sz val="10"/>
      <name val="Aldine401 BT"/>
    </font>
    <font>
      <sz val="10"/>
      <name val="Arial"/>
      <family val="2"/>
    </font>
    <font>
      <sz val="10"/>
      <name val="Times New Roman"/>
      <family val="1"/>
    </font>
    <font>
      <sz val="11"/>
      <color indexed="12"/>
      <name val="Book Antiqua"/>
      <family val="1"/>
    </font>
    <font>
      <sz val="8"/>
      <name val="Arial"/>
      <family val="2"/>
    </font>
    <font>
      <sz val="10"/>
      <name val="Times New Roman"/>
      <family val="1"/>
    </font>
    <font>
      <b/>
      <sz val="18"/>
      <color indexed="12"/>
      <name val="Times New Roman"/>
      <family val="1"/>
    </font>
    <font>
      <b/>
      <sz val="20"/>
      <color indexed="12"/>
      <name val="Times New Roman"/>
      <family val="1"/>
    </font>
    <font>
      <b/>
      <sz val="20"/>
      <name val="Times New Roman"/>
      <family val="1"/>
    </font>
    <font>
      <b/>
      <sz val="14"/>
      <name val="Times New Roman"/>
      <family val="1"/>
    </font>
    <font>
      <i/>
      <sz val="10"/>
      <name val="Times New Roman"/>
      <family val="1"/>
    </font>
    <font>
      <b/>
      <i/>
      <u/>
      <sz val="14"/>
      <name val="Times New Roman"/>
      <family val="1"/>
    </font>
    <font>
      <b/>
      <i/>
      <sz val="14"/>
      <name val="Times New Roman"/>
      <family val="1"/>
    </font>
    <font>
      <sz val="12"/>
      <name val="Times New Roman"/>
      <family val="1"/>
    </font>
    <font>
      <b/>
      <sz val="12"/>
      <name val="Times New Roman"/>
      <family val="1"/>
    </font>
    <font>
      <b/>
      <sz val="10"/>
      <name val="Times New Roman"/>
      <family val="1"/>
    </font>
    <font>
      <b/>
      <sz val="12"/>
      <name val="Times New Roman"/>
      <family val="1"/>
    </font>
    <font>
      <b/>
      <sz val="12"/>
      <color indexed="12"/>
      <name val="Times New Roman"/>
      <family val="1"/>
    </font>
    <font>
      <i/>
      <sz val="12"/>
      <name val="Times New Roman"/>
      <family val="1"/>
    </font>
    <font>
      <i/>
      <sz val="12"/>
      <name val="Times New Roman"/>
      <family val="1"/>
    </font>
    <font>
      <b/>
      <sz val="14"/>
      <color indexed="8"/>
      <name val="Times New Roman"/>
      <family val="1"/>
    </font>
    <font>
      <sz val="10"/>
      <color indexed="9"/>
      <name val="Times New Roman"/>
      <family val="1"/>
    </font>
    <font>
      <b/>
      <sz val="10"/>
      <color indexed="9"/>
      <name val="Times New Roman"/>
      <family val="1"/>
    </font>
    <font>
      <i/>
      <sz val="10"/>
      <name val="Times New Roman"/>
      <family val="1"/>
    </font>
    <font>
      <sz val="10"/>
      <color indexed="12"/>
      <name val="Times New Roman"/>
      <family val="1"/>
    </font>
    <font>
      <sz val="10"/>
      <color indexed="10"/>
      <name val="Times New Roman"/>
      <family val="1"/>
    </font>
    <font>
      <b/>
      <sz val="18"/>
      <name val="Times New Roman"/>
      <family val="1"/>
    </font>
    <font>
      <b/>
      <i/>
      <sz val="10"/>
      <name val="Times New Roman"/>
      <family val="1"/>
    </font>
    <font>
      <b/>
      <u/>
      <sz val="10"/>
      <name val="Times New Roman"/>
      <family val="1"/>
    </font>
    <font>
      <b/>
      <sz val="10"/>
      <color indexed="12"/>
      <name val="Times New Roman"/>
      <family val="1"/>
    </font>
    <font>
      <sz val="9"/>
      <name val="Times New Roman"/>
      <family val="1"/>
    </font>
    <font>
      <b/>
      <sz val="10"/>
      <color indexed="8"/>
      <name val="Times New Roman"/>
      <family val="1"/>
    </font>
    <font>
      <sz val="9"/>
      <color indexed="12"/>
      <name val="Times New Roman"/>
      <family val="1"/>
    </font>
    <font>
      <sz val="9"/>
      <color indexed="8"/>
      <name val="Times New Roman"/>
      <family val="1"/>
    </font>
    <font>
      <sz val="10"/>
      <color indexed="8"/>
      <name val="Times New Roman"/>
      <family val="1"/>
    </font>
    <font>
      <b/>
      <sz val="9"/>
      <color indexed="12"/>
      <name val="Times New Roman"/>
      <family val="1"/>
    </font>
    <font>
      <b/>
      <sz val="9"/>
      <name val="Times New Roman"/>
      <family val="1"/>
    </font>
    <font>
      <b/>
      <i/>
      <sz val="10"/>
      <name val="Times New Roman"/>
      <family val="1"/>
    </font>
    <font>
      <sz val="10"/>
      <color indexed="12"/>
      <name val="Times New Roman"/>
      <family val="1"/>
    </font>
    <font>
      <i/>
      <sz val="9"/>
      <color indexed="8"/>
      <name val="Times New Roman"/>
      <family val="1"/>
    </font>
    <font>
      <b/>
      <sz val="10"/>
      <color indexed="8"/>
      <name val="Times New Roman"/>
      <family val="1"/>
    </font>
    <font>
      <b/>
      <sz val="10"/>
      <name val="Times New Roman"/>
      <family val="1"/>
    </font>
    <font>
      <b/>
      <sz val="16"/>
      <color indexed="8"/>
      <name val="Times New Roman"/>
      <family val="1"/>
    </font>
    <font>
      <b/>
      <sz val="16"/>
      <color indexed="8"/>
      <name val="Times New Roman"/>
      <family val="1"/>
    </font>
    <font>
      <b/>
      <sz val="9"/>
      <color indexed="8"/>
      <name val="Times New Roman"/>
      <family val="1"/>
    </font>
    <font>
      <i/>
      <sz val="9"/>
      <color indexed="12"/>
      <name val="Times New Roman"/>
      <family val="1"/>
    </font>
    <font>
      <b/>
      <sz val="9"/>
      <color indexed="12"/>
      <name val="Times New Roman"/>
      <family val="1"/>
    </font>
    <font>
      <b/>
      <sz val="10"/>
      <color indexed="12"/>
      <name val="Times New Roman"/>
      <family val="1"/>
    </font>
    <font>
      <b/>
      <sz val="9"/>
      <color indexed="8"/>
      <name val="Times New Roman"/>
      <family val="1"/>
    </font>
    <font>
      <b/>
      <i/>
      <sz val="10"/>
      <color indexed="8"/>
      <name val="Times New Roman"/>
      <family val="1"/>
    </font>
    <font>
      <sz val="12"/>
      <color indexed="8"/>
      <name val="Times New Roman"/>
      <family val="1"/>
    </font>
    <font>
      <i/>
      <sz val="10"/>
      <color indexed="8"/>
      <name val="Times New Roman"/>
      <family val="1"/>
    </font>
    <font>
      <i/>
      <sz val="10"/>
      <color indexed="12"/>
      <name val="Times New Roman"/>
      <family val="1"/>
    </font>
    <font>
      <b/>
      <sz val="10"/>
      <color indexed="10"/>
      <name val="Times New Roman"/>
      <family val="1"/>
    </font>
    <font>
      <b/>
      <i/>
      <sz val="14"/>
      <color indexed="10"/>
      <name val="Times New Roman"/>
      <family val="1"/>
    </font>
    <font>
      <b/>
      <i/>
      <sz val="10"/>
      <color indexed="8"/>
      <name val="Times New Roman"/>
      <family val="1"/>
    </font>
    <font>
      <b/>
      <i/>
      <sz val="9"/>
      <color indexed="10"/>
      <name val="Times New Roman"/>
      <family val="1"/>
    </font>
    <font>
      <b/>
      <sz val="18"/>
      <color indexed="8"/>
      <name val="Times New Roman"/>
      <family val="1"/>
    </font>
    <font>
      <b/>
      <u/>
      <sz val="9"/>
      <name val="Times New Roman"/>
      <family val="1"/>
    </font>
    <font>
      <sz val="16"/>
      <name val="Times New Roman"/>
      <family val="1"/>
    </font>
    <font>
      <b/>
      <sz val="16"/>
      <name val="Times New Roman"/>
      <family val="1"/>
    </font>
    <font>
      <sz val="12"/>
      <color indexed="12"/>
      <name val="Times New Roman"/>
      <family val="1"/>
    </font>
    <font>
      <sz val="8"/>
      <color indexed="12"/>
      <name val="Times New Roman"/>
      <family val="1"/>
    </font>
    <font>
      <u/>
      <sz val="10"/>
      <name val="Times New Roman"/>
      <family val="1"/>
    </font>
    <font>
      <sz val="8"/>
      <name val="Times New Roman"/>
      <family val="1"/>
    </font>
    <font>
      <sz val="14"/>
      <name val="Arial"/>
      <family val="2"/>
    </font>
    <font>
      <sz val="20"/>
      <name val="Times New Roman"/>
      <family val="1"/>
    </font>
    <font>
      <sz val="14"/>
      <name val="Times New Roman"/>
      <family val="1"/>
    </font>
    <font>
      <sz val="30"/>
      <name val="Times New Roman"/>
      <family val="1"/>
    </font>
    <font>
      <sz val="24"/>
      <name val="Times New Roman"/>
      <family val="1"/>
    </font>
    <font>
      <b/>
      <sz val="8"/>
      <name val="Times New Roman"/>
      <family val="1"/>
    </font>
    <font>
      <sz val="12"/>
      <color indexed="9"/>
      <name val="Times New Roman"/>
      <family val="1"/>
    </font>
    <font>
      <i/>
      <u/>
      <sz val="9"/>
      <color indexed="8"/>
      <name val="Times New Roman"/>
      <family val="1"/>
    </font>
    <font>
      <b/>
      <sz val="30"/>
      <color indexed="12"/>
      <name val="Times New Roman"/>
      <family val="1"/>
    </font>
    <font>
      <b/>
      <i/>
      <sz val="12"/>
      <name val="Times New Roman"/>
      <family val="1"/>
    </font>
    <font>
      <sz val="9"/>
      <color indexed="81"/>
      <name val="Tahoma"/>
      <family val="2"/>
    </font>
    <font>
      <b/>
      <sz val="11"/>
      <name val="Times New Roman"/>
      <family val="1"/>
    </font>
    <font>
      <sz val="10"/>
      <color indexed="61"/>
      <name val="Times New Roman"/>
      <family val="1"/>
    </font>
    <font>
      <b/>
      <i/>
      <sz val="14"/>
      <color indexed="61"/>
      <name val="Times New Roman"/>
      <family val="1"/>
    </font>
    <font>
      <b/>
      <sz val="10"/>
      <color indexed="61"/>
      <name val="Times New Roman"/>
      <family val="1"/>
    </font>
    <font>
      <vertAlign val="superscript"/>
      <sz val="9.6"/>
      <name val="Times New Roman"/>
      <family val="1"/>
    </font>
    <font>
      <b/>
      <i/>
      <sz val="10"/>
      <color indexed="61"/>
      <name val="Times New Roman"/>
      <family val="1"/>
    </font>
    <font>
      <sz val="10"/>
      <color indexed="16"/>
      <name val="Times New Roman"/>
      <family val="1"/>
    </font>
    <font>
      <sz val="10"/>
      <color indexed="81"/>
      <name val="Tahoma"/>
      <family val="2"/>
    </font>
    <font>
      <b/>
      <sz val="10"/>
      <color indexed="81"/>
      <name val="Tahoma"/>
      <family val="2"/>
    </font>
    <font>
      <i/>
      <sz val="10"/>
      <color indexed="61"/>
      <name val="Times New Roman"/>
      <family val="1"/>
    </font>
    <font>
      <vertAlign val="superscript"/>
      <sz val="7"/>
      <name val="Times New Roman"/>
      <family val="1"/>
    </font>
    <font>
      <b/>
      <vertAlign val="superscript"/>
      <sz val="12"/>
      <name val="Times New Roman"/>
      <family val="1"/>
    </font>
    <font>
      <u/>
      <sz val="10"/>
      <color indexed="81"/>
      <name val="Tahoma"/>
      <family val="2"/>
    </font>
    <font>
      <vertAlign val="superscript"/>
      <sz val="10"/>
      <color indexed="81"/>
      <name val="Tahoma"/>
      <family val="2"/>
    </font>
    <font>
      <sz val="10"/>
      <color theme="0"/>
      <name val="Times New Roman"/>
      <family val="1"/>
    </font>
  </fonts>
  <fills count="4">
    <fill>
      <patternFill patternType="none"/>
    </fill>
    <fill>
      <patternFill patternType="gray125"/>
    </fill>
    <fill>
      <patternFill patternType="solid">
        <fgColor indexed="44"/>
        <bgColor indexed="64"/>
      </patternFill>
    </fill>
    <fill>
      <patternFill patternType="solid">
        <fgColor indexed="9"/>
        <bgColor indexed="64"/>
      </patternFill>
    </fill>
  </fills>
  <borders count="35">
    <border>
      <left/>
      <right/>
      <top/>
      <bottom/>
      <diagonal/>
    </border>
    <border>
      <left/>
      <right/>
      <top/>
      <bottom style="thin">
        <color indexed="64"/>
      </bottom>
      <diagonal/>
    </border>
    <border>
      <left/>
      <right style="thin">
        <color indexed="8"/>
      </right>
      <top style="thin">
        <color indexed="8"/>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hair">
        <color indexed="64"/>
      </right>
      <top style="hair">
        <color indexed="64"/>
      </top>
      <bottom style="hair">
        <color indexed="64"/>
      </bottom>
      <diagonal/>
    </border>
    <border>
      <left style="thin">
        <color indexed="64"/>
      </left>
      <right style="thin">
        <color indexed="64"/>
      </right>
      <top style="double">
        <color indexed="64"/>
      </top>
      <bottom/>
      <diagonal/>
    </border>
  </borders>
  <cellStyleXfs count="13">
    <xf numFmtId="0" fontId="0" fillId="0" borderId="0"/>
    <xf numFmtId="0" fontId="1" fillId="0" borderId="0" applyNumberFormat="0" applyFont="0" applyFill="0" applyBorder="0" applyProtection="0">
      <alignment horizontal="centerContinuous"/>
    </xf>
    <xf numFmtId="0" fontId="1" fillId="0" borderId="1" applyNumberFormat="0" applyFont="0" applyFill="0" applyAlignment="0" applyProtection="0"/>
    <xf numFmtId="0" fontId="1" fillId="0" borderId="0" applyNumberFormat="0" applyFont="0" applyFill="0" applyBorder="0" applyProtection="0">
      <alignment horizontal="center"/>
    </xf>
    <xf numFmtId="168" fontId="2" fillId="0" borderId="0" applyFont="0" applyFill="0" applyBorder="0" applyAlignment="0" applyProtection="0"/>
    <xf numFmtId="167" fontId="5" fillId="0" borderId="2">
      <protection locked="0"/>
    </xf>
    <xf numFmtId="0" fontId="1" fillId="0" borderId="3" applyNumberFormat="0" applyFont="0" applyFill="0" applyAlignment="0" applyProtection="0"/>
    <xf numFmtId="0" fontId="3" fillId="0" borderId="0"/>
    <xf numFmtId="0" fontId="3" fillId="0" borderId="0"/>
    <xf numFmtId="0" fontId="7" fillId="0" borderId="0"/>
    <xf numFmtId="0" fontId="6" fillId="0" borderId="0" applyNumberFormat="0" applyFill="0" applyBorder="0" applyAlignment="0" applyProtection="0"/>
    <xf numFmtId="184" fontId="2" fillId="0" borderId="0" applyNumberFormat="0" applyFill="0" applyBorder="0" applyAlignment="0" applyProtection="0"/>
    <xf numFmtId="0" fontId="1" fillId="0" borderId="4" applyNumberFormat="0" applyFont="0" applyFill="0" applyAlignment="0" applyProtection="0"/>
  </cellStyleXfs>
  <cellXfs count="885">
    <xf numFmtId="0" fontId="0" fillId="0" borderId="0" xfId="0"/>
    <xf numFmtId="0" fontId="28" fillId="0" borderId="0" xfId="0" applyFont="1" applyAlignment="1" applyProtection="1">
      <alignment horizontal="centerContinuous"/>
    </xf>
    <xf numFmtId="0" fontId="59" fillId="0" borderId="0" xfId="0" applyFont="1" applyAlignment="1" applyProtection="1">
      <alignment horizontal="centerContinuous"/>
    </xf>
    <xf numFmtId="0" fontId="28" fillId="0" borderId="0" xfId="7" applyFont="1" applyAlignment="1" applyProtection="1">
      <alignment horizontal="centerContinuous"/>
    </xf>
    <xf numFmtId="0" fontId="3" fillId="0" borderId="5" xfId="8" applyBorder="1" applyProtection="1"/>
    <xf numFmtId="0" fontId="75" fillId="0" borderId="0" xfId="8" applyFont="1" applyBorder="1" applyProtection="1"/>
    <xf numFmtId="0" fontId="3" fillId="0" borderId="0" xfId="8" applyBorder="1" applyProtection="1"/>
    <xf numFmtId="0" fontId="3" fillId="0" borderId="6" xfId="8" applyBorder="1" applyProtection="1"/>
    <xf numFmtId="0" fontId="3" fillId="0" borderId="0" xfId="8" applyProtection="1"/>
    <xf numFmtId="0" fontId="61" fillId="0" borderId="0" xfId="9" applyFont="1" applyProtection="1"/>
    <xf numFmtId="0" fontId="28" fillId="0" borderId="0" xfId="9" applyFont="1" applyAlignment="1" applyProtection="1">
      <alignment horizontal="centerContinuous"/>
    </xf>
    <xf numFmtId="0" fontId="62" fillId="0" borderId="0" xfId="9" applyFont="1" applyAlignment="1" applyProtection="1">
      <alignment horizontal="centerContinuous"/>
    </xf>
    <xf numFmtId="0" fontId="28" fillId="0" borderId="0" xfId="0" applyFont="1" applyBorder="1" applyAlignment="1" applyProtection="1">
      <alignment horizontal="left"/>
    </xf>
    <xf numFmtId="0" fontId="7" fillId="0" borderId="0" xfId="0" applyFont="1" applyAlignment="1" applyProtection="1">
      <alignment horizontal="centerContinuous"/>
    </xf>
    <xf numFmtId="0" fontId="32" fillId="0" borderId="0" xfId="0" applyFont="1" applyAlignment="1" applyProtection="1">
      <alignment horizontal="centerContinuous"/>
    </xf>
    <xf numFmtId="0" fontId="7" fillId="0" borderId="0" xfId="0" applyFont="1" applyProtection="1"/>
    <xf numFmtId="0" fontId="7" fillId="0" borderId="0" xfId="0" applyFont="1" applyBorder="1" applyAlignment="1" applyProtection="1">
      <alignment horizontal="left"/>
    </xf>
    <xf numFmtId="0" fontId="7" fillId="0" borderId="0" xfId="0" applyFont="1" applyAlignment="1" applyProtection="1">
      <alignment horizontal="right"/>
    </xf>
    <xf numFmtId="0" fontId="45" fillId="0" borderId="0" xfId="0" applyFont="1" applyAlignment="1" applyProtection="1">
      <alignment horizontal="centerContinuous"/>
    </xf>
    <xf numFmtId="0" fontId="37" fillId="0" borderId="0" xfId="0" applyFont="1" applyAlignment="1" applyProtection="1">
      <alignment horizontal="centerContinuous"/>
    </xf>
    <xf numFmtId="0" fontId="10" fillId="0" borderId="0" xfId="0" applyFont="1" applyAlignment="1" applyProtection="1">
      <alignment horizontal="centerContinuous"/>
    </xf>
    <xf numFmtId="0" fontId="8" fillId="0" borderId="0" xfId="7" applyFont="1" applyAlignment="1" applyProtection="1">
      <alignment horizontal="centerContinuous"/>
    </xf>
    <xf numFmtId="0" fontId="9" fillId="0" borderId="0" xfId="7" applyFont="1" applyAlignment="1" applyProtection="1">
      <alignment horizontal="centerContinuous"/>
    </xf>
    <xf numFmtId="0" fontId="10" fillId="0" borderId="0" xfId="7" applyFont="1" applyAlignment="1" applyProtection="1">
      <alignment horizontal="centerContinuous"/>
    </xf>
    <xf numFmtId="0" fontId="10" fillId="0" borderId="0" xfId="7" applyFont="1" applyBorder="1" applyAlignment="1" applyProtection="1">
      <alignment horizontal="left"/>
    </xf>
    <xf numFmtId="0" fontId="7" fillId="0" borderId="0" xfId="7" applyFont="1" applyProtection="1"/>
    <xf numFmtId="0" fontId="8" fillId="0" borderId="0" xfId="0" applyFont="1" applyAlignment="1" applyProtection="1">
      <alignment horizontal="centerContinuous"/>
    </xf>
    <xf numFmtId="0" fontId="37" fillId="0" borderId="0" xfId="7" applyFont="1" applyAlignment="1" applyProtection="1">
      <alignment horizontal="centerContinuous"/>
    </xf>
    <xf numFmtId="0" fontId="3" fillId="0" borderId="7" xfId="8" applyNumberFormat="1" applyBorder="1" applyProtection="1"/>
    <xf numFmtId="0" fontId="67" fillId="0" borderId="8" xfId="8" applyFont="1" applyBorder="1" applyProtection="1"/>
    <xf numFmtId="0" fontId="3" fillId="0" borderId="8" xfId="8" applyBorder="1" applyProtection="1"/>
    <xf numFmtId="0" fontId="3" fillId="0" borderId="9" xfId="8" applyBorder="1" applyProtection="1"/>
    <xf numFmtId="0" fontId="67" fillId="0" borderId="0" xfId="8" applyFont="1" applyBorder="1" applyAlignment="1" applyProtection="1">
      <alignment horizontal="left" indent="1"/>
    </xf>
    <xf numFmtId="0" fontId="67" fillId="0" borderId="0" xfId="8" applyFont="1" applyBorder="1" applyProtection="1"/>
    <xf numFmtId="0" fontId="67" fillId="0" borderId="0" xfId="8" applyFont="1" applyProtection="1"/>
    <xf numFmtId="187" fontId="68" fillId="0" borderId="0" xfId="8" applyNumberFormat="1" applyFont="1" applyBorder="1" applyAlignment="1" applyProtection="1">
      <alignment horizontal="left"/>
    </xf>
    <xf numFmtId="0" fontId="69" fillId="0" borderId="0" xfId="8" applyFont="1" applyBorder="1" applyProtection="1"/>
    <xf numFmtId="0" fontId="70" fillId="0" borderId="0" xfId="8" applyFont="1" applyBorder="1" applyProtection="1"/>
    <xf numFmtId="0" fontId="71" fillId="0" borderId="0" xfId="8" applyFont="1" applyBorder="1" applyProtection="1"/>
    <xf numFmtId="0" fontId="68" fillId="0" borderId="0" xfId="8" applyFont="1" applyBorder="1" applyProtection="1"/>
    <xf numFmtId="0" fontId="3" fillId="0" borderId="10" xfId="8" applyBorder="1" applyProtection="1"/>
    <xf numFmtId="0" fontId="68" fillId="0" borderId="1" xfId="8" applyFont="1" applyBorder="1" applyProtection="1"/>
    <xf numFmtId="0" fontId="3" fillId="0" borderId="1" xfId="8" applyBorder="1" applyProtection="1"/>
    <xf numFmtId="0" fontId="3" fillId="0" borderId="11" xfId="8" applyBorder="1" applyProtection="1"/>
    <xf numFmtId="0" fontId="11" fillId="0" borderId="0" xfId="7" applyFont="1" applyAlignment="1" applyProtection="1">
      <alignment horizontal="centerContinuous"/>
    </xf>
    <xf numFmtId="0" fontId="11" fillId="0" borderId="0" xfId="7" applyFont="1" applyBorder="1" applyAlignment="1" applyProtection="1">
      <alignment horizontal="left"/>
    </xf>
    <xf numFmtId="0" fontId="7" fillId="0" borderId="12" xfId="7" applyFont="1" applyBorder="1" applyProtection="1"/>
    <xf numFmtId="0" fontId="7" fillId="0" borderId="0" xfId="7" applyFont="1" applyBorder="1" applyAlignment="1" applyProtection="1">
      <alignment horizontal="left"/>
    </xf>
    <xf numFmtId="0" fontId="13" fillId="0" borderId="0" xfId="7" applyFont="1" applyAlignment="1" applyProtection="1">
      <alignment horizontal="centerContinuous"/>
    </xf>
    <xf numFmtId="0" fontId="14" fillId="0" borderId="0" xfId="7" applyFont="1" applyAlignment="1" applyProtection="1">
      <alignment horizontal="centerContinuous"/>
    </xf>
    <xf numFmtId="0" fontId="14" fillId="0" borderId="0" xfId="7" applyFont="1" applyBorder="1" applyAlignment="1" applyProtection="1">
      <alignment horizontal="centerContinuous"/>
    </xf>
    <xf numFmtId="37" fontId="7" fillId="0" borderId="7" xfId="7" applyNumberFormat="1" applyFont="1" applyBorder="1" applyAlignment="1" applyProtection="1">
      <alignment vertical="center"/>
    </xf>
    <xf numFmtId="0" fontId="26" fillId="0" borderId="8" xfId="7" applyFont="1" applyBorder="1" applyAlignment="1" applyProtection="1">
      <alignment vertical="center"/>
    </xf>
    <xf numFmtId="0" fontId="7" fillId="0" borderId="8" xfId="7" applyFont="1" applyBorder="1" applyAlignment="1" applyProtection="1">
      <alignment vertical="center"/>
    </xf>
    <xf numFmtId="164" fontId="7" fillId="0" borderId="9" xfId="7" applyNumberFormat="1" applyFont="1" applyBorder="1" applyAlignment="1" applyProtection="1">
      <alignment vertical="center"/>
    </xf>
    <xf numFmtId="0" fontId="80" fillId="0" borderId="0" xfId="7" applyFont="1" applyFill="1" applyBorder="1" applyAlignment="1" applyProtection="1">
      <alignment horizontal="left"/>
    </xf>
    <xf numFmtId="37" fontId="7" fillId="0" borderId="5" xfId="7" applyNumberFormat="1" applyFont="1" applyBorder="1" applyAlignment="1" applyProtection="1">
      <alignment vertical="center"/>
    </xf>
    <xf numFmtId="0" fontId="7" fillId="0" borderId="0" xfId="7" applyFont="1" applyBorder="1" applyProtection="1"/>
    <xf numFmtId="39" fontId="7" fillId="0" borderId="6" xfId="7" applyNumberFormat="1" applyFont="1" applyBorder="1" applyProtection="1"/>
    <xf numFmtId="0" fontId="16" fillId="0" borderId="0" xfId="7" applyFont="1" applyAlignment="1" applyProtection="1">
      <alignment horizontal="centerContinuous"/>
    </xf>
    <xf numFmtId="0" fontId="14" fillId="0" borderId="0" xfId="7" applyFont="1" applyBorder="1" applyAlignment="1" applyProtection="1">
      <alignment horizontal="left"/>
    </xf>
    <xf numFmtId="0" fontId="7" fillId="0" borderId="10" xfId="7" applyFont="1" applyBorder="1" applyProtection="1"/>
    <xf numFmtId="0" fontId="7" fillId="0" borderId="1" xfId="7" applyFont="1" applyBorder="1" applyProtection="1"/>
    <xf numFmtId="166" fontId="7" fillId="0" borderId="11" xfId="7" applyNumberFormat="1" applyFont="1" applyBorder="1" applyProtection="1"/>
    <xf numFmtId="0" fontId="15" fillId="0" borderId="0" xfId="7" applyFont="1" applyProtection="1"/>
    <xf numFmtId="0" fontId="15" fillId="0" borderId="0" xfId="7" applyFont="1" applyBorder="1" applyProtection="1"/>
    <xf numFmtId="0" fontId="16" fillId="0" borderId="0" xfId="7" applyFont="1" applyBorder="1" applyAlignment="1" applyProtection="1">
      <alignment horizontal="centerContinuous"/>
    </xf>
    <xf numFmtId="0" fontId="7" fillId="0" borderId="0" xfId="7" applyFont="1" applyBorder="1" applyAlignment="1" applyProtection="1">
      <alignment horizontal="centerContinuous"/>
    </xf>
    <xf numFmtId="0" fontId="17" fillId="0" borderId="0" xfId="7" applyFont="1" applyBorder="1" applyAlignment="1" applyProtection="1">
      <alignment horizontal="centerContinuous"/>
    </xf>
    <xf numFmtId="37" fontId="7" fillId="0" borderId="0" xfId="7" applyNumberFormat="1" applyFont="1" applyProtection="1"/>
    <xf numFmtId="0" fontId="25" fillId="0" borderId="0" xfId="7" applyFont="1" applyBorder="1" applyAlignment="1" applyProtection="1">
      <alignment horizontal="center"/>
    </xf>
    <xf numFmtId="0" fontId="17" fillId="0" borderId="1" xfId="7" applyFont="1" applyBorder="1" applyAlignment="1" applyProtection="1">
      <alignment horizontal="left"/>
    </xf>
    <xf numFmtId="0" fontId="17" fillId="0" borderId="1" xfId="7" applyFont="1" applyBorder="1" applyAlignment="1" applyProtection="1">
      <alignment horizontal="centerContinuous"/>
    </xf>
    <xf numFmtId="0" fontId="17" fillId="0" borderId="0" xfId="7" applyFont="1" applyBorder="1" applyAlignment="1" applyProtection="1">
      <alignment horizontal="left"/>
    </xf>
    <xf numFmtId="0" fontId="17" fillId="0" borderId="0" xfId="7" applyFont="1" applyAlignment="1" applyProtection="1">
      <alignment horizontal="left"/>
    </xf>
    <xf numFmtId="0" fontId="17" fillId="0" borderId="0" xfId="7" quotePrefix="1" applyFont="1" applyBorder="1" applyAlignment="1" applyProtection="1">
      <alignment horizontal="left"/>
    </xf>
    <xf numFmtId="0" fontId="25" fillId="0" borderId="0" xfId="7" applyFont="1" applyBorder="1" applyAlignment="1" applyProtection="1">
      <alignment horizontal="centerContinuous"/>
    </xf>
    <xf numFmtId="0" fontId="7" fillId="0" borderId="0" xfId="7" applyFont="1" applyAlignment="1" applyProtection="1">
      <alignment horizontal="center"/>
    </xf>
    <xf numFmtId="0" fontId="17" fillId="0" borderId="0" xfId="7" applyFont="1" applyBorder="1" applyProtection="1"/>
    <xf numFmtId="0" fontId="7" fillId="0" borderId="7" xfId="7" applyFont="1" applyBorder="1" applyProtection="1"/>
    <xf numFmtId="0" fontId="7" fillId="0" borderId="8" xfId="7" applyFont="1" applyBorder="1" applyProtection="1"/>
    <xf numFmtId="0" fontId="7" fillId="0" borderId="9" xfId="7" applyFont="1" applyBorder="1" applyProtection="1"/>
    <xf numFmtId="0" fontId="18" fillId="0" borderId="0" xfId="7" applyFont="1" applyBorder="1" applyProtection="1"/>
    <xf numFmtId="37" fontId="26" fillId="0" borderId="0" xfId="7" applyNumberFormat="1" applyFont="1" applyFill="1" applyBorder="1" applyAlignment="1" applyProtection="1">
      <alignment horizontal="right"/>
    </xf>
    <xf numFmtId="0" fontId="25" fillId="0" borderId="0" xfId="7" applyFont="1" applyFill="1" applyBorder="1" applyAlignment="1" applyProtection="1">
      <alignment horizontal="right"/>
    </xf>
    <xf numFmtId="37" fontId="26" fillId="0" borderId="0" xfId="7" applyNumberFormat="1" applyFont="1" applyBorder="1" applyAlignment="1" applyProtection="1">
      <alignment horizontal="right"/>
    </xf>
    <xf numFmtId="37" fontId="7" fillId="0" borderId="0" xfId="7" applyNumberFormat="1" applyFont="1" applyFill="1" applyBorder="1" applyAlignment="1" applyProtection="1">
      <alignment horizontal="right"/>
    </xf>
    <xf numFmtId="39" fontId="7" fillId="0" borderId="0" xfId="7" applyNumberFormat="1" applyFont="1" applyBorder="1" applyAlignment="1" applyProtection="1">
      <alignment horizontal="right"/>
    </xf>
    <xf numFmtId="0" fontId="25" fillId="0" borderId="0" xfId="7" applyFont="1" applyBorder="1" applyAlignment="1" applyProtection="1">
      <alignment horizontal="right"/>
    </xf>
    <xf numFmtId="186" fontId="7" fillId="0" borderId="0" xfId="7" applyNumberFormat="1" applyFont="1" applyBorder="1" applyAlignment="1" applyProtection="1">
      <alignment horizontal="right"/>
    </xf>
    <xf numFmtId="37" fontId="63" fillId="0" borderId="0" xfId="7" applyNumberFormat="1" applyFont="1" applyFill="1" applyBorder="1" applyAlignment="1" applyProtection="1">
      <alignment horizontal="right"/>
    </xf>
    <xf numFmtId="0" fontId="7" fillId="0" borderId="5" xfId="7" applyFont="1" applyBorder="1" applyProtection="1"/>
    <xf numFmtId="37" fontId="7" fillId="0" borderId="0" xfId="7" applyNumberFormat="1" applyFont="1" applyBorder="1" applyAlignment="1" applyProtection="1"/>
    <xf numFmtId="37" fontId="7" fillId="0" borderId="6" xfId="7" applyNumberFormat="1" applyFont="1" applyBorder="1" applyAlignment="1" applyProtection="1"/>
    <xf numFmtId="37" fontId="15" fillId="0" borderId="0" xfId="7" applyNumberFormat="1" applyFont="1" applyProtection="1"/>
    <xf numFmtId="37" fontId="20" fillId="0" borderId="0" xfId="7" applyNumberFormat="1" applyFont="1" applyBorder="1" applyAlignment="1" applyProtection="1">
      <alignment horizontal="center"/>
    </xf>
    <xf numFmtId="37" fontId="7" fillId="0" borderId="1" xfId="7" applyNumberFormat="1" applyFont="1" applyBorder="1" applyProtection="1"/>
    <xf numFmtId="0" fontId="25" fillId="0" borderId="1" xfId="7" applyFont="1" applyBorder="1" applyAlignment="1" applyProtection="1">
      <alignment horizontal="center"/>
    </xf>
    <xf numFmtId="37" fontId="7" fillId="0" borderId="11" xfId="7" applyNumberFormat="1" applyFont="1" applyBorder="1" applyProtection="1"/>
    <xf numFmtId="1" fontId="15" fillId="0" borderId="0" xfId="7" applyNumberFormat="1" applyFont="1" applyAlignment="1" applyProtection="1">
      <alignment horizontal="center"/>
    </xf>
    <xf numFmtId="0" fontId="20" fillId="0" borderId="0" xfId="7" applyFont="1" applyBorder="1" applyAlignment="1" applyProtection="1">
      <alignment horizontal="center"/>
    </xf>
    <xf numFmtId="37" fontId="7" fillId="0" borderId="0" xfId="7" applyNumberFormat="1" applyFont="1" applyBorder="1" applyAlignment="1" applyProtection="1">
      <alignment horizontal="right"/>
    </xf>
    <xf numFmtId="37" fontId="15" fillId="0" borderId="0" xfId="7" applyNumberFormat="1" applyFont="1" applyBorder="1" applyProtection="1"/>
    <xf numFmtId="0" fontId="21" fillId="0" borderId="0" xfId="7" applyFont="1" applyBorder="1" applyAlignment="1" applyProtection="1">
      <alignment horizontal="center"/>
    </xf>
    <xf numFmtId="0" fontId="17" fillId="0" borderId="1" xfId="7" quotePrefix="1" applyFont="1" applyBorder="1" applyAlignment="1" applyProtection="1">
      <alignment horizontal="left"/>
    </xf>
    <xf numFmtId="0" fontId="7" fillId="0" borderId="0" xfId="7" applyFont="1" applyAlignment="1" applyProtection="1">
      <alignment horizontal="left"/>
    </xf>
    <xf numFmtId="39" fontId="26" fillId="0" borderId="0" xfId="7" applyNumberFormat="1" applyFont="1" applyFill="1" applyBorder="1" applyAlignment="1" applyProtection="1">
      <alignment horizontal="centerContinuous"/>
    </xf>
    <xf numFmtId="0" fontId="25" fillId="0" borderId="0" xfId="7" applyFont="1" applyFill="1" applyBorder="1" applyAlignment="1" applyProtection="1">
      <alignment horizontal="centerContinuous"/>
    </xf>
    <xf numFmtId="37" fontId="26" fillId="0" borderId="0" xfId="7" applyNumberFormat="1" applyFont="1" applyFill="1" applyBorder="1" applyAlignment="1" applyProtection="1">
      <alignment horizontal="centerContinuous"/>
    </xf>
    <xf numFmtId="202" fontId="26" fillId="0" borderId="0" xfId="7" applyNumberFormat="1" applyFont="1" applyFill="1" applyBorder="1" applyAlignment="1" applyProtection="1">
      <alignment horizontal="right"/>
    </xf>
    <xf numFmtId="39" fontId="7" fillId="0" borderId="0" xfId="7" applyNumberFormat="1" applyFont="1" applyBorder="1" applyAlignment="1" applyProtection="1">
      <alignment horizontal="left"/>
    </xf>
    <xf numFmtId="37" fontId="7" fillId="0" borderId="0" xfId="7" applyNumberFormat="1" applyFont="1" applyBorder="1" applyProtection="1"/>
    <xf numFmtId="0" fontId="82" fillId="0" borderId="0" xfId="7" quotePrefix="1" applyFont="1" applyAlignment="1" applyProtection="1">
      <alignment horizontal="right"/>
    </xf>
    <xf numFmtId="0" fontId="32" fillId="0" borderId="0" xfId="7" applyFont="1" applyProtection="1"/>
    <xf numFmtId="0" fontId="15" fillId="0" borderId="1" xfId="7" applyFont="1" applyBorder="1" applyProtection="1"/>
    <xf numFmtId="0" fontId="20" fillId="0" borderId="1" xfId="7" applyFont="1" applyBorder="1" applyAlignment="1" applyProtection="1">
      <alignment horizontal="center"/>
    </xf>
    <xf numFmtId="37" fontId="19" fillId="0" borderId="1" xfId="7" applyNumberFormat="1" applyFont="1" applyBorder="1" applyAlignment="1" applyProtection="1">
      <alignment horizontal="right"/>
    </xf>
    <xf numFmtId="0" fontId="21" fillId="0" borderId="1" xfId="7" applyFont="1" applyBorder="1" applyAlignment="1" applyProtection="1">
      <alignment horizontal="center"/>
    </xf>
    <xf numFmtId="37" fontId="15" fillId="0" borderId="1" xfId="7" applyNumberFormat="1" applyFont="1" applyBorder="1" applyProtection="1"/>
    <xf numFmtId="37" fontId="18" fillId="0" borderId="0" xfId="7" applyNumberFormat="1" applyFont="1" applyBorder="1" applyProtection="1"/>
    <xf numFmtId="0" fontId="22" fillId="0" borderId="0" xfId="0" applyFont="1" applyBorder="1" applyAlignment="1" applyProtection="1">
      <alignment horizontal="centerContinuous"/>
    </xf>
    <xf numFmtId="0" fontId="7" fillId="0" borderId="0" xfId="0" applyFont="1" applyBorder="1" applyAlignment="1" applyProtection="1">
      <alignment horizontal="centerContinuous"/>
    </xf>
    <xf numFmtId="0" fontId="22" fillId="0" borderId="12" xfId="0" applyFont="1" applyBorder="1" applyProtection="1"/>
    <xf numFmtId="0" fontId="7" fillId="0" borderId="12" xfId="0" applyFont="1" applyBorder="1" applyProtection="1"/>
    <xf numFmtId="0" fontId="17" fillId="2" borderId="13" xfId="0" applyFont="1" applyFill="1" applyBorder="1" applyAlignment="1" applyProtection="1">
      <alignment vertical="center"/>
    </xf>
    <xf numFmtId="0" fontId="7" fillId="2" borderId="14" xfId="0" applyFont="1" applyFill="1" applyBorder="1" applyProtection="1"/>
    <xf numFmtId="0" fontId="7" fillId="2" borderId="15" xfId="0" applyFont="1" applyFill="1" applyBorder="1" applyProtection="1"/>
    <xf numFmtId="0" fontId="7" fillId="2" borderId="14" xfId="0" quotePrefix="1" applyFont="1" applyFill="1" applyBorder="1" applyAlignment="1" applyProtection="1">
      <alignment horizontal="left"/>
    </xf>
    <xf numFmtId="0" fontId="7" fillId="0" borderId="5" xfId="0" applyFont="1" applyBorder="1" applyAlignment="1" applyProtection="1">
      <alignment horizontal="center" vertical="center"/>
    </xf>
    <xf numFmtId="0" fontId="7" fillId="0" borderId="0" xfId="0" applyFont="1" applyBorder="1" applyProtection="1"/>
    <xf numFmtId="0" fontId="26" fillId="0" borderId="0" xfId="0" applyFont="1" applyBorder="1" applyAlignment="1" applyProtection="1">
      <alignment horizontal="left"/>
    </xf>
    <xf numFmtId="0" fontId="7" fillId="0" borderId="6" xfId="0" applyFont="1" applyBorder="1" applyProtection="1"/>
    <xf numFmtId="0" fontId="7" fillId="0" borderId="5" xfId="0" applyFont="1" applyBorder="1" applyProtection="1"/>
    <xf numFmtId="14" fontId="7" fillId="0" borderId="0" xfId="0" applyNumberFormat="1" applyFont="1" applyBorder="1" applyAlignment="1" applyProtection="1">
      <alignment horizontal="left"/>
    </xf>
    <xf numFmtId="37" fontId="26" fillId="0" borderId="0" xfId="0" applyNumberFormat="1" applyFont="1" applyBorder="1" applyAlignment="1" applyProtection="1">
      <alignment horizontal="right"/>
    </xf>
    <xf numFmtId="166" fontId="26" fillId="0" borderId="6" xfId="0" applyNumberFormat="1" applyFont="1" applyBorder="1" applyAlignment="1" applyProtection="1">
      <alignment horizontal="right"/>
    </xf>
    <xf numFmtId="10" fontId="7" fillId="0" borderId="0" xfId="0" applyNumberFormat="1" applyFont="1" applyProtection="1"/>
    <xf numFmtId="0" fontId="7" fillId="0" borderId="0" xfId="0" quotePrefix="1" applyFont="1" applyBorder="1" applyAlignment="1" applyProtection="1">
      <alignment horizontal="left"/>
    </xf>
    <xf numFmtId="0" fontId="7" fillId="0" borderId="0" xfId="0" applyFont="1" applyFill="1" applyBorder="1" applyAlignment="1" applyProtection="1">
      <alignment horizontal="left"/>
    </xf>
    <xf numFmtId="171" fontId="26" fillId="0" borderId="6" xfId="0" quotePrefix="1" applyNumberFormat="1" applyFont="1" applyBorder="1" applyAlignment="1" applyProtection="1">
      <alignment horizontal="right"/>
    </xf>
    <xf numFmtId="0" fontId="7" fillId="0" borderId="10" xfId="0" applyFont="1" applyBorder="1" applyAlignment="1" applyProtection="1">
      <alignment horizontal="center" vertical="center"/>
    </xf>
    <xf numFmtId="0" fontId="7" fillId="0" borderId="1" xfId="0" applyFont="1" applyBorder="1" applyAlignment="1" applyProtection="1">
      <alignment horizontal="left"/>
    </xf>
    <xf numFmtId="0" fontId="7" fillId="0" borderId="1" xfId="0" applyFont="1" applyBorder="1" applyProtection="1"/>
    <xf numFmtId="0" fontId="7" fillId="0" borderId="11" xfId="0" applyFont="1" applyBorder="1" applyProtection="1"/>
    <xf numFmtId="0" fontId="7" fillId="0" borderId="10" xfId="0" applyFont="1" applyBorder="1" applyProtection="1"/>
    <xf numFmtId="37" fontId="26" fillId="0" borderId="1" xfId="0" applyNumberFormat="1" applyFont="1" applyBorder="1" applyAlignment="1" applyProtection="1">
      <alignment horizontal="right"/>
    </xf>
    <xf numFmtId="39" fontId="26" fillId="0" borderId="11" xfId="0" applyNumberFormat="1" applyFont="1" applyBorder="1" applyAlignment="1" applyProtection="1">
      <alignment horizontal="right"/>
    </xf>
    <xf numFmtId="0" fontId="7" fillId="0" borderId="0" xfId="0" applyFont="1" applyAlignment="1" applyProtection="1">
      <alignment vertical="center"/>
    </xf>
    <xf numFmtId="0" fontId="7" fillId="2" borderId="14" xfId="0" quotePrefix="1" applyFont="1" applyFill="1" applyBorder="1" applyAlignment="1" applyProtection="1">
      <alignment horizontal="left" vertical="center"/>
    </xf>
    <xf numFmtId="0" fontId="7" fillId="2" borderId="14" xfId="0" applyFont="1" applyFill="1" applyBorder="1" applyAlignment="1" applyProtection="1">
      <alignment vertical="center"/>
    </xf>
    <xf numFmtId="0" fontId="7" fillId="2" borderId="15" xfId="0" applyFont="1" applyFill="1" applyBorder="1" applyAlignment="1" applyProtection="1">
      <alignment vertical="center"/>
    </xf>
    <xf numFmtId="0" fontId="7" fillId="0" borderId="5" xfId="0" quotePrefix="1" applyFont="1" applyBorder="1" applyAlignment="1" applyProtection="1">
      <alignment horizontal="left"/>
    </xf>
    <xf numFmtId="37" fontId="26" fillId="0" borderId="6" xfId="0" applyNumberFormat="1" applyFont="1" applyBorder="1" applyAlignment="1" applyProtection="1">
      <alignment horizontal="right"/>
    </xf>
    <xf numFmtId="0" fontId="30" fillId="0" borderId="5" xfId="0" applyFont="1" applyFill="1" applyBorder="1" applyAlignment="1" applyProtection="1">
      <alignment vertical="center"/>
    </xf>
    <xf numFmtId="0" fontId="65" fillId="0" borderId="0" xfId="0" applyFont="1" applyBorder="1" applyAlignment="1" applyProtection="1">
      <alignment vertical="center"/>
    </xf>
    <xf numFmtId="0" fontId="30" fillId="0" borderId="0" xfId="0" applyFont="1" applyFill="1" applyBorder="1" applyAlignment="1" applyProtection="1">
      <alignment horizontal="centerContinuous" vertical="center"/>
    </xf>
    <xf numFmtId="0" fontId="65" fillId="0" borderId="0" xfId="0" applyFont="1" applyBorder="1" applyAlignment="1" applyProtection="1">
      <alignment horizontal="centerContinuous" vertical="center"/>
    </xf>
    <xf numFmtId="0" fontId="65" fillId="0" borderId="6" xfId="0" applyFont="1" applyBorder="1" applyAlignment="1" applyProtection="1">
      <alignment horizontal="centerContinuous" vertical="center"/>
    </xf>
    <xf numFmtId="0" fontId="7" fillId="0" borderId="10" xfId="0" quotePrefix="1" applyFont="1" applyBorder="1" applyAlignment="1" applyProtection="1">
      <alignment horizontal="left"/>
    </xf>
    <xf numFmtId="0" fontId="7" fillId="0" borderId="1" xfId="0" applyFont="1" applyBorder="1" applyAlignment="1" applyProtection="1">
      <alignment vertical="center"/>
    </xf>
    <xf numFmtId="37" fontId="26" fillId="0" borderId="11" xfId="0" applyNumberFormat="1" applyFont="1" applyBorder="1" applyAlignment="1" applyProtection="1">
      <alignment horizontal="right"/>
    </xf>
    <xf numFmtId="0" fontId="15" fillId="0" borderId="0" xfId="0" applyFont="1" applyAlignment="1" applyProtection="1">
      <alignment vertical="center"/>
    </xf>
    <xf numFmtId="0" fontId="26" fillId="0" borderId="5" xfId="0" applyFont="1" applyBorder="1" applyProtection="1"/>
    <xf numFmtId="0" fontId="7" fillId="0" borderId="6" xfId="0" applyFont="1" applyBorder="1" applyAlignment="1" applyProtection="1">
      <alignment horizontal="centerContinuous"/>
    </xf>
    <xf numFmtId="0" fontId="17" fillId="0" borderId="0" xfId="0" applyFont="1" applyFill="1" applyBorder="1" applyAlignment="1" applyProtection="1">
      <alignment horizontal="left" vertical="center"/>
    </xf>
    <xf numFmtId="188" fontId="26" fillId="0" borderId="0" xfId="0" quotePrefix="1" applyNumberFormat="1" applyFont="1" applyBorder="1" applyAlignment="1" applyProtection="1">
      <alignment horizontal="centerContinuous"/>
    </xf>
    <xf numFmtId="0" fontId="17" fillId="2" borderId="13" xfId="0" applyFont="1" applyFill="1" applyBorder="1" applyAlignment="1" applyProtection="1">
      <alignment horizontal="left" vertical="center"/>
    </xf>
    <xf numFmtId="0" fontId="26" fillId="0" borderId="10" xfId="0" applyFont="1" applyBorder="1" applyAlignment="1" applyProtection="1">
      <alignment horizontal="left"/>
    </xf>
    <xf numFmtId="188" fontId="26" fillId="0" borderId="1" xfId="0" quotePrefix="1" applyNumberFormat="1" applyFont="1" applyBorder="1" applyAlignment="1" applyProtection="1">
      <alignment horizontal="centerContinuous"/>
    </xf>
    <xf numFmtId="0" fontId="7" fillId="0" borderId="1" xfId="0" applyFont="1" applyBorder="1" applyAlignment="1" applyProtection="1">
      <alignment horizontal="centerContinuous"/>
    </xf>
    <xf numFmtId="0" fontId="7" fillId="0" borderId="11" xfId="0" applyFont="1" applyBorder="1" applyAlignment="1" applyProtection="1">
      <alignment horizontal="centerContinuous"/>
    </xf>
    <xf numFmtId="0" fontId="30" fillId="0" borderId="5" xfId="0" applyFont="1" applyBorder="1" applyAlignment="1" applyProtection="1">
      <alignment vertical="center"/>
    </xf>
    <xf numFmtId="0" fontId="30" fillId="0" borderId="0" xfId="0" applyFont="1" applyBorder="1" applyProtection="1"/>
    <xf numFmtId="174" fontId="26" fillId="0" borderId="6" xfId="0" applyNumberFormat="1" applyFont="1" applyBorder="1" applyAlignment="1" applyProtection="1">
      <alignment horizontal="right"/>
    </xf>
    <xf numFmtId="0" fontId="7" fillId="0" borderId="5" xfId="0" applyFont="1" applyBorder="1" applyAlignment="1" applyProtection="1">
      <alignment horizontal="left" vertical="center"/>
    </xf>
    <xf numFmtId="189" fontId="26" fillId="0" borderId="0" xfId="0" applyNumberFormat="1" applyFont="1" applyBorder="1" applyAlignment="1" applyProtection="1"/>
    <xf numFmtId="174" fontId="26" fillId="0" borderId="11" xfId="0" applyNumberFormat="1" applyFont="1" applyBorder="1" applyAlignment="1" applyProtection="1">
      <alignment horizontal="right"/>
    </xf>
    <xf numFmtId="171" fontId="26" fillId="0" borderId="6" xfId="0" applyNumberFormat="1" applyFont="1" applyBorder="1" applyAlignment="1" applyProtection="1">
      <alignment horizontal="right"/>
    </xf>
    <xf numFmtId="0" fontId="7" fillId="0" borderId="6" xfId="0" applyFont="1" applyBorder="1" applyAlignment="1" applyProtection="1">
      <alignment horizontal="right"/>
    </xf>
    <xf numFmtId="0" fontId="7" fillId="0" borderId="10" xfId="0" applyFont="1" applyBorder="1" applyAlignment="1" applyProtection="1">
      <alignment horizontal="left" vertical="center"/>
    </xf>
    <xf numFmtId="189" fontId="26" fillId="0" borderId="1" xfId="0" applyNumberFormat="1" applyFont="1" applyBorder="1" applyAlignment="1" applyProtection="1"/>
    <xf numFmtId="0" fontId="30" fillId="0" borderId="7" xfId="0" applyFont="1" applyBorder="1" applyProtection="1"/>
    <xf numFmtId="0" fontId="7" fillId="0" borderId="5" xfId="0" quotePrefix="1" applyFont="1" applyBorder="1" applyProtection="1"/>
    <xf numFmtId="0" fontId="26" fillId="0" borderId="0" xfId="0" applyFont="1" applyBorder="1" applyProtection="1"/>
    <xf numFmtId="181" fontId="7" fillId="0" borderId="0" xfId="0" applyNumberFormat="1" applyFont="1" applyBorder="1" applyAlignment="1" applyProtection="1">
      <alignment horizontal="left"/>
    </xf>
    <xf numFmtId="0" fontId="7" fillId="0" borderId="10" xfId="0" quotePrefix="1" applyFont="1" applyBorder="1" applyProtection="1"/>
    <xf numFmtId="0" fontId="30" fillId="0" borderId="5" xfId="0" applyFont="1" applyBorder="1" applyProtection="1"/>
    <xf numFmtId="0" fontId="17" fillId="0" borderId="0" xfId="0" applyFont="1" applyBorder="1" applyAlignment="1" applyProtection="1">
      <alignment horizontal="center" vertical="center"/>
    </xf>
    <xf numFmtId="195" fontId="26" fillId="0" borderId="6" xfId="0" applyNumberFormat="1" applyFont="1" applyBorder="1" applyAlignment="1" applyProtection="1">
      <alignment vertical="center"/>
    </xf>
    <xf numFmtId="0" fontId="7" fillId="0" borderId="0" xfId="0" applyFont="1" applyBorder="1" applyAlignment="1" applyProtection="1">
      <alignment vertical="center"/>
    </xf>
    <xf numFmtId="196" fontId="26" fillId="0" borderId="6" xfId="0" applyNumberFormat="1" applyFont="1" applyBorder="1" applyAlignment="1" applyProtection="1">
      <alignment vertical="center"/>
    </xf>
    <xf numFmtId="0" fontId="7" fillId="0" borderId="7" xfId="0" quotePrefix="1" applyFont="1" applyBorder="1" applyAlignment="1" applyProtection="1">
      <alignment horizontal="left"/>
    </xf>
    <xf numFmtId="0" fontId="7" fillId="0" borderId="8" xfId="0" applyFont="1" applyBorder="1" applyProtection="1"/>
    <xf numFmtId="0" fontId="26" fillId="0" borderId="9" xfId="0" applyFont="1" applyBorder="1" applyAlignment="1" applyProtection="1">
      <alignment horizontal="right"/>
    </xf>
    <xf numFmtId="181" fontId="7" fillId="0" borderId="5" xfId="0" quotePrefix="1" applyNumberFormat="1" applyFont="1" applyBorder="1" applyAlignment="1" applyProtection="1">
      <alignment horizontal="left"/>
    </xf>
    <xf numFmtId="190" fontId="26" fillId="0" borderId="6" xfId="0" applyNumberFormat="1" applyFont="1" applyBorder="1" applyAlignment="1" applyProtection="1">
      <alignment horizontal="right"/>
    </xf>
    <xf numFmtId="0" fontId="17" fillId="0" borderId="1" xfId="0" applyFont="1" applyBorder="1" applyAlignment="1" applyProtection="1">
      <alignment horizontal="center" vertical="center"/>
    </xf>
    <xf numFmtId="197" fontId="26" fillId="0" borderId="11" xfId="0" applyNumberFormat="1" applyFont="1" applyBorder="1" applyAlignment="1" applyProtection="1">
      <alignment vertical="center"/>
    </xf>
    <xf numFmtId="181" fontId="7" fillId="0" borderId="10" xfId="0" quotePrefix="1" applyNumberFormat="1" applyFont="1" applyBorder="1" applyAlignment="1" applyProtection="1">
      <alignment horizontal="left"/>
    </xf>
    <xf numFmtId="190" fontId="26" fillId="0" borderId="11" xfId="0" applyNumberFormat="1" applyFont="1" applyBorder="1" applyAlignment="1" applyProtection="1">
      <alignment horizontal="right"/>
    </xf>
    <xf numFmtId="180" fontId="7" fillId="0" borderId="1" xfId="0" applyNumberFormat="1" applyFont="1" applyBorder="1" applyAlignment="1" applyProtection="1">
      <alignment horizontal="left"/>
    </xf>
    <xf numFmtId="180" fontId="7" fillId="0" borderId="0" xfId="0" applyNumberFormat="1" applyFont="1" applyBorder="1" applyAlignment="1" applyProtection="1">
      <alignment horizontal="left"/>
    </xf>
    <xf numFmtId="0" fontId="17" fillId="0" borderId="0" xfId="0" applyFont="1" applyAlignment="1" applyProtection="1">
      <alignment horizontal="left"/>
    </xf>
    <xf numFmtId="0" fontId="7" fillId="0" borderId="0" xfId="0" applyFont="1" applyBorder="1" applyAlignment="1" applyProtection="1">
      <alignment horizontal="center" vertical="center"/>
    </xf>
    <xf numFmtId="0" fontId="7" fillId="0" borderId="0" xfId="0" applyFont="1" applyAlignment="1" applyProtection="1">
      <alignment horizontal="left"/>
    </xf>
    <xf numFmtId="0" fontId="14" fillId="0" borderId="0" xfId="0" applyFont="1" applyAlignment="1" applyProtection="1">
      <alignment horizontal="left"/>
    </xf>
    <xf numFmtId="0" fontId="73" fillId="0" borderId="0" xfId="0" applyFont="1" applyFill="1" applyBorder="1" applyProtection="1"/>
    <xf numFmtId="0" fontId="25" fillId="2" borderId="13" xfId="0" applyFont="1" applyFill="1" applyBorder="1" applyProtection="1"/>
    <xf numFmtId="0" fontId="17" fillId="2" borderId="14" xfId="0" applyFont="1" applyFill="1" applyBorder="1" applyProtection="1"/>
    <xf numFmtId="0" fontId="17" fillId="2" borderId="15" xfId="0" applyFont="1" applyFill="1" applyBorder="1" applyAlignment="1" applyProtection="1">
      <alignment horizontal="right"/>
    </xf>
    <xf numFmtId="0" fontId="16" fillId="0" borderId="0" xfId="0" applyFont="1" applyFill="1" applyBorder="1" applyProtection="1"/>
    <xf numFmtId="0" fontId="15" fillId="0" borderId="0" xfId="0" applyFont="1" applyProtection="1"/>
    <xf numFmtId="0" fontId="7" fillId="0" borderId="0" xfId="0" applyFont="1" applyFill="1" applyBorder="1" applyProtection="1"/>
    <xf numFmtId="176" fontId="26" fillId="0" borderId="0" xfId="0" applyNumberFormat="1" applyFont="1" applyBorder="1" applyProtection="1"/>
    <xf numFmtId="176" fontId="7" fillId="0" borderId="0" xfId="0" applyNumberFormat="1" applyFont="1" applyBorder="1" applyProtection="1"/>
    <xf numFmtId="176" fontId="7" fillId="0" borderId="6" xfId="0" applyNumberFormat="1" applyFont="1" applyBorder="1" applyProtection="1"/>
    <xf numFmtId="0" fontId="7" fillId="0" borderId="5" xfId="0" applyFont="1" applyBorder="1" applyAlignment="1" applyProtection="1">
      <alignment horizontal="left"/>
    </xf>
    <xf numFmtId="176" fontId="26" fillId="0" borderId="6" xfId="0" applyNumberFormat="1" applyFont="1" applyBorder="1" applyProtection="1"/>
    <xf numFmtId="176" fontId="26" fillId="0" borderId="1" xfId="0" applyNumberFormat="1" applyFont="1" applyBorder="1" applyProtection="1"/>
    <xf numFmtId="176" fontId="26" fillId="0" borderId="11" xfId="0" applyNumberFormat="1" applyFont="1" applyBorder="1" applyProtection="1"/>
    <xf numFmtId="0" fontId="17" fillId="0" borderId="5" xfId="0" applyFont="1" applyBorder="1" applyProtection="1"/>
    <xf numFmtId="174" fontId="17" fillId="0" borderId="0" xfId="0" applyNumberFormat="1" applyFont="1" applyBorder="1" applyProtection="1"/>
    <xf numFmtId="174" fontId="17" fillId="0" borderId="6" xfId="0" applyNumberFormat="1" applyFont="1" applyBorder="1" applyProtection="1"/>
    <xf numFmtId="185" fontId="7" fillId="0" borderId="1" xfId="0" applyNumberFormat="1" applyFont="1" applyBorder="1" applyProtection="1"/>
    <xf numFmtId="185" fontId="27" fillId="0" borderId="1" xfId="0" applyNumberFormat="1" applyFont="1" applyBorder="1" applyProtection="1"/>
    <xf numFmtId="185" fontId="7" fillId="0" borderId="11" xfId="0" applyNumberFormat="1" applyFont="1" applyBorder="1" applyProtection="1"/>
    <xf numFmtId="185" fontId="7" fillId="0" borderId="0" xfId="0" applyNumberFormat="1" applyFont="1" applyBorder="1" applyProtection="1"/>
    <xf numFmtId="185" fontId="27" fillId="0" borderId="0" xfId="0" applyNumberFormat="1" applyFont="1" applyBorder="1" applyProtection="1"/>
    <xf numFmtId="0" fontId="17" fillId="2" borderId="15" xfId="0" applyFont="1" applyFill="1" applyBorder="1" applyProtection="1"/>
    <xf numFmtId="174" fontId="26" fillId="0" borderId="0" xfId="0" applyNumberFormat="1" applyFont="1" applyBorder="1" applyProtection="1"/>
    <xf numFmtId="174" fontId="26" fillId="0" borderId="6" xfId="0" applyNumberFormat="1" applyFont="1" applyBorder="1" applyProtection="1"/>
    <xf numFmtId="0" fontId="0" fillId="0" borderId="0" xfId="0" quotePrefix="1" applyProtection="1"/>
    <xf numFmtId="0" fontId="0" fillId="0" borderId="0" xfId="0" applyProtection="1"/>
    <xf numFmtId="0" fontId="7" fillId="0" borderId="0" xfId="9" applyFont="1" applyProtection="1"/>
    <xf numFmtId="0" fontId="11" fillId="0" borderId="0" xfId="9" applyFont="1" applyAlignment="1" applyProtection="1">
      <alignment horizontal="centerContinuous"/>
    </xf>
    <xf numFmtId="0" fontId="7" fillId="0" borderId="12" xfId="9" applyFont="1" applyBorder="1" applyProtection="1"/>
    <xf numFmtId="0" fontId="7" fillId="0" borderId="12" xfId="9" applyFont="1" applyBorder="1" applyAlignment="1" applyProtection="1">
      <alignment horizontal="center"/>
    </xf>
    <xf numFmtId="0" fontId="25" fillId="0" borderId="0" xfId="9" quotePrefix="1" applyFont="1" applyAlignment="1" applyProtection="1">
      <alignment horizontal="left"/>
    </xf>
    <xf numFmtId="0" fontId="25" fillId="0" borderId="0" xfId="9" quotePrefix="1" applyFont="1" applyAlignment="1" applyProtection="1">
      <alignment horizontal="center"/>
    </xf>
    <xf numFmtId="0" fontId="7" fillId="0" borderId="7" xfId="9" applyFont="1" applyBorder="1" applyProtection="1"/>
    <xf numFmtId="0" fontId="7" fillId="0" borderId="8" xfId="9" applyFont="1" applyBorder="1" applyProtection="1"/>
    <xf numFmtId="0" fontId="7" fillId="0" borderId="8" xfId="9" applyFont="1" applyBorder="1" applyAlignment="1" applyProtection="1">
      <alignment horizontal="center"/>
    </xf>
    <xf numFmtId="0" fontId="7" fillId="0" borderId="9" xfId="9" applyFont="1" applyBorder="1" applyAlignment="1" applyProtection="1">
      <alignment horizontal="center"/>
    </xf>
    <xf numFmtId="0" fontId="7" fillId="0" borderId="0" xfId="9" applyFont="1" applyBorder="1" applyProtection="1"/>
    <xf numFmtId="0" fontId="17" fillId="0" borderId="1" xfId="9" applyFont="1" applyBorder="1" applyAlignment="1" applyProtection="1">
      <alignment horizontal="centerContinuous"/>
    </xf>
    <xf numFmtId="0" fontId="17" fillId="0" borderId="5" xfId="9" applyFont="1" applyBorder="1" applyAlignment="1" applyProtection="1">
      <alignment vertical="center"/>
    </xf>
    <xf numFmtId="0" fontId="17" fillId="0" borderId="0" xfId="9" applyFont="1" applyBorder="1" applyProtection="1"/>
    <xf numFmtId="0" fontId="31" fillId="0" borderId="0" xfId="9" applyFont="1" applyBorder="1" applyAlignment="1" applyProtection="1">
      <alignment horizontal="center" vertical="center"/>
    </xf>
    <xf numFmtId="0" fontId="31" fillId="0" borderId="6" xfId="9" applyFont="1" applyBorder="1" applyAlignment="1" applyProtection="1">
      <alignment horizontal="center" vertical="center"/>
    </xf>
    <xf numFmtId="0" fontId="30" fillId="0" borderId="0" xfId="9" quotePrefix="1" applyFont="1" applyAlignment="1" applyProtection="1">
      <alignment horizontal="right"/>
    </xf>
    <xf numFmtId="0" fontId="30" fillId="0" borderId="0" xfId="9" applyFont="1" applyAlignment="1" applyProtection="1">
      <alignment horizontal="right"/>
    </xf>
    <xf numFmtId="0" fontId="17" fillId="0" borderId="10" xfId="9" applyFont="1" applyBorder="1" applyProtection="1"/>
    <xf numFmtId="0" fontId="17" fillId="0" borderId="1" xfId="9" applyFont="1" applyBorder="1" applyProtection="1"/>
    <xf numFmtId="0" fontId="17" fillId="0" borderId="1" xfId="9" applyFont="1" applyBorder="1" applyAlignment="1" applyProtection="1">
      <alignment horizontal="center"/>
    </xf>
    <xf numFmtId="0" fontId="17" fillId="0" borderId="11" xfId="9" applyFont="1" applyBorder="1" applyAlignment="1" applyProtection="1">
      <alignment horizontal="center"/>
    </xf>
    <xf numFmtId="0" fontId="30" fillId="0" borderId="0" xfId="9" applyFont="1" applyAlignment="1" applyProtection="1">
      <alignment horizontal="center"/>
    </xf>
    <xf numFmtId="0" fontId="17" fillId="0" borderId="0" xfId="9" applyFont="1" applyBorder="1" applyAlignment="1" applyProtection="1">
      <alignment horizontal="center"/>
    </xf>
    <xf numFmtId="0" fontId="76" fillId="0" borderId="0" xfId="9" quotePrefix="1" applyFont="1" applyAlignment="1" applyProtection="1">
      <alignment horizontal="left"/>
    </xf>
    <xf numFmtId="0" fontId="78" fillId="0" borderId="0" xfId="9" applyFont="1" applyAlignment="1" applyProtection="1">
      <alignment horizontal="left"/>
    </xf>
    <xf numFmtId="0" fontId="7" fillId="0" borderId="0" xfId="9" applyFont="1" applyAlignment="1" applyProtection="1">
      <alignment horizontal="center"/>
    </xf>
    <xf numFmtId="0" fontId="17" fillId="0" borderId="0" xfId="9" applyFont="1" applyBorder="1" applyAlignment="1" applyProtection="1">
      <alignment horizontal="left" vertical="center"/>
    </xf>
    <xf numFmtId="0" fontId="31" fillId="0" borderId="0" xfId="9" applyFont="1" applyBorder="1" applyAlignment="1" applyProtection="1">
      <alignment horizontal="center"/>
    </xf>
    <xf numFmtId="171" fontId="17" fillId="0" borderId="13" xfId="0" applyNumberFormat="1" applyFont="1" applyBorder="1" applyAlignment="1" applyProtection="1">
      <alignment vertical="center"/>
    </xf>
    <xf numFmtId="171" fontId="17" fillId="0" borderId="14" xfId="0" applyNumberFormat="1" applyFont="1" applyBorder="1" applyAlignment="1" applyProtection="1">
      <alignment vertical="center"/>
    </xf>
    <xf numFmtId="171" fontId="17" fillId="0" borderId="15" xfId="0" applyNumberFormat="1" applyFont="1" applyBorder="1" applyAlignment="1" applyProtection="1">
      <alignment vertical="center"/>
    </xf>
    <xf numFmtId="0" fontId="17" fillId="0" borderId="0" xfId="9" quotePrefix="1" applyFont="1" applyBorder="1" applyAlignment="1" applyProtection="1">
      <alignment horizontal="left"/>
    </xf>
    <xf numFmtId="171" fontId="26" fillId="0" borderId="0" xfId="0" applyNumberFormat="1" applyFont="1" applyBorder="1" applyProtection="1"/>
    <xf numFmtId="171" fontId="7" fillId="0" borderId="0" xfId="0" applyNumberFormat="1" applyFont="1" applyBorder="1" applyProtection="1"/>
    <xf numFmtId="171" fontId="34" fillId="0" borderId="16" xfId="0" applyNumberFormat="1" applyFont="1" applyBorder="1" applyProtection="1"/>
    <xf numFmtId="171" fontId="34" fillId="0" borderId="17" xfId="0" applyNumberFormat="1" applyFont="1" applyBorder="1" applyProtection="1"/>
    <xf numFmtId="171" fontId="34" fillId="0" borderId="18" xfId="0" applyNumberFormat="1" applyFont="1" applyBorder="1" applyProtection="1"/>
    <xf numFmtId="171" fontId="34" fillId="0" borderId="19" xfId="0" applyNumberFormat="1" applyFont="1" applyBorder="1" applyProtection="1"/>
    <xf numFmtId="171" fontId="34" fillId="0" borderId="0" xfId="0" applyNumberFormat="1" applyFont="1" applyBorder="1" applyProtection="1"/>
    <xf numFmtId="171" fontId="34" fillId="0" borderId="20" xfId="0" applyNumberFormat="1" applyFont="1" applyBorder="1" applyProtection="1"/>
    <xf numFmtId="171" fontId="34" fillId="0" borderId="21" xfId="0" applyNumberFormat="1" applyFont="1" applyBorder="1" applyProtection="1"/>
    <xf numFmtId="171" fontId="34" fillId="0" borderId="22" xfId="0" applyNumberFormat="1" applyFont="1" applyBorder="1" applyProtection="1"/>
    <xf numFmtId="171" fontId="34" fillId="0" borderId="23" xfId="0" applyNumberFormat="1" applyFont="1" applyBorder="1" applyProtection="1"/>
    <xf numFmtId="0" fontId="7" fillId="0" borderId="0" xfId="9" quotePrefix="1" applyFont="1" applyBorder="1" applyAlignment="1" applyProtection="1">
      <alignment horizontal="left"/>
    </xf>
    <xf numFmtId="0" fontId="17" fillId="0" borderId="0" xfId="9" applyFont="1" applyAlignment="1" applyProtection="1">
      <alignment horizontal="left" vertical="center"/>
    </xf>
    <xf numFmtId="0" fontId="7" fillId="0" borderId="0" xfId="9" applyFont="1" applyAlignment="1" applyProtection="1">
      <alignment vertical="center"/>
    </xf>
    <xf numFmtId="177" fontId="17" fillId="0" borderId="13" xfId="0" applyNumberFormat="1" applyFont="1" applyBorder="1" applyAlignment="1" applyProtection="1">
      <alignment vertical="center"/>
    </xf>
    <xf numFmtId="177" fontId="17" fillId="0" borderId="14" xfId="0" applyNumberFormat="1" applyFont="1" applyBorder="1" applyAlignment="1" applyProtection="1">
      <alignment vertical="center"/>
    </xf>
    <xf numFmtId="177" fontId="17" fillId="0" borderId="15" xfId="0" applyNumberFormat="1" applyFont="1" applyBorder="1" applyAlignment="1" applyProtection="1">
      <alignment vertical="center"/>
    </xf>
    <xf numFmtId="177" fontId="17" fillId="0" borderId="0" xfId="0" applyNumberFormat="1" applyFont="1" applyBorder="1" applyProtection="1"/>
    <xf numFmtId="0" fontId="7" fillId="0" borderId="0" xfId="9" applyFont="1" applyAlignment="1" applyProtection="1">
      <alignment horizontal="left"/>
    </xf>
    <xf numFmtId="0" fontId="32" fillId="0" borderId="0" xfId="9" applyFont="1" applyBorder="1" applyAlignment="1" applyProtection="1">
      <alignment horizontal="center"/>
    </xf>
    <xf numFmtId="177" fontId="34" fillId="0" borderId="16" xfId="9" applyNumberFormat="1" applyFont="1" applyBorder="1" applyProtection="1"/>
    <xf numFmtId="177" fontId="34" fillId="0" borderId="17" xfId="9" applyNumberFormat="1" applyFont="1" applyBorder="1" applyProtection="1"/>
    <xf numFmtId="177" fontId="34" fillId="0" borderId="18" xfId="9" applyNumberFormat="1" applyFont="1" applyBorder="1" applyProtection="1"/>
    <xf numFmtId="177" fontId="34" fillId="0" borderId="19" xfId="9" applyNumberFormat="1" applyFont="1" applyBorder="1" applyProtection="1"/>
    <xf numFmtId="177" fontId="34" fillId="0" borderId="0" xfId="9" applyNumberFormat="1" applyFont="1" applyBorder="1" applyProtection="1"/>
    <xf numFmtId="177" fontId="34" fillId="0" borderId="20" xfId="9" applyNumberFormat="1" applyFont="1" applyBorder="1" applyProtection="1"/>
    <xf numFmtId="0" fontId="7" fillId="0" borderId="0" xfId="9" applyProtection="1"/>
    <xf numFmtId="177" fontId="34" fillId="0" borderId="21" xfId="4" applyNumberFormat="1" applyFont="1" applyBorder="1" applyAlignment="1" applyProtection="1">
      <alignment horizontal="right"/>
    </xf>
    <xf numFmtId="177" fontId="34" fillId="0" borderId="22" xfId="4" applyNumberFormat="1" applyFont="1" applyBorder="1" applyAlignment="1" applyProtection="1">
      <alignment horizontal="right"/>
    </xf>
    <xf numFmtId="177" fontId="34" fillId="0" borderId="23" xfId="9" applyNumberFormat="1" applyFont="1" applyBorder="1" applyProtection="1"/>
    <xf numFmtId="177" fontId="34" fillId="0" borderId="0" xfId="4" applyNumberFormat="1" applyFont="1" applyBorder="1" applyAlignment="1" applyProtection="1">
      <alignment horizontal="right"/>
    </xf>
    <xf numFmtId="177" fontId="35" fillId="0" borderId="0" xfId="4" applyNumberFormat="1" applyFont="1" applyBorder="1" applyAlignment="1" applyProtection="1">
      <alignment horizontal="right"/>
    </xf>
    <xf numFmtId="0" fontId="7" fillId="0" borderId="22" xfId="9" applyFont="1" applyBorder="1" applyProtection="1"/>
    <xf numFmtId="0" fontId="7" fillId="0" borderId="22" xfId="9" applyFont="1" applyBorder="1" applyAlignment="1" applyProtection="1">
      <alignment horizontal="center"/>
    </xf>
    <xf numFmtId="0" fontId="7" fillId="0" borderId="0" xfId="9" applyFont="1" applyBorder="1" applyAlignment="1" applyProtection="1">
      <alignment horizontal="center"/>
    </xf>
    <xf numFmtId="176" fontId="33" fillId="0" borderId="13" xfId="0" applyNumberFormat="1" applyFont="1" applyBorder="1" applyAlignment="1" applyProtection="1">
      <alignment vertical="center"/>
    </xf>
    <xf numFmtId="176" fontId="33" fillId="0" borderId="14" xfId="0" applyNumberFormat="1" applyFont="1" applyBorder="1" applyAlignment="1" applyProtection="1">
      <alignment vertical="center"/>
    </xf>
    <xf numFmtId="176" fontId="33" fillId="0" borderId="15" xfId="0" applyNumberFormat="1" applyFont="1" applyBorder="1" applyAlignment="1" applyProtection="1">
      <alignment vertical="center"/>
    </xf>
    <xf numFmtId="0" fontId="17" fillId="0" borderId="0" xfId="9" applyFont="1" applyAlignment="1" applyProtection="1">
      <alignment horizontal="left"/>
    </xf>
    <xf numFmtId="185" fontId="33" fillId="0" borderId="0" xfId="0" applyNumberFormat="1" applyFont="1" applyBorder="1" applyProtection="1"/>
    <xf numFmtId="176" fontId="34" fillId="0" borderId="16" xfId="4" applyNumberFormat="1" applyFont="1" applyBorder="1" applyProtection="1"/>
    <xf numFmtId="176" fontId="34" fillId="0" borderId="17" xfId="4" applyNumberFormat="1" applyFont="1" applyBorder="1" applyProtection="1"/>
    <xf numFmtId="176" fontId="34" fillId="0" borderId="17" xfId="0" applyNumberFormat="1" applyFont="1" applyBorder="1" applyProtection="1"/>
    <xf numFmtId="176" fontId="32" fillId="0" borderId="18" xfId="0" applyNumberFormat="1" applyFont="1" applyFill="1" applyBorder="1" applyProtection="1"/>
    <xf numFmtId="183" fontId="7" fillId="0" borderId="0" xfId="9" applyNumberFormat="1" applyFont="1" applyProtection="1"/>
    <xf numFmtId="37" fontId="7" fillId="0" borderId="0" xfId="9" applyNumberFormat="1" applyFont="1" applyProtection="1"/>
    <xf numFmtId="182" fontId="34" fillId="0" borderId="0" xfId="9" applyNumberFormat="1" applyFont="1" applyProtection="1"/>
    <xf numFmtId="176" fontId="32" fillId="0" borderId="19" xfId="4" applyNumberFormat="1" applyFont="1" applyBorder="1" applyProtection="1"/>
    <xf numFmtId="176" fontId="32" fillId="0" borderId="0" xfId="4" applyNumberFormat="1" applyFont="1" applyBorder="1" applyProtection="1"/>
    <xf numFmtId="176" fontId="32" fillId="0" borderId="20" xfId="4" applyNumberFormat="1" applyFont="1" applyBorder="1" applyProtection="1"/>
    <xf numFmtId="176" fontId="32" fillId="0" borderId="21" xfId="4" applyNumberFormat="1" applyFont="1" applyBorder="1" applyProtection="1"/>
    <xf numFmtId="176" fontId="32" fillId="0" borderId="22" xfId="4" applyNumberFormat="1" applyFont="1" applyBorder="1" applyProtection="1"/>
    <xf numFmtId="176" fontId="32" fillId="0" borderId="23" xfId="4" applyNumberFormat="1" applyFont="1" applyBorder="1" applyProtection="1"/>
    <xf numFmtId="183" fontId="7" fillId="0" borderId="0" xfId="9" applyNumberFormat="1" applyFont="1" applyBorder="1" applyProtection="1"/>
    <xf numFmtId="0" fontId="7" fillId="0" borderId="0" xfId="9" quotePrefix="1" applyFont="1" applyAlignment="1" applyProtection="1">
      <alignment horizontal="left"/>
    </xf>
    <xf numFmtId="37" fontId="34" fillId="0" borderId="0" xfId="0" applyNumberFormat="1" applyFont="1" applyBorder="1" applyProtection="1"/>
    <xf numFmtId="37" fontId="32" fillId="0" borderId="0" xfId="0" applyNumberFormat="1" applyFont="1" applyBorder="1" applyProtection="1"/>
    <xf numFmtId="0" fontId="7" fillId="0" borderId="1" xfId="9" applyFont="1" applyBorder="1" applyProtection="1"/>
    <xf numFmtId="0" fontId="7" fillId="0" borderId="1" xfId="9" applyFont="1" applyBorder="1" applyAlignment="1" applyProtection="1">
      <alignment horizontal="center"/>
    </xf>
    <xf numFmtId="0" fontId="26" fillId="0" borderId="0" xfId="9" applyFont="1" applyBorder="1" applyProtection="1"/>
    <xf numFmtId="0" fontId="26" fillId="0" borderId="0" xfId="9" applyFont="1" applyProtection="1"/>
    <xf numFmtId="0" fontId="8" fillId="0" borderId="0" xfId="0" applyFont="1" applyBorder="1" applyAlignment="1" applyProtection="1">
      <alignment horizontal="left"/>
    </xf>
    <xf numFmtId="0" fontId="72" fillId="0" borderId="0" xfId="7" quotePrefix="1" applyFont="1" applyAlignment="1" applyProtection="1">
      <alignment horizontal="right" vertical="center"/>
    </xf>
    <xf numFmtId="0" fontId="11" fillId="0" borderId="0" xfId="0" applyFont="1" applyBorder="1" applyAlignment="1" applyProtection="1">
      <alignment horizontal="left"/>
    </xf>
    <xf numFmtId="0" fontId="11" fillId="0" borderId="0" xfId="0" applyFont="1" applyBorder="1" applyAlignment="1" applyProtection="1">
      <alignment horizontal="centerContinuous"/>
    </xf>
    <xf numFmtId="0" fontId="56" fillId="0" borderId="0" xfId="0" applyFont="1" applyBorder="1" applyAlignment="1" applyProtection="1">
      <alignment horizontal="centerContinuous"/>
    </xf>
    <xf numFmtId="0" fontId="58" fillId="0" borderId="0" xfId="0" applyFont="1" applyBorder="1" applyAlignment="1" applyProtection="1">
      <alignment horizontal="centerContinuous"/>
    </xf>
    <xf numFmtId="0" fontId="11" fillId="0" borderId="12" xfId="0" applyFont="1" applyBorder="1" applyAlignment="1" applyProtection="1">
      <alignment horizontal="centerContinuous"/>
    </xf>
    <xf numFmtId="0" fontId="56" fillId="0" borderId="12" xfId="0" applyFont="1" applyBorder="1" applyAlignment="1" applyProtection="1">
      <alignment horizontal="centerContinuous"/>
    </xf>
    <xf numFmtId="0" fontId="58" fillId="0" borderId="12" xfId="0" applyFont="1" applyBorder="1" applyAlignment="1" applyProtection="1">
      <alignment horizontal="centerContinuous"/>
    </xf>
    <xf numFmtId="0" fontId="32" fillId="0" borderId="0" xfId="0" applyFont="1" applyProtection="1"/>
    <xf numFmtId="0" fontId="17" fillId="0" borderId="0" xfId="0" applyFont="1" applyBorder="1" applyAlignment="1" applyProtection="1">
      <alignment horizontal="centerContinuous"/>
    </xf>
    <xf numFmtId="0" fontId="29" fillId="0" borderId="1" xfId="0" applyFont="1" applyBorder="1" applyAlignment="1" applyProtection="1">
      <alignment horizontal="centerContinuous"/>
    </xf>
    <xf numFmtId="179" fontId="30" fillId="0" borderId="0" xfId="0" quotePrefix="1" applyNumberFormat="1" applyFont="1" applyFill="1" applyBorder="1" applyAlignment="1" applyProtection="1">
      <alignment horizontal="right"/>
    </xf>
    <xf numFmtId="0" fontId="30" fillId="0" borderId="24" xfId="0" applyFont="1" applyBorder="1" applyAlignment="1" applyProtection="1">
      <alignment horizontal="right"/>
    </xf>
    <xf numFmtId="0" fontId="17" fillId="0" borderId="0" xfId="0" applyFont="1" applyProtection="1"/>
    <xf numFmtId="0" fontId="23" fillId="0" borderId="0" xfId="0" applyFont="1" applyProtection="1"/>
    <xf numFmtId="0" fontId="7" fillId="0" borderId="25" xfId="0" applyFont="1" applyBorder="1" applyProtection="1"/>
    <xf numFmtId="0" fontId="7" fillId="0" borderId="26" xfId="0" applyFont="1" applyBorder="1" applyProtection="1"/>
    <xf numFmtId="0" fontId="7" fillId="0" borderId="27" xfId="0" applyFont="1" applyBorder="1" applyProtection="1"/>
    <xf numFmtId="0" fontId="66" fillId="0" borderId="27" xfId="0" quotePrefix="1" applyFont="1" applyBorder="1" applyAlignment="1" applyProtection="1">
      <alignment horizontal="left"/>
    </xf>
    <xf numFmtId="168" fontId="26" fillId="0" borderId="27" xfId="4" applyNumberFormat="1" applyFont="1" applyBorder="1" applyProtection="1"/>
    <xf numFmtId="168" fontId="79" fillId="0" borderId="27" xfId="4" applyNumberFormat="1" applyFont="1" applyBorder="1" applyProtection="1"/>
    <xf numFmtId="168" fontId="79" fillId="0" borderId="28" xfId="4" applyNumberFormat="1" applyFont="1" applyBorder="1" applyProtection="1"/>
    <xf numFmtId="0" fontId="66" fillId="0" borderId="0" xfId="0" applyFont="1" applyProtection="1"/>
    <xf numFmtId="0" fontId="17" fillId="0" borderId="0" xfId="0" quotePrefix="1" applyFont="1" applyAlignment="1" applyProtection="1">
      <alignment horizontal="left"/>
    </xf>
    <xf numFmtId="0" fontId="7" fillId="0" borderId="0" xfId="0" quotePrefix="1" applyFont="1" applyAlignment="1" applyProtection="1">
      <alignment horizontal="left"/>
    </xf>
    <xf numFmtId="0" fontId="66" fillId="0" borderId="0" xfId="0" quotePrefix="1" applyFont="1" applyAlignment="1" applyProtection="1">
      <alignment horizontal="left"/>
    </xf>
    <xf numFmtId="169" fontId="26" fillId="0" borderId="0" xfId="4" applyNumberFormat="1" applyFont="1" applyProtection="1"/>
    <xf numFmtId="169" fontId="79" fillId="0" borderId="0" xfId="4" applyNumberFormat="1" applyFont="1" applyProtection="1"/>
    <xf numFmtId="169" fontId="79" fillId="0" borderId="25" xfId="4" applyNumberFormat="1" applyFont="1" applyBorder="1" applyProtection="1"/>
    <xf numFmtId="170" fontId="23" fillId="0" borderId="0" xfId="4" applyNumberFormat="1" applyFont="1" applyProtection="1"/>
    <xf numFmtId="170" fontId="7" fillId="0" borderId="0" xfId="4" applyNumberFormat="1" applyFont="1" applyProtection="1"/>
    <xf numFmtId="170" fontId="7" fillId="0" borderId="25" xfId="4" applyNumberFormat="1" applyFont="1" applyBorder="1" applyProtection="1"/>
    <xf numFmtId="169" fontId="7" fillId="0" borderId="0" xfId="4" applyNumberFormat="1" applyFont="1" applyProtection="1"/>
    <xf numFmtId="169" fontId="7" fillId="0" borderId="25" xfId="4" applyNumberFormat="1" applyFont="1" applyBorder="1" applyProtection="1"/>
    <xf numFmtId="0" fontId="66" fillId="0" borderId="0" xfId="0" applyFont="1" applyBorder="1" applyProtection="1"/>
    <xf numFmtId="171" fontId="54" fillId="0" borderId="0" xfId="0" applyNumberFormat="1" applyFont="1" applyBorder="1" applyProtection="1"/>
    <xf numFmtId="171" fontId="25" fillId="0" borderId="0" xfId="0" applyNumberFormat="1" applyFont="1" applyBorder="1" applyProtection="1"/>
    <xf numFmtId="171" fontId="87" fillId="0" borderId="0" xfId="0" applyNumberFormat="1" applyFont="1" applyBorder="1" applyProtection="1"/>
    <xf numFmtId="171" fontId="87" fillId="0" borderId="25" xfId="0" applyNumberFormat="1" applyFont="1" applyBorder="1" applyProtection="1"/>
    <xf numFmtId="169" fontId="26" fillId="0" borderId="1" xfId="4" applyNumberFormat="1" applyFont="1" applyBorder="1" applyProtection="1"/>
    <xf numFmtId="169" fontId="7" fillId="0" borderId="1" xfId="4" applyNumberFormat="1" applyFont="1" applyBorder="1" applyProtection="1"/>
    <xf numFmtId="169" fontId="7" fillId="0" borderId="29" xfId="4" applyNumberFormat="1" applyFont="1" applyBorder="1" applyProtection="1"/>
    <xf numFmtId="0" fontId="72" fillId="0" borderId="0" xfId="0" quotePrefix="1" applyFont="1" applyAlignment="1" applyProtection="1">
      <alignment horizontal="left"/>
    </xf>
    <xf numFmtId="169" fontId="17" fillId="0" borderId="0" xfId="4" applyNumberFormat="1" applyFont="1" applyProtection="1"/>
    <xf numFmtId="169" fontId="17" fillId="0" borderId="24" xfId="4" applyNumberFormat="1" applyFont="1" applyBorder="1" applyProtection="1"/>
    <xf numFmtId="0" fontId="7" fillId="0" borderId="22" xfId="0" applyFont="1" applyBorder="1" applyProtection="1"/>
    <xf numFmtId="0" fontId="17" fillId="0" borderId="22" xfId="0" quotePrefix="1" applyFont="1" applyBorder="1" applyAlignment="1" applyProtection="1">
      <alignment horizontal="left"/>
    </xf>
    <xf numFmtId="0" fontId="72" fillId="0" borderId="22" xfId="0" quotePrefix="1" applyFont="1" applyBorder="1" applyAlignment="1" applyProtection="1">
      <alignment horizontal="left"/>
    </xf>
    <xf numFmtId="170" fontId="24" fillId="0" borderId="22" xfId="4" applyNumberFormat="1" applyFont="1" applyBorder="1" applyProtection="1"/>
    <xf numFmtId="170" fontId="17" fillId="0" borderId="22" xfId="4" applyNumberFormat="1" applyFont="1" applyBorder="1" applyProtection="1"/>
    <xf numFmtId="170" fontId="17" fillId="0" borderId="30" xfId="4" applyNumberFormat="1" applyFont="1" applyBorder="1" applyProtection="1"/>
    <xf numFmtId="170" fontId="24" fillId="0" borderId="0" xfId="4" applyNumberFormat="1" applyFont="1" applyProtection="1"/>
    <xf numFmtId="170" fontId="17" fillId="0" borderId="0" xfId="4" applyNumberFormat="1" applyFont="1" applyProtection="1"/>
    <xf numFmtId="170" fontId="17" fillId="0" borderId="25" xfId="4" applyNumberFormat="1" applyFont="1" applyBorder="1" applyProtection="1"/>
    <xf numFmtId="172" fontId="7" fillId="0" borderId="0" xfId="4" applyNumberFormat="1" applyFont="1" applyProtection="1"/>
    <xf numFmtId="0" fontId="7" fillId="0" borderId="0" xfId="0" applyFont="1" applyAlignment="1" applyProtection="1">
      <alignment horizontal="left" indent="1"/>
    </xf>
    <xf numFmtId="169" fontId="79" fillId="0" borderId="1" xfId="4" applyNumberFormat="1" applyFont="1" applyBorder="1" applyProtection="1"/>
    <xf numFmtId="0" fontId="72" fillId="0" borderId="0" xfId="0" applyFont="1" applyProtection="1"/>
    <xf numFmtId="169" fontId="17" fillId="0" borderId="25" xfId="4" applyNumberFormat="1" applyFont="1" applyBorder="1" applyProtection="1"/>
    <xf numFmtId="186" fontId="7" fillId="0" borderId="0" xfId="0" applyNumberFormat="1" applyFont="1" applyProtection="1"/>
    <xf numFmtId="186" fontId="7" fillId="0" borderId="25" xfId="0" applyNumberFormat="1" applyFont="1" applyBorder="1" applyProtection="1"/>
    <xf numFmtId="0" fontId="66" fillId="0" borderId="22" xfId="0" applyFont="1" applyBorder="1" applyProtection="1"/>
    <xf numFmtId="0" fontId="7" fillId="0" borderId="30" xfId="0" applyFont="1" applyBorder="1" applyProtection="1"/>
    <xf numFmtId="0" fontId="26" fillId="0" borderId="0" xfId="0" applyFont="1" applyAlignment="1" applyProtection="1">
      <alignment horizontal="center"/>
    </xf>
    <xf numFmtId="176" fontId="7" fillId="0" borderId="0" xfId="4" applyNumberFormat="1" applyFont="1" applyProtection="1"/>
    <xf numFmtId="176" fontId="7" fillId="0" borderId="25" xfId="4" applyNumberFormat="1" applyFont="1" applyBorder="1" applyProtection="1"/>
    <xf numFmtId="174" fontId="17" fillId="0" borderId="8" xfId="4" applyNumberFormat="1" applyFont="1" applyBorder="1" applyProtection="1"/>
    <xf numFmtId="174" fontId="17" fillId="0" borderId="24" xfId="4" applyNumberFormat="1" applyFont="1" applyBorder="1" applyProtection="1"/>
    <xf numFmtId="0" fontId="32" fillId="0" borderId="1" xfId="0" applyFont="1" applyBorder="1" applyProtection="1"/>
    <xf numFmtId="0" fontId="7" fillId="0" borderId="29" xfId="0" applyFont="1" applyBorder="1" applyProtection="1"/>
    <xf numFmtId="9" fontId="7" fillId="0" borderId="0" xfId="0" applyNumberFormat="1" applyFont="1" applyProtection="1"/>
    <xf numFmtId="0" fontId="32" fillId="0" borderId="0" xfId="0" applyFont="1" applyBorder="1" applyProtection="1"/>
    <xf numFmtId="185" fontId="7" fillId="0" borderId="0" xfId="4" applyNumberFormat="1" applyFont="1" applyBorder="1" applyProtection="1"/>
    <xf numFmtId="0" fontId="72" fillId="0" borderId="0" xfId="0" applyFont="1" applyAlignment="1" applyProtection="1">
      <alignment horizontal="right" vertical="center"/>
    </xf>
    <xf numFmtId="0" fontId="56" fillId="0" borderId="0" xfId="0" applyFont="1" applyBorder="1" applyAlignment="1" applyProtection="1">
      <alignment horizontal="left"/>
    </xf>
    <xf numFmtId="179" fontId="30" fillId="0" borderId="0" xfId="0" quotePrefix="1" applyNumberFormat="1" applyFont="1" applyBorder="1" applyAlignment="1" applyProtection="1">
      <alignment horizontal="right"/>
    </xf>
    <xf numFmtId="0" fontId="30" fillId="0" borderId="0" xfId="0" quotePrefix="1" applyFont="1" applyBorder="1" applyAlignment="1" applyProtection="1">
      <alignment horizontal="right"/>
    </xf>
    <xf numFmtId="0" fontId="30" fillId="0" borderId="0" xfId="0" applyFont="1" applyBorder="1" applyAlignment="1" applyProtection="1">
      <alignment horizontal="left"/>
    </xf>
    <xf numFmtId="0" fontId="30" fillId="0" borderId="27" xfId="0" applyFont="1" applyBorder="1" applyProtection="1"/>
    <xf numFmtId="0" fontId="29" fillId="0" borderId="0" xfId="0" applyFont="1" applyProtection="1"/>
    <xf numFmtId="0" fontId="29" fillId="0" borderId="0" xfId="0" applyFont="1" applyAlignment="1" applyProtection="1">
      <alignment horizontal="left"/>
    </xf>
    <xf numFmtId="173" fontId="26" fillId="0" borderId="0" xfId="4" applyNumberFormat="1" applyFont="1" applyBorder="1" applyProtection="1"/>
    <xf numFmtId="173" fontId="79" fillId="0" borderId="0" xfId="4" applyNumberFormat="1" applyFont="1" applyBorder="1" applyProtection="1"/>
    <xf numFmtId="173" fontId="7" fillId="0" borderId="0" xfId="4" applyNumberFormat="1" applyFont="1" applyBorder="1" applyProtection="1"/>
    <xf numFmtId="37" fontId="7" fillId="0" borderId="0" xfId="0" applyNumberFormat="1" applyFont="1" applyProtection="1"/>
    <xf numFmtId="173" fontId="26" fillId="0" borderId="1" xfId="4" applyNumberFormat="1" applyFont="1" applyBorder="1" applyProtection="1"/>
    <xf numFmtId="173" fontId="79" fillId="0" borderId="1" xfId="4" applyNumberFormat="1" applyFont="1" applyBorder="1" applyProtection="1"/>
    <xf numFmtId="173" fontId="7" fillId="0" borderId="1" xfId="4" applyNumberFormat="1" applyFont="1" applyBorder="1" applyProtection="1"/>
    <xf numFmtId="0" fontId="38" fillId="0" borderId="0" xfId="0" applyFont="1" applyProtection="1"/>
    <xf numFmtId="173" fontId="17" fillId="0" borderId="0" xfId="4" applyNumberFormat="1" applyFont="1" applyBorder="1" applyProtection="1"/>
    <xf numFmtId="37" fontId="7" fillId="0" borderId="0" xfId="4" applyNumberFormat="1" applyFont="1" applyBorder="1" applyProtection="1"/>
    <xf numFmtId="39" fontId="26" fillId="0" borderId="0" xfId="4" applyNumberFormat="1" applyFont="1" applyBorder="1" applyProtection="1"/>
    <xf numFmtId="39" fontId="7" fillId="0" borderId="0" xfId="4" applyNumberFormat="1" applyFont="1" applyBorder="1" applyProtection="1"/>
    <xf numFmtId="37" fontId="17" fillId="0" borderId="0" xfId="4" applyNumberFormat="1" applyFont="1" applyBorder="1" applyProtection="1"/>
    <xf numFmtId="174" fontId="17" fillId="0" borderId="31" xfId="4" applyNumberFormat="1" applyFont="1" applyBorder="1" applyProtection="1"/>
    <xf numFmtId="0" fontId="17" fillId="0" borderId="22" xfId="0" applyFont="1" applyBorder="1" applyProtection="1"/>
    <xf numFmtId="0" fontId="38" fillId="0" borderId="22" xfId="0" applyFont="1" applyBorder="1" applyProtection="1"/>
    <xf numFmtId="37" fontId="17" fillId="0" borderId="22" xfId="4" applyNumberFormat="1" applyFont="1" applyBorder="1" applyProtection="1"/>
    <xf numFmtId="0" fontId="26" fillId="0" borderId="0" xfId="0" applyFont="1" applyProtection="1"/>
    <xf numFmtId="0" fontId="17" fillId="0" borderId="1" xfId="0" quotePrefix="1" applyFont="1" applyBorder="1" applyAlignment="1" applyProtection="1">
      <alignment horizontal="left"/>
    </xf>
    <xf numFmtId="0" fontId="17" fillId="0" borderId="1" xfId="0" applyFont="1" applyBorder="1" applyProtection="1"/>
    <xf numFmtId="0" fontId="38" fillId="0" borderId="1" xfId="0" applyFont="1" applyBorder="1" applyProtection="1"/>
    <xf numFmtId="37" fontId="17" fillId="0" borderId="1" xfId="4" applyNumberFormat="1" applyFont="1" applyBorder="1" applyProtection="1"/>
    <xf numFmtId="170" fontId="7" fillId="0" borderId="0" xfId="4" applyNumberFormat="1" applyFont="1" applyBorder="1" applyProtection="1"/>
    <xf numFmtId="0" fontId="30" fillId="0" borderId="24" xfId="0" quotePrefix="1" applyFont="1" applyBorder="1" applyAlignment="1" applyProtection="1">
      <alignment horizontal="right"/>
    </xf>
    <xf numFmtId="164" fontId="26" fillId="0" borderId="0" xfId="0" applyNumberFormat="1" applyFont="1" applyBorder="1" applyProtection="1"/>
    <xf numFmtId="0" fontId="30" fillId="0" borderId="25" xfId="0" applyFont="1" applyBorder="1" applyAlignment="1" applyProtection="1">
      <alignment horizontal="left"/>
    </xf>
    <xf numFmtId="0" fontId="66" fillId="0" borderId="27" xfId="0" applyFont="1" applyBorder="1" applyProtection="1"/>
    <xf numFmtId="173" fontId="32" fillId="0" borderId="27" xfId="4" applyNumberFormat="1" applyFont="1" applyBorder="1" applyAlignment="1" applyProtection="1">
      <alignment horizontal="right"/>
    </xf>
    <xf numFmtId="173" fontId="32" fillId="0" borderId="28" xfId="4" applyNumberFormat="1" applyFont="1" applyBorder="1" applyAlignment="1" applyProtection="1">
      <alignment horizontal="right"/>
    </xf>
    <xf numFmtId="0" fontId="17" fillId="0" borderId="0" xfId="0" applyFont="1" applyBorder="1" applyProtection="1"/>
    <xf numFmtId="173" fontId="7" fillId="0" borderId="0" xfId="4" applyNumberFormat="1" applyFont="1" applyBorder="1" applyAlignment="1" applyProtection="1">
      <alignment horizontal="right"/>
    </xf>
    <xf numFmtId="173" fontId="7" fillId="0" borderId="25" xfId="4" applyNumberFormat="1" applyFont="1" applyBorder="1" applyAlignment="1" applyProtection="1">
      <alignment horizontal="right"/>
    </xf>
    <xf numFmtId="173" fontId="7" fillId="0" borderId="1" xfId="4" applyNumberFormat="1" applyFont="1" applyBorder="1" applyAlignment="1" applyProtection="1">
      <alignment horizontal="right"/>
    </xf>
    <xf numFmtId="173" fontId="7" fillId="0" borderId="29" xfId="4" applyNumberFormat="1" applyFont="1" applyBorder="1" applyAlignment="1" applyProtection="1">
      <alignment horizontal="right"/>
    </xf>
    <xf numFmtId="173" fontId="17" fillId="0" borderId="0" xfId="4" applyNumberFormat="1" applyFont="1" applyBorder="1" applyAlignment="1" applyProtection="1">
      <alignment horizontal="right"/>
    </xf>
    <xf numFmtId="173" fontId="17" fillId="0" borderId="25" xfId="4" applyNumberFormat="1" applyFont="1" applyBorder="1" applyAlignment="1" applyProtection="1">
      <alignment horizontal="right"/>
    </xf>
    <xf numFmtId="37" fontId="30" fillId="0" borderId="0" xfId="0" applyNumberFormat="1" applyFont="1" applyBorder="1" applyProtection="1"/>
    <xf numFmtId="37" fontId="26" fillId="0" borderId="0" xfId="0" applyNumberFormat="1" applyFont="1" applyBorder="1" applyProtection="1"/>
    <xf numFmtId="37" fontId="7" fillId="0" borderId="0" xfId="0" applyNumberFormat="1" applyFont="1" applyBorder="1" applyProtection="1"/>
    <xf numFmtId="37" fontId="30" fillId="0" borderId="25" xfId="0" applyNumberFormat="1" applyFont="1" applyBorder="1" applyAlignment="1" applyProtection="1">
      <alignment horizontal="left"/>
    </xf>
    <xf numFmtId="37" fontId="7" fillId="0" borderId="25" xfId="4" applyNumberFormat="1" applyFont="1" applyBorder="1" applyAlignment="1" applyProtection="1">
      <alignment horizontal="right"/>
    </xf>
    <xf numFmtId="173" fontId="26" fillId="0" borderId="1" xfId="4" applyNumberFormat="1" applyFont="1" applyBorder="1" applyAlignment="1" applyProtection="1">
      <alignment horizontal="right"/>
    </xf>
    <xf numFmtId="173" fontId="79" fillId="0" borderId="1" xfId="4" applyNumberFormat="1" applyFont="1" applyBorder="1" applyAlignment="1" applyProtection="1">
      <alignment horizontal="right"/>
    </xf>
    <xf numFmtId="37" fontId="17" fillId="0" borderId="0" xfId="4" applyNumberFormat="1" applyFont="1" applyBorder="1" applyAlignment="1" applyProtection="1">
      <alignment horizontal="right"/>
    </xf>
    <xf numFmtId="173" fontId="17" fillId="0" borderId="25" xfId="4" applyNumberFormat="1" applyFont="1" applyBorder="1" applyProtection="1"/>
    <xf numFmtId="191" fontId="7" fillId="0" borderId="0" xfId="4" applyNumberFormat="1" applyFont="1" applyBorder="1" applyProtection="1"/>
    <xf numFmtId="37" fontId="7" fillId="0" borderId="25" xfId="4" applyNumberFormat="1" applyFont="1" applyBorder="1" applyProtection="1"/>
    <xf numFmtId="173" fontId="79" fillId="0" borderId="29" xfId="4" applyNumberFormat="1" applyFont="1" applyBorder="1" applyProtection="1"/>
    <xf numFmtId="173" fontId="17" fillId="0" borderId="24" xfId="4" applyNumberFormat="1" applyFont="1" applyBorder="1" applyProtection="1"/>
    <xf numFmtId="37" fontId="17" fillId="0" borderId="25" xfId="4" applyNumberFormat="1" applyFont="1" applyBorder="1" applyProtection="1"/>
    <xf numFmtId="0" fontId="7" fillId="0" borderId="0" xfId="0" applyFont="1" applyFill="1" applyAlignment="1" applyProtection="1">
      <alignment horizontal="left"/>
    </xf>
    <xf numFmtId="0" fontId="7" fillId="0" borderId="0" xfId="0" applyFont="1" applyFill="1" applyProtection="1"/>
    <xf numFmtId="173" fontId="26" fillId="0" borderId="1" xfId="4" applyNumberFormat="1" applyFont="1" applyFill="1" applyBorder="1" applyProtection="1"/>
    <xf numFmtId="173" fontId="7" fillId="0" borderId="1" xfId="4" applyNumberFormat="1" applyFont="1" applyFill="1" applyBorder="1" applyProtection="1"/>
    <xf numFmtId="173" fontId="26" fillId="0" borderId="29" xfId="4" applyNumberFormat="1" applyFont="1" applyFill="1" applyBorder="1" applyProtection="1"/>
    <xf numFmtId="173" fontId="7" fillId="0" borderId="24" xfId="4" applyNumberFormat="1" applyFont="1" applyBorder="1" applyProtection="1"/>
    <xf numFmtId="39" fontId="17" fillId="0" borderId="0" xfId="4" applyNumberFormat="1" applyFont="1" applyBorder="1" applyProtection="1"/>
    <xf numFmtId="170" fontId="7" fillId="0" borderId="25" xfId="4" applyNumberFormat="1" applyFont="1" applyBorder="1" applyAlignment="1" applyProtection="1">
      <alignment horizontal="left"/>
    </xf>
    <xf numFmtId="173" fontId="26" fillId="0" borderId="29" xfId="4" applyNumberFormat="1" applyFont="1" applyBorder="1" applyAlignment="1" applyProtection="1"/>
    <xf numFmtId="173" fontId="7" fillId="0" borderId="0" xfId="0" applyNumberFormat="1" applyFont="1" applyProtection="1"/>
    <xf numFmtId="173" fontId="7" fillId="0" borderId="25" xfId="0" applyNumberFormat="1" applyFont="1" applyBorder="1" applyProtection="1"/>
    <xf numFmtId="165" fontId="17" fillId="0" borderId="0" xfId="0" quotePrefix="1" applyNumberFormat="1" applyFont="1" applyBorder="1" applyAlignment="1" applyProtection="1">
      <alignment horizontal="left"/>
    </xf>
    <xf numFmtId="174" fontId="17" fillId="0" borderId="31" xfId="0" applyNumberFormat="1" applyFont="1" applyBorder="1" applyProtection="1"/>
    <xf numFmtId="174" fontId="17" fillId="0" borderId="32" xfId="0" applyNumberFormat="1" applyFont="1" applyBorder="1" applyProtection="1"/>
    <xf numFmtId="165" fontId="17" fillId="0" borderId="0" xfId="0" applyNumberFormat="1" applyFont="1" applyBorder="1" applyAlignment="1" applyProtection="1">
      <alignment horizontal="left"/>
    </xf>
    <xf numFmtId="174" fontId="17" fillId="0" borderId="25" xfId="0" applyNumberFormat="1" applyFont="1" applyBorder="1" applyProtection="1"/>
    <xf numFmtId="165" fontId="7" fillId="0" borderId="0" xfId="0" applyNumberFormat="1" applyFont="1" applyBorder="1" applyAlignment="1" applyProtection="1">
      <alignment horizontal="left"/>
    </xf>
    <xf numFmtId="173" fontId="26" fillId="0" borderId="0" xfId="4" applyNumberFormat="1" applyFont="1" applyFill="1" applyBorder="1" applyProtection="1"/>
    <xf numFmtId="173" fontId="7" fillId="0" borderId="0" xfId="4" applyNumberFormat="1" applyFont="1" applyFill="1" applyBorder="1" applyProtection="1"/>
    <xf numFmtId="173" fontId="7" fillId="0" borderId="25" xfId="4" applyNumberFormat="1" applyFont="1" applyFill="1" applyBorder="1" applyProtection="1"/>
    <xf numFmtId="166" fontId="17" fillId="0" borderId="0" xfId="0" applyNumberFormat="1" applyFont="1" applyBorder="1" applyProtection="1"/>
    <xf numFmtId="166" fontId="17" fillId="0" borderId="25" xfId="0" applyNumberFormat="1" applyFont="1" applyBorder="1" applyProtection="1"/>
    <xf numFmtId="168" fontId="7" fillId="0" borderId="0" xfId="4" applyNumberFormat="1" applyFont="1" applyBorder="1" applyProtection="1"/>
    <xf numFmtId="170" fontId="7" fillId="0" borderId="29" xfId="4" applyNumberFormat="1" applyFont="1" applyBorder="1" applyAlignment="1" applyProtection="1">
      <alignment horizontal="left"/>
    </xf>
    <xf numFmtId="0" fontId="17" fillId="0" borderId="7" xfId="0" applyFont="1" applyBorder="1" applyProtection="1"/>
    <xf numFmtId="0" fontId="32" fillId="0" borderId="8" xfId="0" applyFont="1" applyBorder="1" applyProtection="1"/>
    <xf numFmtId="170" fontId="7" fillId="0" borderId="8" xfId="4" applyNumberFormat="1" applyFont="1" applyBorder="1" applyProtection="1"/>
    <xf numFmtId="170" fontId="7" fillId="0" borderId="24" xfId="4" applyNumberFormat="1" applyFont="1" applyBorder="1" applyAlignment="1" applyProtection="1">
      <alignment horizontal="left"/>
    </xf>
    <xf numFmtId="201" fontId="25" fillId="0" borderId="0" xfId="0" applyNumberFormat="1" applyFont="1" applyBorder="1" applyProtection="1"/>
    <xf numFmtId="201" fontId="17" fillId="0" borderId="25" xfId="0" applyNumberFormat="1" applyFont="1" applyBorder="1" applyAlignment="1" applyProtection="1"/>
    <xf numFmtId="9" fontId="17" fillId="0" borderId="0" xfId="0" applyNumberFormat="1" applyFont="1" applyProtection="1"/>
    <xf numFmtId="0" fontId="32" fillId="0" borderId="0" xfId="0" quotePrefix="1" applyFont="1" applyBorder="1" applyProtection="1"/>
    <xf numFmtId="201" fontId="7" fillId="0" borderId="25" xfId="4" applyNumberFormat="1" applyFont="1" applyBorder="1" applyAlignment="1" applyProtection="1">
      <alignment horizontal="left"/>
    </xf>
    <xf numFmtId="0" fontId="32" fillId="0" borderId="1" xfId="0" quotePrefix="1" applyFont="1" applyBorder="1" applyProtection="1"/>
    <xf numFmtId="182" fontId="25" fillId="0" borderId="1" xfId="0" applyNumberFormat="1" applyFont="1" applyBorder="1" applyProtection="1"/>
    <xf numFmtId="201" fontId="25" fillId="0" borderId="1" xfId="0" applyNumberFormat="1" applyFont="1" applyBorder="1" applyProtection="1"/>
    <xf numFmtId="0" fontId="88" fillId="0" borderId="8" xfId="0" quotePrefix="1" applyFont="1" applyBorder="1" applyProtection="1"/>
    <xf numFmtId="182" fontId="25" fillId="0" borderId="0" xfId="0" applyNumberFormat="1" applyFont="1" applyBorder="1" applyProtection="1"/>
    <xf numFmtId="170" fontId="7" fillId="0" borderId="0" xfId="4" applyNumberFormat="1" applyFont="1" applyBorder="1" applyAlignment="1" applyProtection="1">
      <alignment horizontal="left"/>
    </xf>
    <xf numFmtId="0" fontId="32" fillId="0" borderId="0" xfId="0" quotePrefix="1" applyFont="1" applyProtection="1"/>
    <xf numFmtId="0" fontId="7" fillId="0" borderId="12" xfId="0" applyFont="1" applyBorder="1" applyAlignment="1" applyProtection="1">
      <alignment horizontal="centerContinuous"/>
    </xf>
    <xf numFmtId="0" fontId="25" fillId="0" borderId="0" xfId="0" quotePrefix="1" applyFont="1" applyProtection="1"/>
    <xf numFmtId="0" fontId="25" fillId="0" borderId="0" xfId="0" quotePrefix="1" applyFont="1" applyAlignment="1" applyProtection="1">
      <alignment horizontal="left"/>
    </xf>
    <xf numFmtId="179" fontId="30" fillId="0" borderId="0" xfId="0" applyNumberFormat="1" applyFont="1" applyAlignment="1" applyProtection="1">
      <alignment horizontal="right"/>
    </xf>
    <xf numFmtId="0" fontId="30" fillId="0" borderId="0" xfId="0" applyFont="1" applyAlignment="1" applyProtection="1">
      <alignment horizontal="right"/>
    </xf>
    <xf numFmtId="37" fontId="7" fillId="0" borderId="0" xfId="4" applyNumberFormat="1" applyFont="1" applyProtection="1"/>
    <xf numFmtId="173" fontId="7" fillId="0" borderId="0" xfId="4" applyNumberFormat="1" applyFont="1" applyProtection="1"/>
    <xf numFmtId="37" fontId="7" fillId="0" borderId="0" xfId="4" applyNumberFormat="1" applyFont="1" applyBorder="1" applyAlignment="1" applyProtection="1">
      <alignment horizontal="left"/>
    </xf>
    <xf numFmtId="37" fontId="7" fillId="0" borderId="0" xfId="4" applyNumberFormat="1" applyFont="1" applyFill="1" applyProtection="1"/>
    <xf numFmtId="173" fontId="7" fillId="0" borderId="0" xfId="4" applyNumberFormat="1" applyFont="1" applyFill="1" applyProtection="1"/>
    <xf numFmtId="37" fontId="7" fillId="0" borderId="0" xfId="4" applyNumberFormat="1" applyFont="1" applyFill="1" applyBorder="1" applyAlignment="1" applyProtection="1">
      <alignment horizontal="left"/>
    </xf>
    <xf numFmtId="37" fontId="26" fillId="0" borderId="0" xfId="4" applyNumberFormat="1" applyFont="1" applyBorder="1" applyProtection="1"/>
    <xf numFmtId="37" fontId="26" fillId="0" borderId="0" xfId="4" applyNumberFormat="1" applyFont="1" applyBorder="1" applyAlignment="1" applyProtection="1">
      <alignment horizontal="left"/>
    </xf>
    <xf numFmtId="173" fontId="17" fillId="0" borderId="0" xfId="4" applyNumberFormat="1" applyFont="1" applyProtection="1"/>
    <xf numFmtId="37" fontId="17" fillId="0" borderId="0" xfId="4" applyNumberFormat="1" applyFont="1" applyBorder="1" applyAlignment="1" applyProtection="1">
      <alignment horizontal="left"/>
    </xf>
    <xf numFmtId="169" fontId="7" fillId="0" borderId="0" xfId="4" applyNumberFormat="1" applyFont="1" applyBorder="1" applyAlignment="1" applyProtection="1">
      <alignment horizontal="left"/>
    </xf>
    <xf numFmtId="170" fontId="7" fillId="0" borderId="0" xfId="4" applyNumberFormat="1" applyFont="1" applyFill="1" applyBorder="1" applyProtection="1"/>
    <xf numFmtId="37" fontId="26" fillId="0" borderId="0" xfId="4" applyNumberFormat="1" applyFont="1" applyFill="1" applyProtection="1"/>
    <xf numFmtId="37" fontId="79" fillId="0" borderId="0" xfId="4" applyNumberFormat="1" applyFont="1" applyBorder="1" applyAlignment="1" applyProtection="1">
      <alignment horizontal="left"/>
    </xf>
    <xf numFmtId="173" fontId="17" fillId="0" borderId="8" xfId="4" applyNumberFormat="1" applyFont="1" applyBorder="1" applyProtection="1"/>
    <xf numFmtId="164" fontId="17" fillId="0" borderId="0" xfId="4" applyNumberFormat="1" applyFont="1" applyBorder="1" applyAlignment="1" applyProtection="1">
      <alignment horizontal="left"/>
    </xf>
    <xf numFmtId="164" fontId="17" fillId="0" borderId="0" xfId="4" applyNumberFormat="1" applyFont="1" applyProtection="1"/>
    <xf numFmtId="193" fontId="17" fillId="0" borderId="0" xfId="4" applyNumberFormat="1" applyFont="1" applyProtection="1"/>
    <xf numFmtId="164" fontId="55" fillId="0" borderId="0" xfId="4" applyNumberFormat="1" applyFont="1" applyProtection="1"/>
    <xf numFmtId="164" fontId="55" fillId="0" borderId="0" xfId="4" applyNumberFormat="1" applyFont="1" applyBorder="1" applyAlignment="1" applyProtection="1">
      <alignment horizontal="left"/>
    </xf>
    <xf numFmtId="37" fontId="17" fillId="0" borderId="0" xfId="4" applyNumberFormat="1" applyFont="1" applyProtection="1"/>
    <xf numFmtId="175" fontId="17" fillId="0" borderId="0" xfId="4" applyNumberFormat="1" applyFont="1" applyProtection="1"/>
    <xf numFmtId="175" fontId="17" fillId="0" borderId="0" xfId="4" applyNumberFormat="1" applyFont="1" applyBorder="1" applyAlignment="1" applyProtection="1">
      <alignment horizontal="left"/>
    </xf>
    <xf numFmtId="0" fontId="7" fillId="0" borderId="7" xfId="0" applyFont="1" applyBorder="1" applyProtection="1"/>
    <xf numFmtId="0" fontId="17" fillId="0" borderId="8" xfId="0" quotePrefix="1" applyFont="1" applyBorder="1" applyAlignment="1" applyProtection="1">
      <alignment horizontal="left"/>
    </xf>
    <xf numFmtId="37" fontId="17" fillId="0" borderId="8" xfId="4" applyNumberFormat="1" applyFont="1" applyBorder="1" applyProtection="1"/>
    <xf numFmtId="37" fontId="7" fillId="0" borderId="8" xfId="4" applyNumberFormat="1" applyFont="1" applyBorder="1" applyProtection="1"/>
    <xf numFmtId="173" fontId="7" fillId="0" borderId="8" xfId="4" applyNumberFormat="1" applyFont="1" applyBorder="1" applyProtection="1"/>
    <xf numFmtId="173" fontId="7" fillId="0" borderId="9" xfId="4" applyNumberFormat="1" applyFont="1" applyBorder="1" applyProtection="1"/>
    <xf numFmtId="0" fontId="17" fillId="0" borderId="0" xfId="0" quotePrefix="1" applyFont="1" applyBorder="1" applyAlignment="1" applyProtection="1">
      <alignment horizontal="left"/>
    </xf>
    <xf numFmtId="173" fontId="65" fillId="0" borderId="0" xfId="4" applyNumberFormat="1" applyFont="1" applyBorder="1" applyProtection="1"/>
    <xf numFmtId="173" fontId="65" fillId="0" borderId="6" xfId="4" applyNumberFormat="1" applyFont="1" applyBorder="1" applyProtection="1"/>
    <xf numFmtId="0" fontId="7" fillId="0" borderId="10" xfId="0" applyFont="1" applyBorder="1" applyAlignment="1" applyProtection="1">
      <alignment horizontal="left"/>
    </xf>
    <xf numFmtId="37" fontId="7" fillId="0" borderId="1" xfId="4" applyNumberFormat="1" applyFont="1" applyBorder="1" applyProtection="1"/>
    <xf numFmtId="173" fontId="7" fillId="0" borderId="11" xfId="4" applyNumberFormat="1" applyFont="1" applyBorder="1" applyProtection="1"/>
    <xf numFmtId="0" fontId="29" fillId="0" borderId="0" xfId="0" applyFont="1" applyBorder="1" applyAlignment="1" applyProtection="1">
      <alignment horizontal="centerContinuous"/>
    </xf>
    <xf numFmtId="0" fontId="25" fillId="0" borderId="0" xfId="0" applyFont="1" applyAlignment="1" applyProtection="1">
      <alignment horizontal="left"/>
    </xf>
    <xf numFmtId="0" fontId="30" fillId="0" borderId="0" xfId="0" applyFont="1" applyBorder="1" applyAlignment="1" applyProtection="1">
      <alignment horizontal="right"/>
    </xf>
    <xf numFmtId="173" fontId="26" fillId="0" borderId="0" xfId="4" applyNumberFormat="1" applyFont="1" applyProtection="1"/>
    <xf numFmtId="175" fontId="7" fillId="0" borderId="0" xfId="4" applyNumberFormat="1" applyFont="1" applyProtection="1"/>
    <xf numFmtId="164" fontId="17" fillId="0" borderId="0" xfId="4" applyNumberFormat="1" applyFont="1" applyBorder="1" applyProtection="1"/>
    <xf numFmtId="175" fontId="64" fillId="0" borderId="0" xfId="4" applyNumberFormat="1" applyFont="1" applyBorder="1" applyProtection="1"/>
    <xf numFmtId="169" fontId="7" fillId="0" borderId="0" xfId="4" applyNumberFormat="1" applyFont="1" applyBorder="1" applyProtection="1"/>
    <xf numFmtId="0" fontId="25" fillId="0" borderId="0" xfId="0" applyFont="1" applyProtection="1"/>
    <xf numFmtId="178" fontId="25" fillId="0" borderId="0" xfId="4" applyNumberFormat="1" applyFont="1" applyBorder="1" applyProtection="1"/>
    <xf numFmtId="178" fontId="25" fillId="0" borderId="0" xfId="4" applyNumberFormat="1" applyFont="1" applyProtection="1"/>
    <xf numFmtId="0" fontId="25" fillId="0" borderId="1" xfId="0" quotePrefix="1" applyFont="1" applyBorder="1" applyAlignment="1" applyProtection="1">
      <alignment horizontal="left"/>
    </xf>
    <xf numFmtId="178" fontId="7" fillId="0" borderId="1" xfId="0" applyNumberFormat="1" applyFont="1" applyBorder="1" applyProtection="1"/>
    <xf numFmtId="0" fontId="11" fillId="0" borderId="0" xfId="0" applyFont="1" applyAlignment="1" applyProtection="1">
      <alignment horizontal="centerContinuous"/>
    </xf>
    <xf numFmtId="0" fontId="38" fillId="0" borderId="0" xfId="0" applyFont="1" applyAlignment="1" applyProtection="1">
      <alignment horizontal="centerContinuous"/>
    </xf>
    <xf numFmtId="0" fontId="32" fillId="0" borderId="12" xfId="0" applyFont="1" applyBorder="1" applyProtection="1"/>
    <xf numFmtId="0" fontId="17" fillId="0" borderId="1" xfId="0" applyFont="1" applyBorder="1" applyAlignment="1" applyProtection="1">
      <alignment horizontal="centerContinuous"/>
    </xf>
    <xf numFmtId="0" fontId="38" fillId="0" borderId="0" xfId="0" applyFont="1" applyBorder="1" applyProtection="1"/>
    <xf numFmtId="0" fontId="60" fillId="0" borderId="0" xfId="0" applyFont="1" applyBorder="1" applyAlignment="1" applyProtection="1">
      <alignment horizontal="right"/>
    </xf>
    <xf numFmtId="0" fontId="30" fillId="0" borderId="8" xfId="0" quotePrefix="1" applyFont="1" applyBorder="1" applyAlignment="1" applyProtection="1">
      <alignment horizontal="right"/>
    </xf>
    <xf numFmtId="0" fontId="36" fillId="0" borderId="0" xfId="0" applyNumberFormat="1" applyFont="1" applyProtection="1"/>
    <xf numFmtId="0" fontId="36" fillId="0" borderId="7" xfId="0" applyNumberFormat="1" applyFont="1" applyBorder="1" applyAlignment="1" applyProtection="1">
      <alignment horizontal="left" vertical="center"/>
    </xf>
    <xf numFmtId="185" fontId="79" fillId="0" borderId="9" xfId="0" applyNumberFormat="1" applyFont="1" applyBorder="1" applyAlignment="1" applyProtection="1">
      <alignment vertical="center"/>
    </xf>
    <xf numFmtId="0" fontId="7" fillId="0" borderId="0" xfId="0" applyNumberFormat="1" applyFont="1" applyBorder="1" applyProtection="1"/>
    <xf numFmtId="0" fontId="7" fillId="0" borderId="0" xfId="0" applyNumberFormat="1" applyFont="1" applyProtection="1"/>
    <xf numFmtId="192" fontId="27" fillId="0" borderId="0" xfId="0" applyNumberFormat="1" applyFont="1" applyProtection="1"/>
    <xf numFmtId="37" fontId="36" fillId="0" borderId="0" xfId="0" applyNumberFormat="1" applyFont="1" applyProtection="1"/>
    <xf numFmtId="0" fontId="52" fillId="0" borderId="0" xfId="0" applyNumberFormat="1" applyFont="1" applyProtection="1"/>
    <xf numFmtId="0" fontId="36" fillId="0" borderId="10" xfId="0" applyNumberFormat="1" applyFont="1" applyBorder="1" applyAlignment="1" applyProtection="1">
      <alignment horizontal="left" vertical="center"/>
    </xf>
    <xf numFmtId="0" fontId="7" fillId="0" borderId="1" xfId="0" applyNumberFormat="1" applyFont="1" applyBorder="1" applyProtection="1"/>
    <xf numFmtId="0" fontId="36" fillId="0" borderId="1" xfId="0" quotePrefix="1" applyNumberFormat="1" applyFont="1" applyBorder="1" applyAlignment="1" applyProtection="1">
      <alignment horizontal="left" vertical="center"/>
    </xf>
    <xf numFmtId="0" fontId="36" fillId="0" borderId="1" xfId="0" applyNumberFormat="1" applyFont="1" applyBorder="1" applyAlignment="1" applyProtection="1">
      <alignment vertical="center"/>
    </xf>
    <xf numFmtId="185" fontId="79" fillId="0" borderId="11" xfId="0" applyNumberFormat="1" applyFont="1" applyBorder="1" applyAlignment="1" applyProtection="1">
      <alignment vertical="center"/>
    </xf>
    <xf numFmtId="200" fontId="7" fillId="0" borderId="0" xfId="0" applyNumberFormat="1" applyFont="1" applyProtection="1"/>
    <xf numFmtId="174" fontId="26" fillId="0" borderId="0" xfId="0" applyNumberFormat="1" applyFont="1" applyProtection="1"/>
    <xf numFmtId="174" fontId="7" fillId="0" borderId="0" xfId="0" applyNumberFormat="1" applyFont="1" applyProtection="1"/>
    <xf numFmtId="0" fontId="57" fillId="0" borderId="0" xfId="0" applyNumberFormat="1" applyFont="1" applyAlignment="1" applyProtection="1">
      <alignment horizontal="right"/>
    </xf>
    <xf numFmtId="185" fontId="7" fillId="0" borderId="0" xfId="0" applyNumberFormat="1" applyFont="1" applyProtection="1"/>
    <xf numFmtId="174" fontId="7" fillId="0" borderId="24" xfId="0" applyNumberFormat="1" applyFont="1" applyFill="1" applyBorder="1" applyProtection="1"/>
    <xf numFmtId="174" fontId="7" fillId="0" borderId="5" xfId="0" applyNumberFormat="1" applyFont="1" applyFill="1" applyBorder="1" applyProtection="1"/>
    <xf numFmtId="37" fontId="36" fillId="0" borderId="0" xfId="0" applyNumberFormat="1" applyFont="1" applyBorder="1" applyProtection="1"/>
    <xf numFmtId="173" fontId="36" fillId="0" borderId="0" xfId="0" applyNumberFormat="1" applyFont="1" applyProtection="1"/>
    <xf numFmtId="174" fontId="7" fillId="0" borderId="25" xfId="0" applyNumberFormat="1" applyFont="1" applyFill="1" applyBorder="1" applyProtection="1"/>
    <xf numFmtId="174" fontId="7" fillId="0" borderId="29" xfId="0" applyNumberFormat="1" applyFont="1" applyFill="1" applyBorder="1" applyProtection="1"/>
    <xf numFmtId="0" fontId="33" fillId="0" borderId="0" xfId="0" applyNumberFormat="1" applyFont="1" applyAlignment="1" applyProtection="1">
      <alignment vertical="center"/>
    </xf>
    <xf numFmtId="174" fontId="17" fillId="0" borderId="31" xfId="0" applyNumberFormat="1" applyFont="1" applyBorder="1" applyAlignment="1" applyProtection="1">
      <alignment vertical="center"/>
    </xf>
    <xf numFmtId="174" fontId="31" fillId="0" borderId="0" xfId="0" applyNumberFormat="1" applyFont="1" applyBorder="1" applyProtection="1"/>
    <xf numFmtId="0" fontId="57" fillId="0" borderId="0" xfId="0" applyNumberFormat="1" applyFont="1" applyProtection="1"/>
    <xf numFmtId="0" fontId="17" fillId="0" borderId="13" xfId="0" applyFont="1" applyBorder="1" applyProtection="1"/>
    <xf numFmtId="0" fontId="7" fillId="0" borderId="14" xfId="0" applyFont="1" applyBorder="1" applyProtection="1"/>
    <xf numFmtId="171" fontId="81" fillId="0" borderId="15" xfId="0" applyNumberFormat="1" applyFont="1" applyBorder="1" applyProtection="1"/>
    <xf numFmtId="0" fontId="30" fillId="0" borderId="0" xfId="0" quotePrefix="1" applyFont="1" applyAlignment="1" applyProtection="1">
      <alignment horizontal="right"/>
    </xf>
    <xf numFmtId="37" fontId="46" fillId="0" borderId="0" xfId="0" applyNumberFormat="1" applyFont="1" applyProtection="1"/>
    <xf numFmtId="174" fontId="33" fillId="0" borderId="0" xfId="0" applyNumberFormat="1" applyFont="1" applyProtection="1"/>
    <xf numFmtId="37" fontId="34" fillId="0" borderId="0" xfId="0" applyNumberFormat="1" applyFont="1" applyProtection="1"/>
    <xf numFmtId="37" fontId="26" fillId="0" borderId="0" xfId="0" applyNumberFormat="1" applyFont="1" applyProtection="1"/>
    <xf numFmtId="173" fontId="36" fillId="0" borderId="1" xfId="0" applyNumberFormat="1" applyFont="1" applyBorder="1" applyProtection="1"/>
    <xf numFmtId="37" fontId="37" fillId="0" borderId="0" xfId="0" applyNumberFormat="1" applyFont="1" applyProtection="1"/>
    <xf numFmtId="37" fontId="31" fillId="0" borderId="0" xfId="0" applyNumberFormat="1" applyFont="1" applyProtection="1"/>
    <xf numFmtId="37" fontId="33" fillId="0" borderId="0" xfId="0" applyNumberFormat="1" applyFont="1" applyProtection="1"/>
    <xf numFmtId="173" fontId="33" fillId="0" borderId="0" xfId="0" applyNumberFormat="1" applyFont="1" applyProtection="1"/>
    <xf numFmtId="173" fontId="79" fillId="0" borderId="0" xfId="0" applyNumberFormat="1" applyFont="1" applyProtection="1"/>
    <xf numFmtId="173" fontId="36" fillId="0" borderId="0" xfId="0" applyNumberFormat="1" applyFont="1" applyBorder="1" applyProtection="1"/>
    <xf numFmtId="171" fontId="79" fillId="0" borderId="0" xfId="0" applyNumberFormat="1" applyFont="1" applyBorder="1" applyProtection="1"/>
    <xf numFmtId="37" fontId="34" fillId="0" borderId="8" xfId="0" applyNumberFormat="1" applyFont="1" applyBorder="1" applyProtection="1"/>
    <xf numFmtId="37" fontId="26" fillId="0" borderId="8" xfId="0" applyNumberFormat="1" applyFont="1" applyBorder="1" applyProtection="1"/>
    <xf numFmtId="37" fontId="26" fillId="0" borderId="9" xfId="0" applyNumberFormat="1" applyFont="1" applyBorder="1" applyProtection="1"/>
    <xf numFmtId="37" fontId="31" fillId="0" borderId="0" xfId="0" applyNumberFormat="1" applyFont="1" applyFill="1" applyBorder="1" applyProtection="1"/>
    <xf numFmtId="37" fontId="36" fillId="0" borderId="0" xfId="0" applyNumberFormat="1" applyFont="1" applyFill="1" applyBorder="1" applyProtection="1"/>
    <xf numFmtId="173" fontId="36" fillId="0" borderId="6" xfId="0" applyNumberFormat="1" applyFont="1" applyBorder="1" applyProtection="1"/>
    <xf numFmtId="173" fontId="36" fillId="0" borderId="11" xfId="0" applyNumberFormat="1" applyFont="1" applyBorder="1" applyProtection="1"/>
    <xf numFmtId="0" fontId="17" fillId="0" borderId="10" xfId="0" applyFont="1" applyBorder="1" applyProtection="1"/>
    <xf numFmtId="37" fontId="37" fillId="0" borderId="1" xfId="0" applyNumberFormat="1" applyFont="1" applyBorder="1" applyProtection="1"/>
    <xf numFmtId="37" fontId="31" fillId="0" borderId="1" xfId="0" applyNumberFormat="1" applyFont="1" applyBorder="1" applyProtection="1"/>
    <xf numFmtId="37" fontId="33" fillId="0" borderId="1" xfId="0" applyNumberFormat="1" applyFont="1" applyBorder="1" applyProtection="1"/>
    <xf numFmtId="173" fontId="33" fillId="0" borderId="1" xfId="0" applyNumberFormat="1" applyFont="1" applyBorder="1" applyProtection="1"/>
    <xf numFmtId="173" fontId="33" fillId="0" borderId="11" xfId="0" applyNumberFormat="1" applyFont="1" applyBorder="1" applyProtection="1"/>
    <xf numFmtId="37" fontId="57" fillId="0" borderId="0" xfId="0" applyNumberFormat="1" applyFont="1" applyProtection="1"/>
    <xf numFmtId="171" fontId="79" fillId="0" borderId="4" xfId="0" applyNumberFormat="1" applyFont="1" applyBorder="1" applyProtection="1"/>
    <xf numFmtId="37" fontId="7" fillId="0" borderId="0" xfId="0" quotePrefix="1" applyNumberFormat="1" applyFont="1" applyBorder="1" applyAlignment="1" applyProtection="1">
      <alignment horizontal="right"/>
    </xf>
    <xf numFmtId="173" fontId="79" fillId="0" borderId="0" xfId="0" quotePrefix="1" applyNumberFormat="1" applyFont="1" applyBorder="1" applyAlignment="1" applyProtection="1">
      <alignment horizontal="right"/>
    </xf>
    <xf numFmtId="173" fontId="7" fillId="0" borderId="0" xfId="0" quotePrefix="1" applyNumberFormat="1" applyFont="1" applyBorder="1" applyAlignment="1" applyProtection="1">
      <alignment horizontal="right"/>
    </xf>
    <xf numFmtId="37" fontId="36" fillId="0" borderId="0" xfId="0" quotePrefix="1" applyNumberFormat="1" applyFont="1" applyAlignment="1" applyProtection="1">
      <alignment horizontal="left"/>
    </xf>
    <xf numFmtId="37" fontId="17" fillId="0" borderId="0" xfId="0" applyNumberFormat="1" applyFont="1" applyProtection="1"/>
    <xf numFmtId="0" fontId="55" fillId="0" borderId="0" xfId="0" applyFont="1" applyProtection="1"/>
    <xf numFmtId="37" fontId="34" fillId="0" borderId="1" xfId="0" applyNumberFormat="1" applyFont="1" applyBorder="1" applyProtection="1"/>
    <xf numFmtId="37" fontId="26" fillId="0" borderId="1" xfId="0" applyNumberFormat="1" applyFont="1" applyBorder="1" applyProtection="1"/>
    <xf numFmtId="185" fontId="7" fillId="0" borderId="27" xfId="0" applyNumberFormat="1" applyFont="1" applyBorder="1" applyProtection="1"/>
    <xf numFmtId="185" fontId="7" fillId="0" borderId="33" xfId="0" applyNumberFormat="1" applyFont="1" applyBorder="1" applyProtection="1"/>
    <xf numFmtId="168" fontId="36" fillId="0" borderId="0" xfId="4" applyFont="1" applyProtection="1"/>
    <xf numFmtId="185" fontId="26" fillId="0" borderId="0" xfId="4" applyNumberFormat="1" applyFont="1" applyProtection="1"/>
    <xf numFmtId="176" fontId="79" fillId="0" borderId="0" xfId="4" applyNumberFormat="1" applyFont="1" applyProtection="1"/>
    <xf numFmtId="185" fontId="7" fillId="0" borderId="0" xfId="4" applyNumberFormat="1" applyFont="1" applyProtection="1"/>
    <xf numFmtId="176" fontId="7" fillId="0" borderId="1" xfId="4" applyNumberFormat="1" applyFont="1" applyBorder="1" applyProtection="1"/>
    <xf numFmtId="176" fontId="17" fillId="0" borderId="0" xfId="0" applyNumberFormat="1" applyFont="1" applyProtection="1"/>
    <xf numFmtId="174" fontId="17" fillId="0" borderId="0" xfId="4" applyNumberFormat="1" applyFont="1" applyBorder="1" applyProtection="1"/>
    <xf numFmtId="179" fontId="30" fillId="0" borderId="0" xfId="0" quotePrefix="1" applyNumberFormat="1" applyFont="1" applyAlignment="1" applyProtection="1">
      <alignment horizontal="right"/>
    </xf>
    <xf numFmtId="199" fontId="7" fillId="0" borderId="0" xfId="0" applyNumberFormat="1" applyFont="1" applyProtection="1"/>
    <xf numFmtId="173" fontId="7" fillId="0" borderId="1" xfId="0" applyNumberFormat="1" applyFont="1" applyBorder="1" applyProtection="1"/>
    <xf numFmtId="164" fontId="7" fillId="0" borderId="0" xfId="0" applyNumberFormat="1" applyFont="1" applyBorder="1" applyProtection="1"/>
    <xf numFmtId="174" fontId="7" fillId="0" borderId="0" xfId="0" applyNumberFormat="1" applyFont="1" applyBorder="1" applyProtection="1"/>
    <xf numFmtId="186" fontId="79" fillId="0" borderId="1" xfId="0" applyNumberFormat="1" applyFont="1" applyBorder="1" applyProtection="1"/>
    <xf numFmtId="186" fontId="7" fillId="0" borderId="1" xfId="0" applyNumberFormat="1" applyFont="1" applyBorder="1" applyProtection="1"/>
    <xf numFmtId="174" fontId="17" fillId="0" borderId="14" xfId="0" applyNumberFormat="1" applyFont="1" applyBorder="1" applyProtection="1"/>
    <xf numFmtId="164" fontId="17" fillId="0" borderId="0" xfId="0" applyNumberFormat="1" applyFont="1" applyBorder="1" applyProtection="1"/>
    <xf numFmtId="164" fontId="17" fillId="0" borderId="0" xfId="0" applyNumberFormat="1" applyFont="1" applyFill="1" applyBorder="1" applyProtection="1"/>
    <xf numFmtId="186" fontId="79" fillId="0" borderId="0" xfId="0" applyNumberFormat="1" applyFont="1" applyProtection="1"/>
    <xf numFmtId="173" fontId="79" fillId="0" borderId="1" xfId="0" applyNumberFormat="1" applyFont="1" applyBorder="1" applyProtection="1"/>
    <xf numFmtId="166" fontId="79" fillId="0" borderId="0" xfId="0" applyNumberFormat="1" applyFont="1" applyProtection="1"/>
    <xf numFmtId="166" fontId="7" fillId="0" borderId="0" xfId="0" applyNumberFormat="1" applyFont="1" applyProtection="1"/>
    <xf numFmtId="0" fontId="32" fillId="0" borderId="0" xfId="0" applyFont="1" applyFill="1" applyBorder="1" applyProtection="1"/>
    <xf numFmtId="173" fontId="7" fillId="0" borderId="0" xfId="0" applyNumberFormat="1" applyFont="1" applyFill="1" applyBorder="1" applyProtection="1"/>
    <xf numFmtId="173" fontId="7" fillId="0" borderId="1" xfId="0" applyNumberFormat="1" applyFont="1" applyFill="1" applyBorder="1" applyProtection="1"/>
    <xf numFmtId="173" fontId="17" fillId="0" borderId="0" xfId="0" applyNumberFormat="1" applyFont="1" applyFill="1" applyBorder="1" applyProtection="1"/>
    <xf numFmtId="173" fontId="17" fillId="0" borderId="14" xfId="0" applyNumberFormat="1" applyFont="1" applyBorder="1" applyProtection="1"/>
    <xf numFmtId="0" fontId="17" fillId="0" borderId="7" xfId="0" applyFont="1" applyBorder="1" applyAlignment="1" applyProtection="1">
      <alignment vertical="center"/>
    </xf>
    <xf numFmtId="0" fontId="7" fillId="0" borderId="8" xfId="0" applyFont="1" applyBorder="1" applyAlignment="1" applyProtection="1">
      <alignment vertical="center"/>
    </xf>
    <xf numFmtId="0" fontId="32" fillId="0" borderId="8" xfId="0" applyFont="1" applyBorder="1" applyAlignment="1" applyProtection="1">
      <alignment vertical="center"/>
    </xf>
    <xf numFmtId="0" fontId="7" fillId="0" borderId="9" xfId="0" applyFont="1" applyBorder="1" applyProtection="1"/>
    <xf numFmtId="0" fontId="7" fillId="0" borderId="5" xfId="0" applyFont="1" applyBorder="1" applyAlignment="1" applyProtection="1">
      <alignment vertical="center"/>
    </xf>
    <xf numFmtId="0" fontId="66" fillId="0" borderId="0" xfId="0" applyFont="1" applyBorder="1" applyAlignment="1" applyProtection="1">
      <alignment vertical="center"/>
    </xf>
    <xf numFmtId="174" fontId="7" fillId="0" borderId="6" xfId="0" applyNumberFormat="1" applyFont="1" applyBorder="1" applyProtection="1"/>
    <xf numFmtId="173" fontId="7" fillId="0" borderId="0" xfId="0" applyNumberFormat="1" applyFont="1" applyBorder="1" applyProtection="1"/>
    <xf numFmtId="173" fontId="7" fillId="0" borderId="6" xfId="0" applyNumberFormat="1" applyFont="1" applyBorder="1" applyProtection="1"/>
    <xf numFmtId="0" fontId="7" fillId="0" borderId="10" xfId="0" applyFont="1" applyBorder="1" applyAlignment="1" applyProtection="1">
      <alignment vertical="center"/>
    </xf>
    <xf numFmtId="0" fontId="66" fillId="0" borderId="1" xfId="0" applyFont="1" applyBorder="1" applyAlignment="1" applyProtection="1">
      <alignment vertical="center"/>
    </xf>
    <xf numFmtId="173" fontId="7" fillId="0" borderId="11" xfId="0" applyNumberFormat="1" applyFont="1" applyBorder="1" applyProtection="1"/>
    <xf numFmtId="0" fontId="17" fillId="0" borderId="13" xfId="0" applyFont="1" applyBorder="1" applyAlignment="1" applyProtection="1">
      <alignment vertical="center"/>
    </xf>
    <xf numFmtId="195" fontId="81" fillId="0" borderId="15" xfId="0" applyNumberFormat="1" applyFont="1" applyBorder="1" applyAlignment="1" applyProtection="1">
      <alignment vertical="center"/>
    </xf>
    <xf numFmtId="198" fontId="7" fillId="0" borderId="0" xfId="0" applyNumberFormat="1" applyFont="1" applyBorder="1" applyAlignment="1" applyProtection="1">
      <alignment vertical="center"/>
    </xf>
    <xf numFmtId="0" fontId="25" fillId="0" borderId="0" xfId="0" applyFont="1" applyAlignment="1" applyProtection="1">
      <alignment vertical="center"/>
    </xf>
    <xf numFmtId="0" fontId="32" fillId="0" borderId="0" xfId="0" applyFont="1" applyAlignment="1" applyProtection="1">
      <alignment vertical="center"/>
    </xf>
    <xf numFmtId="174" fontId="25" fillId="0" borderId="0" xfId="0" applyNumberFormat="1" applyFont="1" applyBorder="1" applyAlignment="1" applyProtection="1">
      <alignment vertical="center"/>
    </xf>
    <xf numFmtId="196" fontId="81" fillId="0" borderId="15" xfId="0" applyNumberFormat="1" applyFont="1" applyBorder="1" applyAlignment="1" applyProtection="1">
      <alignment vertical="center"/>
    </xf>
    <xf numFmtId="197" fontId="81" fillId="0" borderId="15" xfId="0" applyNumberFormat="1" applyFont="1" applyBorder="1" applyAlignment="1" applyProtection="1">
      <alignment vertical="center"/>
    </xf>
    <xf numFmtId="186" fontId="7" fillId="0" borderId="0" xfId="0" applyNumberFormat="1" applyFont="1" applyAlignment="1" applyProtection="1">
      <alignment vertical="center"/>
    </xf>
    <xf numFmtId="194" fontId="30" fillId="0" borderId="0" xfId="0" quotePrefix="1" applyNumberFormat="1" applyFont="1" applyBorder="1" applyAlignment="1" applyProtection="1">
      <alignment horizontal="right"/>
    </xf>
    <xf numFmtId="173" fontId="7" fillId="0" borderId="25" xfId="4" applyNumberFormat="1" applyFont="1" applyBorder="1" applyProtection="1"/>
    <xf numFmtId="173" fontId="84" fillId="0" borderId="25" xfId="4" applyNumberFormat="1" applyFont="1" applyBorder="1" applyProtection="1"/>
    <xf numFmtId="173" fontId="26" fillId="0" borderId="25" xfId="4" applyNumberFormat="1" applyFont="1" applyBorder="1" applyProtection="1"/>
    <xf numFmtId="174" fontId="17" fillId="0" borderId="32" xfId="4" applyNumberFormat="1" applyFont="1" applyBorder="1" applyProtection="1"/>
    <xf numFmtId="174" fontId="17" fillId="0" borderId="34" xfId="4" applyNumberFormat="1" applyFont="1" applyBorder="1" applyProtection="1"/>
    <xf numFmtId="174" fontId="17" fillId="0" borderId="25" xfId="4" applyNumberFormat="1" applyFont="1" applyBorder="1" applyProtection="1"/>
    <xf numFmtId="0" fontId="0" fillId="0" borderId="25" xfId="0" applyBorder="1" applyProtection="1"/>
    <xf numFmtId="173" fontId="17" fillId="0" borderId="31" xfId="4" applyNumberFormat="1" applyFont="1" applyBorder="1" applyProtection="1"/>
    <xf numFmtId="173" fontId="17" fillId="0" borderId="32" xfId="4" applyNumberFormat="1" applyFont="1" applyBorder="1" applyProtection="1"/>
    <xf numFmtId="175" fontId="25" fillId="0" borderId="0" xfId="0" applyNumberFormat="1" applyFont="1" applyProtection="1"/>
    <xf numFmtId="175" fontId="25" fillId="0" borderId="25" xfId="0" applyNumberFormat="1" applyFont="1" applyBorder="1" applyProtection="1"/>
    <xf numFmtId="0" fontId="17" fillId="0" borderId="1" xfId="0" applyFont="1" applyBorder="1" applyAlignment="1" applyProtection="1">
      <alignment horizontal="left"/>
    </xf>
    <xf numFmtId="164" fontId="17" fillId="0" borderId="1" xfId="4" applyNumberFormat="1" applyFont="1" applyBorder="1" applyProtection="1"/>
    <xf numFmtId="164" fontId="17" fillId="0" borderId="29" xfId="4" applyNumberFormat="1" applyFont="1" applyBorder="1" applyProtection="1"/>
    <xf numFmtId="0" fontId="38" fillId="0" borderId="0" xfId="7" applyFont="1" applyAlignment="1" applyProtection="1">
      <alignment horizontal="centerContinuous"/>
    </xf>
    <xf numFmtId="0" fontId="32" fillId="0" borderId="12" xfId="7" applyFont="1" applyBorder="1" applyProtection="1"/>
    <xf numFmtId="0" fontId="12" fillId="0" borderId="0" xfId="7" quotePrefix="1" applyFont="1" applyAlignment="1" applyProtection="1">
      <alignment horizontal="left"/>
    </xf>
    <xf numFmtId="0" fontId="32" fillId="0" borderId="0" xfId="7" applyFont="1" applyBorder="1" applyProtection="1"/>
    <xf numFmtId="0" fontId="25" fillId="0" borderId="0" xfId="7" quotePrefix="1" applyFont="1" applyBorder="1" applyAlignment="1" applyProtection="1">
      <alignment horizontal="left"/>
    </xf>
    <xf numFmtId="0" fontId="38" fillId="0" borderId="0" xfId="7" applyFont="1" applyBorder="1" applyProtection="1"/>
    <xf numFmtId="0" fontId="30" fillId="0" borderId="0" xfId="7" applyFont="1" applyBorder="1" applyAlignment="1" applyProtection="1">
      <alignment horizontal="right"/>
    </xf>
    <xf numFmtId="0" fontId="30" fillId="0" borderId="0" xfId="7" applyFont="1" applyBorder="1" applyProtection="1"/>
    <xf numFmtId="0" fontId="30" fillId="0" borderId="0" xfId="7" quotePrefix="1" applyFont="1" applyBorder="1" applyAlignment="1" applyProtection="1">
      <alignment horizontal="right"/>
    </xf>
    <xf numFmtId="0" fontId="30" fillId="0" borderId="0" xfId="7" applyFont="1" applyBorder="1" applyAlignment="1" applyProtection="1">
      <alignment horizontal="left"/>
    </xf>
    <xf numFmtId="0" fontId="17" fillId="0" borderId="0" xfId="7" applyFont="1" applyBorder="1" applyAlignment="1" applyProtection="1">
      <alignment horizontal="center"/>
    </xf>
    <xf numFmtId="0" fontId="30" fillId="0" borderId="1" xfId="7" quotePrefix="1" applyFont="1" applyBorder="1" applyAlignment="1" applyProtection="1">
      <alignment horizontal="centerContinuous"/>
    </xf>
    <xf numFmtId="0" fontId="30" fillId="0" borderId="1" xfId="7" applyFont="1" applyBorder="1" applyProtection="1"/>
    <xf numFmtId="171" fontId="83" fillId="0" borderId="1" xfId="0" applyNumberFormat="1" applyFont="1" applyBorder="1" applyAlignment="1" applyProtection="1">
      <alignment horizontal="right"/>
    </xf>
    <xf numFmtId="171" fontId="39" fillId="0" borderId="1" xfId="0" applyNumberFormat="1" applyFont="1" applyBorder="1" applyProtection="1"/>
    <xf numFmtId="171" fontId="12" fillId="0" borderId="1" xfId="0" applyNumberFormat="1" applyFont="1" applyBorder="1" applyProtection="1"/>
    <xf numFmtId="171" fontId="4" fillId="0" borderId="0" xfId="0" applyNumberFormat="1" applyFont="1" applyBorder="1" applyProtection="1"/>
    <xf numFmtId="171" fontId="40" fillId="0" borderId="0" xfId="0" applyNumberFormat="1" applyFont="1" applyBorder="1" applyAlignment="1" applyProtection="1">
      <alignment horizontal="right"/>
    </xf>
    <xf numFmtId="171" fontId="12" fillId="0" borderId="0" xfId="0" applyNumberFormat="1" applyFont="1" applyBorder="1" applyProtection="1"/>
    <xf numFmtId="171" fontId="81" fillId="0" borderId="4" xfId="0" applyNumberFormat="1" applyFont="1" applyBorder="1" applyAlignment="1" applyProtection="1">
      <alignment horizontal="center"/>
    </xf>
    <xf numFmtId="37" fontId="36" fillId="0" borderId="0" xfId="7" applyNumberFormat="1" applyFont="1" applyProtection="1"/>
    <xf numFmtId="9" fontId="41" fillId="0" borderId="0" xfId="0" applyNumberFormat="1" applyFont="1" applyProtection="1"/>
    <xf numFmtId="171" fontId="7" fillId="0" borderId="0" xfId="0" applyNumberFormat="1" applyFont="1" applyBorder="1" applyAlignment="1" applyProtection="1">
      <alignment horizontal="center"/>
    </xf>
    <xf numFmtId="37" fontId="36" fillId="0" borderId="1" xfId="7" applyNumberFormat="1" applyFont="1" applyBorder="1" applyProtection="1"/>
    <xf numFmtId="9" fontId="74" fillId="0" borderId="0" xfId="0" applyNumberFormat="1" applyFont="1" applyBorder="1" applyProtection="1"/>
    <xf numFmtId="37" fontId="35" fillId="0" borderId="0" xfId="7" applyNumberFormat="1" applyFont="1" applyBorder="1" applyProtection="1"/>
    <xf numFmtId="37" fontId="33" fillId="0" borderId="0" xfId="7" applyNumberFormat="1" applyFont="1" applyBorder="1" applyProtection="1"/>
    <xf numFmtId="37" fontId="26" fillId="0" borderId="0" xfId="7" applyNumberFormat="1" applyFont="1" applyBorder="1" applyProtection="1"/>
    <xf numFmtId="164" fontId="33" fillId="0" borderId="0" xfId="7" applyNumberFormat="1" applyFont="1" applyBorder="1" applyProtection="1"/>
    <xf numFmtId="9" fontId="41" fillId="0" borderId="0" xfId="0" applyNumberFormat="1" applyFont="1" applyBorder="1" applyProtection="1"/>
    <xf numFmtId="37" fontId="36" fillId="0" borderId="0" xfId="7" applyNumberFormat="1" applyFont="1" applyBorder="1" applyProtection="1"/>
    <xf numFmtId="0" fontId="41" fillId="0" borderId="0" xfId="0" applyFont="1" applyBorder="1" applyProtection="1"/>
    <xf numFmtId="37" fontId="7" fillId="0" borderId="0" xfId="7" applyNumberFormat="1" applyFont="1" applyBorder="1" applyAlignment="1" applyProtection="1">
      <alignment horizontal="left"/>
    </xf>
    <xf numFmtId="37" fontId="27" fillId="0" borderId="0" xfId="7" applyNumberFormat="1" applyFont="1" applyBorder="1" applyProtection="1"/>
    <xf numFmtId="37" fontId="7" fillId="0" borderId="1" xfId="7" applyNumberFormat="1" applyFont="1" applyFill="1" applyBorder="1" applyProtection="1"/>
    <xf numFmtId="171" fontId="7" fillId="0" borderId="0" xfId="0" quotePrefix="1" applyNumberFormat="1" applyFont="1" applyBorder="1" applyAlignment="1" applyProtection="1">
      <alignment horizontal="center"/>
    </xf>
    <xf numFmtId="164" fontId="36" fillId="0" borderId="0" xfId="7" applyNumberFormat="1" applyFont="1" applyBorder="1" applyProtection="1"/>
    <xf numFmtId="37" fontId="42" fillId="0" borderId="0" xfId="7" applyNumberFormat="1" applyFont="1" applyBorder="1" applyProtection="1"/>
    <xf numFmtId="39" fontId="7" fillId="0" borderId="1" xfId="7" applyNumberFormat="1" applyFont="1" applyFill="1" applyBorder="1" applyProtection="1"/>
    <xf numFmtId="39" fontId="36" fillId="0" borderId="0" xfId="7" applyNumberFormat="1" applyFont="1" applyBorder="1" applyProtection="1"/>
    <xf numFmtId="166" fontId="42" fillId="0" borderId="0" xfId="7" applyNumberFormat="1" applyFont="1" applyBorder="1" applyProtection="1"/>
    <xf numFmtId="37" fontId="34" fillId="0" borderId="0" xfId="7" applyNumberFormat="1" applyFont="1" applyBorder="1" applyProtection="1"/>
    <xf numFmtId="171" fontId="33" fillId="0" borderId="4" xfId="0" applyNumberFormat="1" applyFont="1" applyBorder="1" applyAlignment="1" applyProtection="1">
      <alignment horizontal="center"/>
    </xf>
    <xf numFmtId="0" fontId="41" fillId="0" borderId="0" xfId="0" applyFont="1" applyProtection="1"/>
    <xf numFmtId="0" fontId="43" fillId="0" borderId="0" xfId="7" quotePrefix="1" applyFont="1" applyBorder="1" applyAlignment="1" applyProtection="1">
      <alignment horizontal="left"/>
    </xf>
    <xf numFmtId="0" fontId="36" fillId="0" borderId="0" xfId="0" applyFont="1" applyBorder="1" applyProtection="1"/>
    <xf numFmtId="0" fontId="43" fillId="0" borderId="0" xfId="7" applyFont="1" applyBorder="1" applyProtection="1"/>
    <xf numFmtId="171" fontId="9" fillId="0" borderId="0" xfId="0" applyNumberFormat="1" applyFont="1" applyBorder="1" applyAlignment="1" applyProtection="1">
      <alignment horizontal="center"/>
    </xf>
    <xf numFmtId="0" fontId="37" fillId="0" borderId="0" xfId="7" applyFont="1" applyBorder="1" applyAlignment="1" applyProtection="1">
      <alignment horizontal="centerContinuous"/>
    </xf>
    <xf numFmtId="0" fontId="9" fillId="0" borderId="0" xfId="7" applyFont="1" applyBorder="1" applyAlignment="1" applyProtection="1">
      <alignment horizontal="centerContinuous"/>
    </xf>
    <xf numFmtId="0" fontId="10" fillId="0" borderId="0" xfId="7" applyFont="1" applyBorder="1" applyAlignment="1" applyProtection="1">
      <alignment horizontal="centerContinuous"/>
    </xf>
    <xf numFmtId="0" fontId="11" fillId="0" borderId="0" xfId="7" applyFont="1" applyBorder="1" applyAlignment="1" applyProtection="1">
      <alignment horizontal="centerContinuous"/>
    </xf>
    <xf numFmtId="171" fontId="11" fillId="0" borderId="0" xfId="0" applyNumberFormat="1" applyFont="1" applyBorder="1" applyAlignment="1" applyProtection="1">
      <alignment horizontal="center"/>
    </xf>
    <xf numFmtId="0" fontId="38" fillId="0" borderId="0" xfId="7" applyFont="1" applyBorder="1" applyAlignment="1" applyProtection="1">
      <alignment horizontal="centerContinuous"/>
    </xf>
    <xf numFmtId="171" fontId="17" fillId="0" borderId="0" xfId="0" applyNumberFormat="1" applyFont="1" applyBorder="1" applyAlignment="1" applyProtection="1">
      <alignment horizontal="center"/>
    </xf>
    <xf numFmtId="0" fontId="30" fillId="0" borderId="0" xfId="7" applyFont="1" applyBorder="1" applyAlignment="1" applyProtection="1">
      <alignment horizontal="center"/>
    </xf>
    <xf numFmtId="0" fontId="39" fillId="0" borderId="0" xfId="7" applyFont="1" applyBorder="1" applyProtection="1"/>
    <xf numFmtId="171" fontId="43" fillId="0" borderId="0" xfId="0" applyNumberFormat="1" applyFont="1" applyBorder="1" applyAlignment="1" applyProtection="1">
      <alignment horizontal="center"/>
    </xf>
    <xf numFmtId="0" fontId="45" fillId="0" borderId="0" xfId="7" applyFont="1" applyBorder="1" applyAlignment="1" applyProtection="1">
      <alignment horizontal="centerContinuous"/>
    </xf>
    <xf numFmtId="0" fontId="39" fillId="0" borderId="0" xfId="7" quotePrefix="1" applyFont="1" applyBorder="1" applyAlignment="1" applyProtection="1">
      <alignment horizontal="left"/>
    </xf>
    <xf numFmtId="37" fontId="46" fillId="0" borderId="0" xfId="7" applyNumberFormat="1" applyFont="1" applyBorder="1" applyAlignment="1" applyProtection="1">
      <alignment horizontal="center"/>
    </xf>
    <xf numFmtId="0" fontId="47" fillId="0" borderId="0" xfId="0" applyFont="1" applyBorder="1" applyAlignment="1" applyProtection="1">
      <alignment horizontal="center"/>
    </xf>
    <xf numFmtId="0" fontId="41" fillId="0" borderId="0" xfId="0" applyFont="1" applyBorder="1" applyAlignment="1" applyProtection="1">
      <alignment horizontal="center"/>
    </xf>
    <xf numFmtId="0" fontId="7" fillId="0" borderId="0" xfId="7" quotePrefix="1" applyFont="1" applyBorder="1" applyAlignment="1" applyProtection="1">
      <alignment horizontal="left"/>
    </xf>
    <xf numFmtId="171" fontId="36" fillId="0" borderId="0" xfId="0" applyNumberFormat="1" applyFont="1" applyBorder="1" applyProtection="1"/>
    <xf numFmtId="9" fontId="36" fillId="0" borderId="0" xfId="0" applyNumberFormat="1" applyFont="1" applyBorder="1" applyProtection="1"/>
    <xf numFmtId="171" fontId="42" fillId="0" borderId="0" xfId="0" applyNumberFormat="1" applyFont="1" applyBorder="1" applyProtection="1"/>
    <xf numFmtId="0" fontId="12" fillId="0" borderId="0" xfId="7" quotePrefix="1" applyFont="1" applyBorder="1" applyAlignment="1" applyProtection="1">
      <alignment horizontal="left"/>
    </xf>
    <xf numFmtId="37" fontId="48" fillId="0" borderId="0" xfId="7" applyNumberFormat="1" applyFont="1" applyBorder="1" applyProtection="1"/>
    <xf numFmtId="37" fontId="49" fillId="0" borderId="0" xfId="7" applyNumberFormat="1" applyFont="1" applyBorder="1" applyProtection="1"/>
    <xf numFmtId="0" fontId="4" fillId="0" borderId="0" xfId="7" applyFont="1" applyBorder="1" applyProtection="1"/>
    <xf numFmtId="171" fontId="41" fillId="0" borderId="0" xfId="0" applyNumberFormat="1" applyFont="1" applyBorder="1" applyProtection="1"/>
    <xf numFmtId="171" fontId="49" fillId="0" borderId="0" xfId="0" applyNumberFormat="1" applyFont="1" applyBorder="1" applyProtection="1"/>
    <xf numFmtId="37" fontId="50" fillId="0" borderId="0" xfId="7" applyNumberFormat="1" applyFont="1" applyBorder="1" applyProtection="1"/>
    <xf numFmtId="37" fontId="51" fillId="0" borderId="0" xfId="7" applyNumberFormat="1" applyFont="1" applyBorder="1" applyProtection="1"/>
    <xf numFmtId="37" fontId="7" fillId="0" borderId="0" xfId="7" quotePrefix="1" applyNumberFormat="1" applyFont="1" applyBorder="1" applyAlignment="1" applyProtection="1">
      <alignment horizontal="right"/>
    </xf>
    <xf numFmtId="37" fontId="36" fillId="0" borderId="0" xfId="7" quotePrefix="1" applyNumberFormat="1" applyFont="1" applyBorder="1" applyAlignment="1" applyProtection="1">
      <alignment horizontal="left"/>
    </xf>
    <xf numFmtId="37" fontId="31" fillId="0" borderId="0" xfId="7" applyNumberFormat="1" applyFont="1" applyBorder="1" applyProtection="1"/>
    <xf numFmtId="0" fontId="36" fillId="0" borderId="0" xfId="7" applyNumberFormat="1" applyFont="1" applyBorder="1" applyProtection="1"/>
    <xf numFmtId="0" fontId="3" fillId="0" borderId="0" xfId="7" applyBorder="1" applyProtection="1"/>
    <xf numFmtId="0" fontId="52" fillId="0" borderId="0" xfId="7" applyNumberFormat="1" applyFont="1" applyBorder="1" applyProtection="1"/>
    <xf numFmtId="0" fontId="7" fillId="0" borderId="0" xfId="7" applyNumberFormat="1" applyFont="1" applyBorder="1" applyProtection="1"/>
    <xf numFmtId="0" fontId="36" fillId="0" borderId="0" xfId="7" quotePrefix="1" applyNumberFormat="1" applyFont="1" applyBorder="1" applyAlignment="1" applyProtection="1">
      <alignment horizontal="left"/>
    </xf>
    <xf numFmtId="164" fontId="7" fillId="0" borderId="0" xfId="7" applyNumberFormat="1" applyFont="1" applyBorder="1" applyProtection="1"/>
    <xf numFmtId="0" fontId="42" fillId="0" borderId="0" xfId="7" quotePrefix="1" applyNumberFormat="1" applyFont="1" applyBorder="1" applyAlignment="1" applyProtection="1">
      <alignment horizontal="left"/>
    </xf>
    <xf numFmtId="174" fontId="49" fillId="0" borderId="0" xfId="7" applyNumberFormat="1" applyFont="1" applyBorder="1" applyProtection="1"/>
    <xf numFmtId="0" fontId="53" fillId="0" borderId="0" xfId="7" applyNumberFormat="1" applyFont="1" applyBorder="1" applyProtection="1"/>
    <xf numFmtId="0" fontId="36" fillId="0" borderId="0" xfId="7" applyFont="1" applyBorder="1" applyProtection="1"/>
    <xf numFmtId="174" fontId="36" fillId="0" borderId="0" xfId="7" applyNumberFormat="1" applyFont="1" applyBorder="1" applyProtection="1"/>
    <xf numFmtId="173" fontId="36" fillId="0" borderId="0" xfId="7" applyNumberFormat="1" applyFont="1" applyBorder="1" applyProtection="1"/>
    <xf numFmtId="0" fontId="42" fillId="0" borderId="0" xfId="7" applyNumberFormat="1" applyFont="1" applyBorder="1" applyAlignment="1" applyProtection="1">
      <alignment vertical="center"/>
    </xf>
    <xf numFmtId="164" fontId="43" fillId="0" borderId="0" xfId="7" applyNumberFormat="1" applyFont="1" applyBorder="1" applyProtection="1"/>
    <xf numFmtId="0" fontId="7" fillId="0" borderId="0" xfId="7" applyFont="1" applyBorder="1" applyAlignment="1" applyProtection="1">
      <alignment horizontal="center"/>
    </xf>
    <xf numFmtId="0" fontId="4" fillId="0" borderId="0" xfId="7" applyFont="1" applyBorder="1" applyAlignment="1" applyProtection="1">
      <alignment horizontal="center"/>
    </xf>
    <xf numFmtId="0" fontId="54" fillId="0" borderId="0" xfId="0" applyFont="1" applyBorder="1" applyAlignment="1" applyProtection="1">
      <alignment horizontal="center"/>
    </xf>
    <xf numFmtId="173" fontId="26" fillId="0" borderId="0" xfId="7" applyNumberFormat="1" applyFont="1" applyBorder="1" applyProtection="1"/>
    <xf numFmtId="173" fontId="42" fillId="0" borderId="0" xfId="7" applyNumberFormat="1" applyFont="1" applyBorder="1" applyProtection="1"/>
    <xf numFmtId="0" fontId="7" fillId="0" borderId="0" xfId="0" applyFont="1" applyAlignment="1" applyProtection="1">
      <alignment horizontal="left" indent="5"/>
    </xf>
    <xf numFmtId="0" fontId="17" fillId="3" borderId="7" xfId="0" applyFont="1" applyFill="1" applyBorder="1" applyProtection="1"/>
    <xf numFmtId="0" fontId="15" fillId="3" borderId="8" xfId="0" applyFont="1" applyFill="1" applyBorder="1" applyProtection="1"/>
    <xf numFmtId="171" fontId="31" fillId="3" borderId="9" xfId="0" applyNumberFormat="1" applyFont="1" applyFill="1" applyBorder="1" applyAlignment="1" applyProtection="1">
      <alignment vertical="center"/>
    </xf>
    <xf numFmtId="0" fontId="7" fillId="3" borderId="0" xfId="0" applyFont="1" applyFill="1" applyProtection="1"/>
    <xf numFmtId="0" fontId="16" fillId="3" borderId="7" xfId="0" applyFont="1" applyFill="1" applyBorder="1" applyAlignment="1" applyProtection="1">
      <alignment horizontal="centerContinuous"/>
    </xf>
    <xf numFmtId="0" fontId="16" fillId="3" borderId="8" xfId="0" applyFont="1" applyFill="1" applyBorder="1" applyAlignment="1" applyProtection="1">
      <alignment horizontal="centerContinuous"/>
    </xf>
    <xf numFmtId="0" fontId="15" fillId="3" borderId="8" xfId="0" applyFont="1" applyFill="1" applyBorder="1" applyAlignment="1" applyProtection="1">
      <alignment horizontal="centerContinuous"/>
    </xf>
    <xf numFmtId="0" fontId="7" fillId="0" borderId="9" xfId="0" applyFont="1" applyBorder="1" applyAlignment="1" applyProtection="1">
      <alignment horizontal="centerContinuous"/>
    </xf>
    <xf numFmtId="0" fontId="17" fillId="3" borderId="5" xfId="0" applyFont="1" applyFill="1" applyBorder="1" applyProtection="1"/>
    <xf numFmtId="0" fontId="15" fillId="3" borderId="0" xfId="0" applyFont="1" applyFill="1" applyBorder="1" applyProtection="1"/>
    <xf numFmtId="191" fontId="31" fillId="3" borderId="6" xfId="0" applyNumberFormat="1" applyFont="1" applyFill="1" applyBorder="1" applyAlignment="1" applyProtection="1">
      <alignment vertical="center"/>
    </xf>
    <xf numFmtId="0" fontId="7" fillId="3" borderId="5" xfId="0" applyFont="1" applyFill="1" applyBorder="1" applyProtection="1"/>
    <xf numFmtId="0" fontId="7" fillId="3" borderId="0" xfId="0" applyFont="1" applyFill="1" applyBorder="1" applyProtection="1"/>
    <xf numFmtId="0" fontId="7" fillId="0" borderId="0" xfId="0" applyFont="1" applyFill="1" applyAlignment="1" applyProtection="1">
      <alignment vertical="center"/>
    </xf>
    <xf numFmtId="0" fontId="15" fillId="3" borderId="5" xfId="0" applyFont="1" applyFill="1" applyBorder="1" applyProtection="1"/>
    <xf numFmtId="0" fontId="17" fillId="3" borderId="11" xfId="0" applyFont="1" applyFill="1" applyBorder="1" applyAlignment="1" applyProtection="1">
      <alignment horizontal="center"/>
    </xf>
    <xf numFmtId="0" fontId="7" fillId="3" borderId="0" xfId="0" applyFont="1" applyFill="1" applyAlignment="1" applyProtection="1">
      <alignment vertical="center"/>
    </xf>
    <xf numFmtId="0" fontId="7" fillId="3" borderId="5" xfId="0" applyFont="1" applyFill="1" applyBorder="1" applyAlignment="1" applyProtection="1">
      <alignment vertical="center"/>
    </xf>
    <xf numFmtId="0" fontId="7" fillId="3" borderId="0" xfId="0" applyFont="1" applyFill="1" applyBorder="1" applyAlignment="1" applyProtection="1">
      <alignment vertical="center"/>
    </xf>
    <xf numFmtId="0" fontId="16" fillId="3" borderId="1" xfId="7" applyFont="1" applyFill="1" applyBorder="1" applyAlignment="1" applyProtection="1">
      <alignment horizontal="centerContinuous" vertical="center"/>
    </xf>
    <xf numFmtId="0" fontId="15" fillId="3" borderId="1" xfId="0" applyFont="1" applyFill="1" applyBorder="1" applyAlignment="1" applyProtection="1">
      <alignment horizontal="centerContinuous" vertical="center"/>
    </xf>
    <xf numFmtId="0" fontId="7" fillId="0" borderId="1" xfId="0" applyFont="1" applyBorder="1" applyAlignment="1" applyProtection="1">
      <alignment horizontal="centerContinuous" vertical="center"/>
    </xf>
    <xf numFmtId="0" fontId="7" fillId="0" borderId="6" xfId="0" applyFont="1" applyBorder="1" applyAlignment="1" applyProtection="1">
      <alignment vertical="center"/>
    </xf>
    <xf numFmtId="165" fontId="7" fillId="3" borderId="6" xfId="0" applyNumberFormat="1" applyFont="1" applyFill="1" applyBorder="1" applyAlignment="1" applyProtection="1">
      <alignment vertical="center"/>
    </xf>
    <xf numFmtId="165" fontId="23" fillId="3" borderId="0" xfId="0" applyNumberFormat="1" applyFont="1" applyFill="1" applyBorder="1" applyAlignment="1" applyProtection="1">
      <alignment vertical="center"/>
    </xf>
    <xf numFmtId="191" fontId="31" fillId="3" borderId="0" xfId="0" applyNumberFormat="1" applyFont="1" applyFill="1" applyBorder="1" applyAlignment="1" applyProtection="1">
      <alignment vertical="center"/>
    </xf>
    <xf numFmtId="191" fontId="17" fillId="3" borderId="0" xfId="0" applyNumberFormat="1" applyFont="1" applyFill="1" applyBorder="1" applyAlignment="1" applyProtection="1">
      <alignment vertical="center"/>
    </xf>
    <xf numFmtId="165" fontId="65" fillId="3" borderId="6" xfId="0" applyNumberFormat="1" applyFont="1" applyFill="1" applyBorder="1" applyAlignment="1" applyProtection="1">
      <alignment vertical="center"/>
    </xf>
    <xf numFmtId="171" fontId="31" fillId="3" borderId="0" xfId="0" applyNumberFormat="1" applyFont="1" applyFill="1" applyBorder="1" applyAlignment="1" applyProtection="1">
      <alignment horizontal="right" vertical="center"/>
    </xf>
    <xf numFmtId="164" fontId="32" fillId="3" borderId="7" xfId="0" applyNumberFormat="1" applyFont="1" applyFill="1" applyBorder="1" applyAlignment="1" applyProtection="1">
      <alignment vertical="center"/>
    </xf>
    <xf numFmtId="164" fontId="32" fillId="3" borderId="8" xfId="0" applyNumberFormat="1" applyFont="1" applyFill="1" applyBorder="1" applyAlignment="1" applyProtection="1">
      <alignment vertical="center"/>
    </xf>
    <xf numFmtId="164" fontId="32" fillId="3" borderId="9" xfId="0" applyNumberFormat="1" applyFont="1" applyFill="1" applyBorder="1" applyAlignment="1" applyProtection="1">
      <alignment vertical="center"/>
    </xf>
    <xf numFmtId="0" fontId="17" fillId="3" borderId="5" xfId="0" applyFont="1" applyFill="1" applyBorder="1" applyAlignment="1" applyProtection="1">
      <alignment vertical="center"/>
    </xf>
    <xf numFmtId="0" fontId="17" fillId="3" borderId="0" xfId="0" applyFont="1" applyFill="1" applyBorder="1" applyAlignment="1" applyProtection="1">
      <alignment vertical="center"/>
    </xf>
    <xf numFmtId="165" fontId="17" fillId="3" borderId="6" xfId="0" applyNumberFormat="1" applyFont="1" applyFill="1" applyBorder="1" applyAlignment="1" applyProtection="1">
      <alignment vertical="center"/>
    </xf>
    <xf numFmtId="171" fontId="17" fillId="3" borderId="0" xfId="0" applyNumberFormat="1" applyFont="1" applyFill="1" applyBorder="1" applyAlignment="1" applyProtection="1">
      <alignment horizontal="right" vertical="center"/>
    </xf>
    <xf numFmtId="164" fontId="32" fillId="3" borderId="5" xfId="0" applyNumberFormat="1" applyFont="1" applyFill="1" applyBorder="1" applyAlignment="1" applyProtection="1">
      <alignment vertical="center"/>
    </xf>
    <xf numFmtId="164" fontId="32" fillId="3" borderId="0" xfId="0" applyNumberFormat="1" applyFont="1" applyFill="1" applyBorder="1" applyAlignment="1" applyProtection="1">
      <alignment vertical="center"/>
    </xf>
    <xf numFmtId="164" fontId="32" fillId="3" borderId="6" xfId="0" applyNumberFormat="1" applyFont="1" applyFill="1" applyBorder="1" applyAlignment="1" applyProtection="1">
      <alignment vertical="center"/>
    </xf>
    <xf numFmtId="37" fontId="7" fillId="0" borderId="5" xfId="0" applyNumberFormat="1" applyFont="1" applyBorder="1" applyAlignment="1" applyProtection="1">
      <alignment vertical="center"/>
    </xf>
    <xf numFmtId="37" fontId="65" fillId="0" borderId="6" xfId="0" applyNumberFormat="1" applyFont="1" applyBorder="1" applyAlignment="1" applyProtection="1">
      <alignment vertical="center"/>
    </xf>
    <xf numFmtId="39" fontId="65" fillId="0" borderId="6" xfId="0" applyNumberFormat="1" applyFont="1" applyBorder="1" applyAlignment="1" applyProtection="1">
      <alignment vertical="center"/>
    </xf>
    <xf numFmtId="164" fontId="32" fillId="3" borderId="10" xfId="0" applyNumberFormat="1" applyFont="1" applyFill="1" applyBorder="1" applyAlignment="1" applyProtection="1">
      <alignment vertical="center"/>
    </xf>
    <xf numFmtId="164" fontId="32" fillId="3" borderId="1" xfId="0" applyNumberFormat="1" applyFont="1" applyFill="1" applyBorder="1" applyAlignment="1" applyProtection="1">
      <alignment vertical="center"/>
    </xf>
    <xf numFmtId="164" fontId="32" fillId="3" borderId="11" xfId="0" applyNumberFormat="1" applyFont="1" applyFill="1" applyBorder="1" applyAlignment="1" applyProtection="1">
      <alignment vertical="center"/>
    </xf>
    <xf numFmtId="0" fontId="17" fillId="0" borderId="5" xfId="0" applyFont="1" applyBorder="1" applyAlignment="1" applyProtection="1">
      <alignment vertical="center"/>
    </xf>
    <xf numFmtId="167" fontId="17" fillId="3" borderId="6" xfId="0" applyNumberFormat="1" applyFont="1" applyFill="1" applyBorder="1" applyAlignment="1" applyProtection="1">
      <alignment vertical="center"/>
    </xf>
    <xf numFmtId="166" fontId="7" fillId="0" borderId="6" xfId="0" applyNumberFormat="1" applyFont="1" applyBorder="1" applyAlignment="1" applyProtection="1">
      <alignment vertical="center"/>
    </xf>
    <xf numFmtId="0" fontId="32" fillId="0" borderId="6" xfId="0" applyFont="1" applyBorder="1" applyProtection="1"/>
    <xf numFmtId="171" fontId="7" fillId="0" borderId="0" xfId="0" applyNumberFormat="1" applyFont="1" applyProtection="1"/>
    <xf numFmtId="0" fontId="17" fillId="3" borderId="10" xfId="0" applyFont="1" applyFill="1" applyBorder="1" applyAlignment="1" applyProtection="1">
      <alignment vertical="center"/>
    </xf>
    <xf numFmtId="203" fontId="17" fillId="3" borderId="11" xfId="0" applyNumberFormat="1" applyFont="1" applyFill="1" applyBorder="1" applyAlignment="1" applyProtection="1">
      <alignment vertical="center"/>
    </xf>
    <xf numFmtId="203" fontId="17" fillId="3" borderId="0" xfId="0" applyNumberFormat="1" applyFont="1" applyFill="1" applyBorder="1" applyAlignment="1" applyProtection="1">
      <alignment vertical="center"/>
    </xf>
    <xf numFmtId="171" fontId="17" fillId="3" borderId="0" xfId="0" applyNumberFormat="1" applyFont="1" applyFill="1" applyBorder="1" applyAlignment="1" applyProtection="1">
      <alignment vertical="center"/>
    </xf>
    <xf numFmtId="167" fontId="32" fillId="3" borderId="7" xfId="0" applyNumberFormat="1" applyFont="1" applyFill="1" applyBorder="1" applyAlignment="1" applyProtection="1">
      <alignment vertical="center"/>
    </xf>
    <xf numFmtId="167" fontId="32" fillId="3" borderId="8" xfId="0" applyNumberFormat="1" applyFont="1" applyFill="1" applyBorder="1" applyAlignment="1" applyProtection="1">
      <alignment vertical="center"/>
    </xf>
    <xf numFmtId="167" fontId="32" fillId="3" borderId="9" xfId="0" applyNumberFormat="1" applyFont="1" applyFill="1" applyBorder="1" applyAlignment="1" applyProtection="1">
      <alignment vertical="center"/>
    </xf>
    <xf numFmtId="167" fontId="32" fillId="3" borderId="5" xfId="0" applyNumberFormat="1" applyFont="1" applyFill="1" applyBorder="1" applyAlignment="1" applyProtection="1">
      <alignment vertical="center"/>
    </xf>
    <xf numFmtId="167" fontId="32" fillId="3" borderId="0" xfId="0" applyNumberFormat="1" applyFont="1" applyFill="1" applyBorder="1" applyAlignment="1" applyProtection="1">
      <alignment vertical="center"/>
    </xf>
    <xf numFmtId="167" fontId="32" fillId="3" borderId="6" xfId="0" applyNumberFormat="1" applyFont="1" applyFill="1" applyBorder="1" applyAlignment="1" applyProtection="1">
      <alignment vertical="center"/>
    </xf>
    <xf numFmtId="167" fontId="32" fillId="3" borderId="10" xfId="0" applyNumberFormat="1" applyFont="1" applyFill="1" applyBorder="1" applyAlignment="1" applyProtection="1">
      <alignment vertical="center"/>
    </xf>
    <xf numFmtId="167" fontId="32" fillId="3" borderId="1" xfId="0" applyNumberFormat="1" applyFont="1" applyFill="1" applyBorder="1" applyAlignment="1" applyProtection="1">
      <alignment vertical="center"/>
    </xf>
    <xf numFmtId="167" fontId="32" fillId="3" borderId="11" xfId="0" applyNumberFormat="1" applyFont="1" applyFill="1" applyBorder="1" applyAlignment="1" applyProtection="1">
      <alignment vertical="center"/>
    </xf>
    <xf numFmtId="0" fontId="7" fillId="3" borderId="10" xfId="0" applyFont="1" applyFill="1" applyBorder="1" applyProtection="1"/>
    <xf numFmtId="0" fontId="7" fillId="3" borderId="1" xfId="0" applyFont="1" applyFill="1" applyBorder="1" applyProtection="1"/>
    <xf numFmtId="4" fontId="17" fillId="0" borderId="0" xfId="4" applyNumberFormat="1" applyFont="1" applyBorder="1" applyProtection="1"/>
    <xf numFmtId="0" fontId="7" fillId="0" borderId="16" xfId="0" applyFont="1" applyBorder="1" applyProtection="1"/>
    <xf numFmtId="0" fontId="7" fillId="0" borderId="17" xfId="0" applyFont="1" applyBorder="1" applyProtection="1"/>
    <xf numFmtId="0" fontId="66" fillId="0" borderId="17" xfId="0" applyFont="1" applyBorder="1" applyProtection="1"/>
    <xf numFmtId="0" fontId="30" fillId="0" borderId="17" xfId="0" applyFont="1" applyBorder="1" applyProtection="1"/>
    <xf numFmtId="173" fontId="7" fillId="0" borderId="17" xfId="0" applyNumberFormat="1" applyFont="1" applyBorder="1" applyProtection="1"/>
    <xf numFmtId="173" fontId="7" fillId="0" borderId="18" xfId="0" applyNumberFormat="1" applyFont="1" applyBorder="1" applyProtection="1"/>
    <xf numFmtId="0" fontId="7" fillId="0" borderId="21" xfId="0" applyFont="1" applyBorder="1" applyProtection="1"/>
    <xf numFmtId="0" fontId="30" fillId="0" borderId="22" xfId="0" applyFont="1" applyBorder="1" applyProtection="1"/>
    <xf numFmtId="171" fontId="7" fillId="0" borderId="22" xfId="0" applyNumberFormat="1" applyFont="1" applyBorder="1" applyAlignment="1" applyProtection="1">
      <alignment horizontal="right"/>
    </xf>
    <xf numFmtId="186" fontId="7" fillId="0" borderId="22" xfId="0" applyNumberFormat="1" applyFont="1" applyBorder="1" applyAlignment="1" applyProtection="1">
      <alignment horizontal="right"/>
    </xf>
    <xf numFmtId="186" fontId="7" fillId="0" borderId="23" xfId="0" applyNumberFormat="1" applyFont="1" applyBorder="1" applyAlignment="1" applyProtection="1">
      <alignment horizontal="right"/>
    </xf>
    <xf numFmtId="171" fontId="17" fillId="0" borderId="0" xfId="4" applyNumberFormat="1" applyFont="1" applyProtection="1"/>
    <xf numFmtId="37" fontId="17" fillId="0" borderId="0" xfId="7" applyNumberFormat="1" applyFont="1" applyBorder="1" applyProtection="1"/>
    <xf numFmtId="167" fontId="17" fillId="0" borderId="0" xfId="7" applyNumberFormat="1" applyFont="1" applyBorder="1" applyProtection="1"/>
    <xf numFmtId="0" fontId="44" fillId="0" borderId="1" xfId="7" applyFont="1" applyBorder="1" applyAlignment="1" applyProtection="1">
      <alignment horizontal="centerContinuous"/>
    </xf>
    <xf numFmtId="171" fontId="9" fillId="0" borderId="1" xfId="0" applyNumberFormat="1" applyFont="1" applyBorder="1" applyAlignment="1" applyProtection="1">
      <alignment horizontal="center"/>
    </xf>
    <xf numFmtId="0" fontId="37" fillId="0" borderId="1" xfId="7" applyFont="1" applyBorder="1" applyAlignment="1" applyProtection="1">
      <alignment horizontal="centerContinuous"/>
    </xf>
    <xf numFmtId="0" fontId="9" fillId="0" borderId="1" xfId="7" applyFont="1" applyBorder="1" applyAlignment="1" applyProtection="1">
      <alignment horizontal="centerContinuous"/>
    </xf>
    <xf numFmtId="0" fontId="10" fillId="0" borderId="1" xfId="7" applyFont="1" applyBorder="1" applyAlignment="1" applyProtection="1">
      <alignment horizontal="centerContinuous"/>
    </xf>
    <xf numFmtId="166" fontId="33" fillId="0" borderId="0" xfId="7" applyNumberFormat="1" applyFont="1" applyBorder="1" applyProtection="1"/>
    <xf numFmtId="0" fontId="4" fillId="0" borderId="0" xfId="0" applyFont="1" applyProtection="1"/>
    <xf numFmtId="0" fontId="4" fillId="0" borderId="5" xfId="0" applyFont="1" applyBorder="1" applyProtection="1"/>
    <xf numFmtId="204" fontId="4" fillId="0" borderId="0" xfId="0" applyNumberFormat="1" applyFont="1" applyProtection="1"/>
    <xf numFmtId="204" fontId="17" fillId="0" borderId="0" xfId="0" applyNumberFormat="1" applyFont="1" applyProtection="1"/>
    <xf numFmtId="4" fontId="4" fillId="0" borderId="0" xfId="0" applyNumberFormat="1" applyFont="1" applyBorder="1" applyProtection="1"/>
    <xf numFmtId="4" fontId="4" fillId="0" borderId="0" xfId="4" applyNumberFormat="1" applyFont="1" applyBorder="1" applyProtection="1"/>
    <xf numFmtId="4" fontId="4" fillId="0" borderId="0" xfId="0" applyNumberFormat="1" applyFont="1" applyProtection="1"/>
    <xf numFmtId="0" fontId="4" fillId="0" borderId="0" xfId="0" applyFont="1" applyBorder="1" applyProtection="1"/>
    <xf numFmtId="171" fontId="92" fillId="3" borderId="0" xfId="0" applyNumberFormat="1" applyFont="1" applyFill="1" applyBorder="1" applyAlignment="1" applyProtection="1">
      <alignment vertical="center"/>
    </xf>
    <xf numFmtId="0" fontId="17" fillId="3" borderId="5" xfId="0" applyFont="1" applyFill="1" applyBorder="1" applyAlignment="1" applyProtection="1">
      <alignment horizontal="right" vertical="center" textRotation="255"/>
    </xf>
    <xf numFmtId="0" fontId="0" fillId="0" borderId="5" xfId="0" applyBorder="1" applyAlignment="1" applyProtection="1">
      <alignment horizontal="right" vertical="center"/>
    </xf>
  </cellXfs>
  <cellStyles count="13">
    <cellStyle name="Across" xfId="1"/>
    <cellStyle name="Bottom" xfId="2"/>
    <cellStyle name="Center" xfId="3"/>
    <cellStyle name="Comma" xfId="4" builtinId="3"/>
    <cellStyle name="Currency [2]" xfId="5"/>
    <cellStyle name="Double" xfId="6"/>
    <cellStyle name="Normal" xfId="0" builtinId="0"/>
    <cellStyle name="Normal_DrydenNewDCF3" xfId="7"/>
    <cellStyle name="Normal_Inverness Drive Model 4-26-02" xfId="8"/>
    <cellStyle name="Normal_TrainingDCF1" xfId="9"/>
    <cellStyle name="Numbers" xfId="10"/>
    <cellStyle name="Numbers - Bold - Italic" xfId="11"/>
    <cellStyle name="Outline" xfId="12"/>
  </cellStyles>
  <dxfs count="11">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51"/>
        </patternFill>
      </fill>
    </dxf>
    <dxf>
      <font>
        <b/>
        <i val="0"/>
        <condense val="0"/>
        <extend val="0"/>
      </font>
      <fill>
        <patternFill>
          <bgColor indexed="51"/>
        </patternFill>
      </fill>
    </dxf>
    <dxf>
      <font>
        <b/>
        <i val="0"/>
        <condense val="0"/>
        <extend val="0"/>
      </font>
      <fill>
        <patternFill>
          <bgColor indexed="51"/>
        </patternFill>
      </fill>
      <border>
        <left/>
        <right/>
        <top/>
        <bottom/>
      </border>
    </dxf>
    <dxf>
      <font>
        <b/>
        <i val="0"/>
        <condense val="0"/>
        <extend val="0"/>
      </font>
      <fill>
        <patternFill>
          <bgColor indexed="44"/>
        </patternFill>
      </fill>
    </dxf>
    <dxf>
      <font>
        <b/>
        <i val="0"/>
        <condense val="0"/>
        <extend val="0"/>
        <color indexed="9"/>
      </font>
      <fill>
        <patternFill>
          <bgColor indexed="53"/>
        </patternFill>
      </fill>
    </dxf>
    <dxf>
      <font>
        <b/>
        <i val="0"/>
        <condense val="0"/>
        <extend val="0"/>
      </font>
      <fill>
        <patternFill>
          <bgColor indexed="44"/>
        </patternFill>
      </fill>
    </dxf>
    <dxf>
      <font>
        <b/>
        <i val="0"/>
        <condense val="0"/>
        <extend val="0"/>
      </font>
      <fill>
        <patternFill>
          <bgColor indexed="44"/>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0" fmlaLink="$D$6" fmlaRange="$C$22:$C$24" noThreeD="1" sel="1" val="0"/>
</file>

<file path=xl/drawings/drawing1.xml><?xml version="1.0" encoding="utf-8"?>
<xdr:wsDr xmlns:xdr="http://schemas.openxmlformats.org/drawingml/2006/spreadsheetDrawing" xmlns:a="http://schemas.openxmlformats.org/drawingml/2006/main">
  <xdr:twoCellAnchor>
    <xdr:from>
      <xdr:col>2</xdr:col>
      <xdr:colOff>0</xdr:colOff>
      <xdr:row>8</xdr:row>
      <xdr:rowOff>0</xdr:rowOff>
    </xdr:from>
    <xdr:to>
      <xdr:col>20</xdr:col>
      <xdr:colOff>7620</xdr:colOff>
      <xdr:row>19</xdr:row>
      <xdr:rowOff>0</xdr:rowOff>
    </xdr:to>
    <xdr:sp macro="" textlink="">
      <xdr:nvSpPr>
        <xdr:cNvPr id="14400" name="Rectangle 4">
          <a:extLst>
            <a:ext uri="{FF2B5EF4-FFF2-40B4-BE49-F238E27FC236}">
              <a16:creationId xmlns:a16="http://schemas.microsoft.com/office/drawing/2014/main" id="{00000000-0008-0000-0100-000040380000}"/>
            </a:ext>
          </a:extLst>
        </xdr:cNvPr>
        <xdr:cNvSpPr>
          <a:spLocks noChangeArrowheads="1"/>
        </xdr:cNvSpPr>
      </xdr:nvSpPr>
      <xdr:spPr bwMode="auto">
        <a:xfrm>
          <a:off x="586740" y="1440180"/>
          <a:ext cx="7360920" cy="173736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xdr:col>
      <xdr:colOff>0</xdr:colOff>
      <xdr:row>25</xdr:row>
      <xdr:rowOff>0</xdr:rowOff>
    </xdr:from>
    <xdr:to>
      <xdr:col>20</xdr:col>
      <xdr:colOff>68580</xdr:colOff>
      <xdr:row>36</xdr:row>
      <xdr:rowOff>0</xdr:rowOff>
    </xdr:to>
    <xdr:sp macro="" textlink="">
      <xdr:nvSpPr>
        <xdr:cNvPr id="14401" name="Rectangle 5">
          <a:extLst>
            <a:ext uri="{FF2B5EF4-FFF2-40B4-BE49-F238E27FC236}">
              <a16:creationId xmlns:a16="http://schemas.microsoft.com/office/drawing/2014/main" id="{00000000-0008-0000-0100-000041380000}"/>
            </a:ext>
          </a:extLst>
        </xdr:cNvPr>
        <xdr:cNvSpPr>
          <a:spLocks noChangeArrowheads="1"/>
        </xdr:cNvSpPr>
      </xdr:nvSpPr>
      <xdr:spPr bwMode="auto">
        <a:xfrm>
          <a:off x="586740" y="4168140"/>
          <a:ext cx="7421880" cy="173736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1212850</xdr:colOff>
          <xdr:row>5</xdr:row>
          <xdr:rowOff>0</xdr:rowOff>
        </xdr:from>
        <xdr:to>
          <xdr:col>4</xdr:col>
          <xdr:colOff>57150</xdr:colOff>
          <xdr:row>6</xdr:row>
          <xdr:rowOff>19050</xdr:rowOff>
        </xdr:to>
        <xdr:sp macro="" textlink="">
          <xdr:nvSpPr>
            <xdr:cNvPr id="8249" name="Drop Down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198120</xdr:colOff>
      <xdr:row>20</xdr:row>
      <xdr:rowOff>0</xdr:rowOff>
    </xdr:from>
    <xdr:to>
      <xdr:col>14</xdr:col>
      <xdr:colOff>350520</xdr:colOff>
      <xdr:row>41</xdr:row>
      <xdr:rowOff>7620</xdr:rowOff>
    </xdr:to>
    <xdr:sp macro="" textlink="">
      <xdr:nvSpPr>
        <xdr:cNvPr id="9244" name="Rectangle 1">
          <a:extLst>
            <a:ext uri="{FF2B5EF4-FFF2-40B4-BE49-F238E27FC236}">
              <a16:creationId xmlns:a16="http://schemas.microsoft.com/office/drawing/2014/main" id="{00000000-0008-0000-0600-00001C240000}"/>
            </a:ext>
          </a:extLst>
        </xdr:cNvPr>
        <xdr:cNvSpPr>
          <a:spLocks noChangeArrowheads="1"/>
        </xdr:cNvSpPr>
      </xdr:nvSpPr>
      <xdr:spPr bwMode="auto">
        <a:xfrm>
          <a:off x="4655820" y="3002280"/>
          <a:ext cx="3169920" cy="2971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5"/>
  <sheetViews>
    <sheetView showGridLines="0" tabSelected="1" topLeftCell="A7" zoomScaleNormal="100" workbookViewId="0">
      <selection activeCell="B22" sqref="B22"/>
    </sheetView>
  </sheetViews>
  <sheetFormatPr defaultColWidth="10.7265625" defaultRowHeight="17.5"/>
  <cols>
    <col min="1" max="1" width="10.7265625" style="8" customWidth="1"/>
    <col min="2" max="2" width="32.26953125" style="34" customWidth="1"/>
    <col min="3" max="6" width="10.7265625" style="8" customWidth="1"/>
    <col min="7" max="10" width="8.7265625" style="8" customWidth="1"/>
    <col min="11" max="16384" width="10.7265625" style="8"/>
  </cols>
  <sheetData>
    <row r="1" spans="1:10">
      <c r="A1" s="28" t="s">
        <v>296</v>
      </c>
      <c r="B1" s="29"/>
      <c r="C1" s="30"/>
      <c r="D1" s="30"/>
      <c r="E1" s="30"/>
      <c r="F1" s="30"/>
      <c r="G1" s="30"/>
      <c r="H1" s="30"/>
      <c r="I1" s="30"/>
      <c r="J1" s="31"/>
    </row>
    <row r="2" spans="1:10">
      <c r="A2" s="4"/>
      <c r="B2" s="32"/>
      <c r="C2" s="6"/>
      <c r="D2" s="6"/>
      <c r="E2" s="6"/>
      <c r="F2" s="6"/>
      <c r="G2" s="6"/>
      <c r="H2" s="6"/>
      <c r="I2" s="6"/>
      <c r="J2" s="7"/>
    </row>
    <row r="3" spans="1:10">
      <c r="A3" s="4"/>
      <c r="B3" s="33"/>
      <c r="C3" s="6"/>
      <c r="D3" s="6"/>
      <c r="E3" s="6"/>
      <c r="F3" s="6"/>
      <c r="G3" s="6"/>
      <c r="H3" s="6"/>
      <c r="I3" s="6"/>
      <c r="J3" s="7"/>
    </row>
    <row r="4" spans="1:10">
      <c r="A4" s="4"/>
      <c r="C4" s="6"/>
      <c r="D4" s="6"/>
      <c r="E4" s="6"/>
      <c r="F4" s="6"/>
      <c r="G4" s="6"/>
      <c r="H4" s="6"/>
      <c r="I4" s="6"/>
      <c r="J4" s="7"/>
    </row>
    <row r="5" spans="1:10">
      <c r="A5" s="4"/>
      <c r="C5" s="6"/>
      <c r="D5" s="6"/>
      <c r="E5" s="6"/>
      <c r="F5" s="6"/>
      <c r="G5" s="6"/>
      <c r="H5" s="6"/>
      <c r="I5" s="6"/>
      <c r="J5" s="7"/>
    </row>
    <row r="6" spans="1:10">
      <c r="A6" s="4"/>
      <c r="C6" s="6"/>
      <c r="D6" s="6"/>
      <c r="E6" s="6"/>
      <c r="F6" s="6"/>
      <c r="G6" s="6"/>
      <c r="H6" s="6"/>
      <c r="I6" s="6"/>
      <c r="J6" s="7"/>
    </row>
    <row r="7" spans="1:10" ht="25.5">
      <c r="A7" s="4"/>
      <c r="B7" s="35">
        <f ca="1">TODAY()</f>
        <v>43415</v>
      </c>
      <c r="C7" s="6"/>
      <c r="D7" s="6"/>
      <c r="E7" s="6"/>
      <c r="F7" s="6"/>
      <c r="G7" s="6"/>
      <c r="H7" s="6"/>
      <c r="I7" s="6"/>
      <c r="J7" s="7"/>
    </row>
    <row r="8" spans="1:10" ht="18">
      <c r="A8" s="4"/>
      <c r="B8" s="36"/>
      <c r="C8" s="6"/>
      <c r="D8" s="6"/>
      <c r="E8" s="6"/>
      <c r="F8" s="6"/>
      <c r="G8" s="6"/>
      <c r="H8" s="6"/>
      <c r="I8" s="6"/>
      <c r="J8" s="7"/>
    </row>
    <row r="9" spans="1:10" ht="18">
      <c r="A9" s="4"/>
      <c r="B9" s="36"/>
      <c r="C9" s="6"/>
      <c r="D9" s="6"/>
      <c r="E9" s="6"/>
      <c r="F9" s="6"/>
      <c r="G9" s="6"/>
      <c r="H9" s="6"/>
      <c r="I9" s="6"/>
      <c r="J9" s="7"/>
    </row>
    <row r="10" spans="1:10" ht="18">
      <c r="A10" s="4"/>
      <c r="B10" s="36"/>
      <c r="C10" s="6"/>
      <c r="D10" s="6"/>
      <c r="E10" s="6"/>
      <c r="F10" s="6"/>
      <c r="G10" s="6"/>
      <c r="H10" s="6"/>
      <c r="I10" s="6"/>
      <c r="J10" s="7"/>
    </row>
    <row r="11" spans="1:10" ht="18">
      <c r="A11" s="4"/>
      <c r="B11" s="36"/>
      <c r="C11" s="6"/>
      <c r="D11" s="6"/>
      <c r="E11" s="6"/>
      <c r="F11" s="6"/>
      <c r="G11" s="6"/>
      <c r="H11" s="6"/>
      <c r="I11" s="6"/>
      <c r="J11" s="7"/>
    </row>
    <row r="12" spans="1:10" ht="38">
      <c r="A12" s="4"/>
      <c r="B12" s="5" t="s">
        <v>284</v>
      </c>
      <c r="C12" s="6"/>
      <c r="D12" s="6"/>
      <c r="E12" s="6"/>
      <c r="F12" s="6"/>
      <c r="G12" s="6"/>
      <c r="H12" s="6"/>
      <c r="I12" s="6"/>
      <c r="J12" s="7"/>
    </row>
    <row r="13" spans="1:10" ht="15" customHeight="1">
      <c r="A13" s="4"/>
      <c r="B13" s="37"/>
      <c r="C13" s="6"/>
      <c r="D13" s="6"/>
      <c r="E13" s="6"/>
      <c r="F13" s="6"/>
      <c r="G13" s="6"/>
      <c r="H13" s="6"/>
      <c r="I13" s="6"/>
      <c r="J13" s="7"/>
    </row>
    <row r="14" spans="1:10" ht="30.5">
      <c r="A14" s="4"/>
      <c r="B14" s="38" t="s">
        <v>288</v>
      </c>
      <c r="C14" s="6"/>
      <c r="D14" s="6"/>
      <c r="E14" s="6"/>
      <c r="F14" s="6"/>
      <c r="G14" s="6"/>
      <c r="H14" s="6"/>
      <c r="I14" s="6"/>
      <c r="J14" s="7"/>
    </row>
    <row r="15" spans="1:10" ht="18">
      <c r="A15" s="4"/>
      <c r="B15" s="36"/>
      <c r="C15" s="6"/>
      <c r="D15" s="6"/>
      <c r="E15" s="6"/>
      <c r="F15" s="6"/>
      <c r="G15" s="6"/>
      <c r="H15" s="6"/>
      <c r="I15" s="6"/>
      <c r="J15" s="7"/>
    </row>
    <row r="16" spans="1:10" ht="18">
      <c r="A16" s="4"/>
      <c r="B16" s="36"/>
      <c r="C16" s="6"/>
      <c r="D16" s="6"/>
      <c r="E16" s="6"/>
      <c r="F16" s="6"/>
      <c r="G16" s="6"/>
      <c r="H16" s="6"/>
      <c r="I16" s="6"/>
      <c r="J16" s="7"/>
    </row>
    <row r="17" spans="1:10" ht="18">
      <c r="A17" s="4"/>
      <c r="B17" s="36"/>
      <c r="C17" s="6"/>
      <c r="D17" s="6"/>
      <c r="E17" s="6"/>
      <c r="F17" s="6"/>
      <c r="G17" s="6"/>
      <c r="H17" s="6"/>
      <c r="I17" s="6"/>
      <c r="J17" s="7"/>
    </row>
    <row r="18" spans="1:10" ht="18">
      <c r="A18" s="4"/>
      <c r="B18" s="36"/>
      <c r="C18" s="6"/>
      <c r="D18" s="6"/>
      <c r="E18" s="6"/>
      <c r="F18" s="6"/>
      <c r="G18" s="6"/>
      <c r="H18" s="6"/>
      <c r="I18" s="6"/>
      <c r="J18" s="7"/>
    </row>
    <row r="19" spans="1:10" ht="18">
      <c r="A19" s="4"/>
      <c r="B19" s="36"/>
      <c r="C19" s="6"/>
      <c r="D19" s="6"/>
      <c r="E19" s="6"/>
      <c r="F19" s="6"/>
      <c r="G19" s="6"/>
      <c r="H19" s="6"/>
      <c r="I19" s="6"/>
      <c r="J19" s="7"/>
    </row>
    <row r="20" spans="1:10" ht="18">
      <c r="A20" s="4"/>
      <c r="B20" s="36"/>
      <c r="C20" s="6"/>
      <c r="D20" s="6"/>
      <c r="E20" s="6"/>
      <c r="F20" s="6"/>
      <c r="G20" s="6"/>
      <c r="H20" s="6"/>
      <c r="I20" s="6"/>
      <c r="J20" s="7"/>
    </row>
    <row r="21" spans="1:10" ht="18">
      <c r="A21" s="4"/>
      <c r="B21" s="36"/>
      <c r="C21" s="6"/>
      <c r="D21" s="6"/>
      <c r="E21" s="6"/>
      <c r="F21" s="6"/>
      <c r="G21" s="6"/>
      <c r="H21" s="6"/>
      <c r="I21" s="6"/>
      <c r="J21" s="7"/>
    </row>
    <row r="22" spans="1:10" ht="25.5">
      <c r="A22" s="4"/>
      <c r="B22" s="39"/>
      <c r="C22" s="6"/>
      <c r="D22" s="6"/>
      <c r="E22" s="6"/>
      <c r="F22" s="6"/>
      <c r="G22" s="6"/>
      <c r="H22" s="6"/>
      <c r="I22" s="6"/>
      <c r="J22" s="7"/>
    </row>
    <row r="23" spans="1:10" ht="25.5">
      <c r="A23" s="4"/>
      <c r="B23" s="39"/>
      <c r="C23" s="6"/>
      <c r="D23" s="6"/>
      <c r="E23" s="6"/>
      <c r="F23" s="6"/>
      <c r="G23" s="6"/>
      <c r="H23" s="6"/>
      <c r="I23" s="6"/>
      <c r="J23" s="7"/>
    </row>
    <row r="24" spans="1:10" ht="25.5">
      <c r="A24" s="4"/>
      <c r="B24" s="39"/>
      <c r="C24" s="6"/>
      <c r="D24" s="6"/>
      <c r="E24" s="6"/>
      <c r="F24" s="6"/>
      <c r="G24" s="6"/>
      <c r="H24" s="6"/>
      <c r="I24" s="6"/>
      <c r="J24" s="7"/>
    </row>
    <row r="25" spans="1:10" ht="25.5">
      <c r="A25" s="40"/>
      <c r="B25" s="41"/>
      <c r="C25" s="42"/>
      <c r="D25" s="42"/>
      <c r="E25" s="42"/>
      <c r="F25" s="42"/>
      <c r="G25" s="42"/>
      <c r="H25" s="42"/>
      <c r="I25" s="42"/>
      <c r="J25" s="43"/>
    </row>
  </sheetData>
  <sheetProtection formatCells="0" formatColumns="0" formatRows="0" insertColumns="0" insertRows="0"/>
  <phoneticPr fontId="0" type="noConversion"/>
  <conditionalFormatting sqref="J349:N353">
    <cfRule type="cellIs" dxfId="10" priority="1" stopIfTrue="1" operator="greaterThan">
      <formula>330</formula>
    </cfRule>
  </conditionalFormatting>
  <printOptions horizontalCentered="1" verticalCentered="1"/>
  <pageMargins left="0.5" right="0.5" top="0.5" bottom="0.5"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1"/>
  <dimension ref="B1:AG48"/>
  <sheetViews>
    <sheetView showGridLines="0" topLeftCell="A28" zoomScaleNormal="100" workbookViewId="0"/>
  </sheetViews>
  <sheetFormatPr defaultColWidth="10.7265625" defaultRowHeight="13"/>
  <cols>
    <col min="1" max="1" width="2.81640625" style="25" customWidth="1"/>
    <col min="2" max="2" width="5.7265625" style="25" customWidth="1"/>
    <col min="3" max="3" width="1.7265625" style="25" customWidth="1"/>
    <col min="4" max="4" width="20.7265625" style="25" customWidth="1"/>
    <col min="5" max="5" width="5.7265625" style="25" customWidth="1"/>
    <col min="6" max="6" width="3.7265625" style="25" customWidth="1"/>
    <col min="7" max="7" width="5.7265625" style="25" customWidth="1"/>
    <col min="8" max="8" width="4.7265625" style="25" customWidth="1"/>
    <col min="9" max="9" width="7.81640625" style="25" customWidth="1"/>
    <col min="10" max="10" width="3.7265625" style="25" customWidth="1"/>
    <col min="11" max="11" width="6.7265625" style="25" customWidth="1"/>
    <col min="12" max="12" width="4.7265625" style="25" customWidth="1"/>
    <col min="13" max="13" width="6.7265625" style="25" customWidth="1"/>
    <col min="14" max="14" width="3.7265625" style="25" customWidth="1"/>
    <col min="15" max="15" width="6.7265625" style="25" customWidth="1"/>
    <col min="16" max="16" width="4.7265625" style="25" customWidth="1"/>
    <col min="17" max="17" width="7.7265625" style="25" customWidth="1"/>
    <col min="18" max="18" width="3.7265625" style="25" customWidth="1"/>
    <col min="19" max="19" width="7.7265625" style="25" customWidth="1"/>
    <col min="20" max="20" width="1.7265625" style="25" customWidth="1"/>
    <col min="21" max="21" width="5.7265625" style="25" customWidth="1"/>
    <col min="22" max="22" width="16.7265625" style="25" customWidth="1"/>
    <col min="23" max="23" width="7.81640625" style="25" customWidth="1"/>
    <col min="24" max="24" width="4.81640625" style="25" customWidth="1"/>
    <col min="25" max="25" width="7.81640625" style="25" customWidth="1"/>
    <col min="26" max="16384" width="10.7265625" style="25"/>
  </cols>
  <sheetData>
    <row r="1" spans="2:33" ht="22.75" customHeight="1">
      <c r="B1" s="3" t="str">
        <f>Cover!B12</f>
        <v>Medallion Mouldings</v>
      </c>
      <c r="C1" s="21"/>
      <c r="D1" s="22"/>
      <c r="E1" s="23"/>
      <c r="F1" s="23"/>
      <c r="G1" s="23"/>
      <c r="H1" s="23"/>
      <c r="I1" s="23"/>
      <c r="J1" s="23"/>
      <c r="K1" s="23"/>
      <c r="L1" s="23"/>
      <c r="M1" s="23"/>
      <c r="N1" s="23"/>
      <c r="O1" s="23"/>
      <c r="P1" s="23"/>
      <c r="Q1" s="23"/>
      <c r="R1" s="23"/>
      <c r="S1" s="23"/>
      <c r="T1" s="23"/>
      <c r="U1" s="23"/>
      <c r="V1" s="24"/>
    </row>
    <row r="2" spans="2:33" ht="17.5">
      <c r="B2" s="44" t="s">
        <v>262</v>
      </c>
      <c r="C2" s="44"/>
      <c r="D2" s="44"/>
      <c r="E2" s="44"/>
      <c r="F2" s="44"/>
      <c r="G2" s="44"/>
      <c r="H2" s="44"/>
      <c r="I2" s="44"/>
      <c r="J2" s="44"/>
      <c r="K2" s="44"/>
      <c r="L2" s="44"/>
      <c r="M2" s="44"/>
      <c r="N2" s="44"/>
      <c r="O2" s="44"/>
      <c r="P2" s="44"/>
      <c r="Q2" s="44"/>
      <c r="R2" s="44"/>
      <c r="S2" s="44"/>
      <c r="T2" s="44"/>
      <c r="U2" s="44"/>
      <c r="V2" s="45"/>
    </row>
    <row r="3" spans="2:33" ht="6" customHeight="1" thickBot="1">
      <c r="B3" s="46"/>
      <c r="C3" s="46"/>
      <c r="D3" s="46"/>
      <c r="E3" s="46"/>
      <c r="F3" s="46"/>
      <c r="G3" s="46"/>
      <c r="H3" s="46"/>
      <c r="I3" s="46"/>
      <c r="J3" s="46"/>
      <c r="K3" s="46"/>
      <c r="L3" s="46"/>
      <c r="M3" s="46"/>
      <c r="N3" s="46"/>
      <c r="O3" s="46"/>
      <c r="P3" s="46"/>
      <c r="Q3" s="46"/>
      <c r="R3" s="46"/>
      <c r="S3" s="46"/>
      <c r="T3" s="46"/>
      <c r="U3" s="46"/>
      <c r="V3" s="47"/>
    </row>
    <row r="4" spans="2:33" ht="15.75" customHeight="1">
      <c r="C4" s="48"/>
      <c r="D4" s="49"/>
      <c r="E4" s="50"/>
      <c r="F4" s="50"/>
      <c r="G4" s="50"/>
      <c r="H4" s="50"/>
      <c r="I4" s="50"/>
      <c r="J4" s="50"/>
      <c r="K4" s="50"/>
      <c r="L4" s="50"/>
      <c r="M4" s="50"/>
      <c r="N4" s="50"/>
      <c r="O4" s="50"/>
      <c r="P4" s="50"/>
      <c r="Q4" s="50"/>
      <c r="R4" s="50"/>
      <c r="S4" s="50"/>
      <c r="T4" s="50"/>
      <c r="U4" s="50"/>
    </row>
    <row r="5" spans="2:33" ht="15.75" customHeight="1">
      <c r="C5" s="48"/>
      <c r="D5" s="49"/>
      <c r="E5" s="50"/>
      <c r="F5" s="50"/>
      <c r="G5" s="50"/>
      <c r="H5" s="50"/>
      <c r="I5" s="50"/>
      <c r="J5" s="50"/>
      <c r="K5" s="50"/>
      <c r="L5" s="50"/>
      <c r="M5" s="50"/>
      <c r="N5" s="50"/>
      <c r="O5" s="50"/>
      <c r="P5" s="50"/>
      <c r="Q5" s="50"/>
      <c r="R5" s="50"/>
      <c r="S5" s="50"/>
      <c r="T5" s="50"/>
      <c r="U5" s="50"/>
      <c r="V5" s="51" t="str">
        <f>"Net Debt (12/31/"&amp;RIGHT(Model!J175,2)&amp;")"</f>
        <v>Net Debt (12/31/17)</v>
      </c>
      <c r="W5" s="52"/>
      <c r="X5" s="53"/>
      <c r="Y5" s="53"/>
      <c r="Z5" s="54">
        <f>'DCF Schedule'!J25</f>
        <v>200</v>
      </c>
    </row>
    <row r="6" spans="2:33" ht="15.75" customHeight="1">
      <c r="C6" s="48"/>
      <c r="D6" s="49"/>
      <c r="E6" s="50"/>
      <c r="F6" s="50"/>
      <c r="G6" s="50"/>
      <c r="H6" s="50"/>
      <c r="I6" s="50"/>
      <c r="J6" s="50"/>
      <c r="K6" s="50"/>
      <c r="L6" s="50"/>
      <c r="M6" s="55"/>
      <c r="N6" s="50"/>
      <c r="O6" s="50"/>
      <c r="P6" s="50"/>
      <c r="Q6" s="55"/>
      <c r="R6" s="50"/>
      <c r="S6" s="50"/>
      <c r="T6" s="50"/>
      <c r="U6" s="50"/>
      <c r="V6" s="56" t="str">
        <f>"FD Shares O/S MM (12/31/"&amp;RIGHT(Model!J175,2)&amp;")"</f>
        <v>FD Shares O/S MM (12/31/17)</v>
      </c>
      <c r="W6" s="57"/>
      <c r="X6" s="57"/>
      <c r="Y6" s="57"/>
      <c r="Z6" s="58">
        <f>Assumptions!N9</f>
        <v>14.8</v>
      </c>
    </row>
    <row r="7" spans="2:33" ht="18" customHeight="1">
      <c r="C7" s="59" t="s">
        <v>263</v>
      </c>
      <c r="D7" s="49"/>
      <c r="E7" s="50"/>
      <c r="F7" s="50"/>
      <c r="G7" s="50"/>
      <c r="H7" s="50"/>
      <c r="I7" s="50"/>
      <c r="J7" s="50"/>
      <c r="K7" s="50"/>
      <c r="L7" s="50"/>
      <c r="M7" s="50"/>
      <c r="N7" s="50"/>
      <c r="O7" s="50"/>
      <c r="P7" s="50"/>
      <c r="Q7" s="50"/>
      <c r="R7" s="50"/>
      <c r="S7" s="50"/>
      <c r="T7" s="50"/>
      <c r="U7" s="60"/>
      <c r="V7" s="61" t="e">
        <f ca="1">Assumptions!J6</f>
        <v>#VALUE!</v>
      </c>
      <c r="W7" s="62"/>
      <c r="X7" s="62"/>
      <c r="Y7" s="62"/>
      <c r="Z7" s="63">
        <f>Assumptions!N6</f>
        <v>11.5</v>
      </c>
    </row>
    <row r="8" spans="2:33" s="64" customFormat="1" ht="3" customHeight="1">
      <c r="D8" s="65"/>
      <c r="E8" s="65"/>
      <c r="F8" s="65"/>
      <c r="G8" s="65"/>
      <c r="H8" s="65"/>
      <c r="I8" s="65"/>
      <c r="J8" s="65"/>
      <c r="K8" s="65"/>
      <c r="L8" s="65"/>
      <c r="M8" s="65"/>
      <c r="N8" s="65"/>
      <c r="O8" s="65"/>
      <c r="P8" s="65"/>
      <c r="Q8" s="65"/>
      <c r="R8" s="65"/>
      <c r="S8" s="65"/>
      <c r="T8" s="65"/>
      <c r="U8" s="65"/>
      <c r="V8" s="25"/>
      <c r="W8" s="25"/>
      <c r="X8" s="25"/>
      <c r="Y8" s="25"/>
      <c r="Z8" s="25"/>
    </row>
    <row r="9" spans="2:33" ht="8.25" customHeight="1">
      <c r="B9" s="57"/>
      <c r="C9" s="57"/>
      <c r="D9" s="57"/>
      <c r="E9" s="57"/>
      <c r="F9" s="57"/>
      <c r="G9" s="57"/>
      <c r="H9" s="57"/>
      <c r="I9" s="57"/>
      <c r="J9" s="57"/>
      <c r="K9" s="57"/>
      <c r="L9" s="57"/>
      <c r="M9" s="57"/>
      <c r="N9" s="57"/>
      <c r="O9" s="57"/>
      <c r="P9" s="57"/>
      <c r="Q9" s="57"/>
      <c r="R9" s="57"/>
      <c r="S9" s="57"/>
      <c r="T9" s="57"/>
      <c r="U9" s="57"/>
    </row>
    <row r="10" spans="2:33" ht="15" customHeight="1">
      <c r="B10" s="57"/>
      <c r="C10" s="57"/>
      <c r="D10" s="57"/>
      <c r="E10" s="66"/>
      <c r="F10" s="67"/>
      <c r="G10" s="67"/>
      <c r="H10" s="67"/>
      <c r="I10" s="66"/>
      <c r="J10" s="67"/>
      <c r="K10" s="67"/>
      <c r="L10" s="67"/>
      <c r="M10" s="67"/>
      <c r="N10" s="67"/>
      <c r="O10" s="67"/>
      <c r="P10" s="67"/>
      <c r="Q10" s="68" t="s">
        <v>265</v>
      </c>
      <c r="R10" s="68"/>
      <c r="S10" s="68"/>
      <c r="T10" s="47"/>
      <c r="U10" s="67"/>
      <c r="W10" s="69"/>
      <c r="X10" s="70"/>
      <c r="Y10" s="69"/>
    </row>
    <row r="11" spans="2:33" ht="15" customHeight="1">
      <c r="B11" s="57"/>
      <c r="C11" s="57"/>
      <c r="D11" s="71" t="s">
        <v>172</v>
      </c>
      <c r="E11" s="72" t="s">
        <v>173</v>
      </c>
      <c r="F11" s="72"/>
      <c r="G11" s="72"/>
      <c r="H11" s="71"/>
      <c r="I11" s="72" t="s">
        <v>257</v>
      </c>
      <c r="J11" s="72"/>
      <c r="K11" s="72"/>
      <c r="L11" s="71"/>
      <c r="M11" s="72" t="s">
        <v>264</v>
      </c>
      <c r="N11" s="72"/>
      <c r="O11" s="72"/>
      <c r="P11" s="71"/>
      <c r="Q11" s="72" t="e">
        <f ca="1">TEXT(TODAY()-1,"mm/dd/yy")&amp;" - "&amp;DOLLAR(Z7,2)</f>
        <v>#VALUE!</v>
      </c>
      <c r="R11" s="72"/>
      <c r="S11" s="72"/>
      <c r="T11" s="73"/>
      <c r="U11" s="66"/>
      <c r="V11" s="74" t="str">
        <f>'DCF Schedule'!Q1</f>
        <v>CURRENTLY RUNNING: BASE CASE SCENARIO</v>
      </c>
    </row>
    <row r="12" spans="2:33" ht="18" customHeight="1">
      <c r="B12" s="57"/>
      <c r="C12" s="57"/>
      <c r="D12" s="75"/>
      <c r="E12" s="76" t="s">
        <v>259</v>
      </c>
      <c r="F12" s="68"/>
      <c r="G12" s="68"/>
      <c r="H12" s="73"/>
      <c r="I12" s="76" t="s">
        <v>259</v>
      </c>
      <c r="J12" s="68"/>
      <c r="K12" s="68"/>
      <c r="L12" s="73"/>
      <c r="M12" s="76" t="s">
        <v>258</v>
      </c>
      <c r="N12" s="68"/>
      <c r="O12" s="67"/>
      <c r="P12" s="47"/>
      <c r="Q12" s="76" t="s">
        <v>266</v>
      </c>
      <c r="R12" s="68"/>
      <c r="S12" s="67"/>
      <c r="T12" s="47"/>
      <c r="U12" s="76"/>
      <c r="X12" s="77"/>
    </row>
    <row r="13" spans="2:33" ht="6" customHeight="1">
      <c r="B13" s="57"/>
      <c r="C13" s="57"/>
      <c r="D13" s="78"/>
      <c r="E13" s="68"/>
      <c r="F13" s="68"/>
      <c r="G13" s="68"/>
      <c r="H13" s="68"/>
      <c r="I13" s="68"/>
      <c r="J13" s="68"/>
      <c r="K13" s="68"/>
      <c r="L13" s="68"/>
      <c r="M13" s="68"/>
      <c r="N13" s="68"/>
      <c r="Q13" s="68"/>
      <c r="R13" s="68"/>
      <c r="U13" s="66"/>
      <c r="V13" s="79"/>
      <c r="W13" s="80"/>
      <c r="X13" s="80"/>
      <c r="Y13" s="81"/>
    </row>
    <row r="14" spans="2:33" ht="15.75" customHeight="1">
      <c r="B14" s="82"/>
      <c r="C14" s="82"/>
      <c r="D14" s="47" t="s">
        <v>177</v>
      </c>
      <c r="E14" s="83">
        <v>384.67707466142127</v>
      </c>
      <c r="F14" s="84" t="s">
        <v>1</v>
      </c>
      <c r="G14" s="83">
        <v>421.99178381638478</v>
      </c>
      <c r="H14" s="85"/>
      <c r="I14" s="86">
        <f>E14-$Z$5</f>
        <v>184.67707466142127</v>
      </c>
      <c r="J14" s="84" t="s">
        <v>1</v>
      </c>
      <c r="K14" s="86">
        <f>G14-$Z$5</f>
        <v>221.99178381638478</v>
      </c>
      <c r="L14" s="85"/>
      <c r="M14" s="87">
        <f>I14/$Z$6</f>
        <v>12.478180720366302</v>
      </c>
      <c r="N14" s="88" t="s">
        <v>1</v>
      </c>
      <c r="O14" s="87">
        <f>K14/$Z$6</f>
        <v>14.99944485245843</v>
      </c>
      <c r="P14" s="87"/>
      <c r="Q14" s="89">
        <f>M14/$Z$7-1</f>
        <v>8.5059193075330608E-2</v>
      </c>
      <c r="R14" s="88" t="s">
        <v>1</v>
      </c>
      <c r="S14" s="89">
        <f>O14/$Z$7-1</f>
        <v>0.30429955238768946</v>
      </c>
      <c r="U14" s="90"/>
      <c r="V14" s="91" t="s">
        <v>173</v>
      </c>
      <c r="W14" s="92">
        <f>'DCF Schedule'!J34</f>
        <v>384.67787171118914</v>
      </c>
      <c r="X14" s="70" t="s">
        <v>1</v>
      </c>
      <c r="Y14" s="93">
        <f>'DCF Schedule'!M23</f>
        <v>421.99252195333167</v>
      </c>
      <c r="AA14" s="94"/>
      <c r="AB14" s="95"/>
      <c r="AC14" s="94"/>
      <c r="AF14" s="95"/>
      <c r="AG14" s="94"/>
    </row>
    <row r="15" spans="2:33" ht="10.15" customHeight="1">
      <c r="B15" s="82"/>
      <c r="C15" s="82"/>
      <c r="D15" s="47"/>
      <c r="E15" s="83"/>
      <c r="F15" s="84"/>
      <c r="G15" s="83"/>
      <c r="H15" s="85"/>
      <c r="I15" s="83"/>
      <c r="J15" s="84"/>
      <c r="K15" s="83"/>
      <c r="L15" s="85"/>
      <c r="M15" s="85"/>
      <c r="N15" s="85"/>
      <c r="Q15" s="85"/>
      <c r="R15" s="85"/>
      <c r="U15" s="90"/>
      <c r="V15" s="61"/>
      <c r="W15" s="96"/>
      <c r="X15" s="97"/>
      <c r="Y15" s="98"/>
      <c r="AA15" s="99"/>
      <c r="AB15" s="100"/>
      <c r="AC15" s="99"/>
      <c r="AF15" s="100"/>
      <c r="AG15" s="99"/>
    </row>
    <row r="16" spans="2:33" ht="15.75" customHeight="1">
      <c r="B16" s="82"/>
      <c r="C16" s="82"/>
      <c r="D16" s="47" t="s">
        <v>178</v>
      </c>
      <c r="E16" s="83">
        <v>543.76625436089148</v>
      </c>
      <c r="F16" s="84" t="s">
        <v>1</v>
      </c>
      <c r="G16" s="83">
        <v>597.56168825011446</v>
      </c>
      <c r="H16" s="85"/>
      <c r="I16" s="86">
        <f>E16-$Z$5</f>
        <v>343.76625436089148</v>
      </c>
      <c r="J16" s="84" t="s">
        <v>1</v>
      </c>
      <c r="K16" s="86">
        <f>G16-$Z$5</f>
        <v>397.56168825011446</v>
      </c>
      <c r="L16" s="85"/>
      <c r="M16" s="87">
        <f>I16/$Z$6</f>
        <v>23.227449618979154</v>
      </c>
      <c r="N16" s="88" t="s">
        <v>1</v>
      </c>
      <c r="O16" s="87">
        <f>K16/$Z$6</f>
        <v>26.862276233115839</v>
      </c>
      <c r="P16" s="87"/>
      <c r="Q16" s="89">
        <f>M16/$Z$7-1</f>
        <v>1.019778227737318</v>
      </c>
      <c r="R16" s="88" t="s">
        <v>1</v>
      </c>
      <c r="S16" s="89">
        <f>O16/$Z$7-1</f>
        <v>1.3358501072274644</v>
      </c>
      <c r="U16" s="90"/>
    </row>
    <row r="17" spans="2:29" ht="10.15" customHeight="1">
      <c r="B17" s="82"/>
      <c r="C17" s="82"/>
      <c r="D17" s="47"/>
      <c r="E17" s="83"/>
      <c r="F17" s="84"/>
      <c r="G17" s="83"/>
      <c r="H17" s="85"/>
      <c r="I17" s="83"/>
      <c r="J17" s="84"/>
      <c r="K17" s="83"/>
      <c r="L17" s="85"/>
      <c r="M17" s="101"/>
      <c r="N17" s="88"/>
      <c r="O17" s="101"/>
      <c r="P17" s="101"/>
      <c r="Q17" s="101"/>
      <c r="R17" s="88"/>
      <c r="S17" s="101"/>
      <c r="U17" s="90"/>
    </row>
    <row r="18" spans="2:29" ht="15.75" customHeight="1">
      <c r="B18" s="82"/>
      <c r="C18" s="82"/>
      <c r="D18" s="47" t="s">
        <v>179</v>
      </c>
      <c r="E18" s="83">
        <v>219.21361334562189</v>
      </c>
      <c r="F18" s="84" t="s">
        <v>1</v>
      </c>
      <c r="G18" s="83">
        <v>239.35707955111693</v>
      </c>
      <c r="H18" s="85"/>
      <c r="I18" s="86">
        <f>E18-$Z$5</f>
        <v>19.213613345621894</v>
      </c>
      <c r="J18" s="84" t="s">
        <v>1</v>
      </c>
      <c r="K18" s="86">
        <f>G18-$Z$5</f>
        <v>39.357079551116925</v>
      </c>
      <c r="L18" s="85"/>
      <c r="M18" s="87">
        <f>I18/$Z$6</f>
        <v>1.2982171179474253</v>
      </c>
      <c r="N18" s="88" t="s">
        <v>1</v>
      </c>
      <c r="O18" s="87">
        <f>K18/$Z$6</f>
        <v>2.6592621318322247</v>
      </c>
      <c r="P18" s="87"/>
      <c r="Q18" s="89">
        <f>M18/$Z$7-1</f>
        <v>-0.88711155496109351</v>
      </c>
      <c r="R18" s="88" t="s">
        <v>1</v>
      </c>
      <c r="S18" s="89">
        <f>O18/$Z$7-1</f>
        <v>-0.7687598146232848</v>
      </c>
      <c r="U18" s="90"/>
    </row>
    <row r="19" spans="2:29" s="64" customFormat="1" ht="8.25" customHeight="1">
      <c r="E19" s="65"/>
      <c r="F19" s="102"/>
      <c r="G19" s="103"/>
      <c r="H19" s="103"/>
      <c r="I19" s="65"/>
      <c r="J19" s="102"/>
      <c r="K19" s="103"/>
      <c r="L19" s="103"/>
      <c r="M19" s="103"/>
      <c r="N19" s="103"/>
      <c r="O19" s="102"/>
      <c r="P19" s="102"/>
      <c r="Q19" s="103"/>
      <c r="R19" s="103"/>
      <c r="S19" s="102"/>
      <c r="T19" s="102"/>
      <c r="U19" s="65"/>
      <c r="V19" s="25"/>
      <c r="W19" s="25"/>
      <c r="X19" s="25"/>
      <c r="Y19" s="25"/>
      <c r="Z19" s="25"/>
    </row>
    <row r="20" spans="2:29" s="64" customFormat="1" ht="10.15" customHeight="1">
      <c r="E20" s="65"/>
      <c r="F20" s="102"/>
      <c r="G20" s="103"/>
      <c r="H20" s="103"/>
      <c r="I20" s="65"/>
      <c r="J20" s="102"/>
      <c r="K20" s="103"/>
      <c r="L20" s="103"/>
      <c r="M20" s="103"/>
      <c r="N20" s="103"/>
      <c r="O20" s="102"/>
      <c r="P20" s="102"/>
      <c r="Q20" s="103"/>
      <c r="R20" s="103"/>
      <c r="S20" s="102"/>
      <c r="T20" s="102"/>
      <c r="U20" s="65"/>
      <c r="V20" s="25"/>
      <c r="W20" s="25"/>
      <c r="X20" s="25"/>
      <c r="Y20" s="25"/>
      <c r="Z20" s="25"/>
    </row>
    <row r="21" spans="2:29" s="64" customFormat="1" ht="15.75" customHeight="1">
      <c r="E21" s="65"/>
      <c r="F21" s="102"/>
      <c r="G21" s="103"/>
      <c r="H21" s="103"/>
      <c r="I21" s="65"/>
      <c r="J21" s="102"/>
      <c r="K21" s="103"/>
      <c r="L21" s="103"/>
      <c r="M21" s="103"/>
      <c r="N21" s="103"/>
      <c r="O21" s="102"/>
      <c r="P21" s="102"/>
      <c r="Q21" s="103"/>
      <c r="R21" s="103"/>
      <c r="S21" s="102"/>
      <c r="T21" s="102"/>
      <c r="U21" s="65"/>
      <c r="V21" s="25"/>
      <c r="W21" s="25"/>
      <c r="X21" s="25"/>
      <c r="Y21" s="25"/>
      <c r="Z21" s="25"/>
    </row>
    <row r="22" spans="2:29" s="64" customFormat="1" ht="15.75" customHeight="1">
      <c r="E22" s="65"/>
      <c r="F22" s="102"/>
      <c r="G22" s="103"/>
      <c r="H22" s="103"/>
      <c r="I22" s="65"/>
      <c r="J22" s="102"/>
      <c r="K22" s="103"/>
      <c r="L22" s="103"/>
      <c r="M22" s="103"/>
      <c r="N22" s="103"/>
      <c r="O22" s="102"/>
      <c r="P22" s="102"/>
      <c r="Q22" s="103"/>
      <c r="R22" s="103"/>
      <c r="S22" s="102"/>
      <c r="T22" s="102"/>
      <c r="U22" s="65"/>
      <c r="V22" s="25"/>
      <c r="W22" s="25"/>
      <c r="X22" s="25"/>
      <c r="Y22" s="25"/>
      <c r="Z22" s="25"/>
    </row>
    <row r="23" spans="2:29" s="64" customFormat="1" ht="15.75" customHeight="1">
      <c r="E23" s="65"/>
      <c r="F23" s="102"/>
      <c r="G23" s="103"/>
      <c r="H23" s="103"/>
      <c r="I23" s="65"/>
      <c r="J23" s="102"/>
      <c r="K23" s="103"/>
      <c r="L23" s="103"/>
      <c r="M23" s="103"/>
      <c r="N23" s="103"/>
      <c r="O23" s="102"/>
      <c r="P23" s="102"/>
      <c r="Q23" s="103"/>
      <c r="R23" s="103"/>
      <c r="S23" s="102"/>
      <c r="T23" s="102"/>
      <c r="U23" s="65"/>
      <c r="V23" s="25"/>
      <c r="W23" s="25"/>
      <c r="X23" s="25"/>
      <c r="Y23" s="25"/>
      <c r="Z23" s="25"/>
    </row>
    <row r="24" spans="2:29" ht="18" customHeight="1">
      <c r="C24" s="59" t="s">
        <v>260</v>
      </c>
      <c r="D24" s="44"/>
      <c r="E24" s="50"/>
      <c r="F24" s="50"/>
      <c r="G24" s="50"/>
      <c r="H24" s="50"/>
      <c r="I24" s="50"/>
      <c r="J24" s="50"/>
      <c r="K24" s="50"/>
      <c r="L24" s="50"/>
      <c r="M24" s="50"/>
      <c r="N24" s="50"/>
      <c r="O24" s="50"/>
      <c r="P24" s="50"/>
      <c r="Q24" s="50"/>
      <c r="R24" s="50"/>
      <c r="S24" s="50"/>
      <c r="T24" s="50"/>
      <c r="U24" s="60"/>
    </row>
    <row r="25" spans="2:29" s="64" customFormat="1" ht="3" customHeight="1">
      <c r="D25" s="65"/>
      <c r="E25" s="65"/>
      <c r="F25" s="65"/>
      <c r="G25" s="65"/>
      <c r="H25" s="65"/>
      <c r="I25" s="65"/>
      <c r="J25" s="65"/>
      <c r="K25" s="65"/>
      <c r="L25" s="65"/>
      <c r="M25" s="65"/>
      <c r="N25" s="65"/>
      <c r="O25" s="65"/>
      <c r="P25" s="65"/>
      <c r="Q25" s="65"/>
      <c r="R25" s="65"/>
      <c r="S25" s="65"/>
      <c r="T25" s="65"/>
      <c r="U25" s="65"/>
      <c r="V25" s="25"/>
      <c r="W25" s="25"/>
      <c r="X25" s="25"/>
      <c r="Y25" s="25"/>
      <c r="Z25" s="25"/>
    </row>
    <row r="26" spans="2:29" ht="8.25" customHeight="1">
      <c r="B26" s="57"/>
      <c r="C26" s="57"/>
      <c r="D26" s="57"/>
      <c r="E26" s="57"/>
      <c r="F26" s="57"/>
      <c r="G26" s="57"/>
      <c r="H26" s="57"/>
      <c r="I26" s="57"/>
      <c r="J26" s="57"/>
      <c r="K26" s="57"/>
      <c r="L26" s="57"/>
      <c r="M26" s="57"/>
      <c r="N26" s="57"/>
      <c r="O26" s="57"/>
      <c r="P26" s="57"/>
      <c r="Q26" s="57"/>
      <c r="R26" s="57"/>
      <c r="S26" s="57"/>
      <c r="T26" s="57"/>
      <c r="U26" s="57"/>
    </row>
    <row r="27" spans="2:29" ht="15" customHeight="1">
      <c r="B27" s="57"/>
      <c r="C27" s="57"/>
      <c r="D27" s="57"/>
      <c r="E27" s="66"/>
      <c r="F27" s="67"/>
      <c r="G27" s="67"/>
      <c r="H27" s="67"/>
      <c r="I27" s="66"/>
      <c r="J27" s="67"/>
      <c r="K27" s="67"/>
      <c r="L27" s="67"/>
      <c r="M27" s="67"/>
      <c r="N27" s="67"/>
      <c r="O27" s="67"/>
      <c r="P27" s="67"/>
      <c r="Q27" s="68" t="s">
        <v>265</v>
      </c>
      <c r="R27" s="68"/>
      <c r="S27" s="68"/>
      <c r="T27" s="47"/>
      <c r="U27" s="67"/>
    </row>
    <row r="28" spans="2:29" ht="15" customHeight="1">
      <c r="B28" s="57"/>
      <c r="C28" s="57"/>
      <c r="D28" s="104" t="str">
        <f>D11</f>
        <v>Scenario</v>
      </c>
      <c r="E28" s="72" t="str">
        <f>Model!K95&amp;"F EPS"</f>
        <v>2018F EPS</v>
      </c>
      <c r="F28" s="72"/>
      <c r="G28" s="72"/>
      <c r="H28" s="71"/>
      <c r="I28" s="72" t="s">
        <v>261</v>
      </c>
      <c r="J28" s="72"/>
      <c r="K28" s="72"/>
      <c r="L28" s="71"/>
      <c r="M28" s="72" t="s">
        <v>264</v>
      </c>
      <c r="N28" s="72"/>
      <c r="O28" s="72"/>
      <c r="P28" s="71"/>
      <c r="Q28" s="72" t="e">
        <f ca="1">TEXT(TODAY()-1,"mm/dd/yy")&amp;" - "&amp;DOLLAR(Z7,2)</f>
        <v>#VALUE!</v>
      </c>
      <c r="R28" s="72"/>
      <c r="S28" s="72"/>
      <c r="T28" s="71"/>
      <c r="U28" s="66"/>
      <c r="V28" s="74" t="str">
        <f>V11</f>
        <v>CURRENTLY RUNNING: BASE CASE SCENARIO</v>
      </c>
    </row>
    <row r="29" spans="2:29" ht="18" customHeight="1">
      <c r="B29" s="57"/>
      <c r="C29" s="57"/>
      <c r="D29" s="75"/>
      <c r="E29" s="76" t="s">
        <v>258</v>
      </c>
      <c r="F29" s="68"/>
      <c r="G29" s="68"/>
      <c r="H29" s="73"/>
      <c r="I29" s="76"/>
      <c r="J29" s="68"/>
      <c r="K29" s="68"/>
      <c r="L29" s="73"/>
      <c r="M29" s="76" t="s">
        <v>258</v>
      </c>
      <c r="N29" s="68"/>
      <c r="O29" s="67"/>
      <c r="P29" s="47"/>
      <c r="Q29" s="76" t="s">
        <v>266</v>
      </c>
      <c r="R29" s="68"/>
      <c r="S29" s="67"/>
      <c r="T29" s="47"/>
      <c r="U29" s="76"/>
      <c r="X29" s="77"/>
    </row>
    <row r="30" spans="2:29" ht="6" customHeight="1">
      <c r="B30" s="57"/>
      <c r="C30" s="57"/>
      <c r="D30" s="78"/>
      <c r="E30" s="68"/>
      <c r="F30" s="68"/>
      <c r="G30" s="68"/>
      <c r="H30" s="68"/>
      <c r="I30" s="68"/>
      <c r="J30" s="68"/>
      <c r="K30" s="68"/>
      <c r="L30" s="68"/>
      <c r="M30" s="68"/>
      <c r="N30" s="68"/>
      <c r="P30" s="105"/>
      <c r="Q30" s="68"/>
      <c r="R30" s="68"/>
      <c r="U30" s="66"/>
      <c r="V30" s="79"/>
      <c r="W30" s="81"/>
      <c r="X30" s="57"/>
      <c r="Y30" s="57"/>
    </row>
    <row r="31" spans="2:29" ht="15.75" customHeight="1">
      <c r="B31" s="82"/>
      <c r="C31" s="82"/>
      <c r="D31" s="47" t="str">
        <f>D14</f>
        <v>Base Case Scenario</v>
      </c>
      <c r="E31" s="106">
        <v>1.0985536365232462</v>
      </c>
      <c r="F31" s="107"/>
      <c r="G31" s="108"/>
      <c r="H31" s="85"/>
      <c r="I31" s="109">
        <v>12</v>
      </c>
      <c r="J31" s="84" t="s">
        <v>1</v>
      </c>
      <c r="K31" s="109">
        <v>16</v>
      </c>
      <c r="L31" s="85"/>
      <c r="M31" s="87">
        <f>$E31*I31</f>
        <v>13.182643638278954</v>
      </c>
      <c r="N31" s="88" t="s">
        <v>1</v>
      </c>
      <c r="O31" s="87">
        <f>$E31*K31</f>
        <v>17.57685818437194</v>
      </c>
      <c r="P31" s="110"/>
      <c r="Q31" s="89">
        <f>M31/$Z$7-1</f>
        <v>0.14631683811121343</v>
      </c>
      <c r="R31" s="88" t="s">
        <v>1</v>
      </c>
      <c r="S31" s="89">
        <f>O31/$Z$7-1</f>
        <v>0.52842245081495132</v>
      </c>
      <c r="U31" s="90"/>
      <c r="V31" s="91" t="str">
        <f>Model!K95&amp;"F EPS"</f>
        <v>2018F EPS</v>
      </c>
      <c r="W31" s="58">
        <f ca="1">Model!K124</f>
        <v>1.0985536365232462</v>
      </c>
      <c r="X31" s="70"/>
      <c r="Y31" s="111"/>
      <c r="AA31" s="94"/>
      <c r="AB31" s="100"/>
      <c r="AC31" s="94"/>
    </row>
    <row r="32" spans="2:29" ht="10.15" customHeight="1">
      <c r="B32" s="82"/>
      <c r="C32" s="82"/>
      <c r="D32" s="47"/>
      <c r="E32" s="83"/>
      <c r="F32" s="84"/>
      <c r="G32" s="83"/>
      <c r="H32" s="85"/>
      <c r="I32" s="83"/>
      <c r="J32" s="84"/>
      <c r="K32" s="83"/>
      <c r="L32" s="85"/>
      <c r="M32" s="85"/>
      <c r="N32" s="85"/>
      <c r="Q32" s="85"/>
      <c r="R32" s="85"/>
      <c r="U32" s="90"/>
      <c r="V32" s="61"/>
      <c r="W32" s="98"/>
      <c r="X32" s="70"/>
      <c r="Y32" s="111"/>
      <c r="AA32" s="99"/>
      <c r="AB32" s="100"/>
      <c r="AC32" s="99"/>
    </row>
    <row r="33" spans="2:26" ht="15.75" customHeight="1">
      <c r="B33" s="82"/>
      <c r="C33" s="82"/>
      <c r="D33" s="47" t="str">
        <f>D16</f>
        <v>Best Case Scenario</v>
      </c>
      <c r="E33" s="106">
        <v>1.8323385110935591</v>
      </c>
      <c r="F33" s="107"/>
      <c r="G33" s="108"/>
      <c r="H33" s="85"/>
      <c r="I33" s="109">
        <v>12</v>
      </c>
      <c r="J33" s="84" t="s">
        <v>1</v>
      </c>
      <c r="K33" s="109">
        <v>16</v>
      </c>
      <c r="L33" s="85"/>
      <c r="M33" s="87">
        <f>$E33*I33</f>
        <v>21.98806213312271</v>
      </c>
      <c r="N33" s="88" t="s">
        <v>1</v>
      </c>
      <c r="O33" s="87">
        <f>$E33*K33</f>
        <v>29.317416177496945</v>
      </c>
      <c r="P33" s="87"/>
      <c r="Q33" s="89">
        <f>M33/$Z$7-1</f>
        <v>0.91200540288023579</v>
      </c>
      <c r="R33" s="88" t="s">
        <v>1</v>
      </c>
      <c r="S33" s="89">
        <f>O33/$Z$7-1</f>
        <v>1.5493405371736473</v>
      </c>
      <c r="U33" s="90"/>
    </row>
    <row r="34" spans="2:26" ht="10.15" customHeight="1">
      <c r="B34" s="82"/>
      <c r="C34" s="82"/>
      <c r="D34" s="47"/>
      <c r="E34" s="83"/>
      <c r="F34" s="84"/>
      <c r="G34" s="83"/>
      <c r="H34" s="85"/>
      <c r="I34" s="83"/>
      <c r="J34" s="84"/>
      <c r="K34" s="83"/>
      <c r="L34" s="85"/>
      <c r="M34" s="101"/>
      <c r="N34" s="88"/>
      <c r="O34" s="101"/>
      <c r="P34" s="101"/>
      <c r="Q34" s="101"/>
      <c r="R34" s="88"/>
      <c r="S34" s="101"/>
      <c r="U34" s="90"/>
    </row>
    <row r="35" spans="2:26" ht="15.75" customHeight="1">
      <c r="B35" s="82"/>
      <c r="C35" s="82"/>
      <c r="D35" s="47" t="str">
        <f>D18</f>
        <v>Worst Case Scenario</v>
      </c>
      <c r="E35" s="106">
        <v>0.31138118542788373</v>
      </c>
      <c r="F35" s="107"/>
      <c r="G35" s="108"/>
      <c r="H35" s="85"/>
      <c r="I35" s="109">
        <v>12</v>
      </c>
      <c r="J35" s="84" t="s">
        <v>1</v>
      </c>
      <c r="K35" s="109">
        <v>16</v>
      </c>
      <c r="L35" s="85"/>
      <c r="M35" s="87">
        <f>$E35*I35</f>
        <v>3.7365742251346048</v>
      </c>
      <c r="N35" s="88" t="s">
        <v>1</v>
      </c>
      <c r="O35" s="87">
        <f>$E35*K35</f>
        <v>4.9820989668461397</v>
      </c>
      <c r="P35" s="87"/>
      <c r="Q35" s="89">
        <f>M35/$Z$7-1</f>
        <v>-0.67508050216220827</v>
      </c>
      <c r="R35" s="88" t="s">
        <v>1</v>
      </c>
      <c r="S35" s="89">
        <f>O35/$Z$7-1</f>
        <v>-0.56677400288294444</v>
      </c>
      <c r="U35" s="90"/>
    </row>
    <row r="36" spans="2:26" s="64" customFormat="1" ht="8.25" customHeight="1">
      <c r="E36" s="65"/>
      <c r="F36" s="102"/>
      <c r="G36" s="103"/>
      <c r="H36" s="103"/>
      <c r="I36" s="65"/>
      <c r="J36" s="102"/>
      <c r="K36" s="103"/>
      <c r="L36" s="103"/>
      <c r="M36" s="103"/>
      <c r="N36" s="103"/>
      <c r="O36" s="102"/>
      <c r="P36" s="102"/>
      <c r="Q36" s="103"/>
      <c r="R36" s="103"/>
      <c r="S36" s="102"/>
      <c r="T36" s="102"/>
      <c r="U36" s="65"/>
      <c r="V36" s="25"/>
      <c r="W36" s="25"/>
      <c r="X36" s="25"/>
      <c r="Y36" s="25"/>
      <c r="Z36" s="25"/>
    </row>
    <row r="37" spans="2:26" s="64" customFormat="1" ht="6" customHeight="1">
      <c r="E37" s="65"/>
      <c r="F37" s="102"/>
      <c r="G37" s="103"/>
      <c r="H37" s="103"/>
      <c r="I37" s="65"/>
      <c r="J37" s="102"/>
      <c r="K37" s="103"/>
      <c r="L37" s="103"/>
      <c r="M37" s="103"/>
      <c r="N37" s="103"/>
      <c r="O37" s="102"/>
      <c r="P37" s="102"/>
      <c r="Q37" s="103"/>
      <c r="R37" s="103"/>
      <c r="S37" s="102"/>
      <c r="T37" s="102"/>
      <c r="U37" s="65"/>
    </row>
    <row r="38" spans="2:26" s="64" customFormat="1" ht="15.75" customHeight="1">
      <c r="E38" s="65"/>
      <c r="F38" s="102"/>
      <c r="G38" s="103"/>
      <c r="H38" s="103"/>
      <c r="I38" s="65"/>
      <c r="J38" s="102"/>
      <c r="K38" s="103"/>
      <c r="L38" s="103"/>
      <c r="M38" s="103"/>
      <c r="N38" s="103"/>
      <c r="O38" s="102"/>
      <c r="P38" s="102"/>
      <c r="Q38" s="103"/>
      <c r="R38" s="103"/>
      <c r="S38" s="102"/>
      <c r="T38" s="102"/>
      <c r="U38" s="65"/>
    </row>
    <row r="39" spans="2:26" s="64" customFormat="1" ht="15.75" customHeight="1">
      <c r="C39" s="112" t="s">
        <v>169</v>
      </c>
      <c r="D39" s="113" t="str">
        <f>CONCATENATE("The Summary Enterprise Values on this page use a WACC of ",TEXT('DCF Schedule'!C32,"0.0%")," and a terminal value growth rate of ",TEXT('DCF Schedule'!J8,"0.0%")," at the low end")</f>
        <v>The Summary Enterprise Values on this page use a WACC of 11.0% and a terminal value growth rate of 2.0% at the low end</v>
      </c>
      <c r="E39" s="65"/>
      <c r="F39" s="102"/>
      <c r="G39" s="103"/>
      <c r="H39" s="103"/>
      <c r="I39" s="65"/>
      <c r="J39" s="102"/>
      <c r="K39" s="103"/>
      <c r="L39" s="103"/>
      <c r="M39" s="103"/>
      <c r="N39" s="103"/>
      <c r="O39" s="102"/>
      <c r="P39" s="102"/>
      <c r="Q39" s="103"/>
      <c r="R39" s="103"/>
      <c r="S39" s="102"/>
      <c r="T39" s="102"/>
      <c r="U39" s="65"/>
    </row>
    <row r="40" spans="2:26" s="64" customFormat="1" ht="15.75" customHeight="1">
      <c r="D40" s="113" t="str">
        <f>CONCATENATE("of each range, and a WACC of ",TEXT('DCF Schedule'!C21,"0.0%")," and a terminal value growth rate of ",TEXT('DCF Schedule'!M8,"0.0%")," at the high end of each range.")</f>
        <v>of each range, and a WACC of 10.5% and a terminal value growth rate of 2.5% at the high end of each range.</v>
      </c>
      <c r="E40" s="65"/>
      <c r="F40" s="102"/>
      <c r="G40" s="103"/>
      <c r="H40" s="103"/>
      <c r="I40" s="65"/>
      <c r="J40" s="102"/>
      <c r="K40" s="103"/>
      <c r="L40" s="103"/>
      <c r="M40" s="103"/>
      <c r="N40" s="103"/>
      <c r="O40" s="102"/>
      <c r="P40" s="102"/>
      <c r="Q40" s="103"/>
      <c r="R40" s="103"/>
      <c r="S40" s="102"/>
      <c r="T40" s="102"/>
      <c r="U40" s="65"/>
    </row>
    <row r="41" spans="2:26" s="64" customFormat="1" ht="15.75" customHeight="1">
      <c r="B41" s="114"/>
      <c r="C41" s="114"/>
      <c r="D41" s="114"/>
      <c r="E41" s="115"/>
      <c r="F41" s="116"/>
      <c r="G41" s="117"/>
      <c r="H41" s="117"/>
      <c r="I41" s="115"/>
      <c r="J41" s="116"/>
      <c r="K41" s="117"/>
      <c r="L41" s="117"/>
      <c r="M41" s="117"/>
      <c r="N41" s="117"/>
      <c r="O41" s="118"/>
      <c r="P41" s="118"/>
      <c r="Q41" s="117"/>
      <c r="R41" s="117"/>
      <c r="S41" s="118"/>
      <c r="T41" s="118"/>
      <c r="U41" s="114"/>
    </row>
    <row r="42" spans="2:26" s="64" customFormat="1" ht="15.5">
      <c r="E42" s="65"/>
      <c r="F42" s="102"/>
      <c r="G42" s="103"/>
      <c r="H42" s="103"/>
      <c r="I42" s="65"/>
      <c r="J42" s="102"/>
      <c r="K42" s="103"/>
      <c r="L42" s="103"/>
      <c r="M42" s="103"/>
      <c r="N42" s="103"/>
      <c r="O42" s="102"/>
      <c r="P42" s="102"/>
      <c r="Q42" s="103"/>
      <c r="R42" s="103"/>
      <c r="S42" s="102"/>
      <c r="T42" s="102"/>
      <c r="U42" s="65"/>
    </row>
    <row r="43" spans="2:26" s="64" customFormat="1" ht="15.5">
      <c r="E43" s="65"/>
      <c r="F43" s="119"/>
      <c r="G43" s="103"/>
      <c r="H43" s="103"/>
      <c r="I43" s="65"/>
      <c r="J43" s="119"/>
      <c r="K43" s="103"/>
      <c r="L43" s="103"/>
      <c r="M43" s="103"/>
      <c r="N43" s="103"/>
      <c r="O43" s="119"/>
      <c r="P43" s="119"/>
      <c r="Q43" s="103"/>
      <c r="R43" s="103"/>
      <c r="S43" s="119"/>
      <c r="T43" s="119"/>
    </row>
    <row r="44" spans="2:26">
      <c r="E44" s="69"/>
      <c r="G44" s="69"/>
      <c r="I44" s="69"/>
      <c r="K44" s="69"/>
      <c r="U44" s="69"/>
    </row>
    <row r="46" spans="2:26">
      <c r="E46" s="69"/>
      <c r="G46" s="69"/>
      <c r="I46" s="69"/>
      <c r="K46" s="69"/>
      <c r="U46" s="69"/>
    </row>
    <row r="48" spans="2:26">
      <c r="E48" s="69"/>
      <c r="G48" s="69"/>
      <c r="I48" s="69"/>
      <c r="K48" s="69"/>
      <c r="U48" s="69"/>
    </row>
  </sheetData>
  <sheetProtection formatCells="0" formatColumns="0" formatRows="0" insertColumns="0" insertRows="0"/>
  <phoneticPr fontId="0" type="noConversion"/>
  <conditionalFormatting sqref="N351:P355 R351:V355">
    <cfRule type="cellIs" dxfId="9" priority="1" stopIfTrue="1" operator="greaterThan">
      <formula>330</formula>
    </cfRule>
  </conditionalFormatting>
  <printOptions horizontalCentered="1"/>
  <pageMargins left="0.25" right="0.25" top="0.35" bottom="0.5" header="0.25" footer="0.25"/>
  <pageSetup scale="95" orientation="landscape" r:id="rId1"/>
  <headerFooter alignWithMargins="0">
    <oddFooter>&amp;L&amp;"Times New Roman,Bold"&amp;9The Marquee Group&amp;"Times New Roman,Regular"
C:\My Documents\Medallion Model.xls&amp;C&amp;"Times New Roman,Regular"&amp;9Page &amp;P of &amp;N&amp;R&amp;"Times New Roman,Regular"&amp;9&amp;D &amp;T</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Q120"/>
  <sheetViews>
    <sheetView showGridLines="0" topLeftCell="A37" zoomScaleNormal="100" workbookViewId="0"/>
  </sheetViews>
  <sheetFormatPr defaultColWidth="8.81640625" defaultRowHeight="12.5"/>
  <cols>
    <col min="1" max="1" width="8.81640625" style="232"/>
    <col min="2" max="2" width="5.7265625" style="232" customWidth="1"/>
    <col min="3" max="3" width="2.1796875" style="232" customWidth="1"/>
    <col min="4" max="4" width="13.26953125" style="232" customWidth="1"/>
    <col min="5" max="14" width="10.26953125" style="232" customWidth="1"/>
    <col min="15" max="15" width="5.7265625" style="232" customWidth="1"/>
    <col min="16" max="16384" width="8.81640625" style="232"/>
  </cols>
  <sheetData>
    <row r="1" spans="2:17" s="15" customFormat="1" ht="22.5">
      <c r="B1" s="1" t="str">
        <f>Summary!$B$1</f>
        <v>Medallion Mouldings</v>
      </c>
      <c r="C1" s="26"/>
      <c r="D1" s="13"/>
      <c r="E1" s="13"/>
      <c r="F1" s="13"/>
      <c r="G1" s="13"/>
      <c r="H1" s="13"/>
      <c r="I1" s="13"/>
      <c r="J1" s="13"/>
      <c r="K1" s="13"/>
      <c r="L1" s="13"/>
      <c r="M1" s="13"/>
      <c r="N1" s="13"/>
      <c r="O1" s="13"/>
    </row>
    <row r="2" spans="2:17" s="15" customFormat="1" ht="17.5">
      <c r="B2" s="120" t="s">
        <v>221</v>
      </c>
      <c r="C2" s="120"/>
      <c r="D2" s="121"/>
      <c r="E2" s="121"/>
      <c r="F2" s="121"/>
      <c r="G2" s="121"/>
      <c r="H2" s="121"/>
      <c r="I2" s="121"/>
      <c r="J2" s="121"/>
      <c r="K2" s="121"/>
      <c r="L2" s="121"/>
      <c r="M2" s="121"/>
      <c r="N2" s="121"/>
      <c r="O2" s="121"/>
    </row>
    <row r="3" spans="2:17" s="15" customFormat="1" ht="6" customHeight="1" thickBot="1">
      <c r="B3" s="122"/>
      <c r="C3" s="122"/>
      <c r="D3" s="123"/>
      <c r="E3" s="123"/>
      <c r="F3" s="123"/>
      <c r="G3" s="123"/>
      <c r="H3" s="123"/>
      <c r="I3" s="123"/>
      <c r="J3" s="123"/>
      <c r="K3" s="123"/>
      <c r="L3" s="123"/>
      <c r="M3" s="123"/>
      <c r="N3" s="123"/>
      <c r="O3" s="123"/>
    </row>
    <row r="4" spans="2:17" s="15" customFormat="1" ht="9" customHeight="1"/>
    <row r="5" spans="2:17" s="15" customFormat="1" ht="13">
      <c r="C5" s="124" t="s">
        <v>134</v>
      </c>
      <c r="D5" s="125"/>
      <c r="E5" s="125"/>
      <c r="F5" s="125"/>
      <c r="G5" s="125"/>
      <c r="H5" s="126"/>
      <c r="J5" s="124" t="s">
        <v>237</v>
      </c>
      <c r="K5" s="127"/>
      <c r="L5" s="125"/>
      <c r="M5" s="125"/>
      <c r="N5" s="126"/>
    </row>
    <row r="6" spans="2:17" s="15" customFormat="1" ht="14.15" customHeight="1">
      <c r="C6" s="128" t="s">
        <v>125</v>
      </c>
      <c r="D6" s="16" t="s">
        <v>310</v>
      </c>
      <c r="E6" s="129"/>
      <c r="F6" s="129"/>
      <c r="G6" s="130">
        <v>2018</v>
      </c>
      <c r="H6" s="131"/>
      <c r="J6" s="132" t="e">
        <f ca="1">"Stock Price - "&amp;TEXT(TODAY()-1,"mm/dd/yy")</f>
        <v>#VALUE!</v>
      </c>
      <c r="K6" s="133"/>
      <c r="L6" s="129"/>
      <c r="M6" s="134"/>
      <c r="N6" s="135">
        <v>11.5</v>
      </c>
      <c r="Q6" s="136"/>
    </row>
    <row r="7" spans="2:17" s="15" customFormat="1" ht="14.15" customHeight="1">
      <c r="C7" s="128" t="s">
        <v>125</v>
      </c>
      <c r="D7" s="137" t="str">
        <f>CONCATENATE("5-year cash flow model discounted to December 31, ",G6-1)</f>
        <v>5-year cash flow model discounted to December 31, 2017</v>
      </c>
      <c r="E7" s="129"/>
      <c r="F7" s="129"/>
      <c r="G7" s="129"/>
      <c r="H7" s="131"/>
      <c r="J7" s="132" t="str">
        <f>"Average Stock Price - "&amp;G6-1</f>
        <v>Average Stock Price - 2017</v>
      </c>
      <c r="N7" s="135">
        <v>10.8</v>
      </c>
    </row>
    <row r="8" spans="2:17" s="15" customFormat="1" ht="14.15" customHeight="1">
      <c r="C8" s="128" t="s">
        <v>125</v>
      </c>
      <c r="D8" s="138" t="s">
        <v>175</v>
      </c>
      <c r="E8" s="129"/>
      <c r="F8" s="129"/>
      <c r="G8" s="129"/>
      <c r="H8" s="131"/>
      <c r="J8" s="132" t="s">
        <v>238</v>
      </c>
      <c r="K8" s="129"/>
      <c r="L8" s="129"/>
      <c r="M8" s="134"/>
      <c r="N8" s="139">
        <v>0.2</v>
      </c>
    </row>
    <row r="9" spans="2:17" s="15" customFormat="1" ht="14.15" customHeight="1">
      <c r="C9" s="140"/>
      <c r="D9" s="141" t="s">
        <v>267</v>
      </c>
      <c r="E9" s="142"/>
      <c r="F9" s="142"/>
      <c r="G9" s="142"/>
      <c r="H9" s="143"/>
      <c r="J9" s="144" t="str">
        <f>"Fully Diluted Shares O/S (MM) - Dec. 31, "&amp;G6-1</f>
        <v>Fully Diluted Shares O/S (MM) - Dec. 31, 2017</v>
      </c>
      <c r="K9" s="142"/>
      <c r="L9" s="142"/>
      <c r="M9" s="145"/>
      <c r="N9" s="146">
        <v>14.8</v>
      </c>
    </row>
    <row r="10" spans="2:17" s="15" customFormat="1" ht="14.15" customHeight="1"/>
    <row r="11" spans="2:17" s="147" customFormat="1" ht="13">
      <c r="C11" s="124" t="s">
        <v>135</v>
      </c>
      <c r="D11" s="148"/>
      <c r="E11" s="149"/>
      <c r="F11" s="149"/>
      <c r="G11" s="149"/>
      <c r="H11" s="150"/>
      <c r="J11" s="124" t="s">
        <v>137</v>
      </c>
      <c r="K11" s="149"/>
      <c r="L11" s="149"/>
      <c r="M11" s="149"/>
      <c r="N11" s="150"/>
    </row>
    <row r="12" spans="2:17" s="15" customFormat="1" ht="14.15" customHeight="1">
      <c r="C12" s="128" t="s">
        <v>125</v>
      </c>
      <c r="D12" s="137" t="s">
        <v>124</v>
      </c>
      <c r="E12" s="129"/>
      <c r="F12" s="129"/>
      <c r="G12" s="129"/>
      <c r="H12" s="131"/>
      <c r="J12" s="151" t="s">
        <v>128</v>
      </c>
      <c r="K12" s="129"/>
      <c r="L12" s="129"/>
      <c r="M12" s="129"/>
      <c r="N12" s="152">
        <v>350</v>
      </c>
    </row>
    <row r="13" spans="2:17" s="15" customFormat="1" ht="14.15" customHeight="1">
      <c r="C13" s="153" t="s">
        <v>0</v>
      </c>
      <c r="D13" s="154"/>
      <c r="E13" s="155" t="str">
        <f>Scenarios!G6&amp;" - "&amp;Scenarios!K6</f>
        <v>2018 - 2022</v>
      </c>
      <c r="F13" s="156"/>
      <c r="G13" s="155" t="s">
        <v>3</v>
      </c>
      <c r="H13" s="157"/>
      <c r="J13" s="158" t="s">
        <v>222</v>
      </c>
      <c r="K13" s="159"/>
      <c r="L13" s="159"/>
      <c r="M13" s="159"/>
      <c r="N13" s="160">
        <v>1200</v>
      </c>
    </row>
    <row r="14" spans="2:17" s="161" customFormat="1" ht="15.5">
      <c r="C14" s="162" t="s">
        <v>91</v>
      </c>
      <c r="D14" s="129"/>
      <c r="E14" s="121" t="s">
        <v>294</v>
      </c>
      <c r="F14" s="121"/>
      <c r="G14" s="121" t="s">
        <v>123</v>
      </c>
      <c r="H14" s="163"/>
      <c r="I14" s="164"/>
      <c r="J14" s="15"/>
      <c r="K14" s="15"/>
      <c r="L14" s="15"/>
      <c r="M14" s="15"/>
      <c r="N14" s="15"/>
    </row>
    <row r="15" spans="2:17" s="15" customFormat="1" ht="14.15" customHeight="1">
      <c r="C15" s="162" t="s">
        <v>92</v>
      </c>
      <c r="D15" s="129"/>
      <c r="E15" s="165">
        <v>0.05</v>
      </c>
      <c r="F15" s="121"/>
      <c r="G15" s="121" t="s">
        <v>123</v>
      </c>
      <c r="H15" s="163"/>
      <c r="I15" s="16"/>
      <c r="J15" s="166" t="s">
        <v>138</v>
      </c>
      <c r="K15" s="125"/>
      <c r="L15" s="125"/>
      <c r="M15" s="125"/>
      <c r="N15" s="126"/>
    </row>
    <row r="16" spans="2:17" s="15" customFormat="1" ht="15.65" customHeight="1">
      <c r="C16" s="167" t="s">
        <v>93</v>
      </c>
      <c r="D16" s="142"/>
      <c r="E16" s="168">
        <v>-0.05</v>
      </c>
      <c r="F16" s="169"/>
      <c r="G16" s="169" t="s">
        <v>123</v>
      </c>
      <c r="H16" s="170"/>
      <c r="I16" s="16"/>
      <c r="J16" s="151" t="s">
        <v>129</v>
      </c>
      <c r="K16" s="129"/>
      <c r="L16" s="129"/>
      <c r="M16" s="129"/>
      <c r="N16" s="131"/>
    </row>
    <row r="17" spans="3:14" s="15" customFormat="1" ht="14.15" customHeight="1">
      <c r="I17" s="16"/>
      <c r="J17" s="151" t="s">
        <v>130</v>
      </c>
      <c r="K17" s="129"/>
      <c r="L17" s="129"/>
      <c r="M17" s="129"/>
      <c r="N17" s="139">
        <v>0.35</v>
      </c>
    </row>
    <row r="18" spans="3:14" s="15" customFormat="1" ht="14.15" customHeight="1">
      <c r="C18" s="124" t="s">
        <v>139</v>
      </c>
      <c r="D18" s="127"/>
      <c r="E18" s="125"/>
      <c r="F18" s="125"/>
      <c r="G18" s="125"/>
      <c r="H18" s="126"/>
      <c r="J18" s="151" t="s">
        <v>131</v>
      </c>
      <c r="K18" s="129"/>
      <c r="L18" s="129"/>
      <c r="M18" s="129"/>
      <c r="N18" s="139">
        <v>0.2</v>
      </c>
    </row>
    <row r="19" spans="3:14" s="15" customFormat="1" ht="15.65" customHeight="1">
      <c r="C19" s="171" t="s">
        <v>140</v>
      </c>
      <c r="D19" s="137"/>
      <c r="E19" s="172">
        <f>G6</f>
        <v>2018</v>
      </c>
      <c r="F19" s="129"/>
      <c r="G19" s="172" t="s">
        <v>142</v>
      </c>
      <c r="H19" s="131"/>
      <c r="J19" s="151" t="s">
        <v>132</v>
      </c>
      <c r="K19" s="129"/>
      <c r="L19" s="129"/>
      <c r="M19" s="129"/>
      <c r="N19" s="173">
        <v>25</v>
      </c>
    </row>
    <row r="20" spans="3:14" s="15" customFormat="1" ht="14.15" customHeight="1">
      <c r="C20" s="174" t="s">
        <v>141</v>
      </c>
      <c r="D20" s="137"/>
      <c r="E20" s="175">
        <v>226</v>
      </c>
      <c r="F20" s="129" t="s">
        <v>311</v>
      </c>
      <c r="G20" s="129" t="s">
        <v>143</v>
      </c>
      <c r="H20" s="131"/>
      <c r="J20" s="158" t="s">
        <v>133</v>
      </c>
      <c r="K20" s="142"/>
      <c r="L20" s="142"/>
      <c r="M20" s="142"/>
      <c r="N20" s="176">
        <v>116.2</v>
      </c>
    </row>
    <row r="21" spans="3:14" s="15" customFormat="1" ht="14.15" customHeight="1">
      <c r="C21" s="174" t="s">
        <v>50</v>
      </c>
      <c r="D21" s="137"/>
      <c r="E21" s="175">
        <v>66.2</v>
      </c>
      <c r="F21" s="129" t="s">
        <v>311</v>
      </c>
      <c r="G21" s="129" t="s">
        <v>143</v>
      </c>
      <c r="H21" s="131"/>
    </row>
    <row r="22" spans="3:14" s="15" customFormat="1" ht="14.15" customHeight="1">
      <c r="C22" s="174" t="s">
        <v>79</v>
      </c>
      <c r="D22" s="16"/>
      <c r="E22" s="175">
        <v>11.3</v>
      </c>
      <c r="F22" s="129" t="s">
        <v>312</v>
      </c>
      <c r="G22" s="129" t="s">
        <v>146</v>
      </c>
      <c r="H22" s="131"/>
      <c r="J22" s="124" t="s">
        <v>136</v>
      </c>
      <c r="K22" s="125"/>
      <c r="L22" s="125"/>
      <c r="M22" s="125"/>
      <c r="N22" s="126"/>
    </row>
    <row r="23" spans="3:14" s="15" customFormat="1" ht="15.65" customHeight="1">
      <c r="C23" s="174" t="s">
        <v>80</v>
      </c>
      <c r="D23" s="16"/>
      <c r="E23" s="175">
        <v>12.2</v>
      </c>
      <c r="F23" s="129" t="s">
        <v>312</v>
      </c>
      <c r="G23" s="129" t="s">
        <v>146</v>
      </c>
      <c r="H23" s="131"/>
      <c r="J23" s="151" t="s">
        <v>239</v>
      </c>
      <c r="N23" s="177">
        <v>0.15</v>
      </c>
    </row>
    <row r="24" spans="3:14" s="15" customFormat="1" ht="15.65" customHeight="1">
      <c r="C24" s="174" t="s">
        <v>81</v>
      </c>
      <c r="D24" s="16"/>
      <c r="E24" s="175">
        <v>26</v>
      </c>
      <c r="F24" s="129" t="s">
        <v>312</v>
      </c>
      <c r="G24" s="129" t="s">
        <v>146</v>
      </c>
      <c r="H24" s="131"/>
      <c r="J24" s="151" t="s">
        <v>126</v>
      </c>
      <c r="K24" s="129"/>
      <c r="L24" s="129"/>
      <c r="M24" s="129"/>
      <c r="N24" s="177">
        <v>0.1</v>
      </c>
    </row>
    <row r="25" spans="3:14" s="15" customFormat="1" ht="15.65" customHeight="1">
      <c r="C25" s="174" t="s">
        <v>144</v>
      </c>
      <c r="D25" s="16"/>
      <c r="E25" s="175">
        <v>10.199999999999999</v>
      </c>
      <c r="F25" s="129" t="s">
        <v>312</v>
      </c>
      <c r="G25" s="129" t="s">
        <v>146</v>
      </c>
      <c r="H25" s="131"/>
      <c r="J25" s="151" t="str">
        <f>CONCATENATE("- The discount rate range used is ",TEXT('DCF Schedule'!C10,"0.0%")," to ",TEXT('DCF Schedule'!C44,"0.0%"))</f>
        <v>- The discount rate range used is 10.0% to 11.5%</v>
      </c>
      <c r="K25" s="129"/>
      <c r="L25" s="129"/>
      <c r="M25" s="129"/>
      <c r="N25" s="178"/>
    </row>
    <row r="26" spans="3:14" s="15" customFormat="1" ht="15.65" customHeight="1">
      <c r="C26" s="174" t="s">
        <v>268</v>
      </c>
      <c r="D26" s="16"/>
      <c r="E26" s="175">
        <v>7.2</v>
      </c>
      <c r="F26" s="129" t="s">
        <v>312</v>
      </c>
      <c r="G26" s="129" t="s">
        <v>146</v>
      </c>
      <c r="H26" s="131"/>
      <c r="J26" s="151" t="s">
        <v>127</v>
      </c>
      <c r="K26" s="129"/>
      <c r="L26" s="129"/>
      <c r="M26" s="129"/>
      <c r="N26" s="177">
        <v>1.4999999999999999E-2</v>
      </c>
    </row>
    <row r="27" spans="3:14" s="15" customFormat="1" ht="14.15" customHeight="1">
      <c r="C27" s="174" t="s">
        <v>22</v>
      </c>
      <c r="D27" s="16"/>
      <c r="E27" s="175">
        <v>2</v>
      </c>
      <c r="F27" s="129" t="s">
        <v>312</v>
      </c>
      <c r="G27" s="129" t="s">
        <v>146</v>
      </c>
      <c r="H27" s="131"/>
      <c r="J27" s="158" t="str">
        <f>CONCATENATE("- The terminal value growth rate range is ",TEXT('DCF Schedule'!G8,"0.0%")," to ",TEXT('DCF Schedule'!P8,"0.0%"))</f>
        <v>- The terminal value growth rate range is 1.5% to 3.0%</v>
      </c>
      <c r="K27" s="142"/>
      <c r="L27" s="142"/>
      <c r="M27" s="142"/>
      <c r="N27" s="143"/>
    </row>
    <row r="28" spans="3:14" s="15" customFormat="1" ht="15.65" customHeight="1">
      <c r="C28" s="179" t="s">
        <v>145</v>
      </c>
      <c r="D28" s="141"/>
      <c r="E28" s="180">
        <v>3.9</v>
      </c>
      <c r="F28" s="142" t="s">
        <v>312</v>
      </c>
      <c r="G28" s="142" t="s">
        <v>146</v>
      </c>
      <c r="H28" s="143"/>
    </row>
    <row r="29" spans="3:14" s="15" customFormat="1" ht="14.15" customHeight="1">
      <c r="J29" s="124" t="s">
        <v>150</v>
      </c>
      <c r="K29" s="149"/>
      <c r="L29" s="149"/>
      <c r="M29" s="149"/>
      <c r="N29" s="150"/>
    </row>
    <row r="30" spans="3:14" s="15" customFormat="1" ht="14.15" customHeight="1">
      <c r="C30" s="124" t="s">
        <v>191</v>
      </c>
      <c r="D30" s="127"/>
      <c r="E30" s="125"/>
      <c r="F30" s="125"/>
      <c r="G30" s="125"/>
      <c r="H30" s="126"/>
      <c r="J30" s="132" t="str">
        <f>CONCATENATE("- EBITDA Margin is the avg. margin from ",Scenarios!G6," to ",Scenarios!K6)</f>
        <v>- EBITDA Margin is the avg. margin from 2018 to 2022</v>
      </c>
      <c r="K30" s="129"/>
      <c r="L30" s="129"/>
      <c r="M30" s="129"/>
      <c r="N30" s="131"/>
    </row>
    <row r="31" spans="3:14" s="15" customFormat="1" ht="14.15" customHeight="1">
      <c r="C31" s="181" t="s">
        <v>301</v>
      </c>
      <c r="D31" s="129"/>
      <c r="E31" s="129"/>
      <c r="F31" s="129"/>
      <c r="G31" s="129"/>
      <c r="H31" s="131"/>
      <c r="J31" s="182" t="s">
        <v>151</v>
      </c>
      <c r="K31" s="129"/>
      <c r="L31" s="129"/>
      <c r="M31" s="129"/>
      <c r="N31" s="131"/>
    </row>
    <row r="32" spans="3:14" s="15" customFormat="1" ht="14.15" customHeight="1">
      <c r="C32" s="128" t="s">
        <v>125</v>
      </c>
      <c r="D32" s="16" t="s">
        <v>278</v>
      </c>
      <c r="E32" s="129"/>
      <c r="F32" s="129"/>
      <c r="G32" s="183"/>
      <c r="H32" s="177">
        <v>0.02</v>
      </c>
      <c r="J32" s="182" t="s">
        <v>152</v>
      </c>
      <c r="K32" s="129"/>
      <c r="L32" s="129"/>
      <c r="M32" s="129"/>
      <c r="N32" s="131"/>
    </row>
    <row r="33" spans="2:15" s="15" customFormat="1" ht="14.15" customHeight="1">
      <c r="C33" s="128" t="s">
        <v>125</v>
      </c>
      <c r="D33" s="184" t="s">
        <v>279</v>
      </c>
      <c r="E33" s="129"/>
      <c r="F33" s="129"/>
      <c r="G33" s="129"/>
      <c r="H33" s="177">
        <v>0.08</v>
      </c>
      <c r="J33" s="132" t="str">
        <f>CONCATENATE("- Capex is equal to ",K54," Capex grown at inflation")</f>
        <v>- Capex is equal to 2022 Capex grown at inflation</v>
      </c>
      <c r="K33" s="129"/>
      <c r="L33" s="129"/>
      <c r="M33" s="129"/>
      <c r="N33" s="131"/>
    </row>
    <row r="34" spans="2:15" s="15" customFormat="1" ht="14.15" customHeight="1">
      <c r="C34" s="128" t="s">
        <v>125</v>
      </c>
      <c r="D34" s="184" t="s">
        <v>280</v>
      </c>
      <c r="E34" s="129"/>
      <c r="F34" s="129"/>
      <c r="G34" s="129"/>
      <c r="H34" s="177">
        <v>0.08</v>
      </c>
      <c r="J34" s="182" t="s">
        <v>153</v>
      </c>
      <c r="K34" s="129"/>
      <c r="L34" s="129"/>
      <c r="M34" s="129"/>
      <c r="N34" s="131"/>
    </row>
    <row r="35" spans="2:15" s="15" customFormat="1" ht="14.15" customHeight="1">
      <c r="C35" s="132"/>
      <c r="D35" s="129"/>
      <c r="E35" s="129"/>
      <c r="F35" s="129"/>
      <c r="G35" s="129"/>
      <c r="H35" s="131"/>
      <c r="J35" s="185" t="s">
        <v>154</v>
      </c>
      <c r="K35" s="142"/>
      <c r="L35" s="142"/>
      <c r="M35" s="142"/>
      <c r="N35" s="143"/>
    </row>
    <row r="36" spans="2:15" s="15" customFormat="1" ht="14.15" customHeight="1">
      <c r="C36" s="186" t="s">
        <v>192</v>
      </c>
      <c r="D36" s="172"/>
      <c r="E36" s="129"/>
      <c r="F36" s="129"/>
      <c r="G36" s="129"/>
      <c r="H36" s="131"/>
    </row>
    <row r="37" spans="2:15" s="15" customFormat="1" ht="14.15" customHeight="1">
      <c r="C37" s="128" t="s">
        <v>125</v>
      </c>
      <c r="D37" s="129" t="s">
        <v>186</v>
      </c>
      <c r="E37" s="129"/>
      <c r="F37" s="129"/>
      <c r="G37" s="187" t="str">
        <f ca="1">IF(MAX(Model!J412:O412)&gt;H37,"Tripped"," ")</f>
        <v>Tripped</v>
      </c>
      <c r="H37" s="188">
        <v>4.5</v>
      </c>
      <c r="J37" s="124" t="s">
        <v>147</v>
      </c>
      <c r="K37" s="125"/>
      <c r="L37" s="125"/>
      <c r="M37" s="125"/>
      <c r="N37" s="126"/>
    </row>
    <row r="38" spans="2:15" s="15" customFormat="1" ht="14.15" customHeight="1">
      <c r="C38" s="128" t="s">
        <v>125</v>
      </c>
      <c r="D38" s="189" t="s">
        <v>193</v>
      </c>
      <c r="E38" s="129"/>
      <c r="F38" s="129"/>
      <c r="G38" s="187" t="str">
        <f ca="1">IF(MIN(Model!J415:O415)&lt;H38,"Tripped"," ")</f>
        <v xml:space="preserve"> </v>
      </c>
      <c r="H38" s="190">
        <v>1.5</v>
      </c>
      <c r="J38" s="191" t="s">
        <v>159</v>
      </c>
      <c r="K38" s="192"/>
      <c r="L38" s="192"/>
      <c r="M38" s="192"/>
      <c r="N38" s="193" t="s">
        <v>148</v>
      </c>
    </row>
    <row r="39" spans="2:15" s="15" customFormat="1" ht="14.15" customHeight="1">
      <c r="C39" s="128" t="s">
        <v>125</v>
      </c>
      <c r="D39" s="189" t="s">
        <v>304</v>
      </c>
      <c r="E39" s="129"/>
      <c r="F39" s="129"/>
      <c r="G39" s="187" t="str">
        <f ca="1">IF(MIN(Model!J418:O418)&lt;H39,"Tripped"," ")</f>
        <v xml:space="preserve"> </v>
      </c>
      <c r="H39" s="190">
        <v>1.2</v>
      </c>
      <c r="J39" s="194" t="s">
        <v>302</v>
      </c>
      <c r="K39" s="129"/>
      <c r="L39" s="129"/>
      <c r="M39" s="129"/>
      <c r="N39" s="195">
        <v>25</v>
      </c>
    </row>
    <row r="40" spans="2:15" s="15" customFormat="1" ht="14.15" customHeight="1">
      <c r="C40" s="140" t="s">
        <v>125</v>
      </c>
      <c r="D40" s="142" t="s">
        <v>190</v>
      </c>
      <c r="E40" s="142"/>
      <c r="F40" s="142"/>
      <c r="G40" s="196" t="str">
        <f ca="1">IF(MAX(Model!J421:O421)&gt;H40,"Tripped"," ")</f>
        <v>Tripped</v>
      </c>
      <c r="H40" s="197">
        <v>0.4</v>
      </c>
      <c r="J40" s="198" t="s">
        <v>303</v>
      </c>
      <c r="K40" s="142"/>
      <c r="L40" s="142"/>
      <c r="M40" s="142"/>
      <c r="N40" s="199">
        <v>30</v>
      </c>
    </row>
    <row r="41" spans="2:15" s="15" customFormat="1" ht="9" customHeight="1">
      <c r="B41" s="142"/>
      <c r="C41" s="142"/>
      <c r="D41" s="200"/>
      <c r="E41" s="169"/>
      <c r="F41" s="169"/>
      <c r="G41" s="169"/>
      <c r="H41" s="169"/>
      <c r="I41" s="142"/>
      <c r="J41" s="142"/>
      <c r="K41" s="142"/>
      <c r="L41" s="142"/>
      <c r="M41" s="142"/>
      <c r="N41" s="142"/>
      <c r="O41" s="142"/>
    </row>
    <row r="42" spans="2:15" s="15" customFormat="1" ht="12.75" customHeight="1">
      <c r="B42" s="129"/>
      <c r="C42" s="129"/>
      <c r="D42" s="201"/>
      <c r="E42" s="121"/>
      <c r="F42" s="121"/>
      <c r="G42" s="121"/>
      <c r="H42" s="121"/>
      <c r="I42" s="129"/>
      <c r="J42" s="129"/>
      <c r="K42" s="129"/>
      <c r="L42" s="129"/>
      <c r="M42" s="129"/>
      <c r="N42" s="129"/>
      <c r="O42" s="129"/>
    </row>
    <row r="43" spans="2:15" s="15" customFormat="1" ht="12.75" customHeight="1">
      <c r="B43" s="129"/>
      <c r="C43" s="129"/>
      <c r="D43" s="201"/>
      <c r="E43" s="121"/>
      <c r="F43" s="121"/>
      <c r="G43" s="121"/>
      <c r="H43" s="121"/>
      <c r="I43" s="129"/>
      <c r="J43" s="129"/>
      <c r="K43" s="129"/>
      <c r="L43" s="129"/>
      <c r="M43" s="129"/>
      <c r="N43" s="129"/>
      <c r="O43" s="129"/>
    </row>
    <row r="44" spans="2:15" s="15" customFormat="1" ht="22.5">
      <c r="B44" s="1" t="str">
        <f>Summary!$B$1</f>
        <v>Medallion Mouldings</v>
      </c>
      <c r="C44" s="26"/>
      <c r="D44" s="13"/>
      <c r="E44" s="13"/>
      <c r="F44" s="13"/>
      <c r="G44" s="13"/>
      <c r="H44" s="13"/>
      <c r="I44" s="13"/>
      <c r="J44" s="13"/>
      <c r="K44" s="13"/>
      <c r="L44" s="13"/>
      <c r="M44" s="13"/>
      <c r="N44" s="13"/>
      <c r="O44" s="16"/>
    </row>
    <row r="45" spans="2:15" s="15" customFormat="1" ht="17.5">
      <c r="B45" s="120" t="s">
        <v>221</v>
      </c>
      <c r="C45" s="120"/>
      <c r="D45" s="121"/>
      <c r="E45" s="121"/>
      <c r="F45" s="121"/>
      <c r="G45" s="121"/>
      <c r="H45" s="121"/>
      <c r="I45" s="121"/>
      <c r="J45" s="121"/>
      <c r="K45" s="121"/>
      <c r="L45" s="121"/>
      <c r="M45" s="121"/>
      <c r="N45" s="121"/>
      <c r="O45" s="16"/>
    </row>
    <row r="46" spans="2:15" s="15" customFormat="1" ht="6" customHeight="1" thickBot="1">
      <c r="B46" s="122"/>
      <c r="C46" s="122"/>
      <c r="D46" s="123"/>
      <c r="E46" s="123"/>
      <c r="F46" s="123"/>
      <c r="G46" s="123"/>
      <c r="H46" s="123"/>
      <c r="I46" s="123"/>
      <c r="J46" s="123"/>
      <c r="K46" s="123"/>
      <c r="L46" s="123"/>
      <c r="M46" s="123"/>
      <c r="N46" s="123"/>
      <c r="O46" s="16"/>
    </row>
    <row r="47" spans="2:15" s="15" customFormat="1" ht="6" customHeight="1">
      <c r="B47" s="129"/>
      <c r="C47" s="129"/>
      <c r="D47" s="201"/>
      <c r="E47" s="121"/>
      <c r="F47" s="121"/>
      <c r="G47" s="121"/>
      <c r="H47" s="121"/>
      <c r="I47" s="129"/>
      <c r="J47" s="129"/>
      <c r="K47" s="129"/>
      <c r="L47" s="129"/>
      <c r="M47" s="129"/>
      <c r="N47" s="16"/>
      <c r="O47" s="16"/>
    </row>
    <row r="48" spans="2:15" s="15" customFormat="1" ht="15.65" customHeight="1">
      <c r="C48" s="202" t="s">
        <v>155</v>
      </c>
    </row>
    <row r="49" spans="3:15" s="15" customFormat="1" ht="14.15" customHeight="1">
      <c r="C49" s="203" t="s">
        <v>125</v>
      </c>
      <c r="D49" s="204" t="str">
        <f>CONCATENATE("Capex has been assumed at $",G59," million in ",G54,", $",H59," million in ",H54," and grown at inflation thereafter")</f>
        <v>Capex has been assumed at $16 million in 2018, $17 million in 2019 and grown at inflation thereafter</v>
      </c>
    </row>
    <row r="50" spans="3:15" s="15" customFormat="1" ht="14.15" customHeight="1">
      <c r="C50" s="203" t="s">
        <v>125</v>
      </c>
      <c r="D50" s="204" t="s">
        <v>90</v>
      </c>
    </row>
    <row r="51" spans="3:15" s="15" customFormat="1" ht="14.15" customHeight="1">
      <c r="C51" s="203" t="s">
        <v>125</v>
      </c>
      <c r="D51" s="204" t="s">
        <v>156</v>
      </c>
    </row>
    <row r="52" spans="3:15" s="15" customFormat="1" ht="14.15" customHeight="1">
      <c r="C52" s="203"/>
      <c r="D52" s="204" t="s">
        <v>157</v>
      </c>
    </row>
    <row r="53" spans="3:15" s="15" customFormat="1" ht="6" customHeight="1">
      <c r="C53" s="205"/>
    </row>
    <row r="54" spans="3:15" s="211" customFormat="1" ht="15.5">
      <c r="C54" s="206"/>
      <c r="D54" s="207" t="s">
        <v>4</v>
      </c>
      <c r="E54" s="125"/>
      <c r="F54" s="125"/>
      <c r="G54" s="208">
        <f>G6</f>
        <v>2018</v>
      </c>
      <c r="H54" s="208">
        <f>G54+1</f>
        <v>2019</v>
      </c>
      <c r="I54" s="208">
        <f>H54+1</f>
        <v>2020</v>
      </c>
      <c r="J54" s="208">
        <f>I54+1</f>
        <v>2021</v>
      </c>
      <c r="K54" s="208">
        <f>J54+1</f>
        <v>2022</v>
      </c>
      <c r="L54" s="209" t="s">
        <v>62</v>
      </c>
      <c r="M54" s="210"/>
      <c r="N54" s="210"/>
    </row>
    <row r="55" spans="3:15" s="15" customFormat="1" ht="6" customHeight="1">
      <c r="C55" s="212"/>
      <c r="D55" s="132"/>
      <c r="E55" s="129"/>
      <c r="F55" s="129"/>
      <c r="G55" s="129"/>
      <c r="H55" s="129"/>
      <c r="I55" s="129"/>
      <c r="J55" s="129"/>
      <c r="K55" s="129"/>
      <c r="L55" s="131"/>
      <c r="M55" s="129"/>
      <c r="N55" s="129"/>
    </row>
    <row r="56" spans="3:15" s="15" customFormat="1" ht="13">
      <c r="C56" s="212"/>
      <c r="D56" s="151" t="s">
        <v>69</v>
      </c>
      <c r="E56" s="129"/>
      <c r="F56" s="129"/>
      <c r="G56" s="213">
        <v>16</v>
      </c>
      <c r="H56" s="213">
        <v>17</v>
      </c>
      <c r="I56" s="214">
        <f>H56*(1+Scenarios!I$13)</f>
        <v>17.34</v>
      </c>
      <c r="J56" s="214">
        <f>I56*(1+Scenarios!J$13)</f>
        <v>17.773499999999999</v>
      </c>
      <c r="K56" s="214">
        <f>J56*(1+Scenarios!K$13)</f>
        <v>18.217837499999998</v>
      </c>
      <c r="L56" s="215">
        <f>K56*(1+Scenarios!L$13)</f>
        <v>18.673283437499997</v>
      </c>
      <c r="M56" s="214"/>
      <c r="N56" s="214"/>
    </row>
    <row r="57" spans="3:15" s="15" customFormat="1" ht="13">
      <c r="C57" s="212"/>
      <c r="D57" s="216" t="s">
        <v>70</v>
      </c>
      <c r="E57" s="129"/>
      <c r="F57" s="129"/>
      <c r="G57" s="213">
        <v>0</v>
      </c>
      <c r="H57" s="213">
        <v>0</v>
      </c>
      <c r="I57" s="213">
        <v>0</v>
      </c>
      <c r="J57" s="213">
        <v>0</v>
      </c>
      <c r="K57" s="213">
        <v>0</v>
      </c>
      <c r="L57" s="217">
        <v>0</v>
      </c>
      <c r="M57" s="213"/>
      <c r="N57" s="213"/>
    </row>
    <row r="58" spans="3:15" s="15" customFormat="1" ht="13">
      <c r="C58" s="212"/>
      <c r="D58" s="132" t="s">
        <v>7</v>
      </c>
      <c r="E58" s="129"/>
      <c r="F58" s="129"/>
      <c r="G58" s="218">
        <v>0</v>
      </c>
      <c r="H58" s="218">
        <v>0</v>
      </c>
      <c r="I58" s="218">
        <v>0</v>
      </c>
      <c r="J58" s="218">
        <v>0</v>
      </c>
      <c r="K58" s="218">
        <v>0</v>
      </c>
      <c r="L58" s="219">
        <v>0</v>
      </c>
      <c r="M58" s="213"/>
      <c r="N58" s="213"/>
    </row>
    <row r="59" spans="3:15" s="15" customFormat="1" ht="13">
      <c r="C59" s="212"/>
      <c r="D59" s="220" t="s">
        <v>6</v>
      </c>
      <c r="E59" s="129"/>
      <c r="F59" s="129"/>
      <c r="G59" s="221">
        <f t="shared" ref="G59:L59" si="0">SUM(G56:G58)</f>
        <v>16</v>
      </c>
      <c r="H59" s="221">
        <f t="shared" si="0"/>
        <v>17</v>
      </c>
      <c r="I59" s="221">
        <f t="shared" si="0"/>
        <v>17.34</v>
      </c>
      <c r="J59" s="221">
        <f t="shared" si="0"/>
        <v>17.773499999999999</v>
      </c>
      <c r="K59" s="221">
        <f t="shared" si="0"/>
        <v>18.217837499999998</v>
      </c>
      <c r="L59" s="222">
        <f t="shared" si="0"/>
        <v>18.673283437499997</v>
      </c>
      <c r="M59" s="221"/>
      <c r="N59" s="221"/>
    </row>
    <row r="60" spans="3:15" s="15" customFormat="1" ht="6" customHeight="1">
      <c r="C60" s="212"/>
      <c r="D60" s="144"/>
      <c r="E60" s="223"/>
      <c r="F60" s="223"/>
      <c r="G60" s="223"/>
      <c r="H60" s="223"/>
      <c r="I60" s="224"/>
      <c r="J60" s="223"/>
      <c r="K60" s="223"/>
      <c r="L60" s="225"/>
      <c r="M60" s="226"/>
      <c r="N60" s="226"/>
      <c r="O60" s="226"/>
    </row>
    <row r="61" spans="3:15" s="15" customFormat="1" ht="6" customHeight="1">
      <c r="C61" s="212"/>
      <c r="D61" s="129"/>
      <c r="G61" s="129"/>
      <c r="H61" s="226"/>
      <c r="I61" s="227"/>
      <c r="J61" s="226"/>
      <c r="K61" s="226"/>
      <c r="L61" s="226"/>
      <c r="M61" s="226"/>
      <c r="N61" s="226"/>
      <c r="O61" s="226"/>
    </row>
    <row r="62" spans="3:15" s="15" customFormat="1" ht="12.75" customHeight="1">
      <c r="C62" s="212"/>
      <c r="D62" s="129"/>
      <c r="G62" s="129"/>
      <c r="H62" s="226"/>
      <c r="I62" s="227"/>
      <c r="J62" s="226"/>
      <c r="K62" s="226"/>
      <c r="L62" s="226"/>
      <c r="M62" s="226"/>
      <c r="N62" s="226"/>
      <c r="O62" s="226"/>
    </row>
    <row r="63" spans="3:15" s="15" customFormat="1" ht="15.65" customHeight="1">
      <c r="C63" s="202" t="s">
        <v>273</v>
      </c>
    </row>
    <row r="64" spans="3:15" s="15" customFormat="1" ht="6" customHeight="1">
      <c r="C64" s="202"/>
    </row>
    <row r="65" spans="3:15" s="15" customFormat="1" ht="15.65" customHeight="1">
      <c r="C65" s="202"/>
      <c r="D65" s="207" t="s">
        <v>4</v>
      </c>
      <c r="E65" s="125"/>
      <c r="F65" s="125"/>
      <c r="G65" s="208">
        <f>G54</f>
        <v>2018</v>
      </c>
      <c r="H65" s="208">
        <f>G65+1</f>
        <v>2019</v>
      </c>
      <c r="I65" s="208">
        <f>H65+1</f>
        <v>2020</v>
      </c>
      <c r="J65" s="208">
        <f>I65+1</f>
        <v>2021</v>
      </c>
      <c r="K65" s="228">
        <f>J65+1</f>
        <v>2022</v>
      </c>
      <c r="L65" s="226"/>
    </row>
    <row r="66" spans="3:15" s="15" customFormat="1" ht="6" customHeight="1">
      <c r="C66" s="212"/>
      <c r="D66" s="132"/>
      <c r="E66" s="129"/>
      <c r="F66" s="129"/>
      <c r="G66" s="129"/>
      <c r="H66" s="129"/>
      <c r="I66" s="129"/>
      <c r="J66" s="129"/>
      <c r="K66" s="131"/>
      <c r="L66" s="129"/>
      <c r="M66" s="226"/>
      <c r="N66" s="226"/>
      <c r="O66" s="226"/>
    </row>
    <row r="67" spans="3:15" s="15" customFormat="1" ht="13">
      <c r="C67" s="212"/>
      <c r="D67" s="216" t="s">
        <v>270</v>
      </c>
      <c r="E67" s="129"/>
      <c r="F67" s="129"/>
      <c r="G67" s="213">
        <v>0</v>
      </c>
      <c r="H67" s="213">
        <v>0</v>
      </c>
      <c r="I67" s="213">
        <v>0</v>
      </c>
      <c r="J67" s="213">
        <v>0</v>
      </c>
      <c r="K67" s="217">
        <v>0</v>
      </c>
      <c r="L67" s="213"/>
      <c r="M67" s="213"/>
      <c r="N67" s="213"/>
    </row>
    <row r="68" spans="3:15" s="15" customFormat="1" ht="13">
      <c r="C68" s="212"/>
      <c r="D68" s="216" t="s">
        <v>271</v>
      </c>
      <c r="E68" s="129"/>
      <c r="F68" s="129"/>
      <c r="G68" s="213">
        <v>0</v>
      </c>
      <c r="H68" s="213">
        <v>0</v>
      </c>
      <c r="I68" s="213">
        <v>0</v>
      </c>
      <c r="J68" s="213">
        <v>0</v>
      </c>
      <c r="K68" s="217">
        <v>0</v>
      </c>
      <c r="L68" s="213"/>
      <c r="M68" s="213"/>
      <c r="N68" s="213"/>
    </row>
    <row r="69" spans="3:15" s="15" customFormat="1" ht="13">
      <c r="C69" s="212"/>
      <c r="D69" s="216" t="s">
        <v>272</v>
      </c>
      <c r="E69" s="129"/>
      <c r="F69" s="129"/>
      <c r="G69" s="218">
        <v>0</v>
      </c>
      <c r="H69" s="218">
        <v>0</v>
      </c>
      <c r="I69" s="218">
        <v>0</v>
      </c>
      <c r="J69" s="218">
        <v>0</v>
      </c>
      <c r="K69" s="219">
        <v>0</v>
      </c>
      <c r="L69" s="213"/>
      <c r="M69" s="213"/>
      <c r="N69" s="213"/>
    </row>
    <row r="70" spans="3:15" s="15" customFormat="1" ht="13">
      <c r="C70" s="212"/>
      <c r="D70" s="220" t="s">
        <v>6</v>
      </c>
      <c r="E70" s="129"/>
      <c r="F70" s="129"/>
      <c r="G70" s="221">
        <f>SUM(G67:G69)</f>
        <v>0</v>
      </c>
      <c r="H70" s="221">
        <f>SUM(H67:H69)</f>
        <v>0</v>
      </c>
      <c r="I70" s="221">
        <f>SUM(I67:I69)</f>
        <v>0</v>
      </c>
      <c r="J70" s="221">
        <f>SUM(J67:J69)</f>
        <v>0</v>
      </c>
      <c r="K70" s="222">
        <f>SUM(K67:K69)</f>
        <v>0</v>
      </c>
      <c r="L70" s="226"/>
      <c r="M70" s="221"/>
      <c r="N70" s="221"/>
    </row>
    <row r="71" spans="3:15" s="15" customFormat="1" ht="6" customHeight="1">
      <c r="C71" s="212"/>
      <c r="D71" s="144"/>
      <c r="E71" s="223"/>
      <c r="F71" s="223"/>
      <c r="G71" s="223"/>
      <c r="H71" s="223"/>
      <c r="I71" s="224"/>
      <c r="J71" s="223"/>
      <c r="K71" s="225"/>
      <c r="L71" s="226"/>
      <c r="M71" s="226"/>
      <c r="N71" s="226"/>
      <c r="O71" s="226"/>
    </row>
    <row r="72" spans="3:15" s="15" customFormat="1" ht="6" customHeight="1">
      <c r="C72" s="212"/>
      <c r="D72" s="129"/>
      <c r="E72" s="129"/>
      <c r="F72" s="129"/>
      <c r="G72" s="129"/>
      <c r="H72" s="226"/>
      <c r="I72" s="227"/>
      <c r="J72" s="226"/>
      <c r="K72" s="226"/>
      <c r="L72" s="226"/>
      <c r="M72" s="226"/>
      <c r="N72" s="226"/>
      <c r="O72" s="226"/>
    </row>
    <row r="73" spans="3:15" s="15" customFormat="1" ht="13"/>
    <row r="74" spans="3:15" s="15" customFormat="1" ht="15.65" customHeight="1">
      <c r="C74" s="202" t="s">
        <v>149</v>
      </c>
    </row>
    <row r="75" spans="3:15" s="15" customFormat="1" ht="6" customHeight="1">
      <c r="C75" s="212"/>
      <c r="D75" s="129"/>
      <c r="G75" s="129"/>
      <c r="H75" s="226"/>
      <c r="I75" s="227"/>
      <c r="J75" s="226"/>
      <c r="K75" s="226"/>
      <c r="L75" s="226"/>
      <c r="M75" s="226"/>
      <c r="N75" s="226"/>
      <c r="O75" s="226"/>
    </row>
    <row r="76" spans="3:15" s="211" customFormat="1" ht="15.5">
      <c r="C76" s="206"/>
      <c r="D76" s="207" t="s">
        <v>64</v>
      </c>
      <c r="E76" s="125"/>
      <c r="F76" s="125"/>
      <c r="G76" s="208">
        <f>G65</f>
        <v>2018</v>
      </c>
      <c r="H76" s="208">
        <f>G76+1</f>
        <v>2019</v>
      </c>
      <c r="I76" s="208">
        <f>H76+1</f>
        <v>2020</v>
      </c>
      <c r="J76" s="208">
        <f>I76+1</f>
        <v>2021</v>
      </c>
      <c r="K76" s="228">
        <f>J76+1</f>
        <v>2022</v>
      </c>
      <c r="L76" s="226"/>
      <c r="M76" s="210"/>
      <c r="N76" s="210"/>
    </row>
    <row r="77" spans="3:15" s="15" customFormat="1" ht="6" customHeight="1">
      <c r="C77" s="212"/>
      <c r="D77" s="132"/>
      <c r="G77" s="129"/>
      <c r="H77" s="129"/>
      <c r="I77" s="129"/>
      <c r="J77" s="129"/>
      <c r="K77" s="131"/>
      <c r="L77" s="129"/>
      <c r="M77" s="129"/>
      <c r="N77" s="129"/>
    </row>
    <row r="78" spans="3:15" s="15" customFormat="1" ht="13">
      <c r="C78" s="212"/>
      <c r="D78" s="216" t="s">
        <v>26</v>
      </c>
      <c r="G78" s="213">
        <v>45</v>
      </c>
      <c r="H78" s="213">
        <v>40</v>
      </c>
      <c r="I78" s="213">
        <v>40</v>
      </c>
      <c r="J78" s="213">
        <v>40</v>
      </c>
      <c r="K78" s="217">
        <v>40</v>
      </c>
      <c r="L78" s="213"/>
      <c r="M78" s="213"/>
      <c r="N78" s="213"/>
    </row>
    <row r="79" spans="3:15" s="15" customFormat="1" ht="13">
      <c r="C79" s="212"/>
      <c r="D79" s="216" t="s">
        <v>40</v>
      </c>
      <c r="G79" s="213">
        <v>70</v>
      </c>
      <c r="H79" s="213">
        <v>65</v>
      </c>
      <c r="I79" s="213">
        <v>60</v>
      </c>
      <c r="J79" s="213">
        <v>60</v>
      </c>
      <c r="K79" s="217">
        <v>55</v>
      </c>
      <c r="L79" s="213"/>
      <c r="M79" s="213"/>
      <c r="N79" s="213"/>
    </row>
    <row r="80" spans="3:15" s="15" customFormat="1" ht="13">
      <c r="C80" s="212"/>
      <c r="D80" s="216" t="s">
        <v>32</v>
      </c>
      <c r="G80" s="213">
        <v>40</v>
      </c>
      <c r="H80" s="213">
        <v>40</v>
      </c>
      <c r="I80" s="213">
        <v>40</v>
      </c>
      <c r="J80" s="213">
        <v>40</v>
      </c>
      <c r="K80" s="217">
        <v>40</v>
      </c>
      <c r="L80" s="213"/>
      <c r="M80" s="213"/>
      <c r="N80" s="213"/>
    </row>
    <row r="81" spans="2:15" s="15" customFormat="1" ht="6" customHeight="1">
      <c r="C81" s="212"/>
      <c r="D81" s="144"/>
      <c r="E81" s="142"/>
      <c r="F81" s="142"/>
      <c r="G81" s="142"/>
      <c r="H81" s="223"/>
      <c r="I81" s="224"/>
      <c r="J81" s="223"/>
      <c r="K81" s="225"/>
      <c r="L81" s="226"/>
      <c r="M81" s="226"/>
      <c r="N81" s="226"/>
      <c r="O81" s="226"/>
    </row>
    <row r="82" spans="2:15" s="129" customFormat="1" ht="6" customHeight="1">
      <c r="C82" s="212"/>
      <c r="H82" s="226"/>
      <c r="I82" s="227"/>
      <c r="J82" s="226"/>
      <c r="K82" s="226"/>
      <c r="L82" s="226"/>
      <c r="M82" s="226"/>
      <c r="N82" s="226"/>
      <c r="O82" s="226"/>
    </row>
    <row r="83" spans="2:15" s="129" customFormat="1" ht="13.15" customHeight="1">
      <c r="C83" s="212"/>
      <c r="H83" s="226"/>
      <c r="I83" s="227"/>
      <c r="J83" s="226"/>
      <c r="K83" s="226"/>
      <c r="L83" s="226"/>
      <c r="M83" s="226"/>
      <c r="N83" s="226"/>
      <c r="O83" s="226"/>
    </row>
    <row r="84" spans="2:15" s="15" customFormat="1" ht="15.65" customHeight="1">
      <c r="C84" s="202" t="s">
        <v>240</v>
      </c>
    </row>
    <row r="85" spans="2:15" s="15" customFormat="1" ht="6" customHeight="1">
      <c r="C85" s="212"/>
      <c r="D85" s="129"/>
      <c r="G85" s="129"/>
      <c r="H85" s="226"/>
      <c r="I85" s="227"/>
      <c r="J85" s="226"/>
      <c r="K85" s="226"/>
      <c r="L85" s="226"/>
      <c r="M85" s="226"/>
      <c r="N85" s="226"/>
      <c r="O85" s="226"/>
    </row>
    <row r="86" spans="2:15" s="211" customFormat="1" ht="15.5">
      <c r="C86" s="206"/>
      <c r="D86" s="207" t="s">
        <v>4</v>
      </c>
      <c r="E86" s="125"/>
      <c r="F86" s="125"/>
      <c r="G86" s="208">
        <f>G76</f>
        <v>2018</v>
      </c>
      <c r="H86" s="208">
        <f>G86+1</f>
        <v>2019</v>
      </c>
      <c r="I86" s="208">
        <f>H86+1</f>
        <v>2020</v>
      </c>
      <c r="J86" s="208">
        <f>I86+1</f>
        <v>2021</v>
      </c>
      <c r="K86" s="228">
        <f>J86+1</f>
        <v>2022</v>
      </c>
      <c r="L86" s="226"/>
      <c r="M86" s="210"/>
      <c r="N86" s="210"/>
    </row>
    <row r="87" spans="2:15" s="15" customFormat="1" ht="6" customHeight="1">
      <c r="C87" s="212"/>
      <c r="D87" s="132"/>
      <c r="G87" s="129"/>
      <c r="H87" s="129"/>
      <c r="I87" s="129"/>
      <c r="J87" s="129"/>
      <c r="K87" s="131"/>
      <c r="L87" s="129"/>
      <c r="M87" s="129"/>
      <c r="N87" s="129"/>
    </row>
    <row r="88" spans="2:15" s="15" customFormat="1" ht="13">
      <c r="C88" s="212"/>
      <c r="D88" s="216" t="s">
        <v>281</v>
      </c>
      <c r="G88" s="229">
        <v>-25</v>
      </c>
      <c r="H88" s="229">
        <v>-25</v>
      </c>
      <c r="I88" s="229">
        <v>-25</v>
      </c>
      <c r="J88" s="229">
        <v>-25</v>
      </c>
      <c r="K88" s="230">
        <v>-25</v>
      </c>
      <c r="L88" s="213"/>
      <c r="M88" s="213"/>
      <c r="N88" s="213"/>
    </row>
    <row r="89" spans="2:15" s="15" customFormat="1" ht="6" customHeight="1">
      <c r="C89" s="212"/>
      <c r="D89" s="216"/>
      <c r="G89" s="229"/>
      <c r="H89" s="229"/>
      <c r="I89" s="229"/>
      <c r="J89" s="229"/>
      <c r="K89" s="230"/>
      <c r="L89" s="213"/>
      <c r="M89" s="213"/>
      <c r="N89" s="213"/>
    </row>
    <row r="90" spans="2:15" s="15" customFormat="1" ht="13">
      <c r="C90" s="212"/>
      <c r="D90" s="216" t="s">
        <v>241</v>
      </c>
      <c r="G90" s="229">
        <v>0</v>
      </c>
      <c r="H90" s="229">
        <v>0</v>
      </c>
      <c r="I90" s="229">
        <v>0</v>
      </c>
      <c r="J90" s="229">
        <v>0</v>
      </c>
      <c r="K90" s="230">
        <v>0</v>
      </c>
      <c r="L90" s="213"/>
      <c r="M90" s="213"/>
      <c r="N90" s="213"/>
    </row>
    <row r="91" spans="2:15" s="15" customFormat="1" ht="13">
      <c r="C91" s="212"/>
      <c r="D91" s="216" t="s">
        <v>251</v>
      </c>
      <c r="G91" s="213">
        <v>0.5</v>
      </c>
      <c r="H91" s="213">
        <v>0.5</v>
      </c>
      <c r="I91" s="213">
        <v>0</v>
      </c>
      <c r="J91" s="213">
        <v>0</v>
      </c>
      <c r="K91" s="217">
        <v>0</v>
      </c>
      <c r="L91" s="213"/>
      <c r="M91" s="213"/>
      <c r="N91" s="213"/>
    </row>
    <row r="92" spans="2:15" s="15" customFormat="1" ht="6" customHeight="1">
      <c r="C92" s="212"/>
      <c r="D92" s="144"/>
      <c r="E92" s="142"/>
      <c r="F92" s="142"/>
      <c r="G92" s="142"/>
      <c r="H92" s="223"/>
      <c r="I92" s="224"/>
      <c r="J92" s="223"/>
      <c r="K92" s="225"/>
      <c r="L92" s="226"/>
      <c r="M92" s="226"/>
      <c r="N92" s="226"/>
      <c r="O92" s="226"/>
    </row>
    <row r="93" spans="2:15" s="15" customFormat="1" ht="13.15" customHeight="1">
      <c r="B93" s="142"/>
      <c r="C93" s="142"/>
      <c r="D93" s="142"/>
      <c r="E93" s="142"/>
      <c r="F93" s="142"/>
      <c r="G93" s="142"/>
      <c r="H93" s="142"/>
      <c r="I93" s="142"/>
      <c r="J93" s="142"/>
      <c r="K93" s="142"/>
      <c r="L93" s="142"/>
      <c r="M93" s="142"/>
      <c r="N93" s="129"/>
      <c r="O93" s="129"/>
    </row>
    <row r="94" spans="2:15" s="15" customFormat="1" ht="13">
      <c r="N94" s="129"/>
      <c r="O94" s="129"/>
    </row>
    <row r="95" spans="2:15" s="15" customFormat="1" ht="13"/>
    <row r="96" spans="2:15" s="15" customFormat="1" ht="13"/>
    <row r="97" spans="4:4" s="15" customFormat="1" ht="13">
      <c r="D97" s="231"/>
    </row>
    <row r="98" spans="4:4" s="15" customFormat="1" ht="13">
      <c r="D98" s="231"/>
    </row>
    <row r="99" spans="4:4" s="15" customFormat="1" ht="13">
      <c r="D99" s="231"/>
    </row>
    <row r="100" spans="4:4" s="15" customFormat="1" ht="13">
      <c r="D100" s="231"/>
    </row>
    <row r="101" spans="4:4" s="15" customFormat="1" ht="13"/>
    <row r="102" spans="4:4" s="15" customFormat="1" ht="13"/>
    <row r="103" spans="4:4" s="15" customFormat="1" ht="13"/>
    <row r="104" spans="4:4" s="15" customFormat="1" ht="13"/>
    <row r="105" spans="4:4" s="15" customFormat="1" ht="13"/>
    <row r="106" spans="4:4" s="15" customFormat="1" ht="13"/>
    <row r="107" spans="4:4" s="15" customFormat="1" ht="13"/>
    <row r="108" spans="4:4" s="15" customFormat="1" ht="13"/>
    <row r="109" spans="4:4" s="15" customFormat="1" ht="13"/>
    <row r="110" spans="4:4" s="15" customFormat="1" ht="13"/>
    <row r="111" spans="4:4" s="15" customFormat="1" ht="13"/>
    <row r="112" spans="4:4" s="15" customFormat="1" ht="13"/>
    <row r="113" s="15" customFormat="1" ht="13"/>
    <row r="114" s="15" customFormat="1" ht="13"/>
    <row r="115" s="15" customFormat="1" ht="13"/>
    <row r="116" s="15" customFormat="1" ht="13"/>
    <row r="117" s="15" customFormat="1" ht="13"/>
    <row r="118" s="15" customFormat="1" ht="13"/>
    <row r="119" s="15" customFormat="1" ht="13"/>
    <row r="120" s="15" customFormat="1" ht="13"/>
  </sheetData>
  <sheetProtection formatCells="0" formatColumns="0" formatRows="0" insertColumns="0" insertRows="0"/>
  <phoneticPr fontId="0" type="noConversion"/>
  <conditionalFormatting sqref="J371:N375">
    <cfRule type="cellIs" dxfId="8" priority="1" stopIfTrue="1" operator="greaterThan">
      <formula>330</formula>
    </cfRule>
  </conditionalFormatting>
  <conditionalFormatting sqref="G37:G40">
    <cfRule type="cellIs" dxfId="7" priority="2" stopIfTrue="1" operator="equal">
      <formula>"Tripped"</formula>
    </cfRule>
  </conditionalFormatting>
  <printOptions horizontalCentered="1"/>
  <pageMargins left="0.25" right="0.25" top="0.35" bottom="0.5" header="0.5" footer="0.25"/>
  <pageSetup scale="93"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50"/>
  <sheetViews>
    <sheetView showGridLines="0" topLeftCell="A28" workbookViewId="0"/>
  </sheetViews>
  <sheetFormatPr defaultColWidth="10.7265625" defaultRowHeight="13"/>
  <cols>
    <col min="1" max="1" width="4.7265625" style="233" customWidth="1"/>
    <col min="2" max="2" width="1.7265625" style="233" customWidth="1"/>
    <col min="3" max="3" width="18.7265625" style="233" customWidth="1"/>
    <col min="4" max="4" width="11.7265625" style="259" customWidth="1"/>
    <col min="5" max="5" width="1.7265625" style="259" customWidth="1"/>
    <col min="6" max="6" width="4.7265625" style="233" customWidth="1"/>
    <col min="7" max="12" width="10.7265625" style="233" customWidth="1"/>
    <col min="13" max="13" width="13.7265625" style="233" customWidth="1"/>
    <col min="14" max="14" width="10.26953125" style="233" customWidth="1"/>
    <col min="15" max="18" width="13.7265625" style="233" customWidth="1"/>
    <col min="19" max="16384" width="10.7265625" style="233"/>
  </cols>
  <sheetData>
    <row r="1" spans="1:12" s="9" customFormat="1" ht="22.75" customHeight="1">
      <c r="B1" s="10" t="str">
        <f>Assumptions!B1</f>
        <v>Medallion Mouldings</v>
      </c>
      <c r="C1" s="11"/>
      <c r="D1" s="11"/>
      <c r="E1" s="11"/>
      <c r="F1" s="11"/>
      <c r="G1" s="11"/>
      <c r="H1" s="11"/>
      <c r="I1" s="11"/>
      <c r="J1" s="11"/>
      <c r="K1" s="11"/>
      <c r="L1" s="11"/>
    </row>
    <row r="2" spans="1:12" ht="17.5">
      <c r="B2" s="234" t="s">
        <v>89</v>
      </c>
      <c r="C2" s="234"/>
      <c r="D2" s="234"/>
      <c r="E2" s="234"/>
      <c r="F2" s="234"/>
      <c r="G2" s="234"/>
      <c r="H2" s="234"/>
      <c r="I2" s="234"/>
      <c r="J2" s="234"/>
      <c r="K2" s="234"/>
      <c r="L2" s="234"/>
    </row>
    <row r="3" spans="1:12" ht="6" customHeight="1" thickBot="1">
      <c r="B3" s="235"/>
      <c r="C3" s="235"/>
      <c r="D3" s="236"/>
      <c r="E3" s="236"/>
      <c r="F3" s="235"/>
      <c r="G3" s="235"/>
      <c r="H3" s="235"/>
      <c r="I3" s="235"/>
      <c r="J3" s="235"/>
      <c r="K3" s="235"/>
      <c r="L3" s="235"/>
    </row>
    <row r="4" spans="1:12" ht="12.75" customHeight="1">
      <c r="C4" s="237"/>
      <c r="D4" s="238"/>
      <c r="E4" s="238"/>
      <c r="F4" s="237"/>
    </row>
    <row r="5" spans="1:12" ht="6" customHeight="1">
      <c r="B5" s="239"/>
      <c r="C5" s="240"/>
      <c r="D5" s="241"/>
      <c r="E5" s="242"/>
      <c r="F5" s="243"/>
      <c r="G5" s="244"/>
      <c r="H5" s="244"/>
      <c r="I5" s="244"/>
      <c r="J5" s="244"/>
      <c r="K5" s="244"/>
      <c r="L5" s="244"/>
    </row>
    <row r="6" spans="1:12" ht="16.149999999999999" customHeight="1">
      <c r="B6" s="245" t="s">
        <v>171</v>
      </c>
      <c r="C6" s="246"/>
      <c r="D6" s="247">
        <v>1</v>
      </c>
      <c r="E6" s="248"/>
      <c r="F6" s="246"/>
      <c r="G6" s="249">
        <f>Assumptions!G6</f>
        <v>2018</v>
      </c>
      <c r="H6" s="249">
        <f>G6+1</f>
        <v>2019</v>
      </c>
      <c r="I6" s="249">
        <f>H6+1</f>
        <v>2020</v>
      </c>
      <c r="J6" s="249">
        <f>I6+1</f>
        <v>2021</v>
      </c>
      <c r="K6" s="249">
        <f>J6+1</f>
        <v>2022</v>
      </c>
      <c r="L6" s="250" t="s">
        <v>62</v>
      </c>
    </row>
    <row r="7" spans="1:12" ht="6" customHeight="1">
      <c r="B7" s="251"/>
      <c r="C7" s="252"/>
      <c r="D7" s="253"/>
      <c r="E7" s="254"/>
      <c r="F7" s="246"/>
      <c r="G7" s="249"/>
      <c r="H7" s="249"/>
      <c r="I7" s="250"/>
      <c r="J7" s="250"/>
      <c r="K7" s="249"/>
      <c r="L7" s="255"/>
    </row>
    <row r="8" spans="1:12">
      <c r="B8" s="246"/>
      <c r="C8" s="246"/>
      <c r="D8" s="256"/>
      <c r="E8" s="256"/>
      <c r="F8" s="246"/>
      <c r="G8" s="249"/>
      <c r="H8" s="249"/>
      <c r="I8" s="250"/>
      <c r="J8" s="250"/>
      <c r="K8" s="249"/>
      <c r="L8" s="255"/>
    </row>
    <row r="9" spans="1:12">
      <c r="B9" s="246"/>
      <c r="C9" s="246"/>
      <c r="D9" s="256"/>
      <c r="E9" s="256"/>
      <c r="F9" s="246"/>
      <c r="G9" s="249"/>
      <c r="H9" s="249"/>
      <c r="I9" s="250"/>
      <c r="J9" s="250"/>
      <c r="K9" s="249"/>
      <c r="L9" s="255"/>
    </row>
    <row r="10" spans="1:12" ht="6" customHeight="1">
      <c r="B10" s="246"/>
      <c r="C10" s="246"/>
      <c r="D10" s="256"/>
      <c r="E10" s="256"/>
      <c r="F10" s="246"/>
      <c r="G10" s="249"/>
      <c r="H10" s="249"/>
      <c r="I10" s="250"/>
      <c r="J10" s="250"/>
      <c r="K10" s="249"/>
      <c r="L10" s="255"/>
    </row>
    <row r="11" spans="1:12" ht="15.5">
      <c r="A11" s="257"/>
      <c r="B11" s="258" t="s">
        <v>158</v>
      </c>
    </row>
    <row r="12" spans="1:12" ht="12.75" customHeight="1"/>
    <row r="13" spans="1:12" ht="16.149999999999999" customHeight="1">
      <c r="B13" s="260" t="s">
        <v>170</v>
      </c>
      <c r="D13" s="261"/>
      <c r="E13" s="261"/>
      <c r="F13" s="243"/>
      <c r="G13" s="262">
        <f t="shared" ref="G13:L13" si="0">CHOOSE($D$6,G15,G16,G17)</f>
        <v>0.02</v>
      </c>
      <c r="H13" s="263">
        <f t="shared" si="0"/>
        <v>0.02</v>
      </c>
      <c r="I13" s="263">
        <f t="shared" si="0"/>
        <v>0.02</v>
      </c>
      <c r="J13" s="263">
        <f t="shared" si="0"/>
        <v>2.5000000000000001E-2</v>
      </c>
      <c r="K13" s="263">
        <f t="shared" si="0"/>
        <v>2.5000000000000001E-2</v>
      </c>
      <c r="L13" s="264">
        <f t="shared" si="0"/>
        <v>2.5000000000000001E-2</v>
      </c>
    </row>
    <row r="14" spans="1:12" ht="4.1500000000000004" customHeight="1">
      <c r="B14" s="265"/>
      <c r="D14" s="261"/>
      <c r="E14" s="261"/>
      <c r="F14" s="243"/>
      <c r="G14" s="266"/>
      <c r="H14" s="267"/>
      <c r="I14" s="267"/>
      <c r="J14" s="267"/>
      <c r="K14" s="267"/>
      <c r="L14" s="267"/>
    </row>
    <row r="15" spans="1:12">
      <c r="B15" s="265"/>
      <c r="C15" s="233" t="str">
        <f>Assumptions!C14</f>
        <v>Base Case</v>
      </c>
      <c r="D15" s="261"/>
      <c r="E15" s="261"/>
      <c r="F15" s="243"/>
      <c r="G15" s="268">
        <v>0.02</v>
      </c>
      <c r="H15" s="269">
        <v>0.02</v>
      </c>
      <c r="I15" s="269">
        <v>0.02</v>
      </c>
      <c r="J15" s="269">
        <v>2.5000000000000001E-2</v>
      </c>
      <c r="K15" s="269">
        <v>2.5000000000000001E-2</v>
      </c>
      <c r="L15" s="270">
        <v>2.5000000000000001E-2</v>
      </c>
    </row>
    <row r="16" spans="1:12">
      <c r="B16" s="265"/>
      <c r="C16" s="233" t="str">
        <f>Assumptions!C15</f>
        <v>Best Case</v>
      </c>
      <c r="D16" s="261"/>
      <c r="E16" s="261"/>
      <c r="F16" s="243"/>
      <c r="G16" s="271">
        <v>1.7999999999999999E-2</v>
      </c>
      <c r="H16" s="272">
        <v>1.7999999999999999E-2</v>
      </c>
      <c r="I16" s="272">
        <v>1.7999999999999999E-2</v>
      </c>
      <c r="J16" s="272">
        <v>0.02</v>
      </c>
      <c r="K16" s="272">
        <v>0.02</v>
      </c>
      <c r="L16" s="273">
        <v>0.02</v>
      </c>
    </row>
    <row r="17" spans="2:12">
      <c r="B17" s="265"/>
      <c r="C17" s="233" t="str">
        <f>Assumptions!C16</f>
        <v>Worst Case</v>
      </c>
      <c r="D17" s="261"/>
      <c r="E17" s="261"/>
      <c r="F17" s="243"/>
      <c r="G17" s="274">
        <v>2.5000000000000001E-2</v>
      </c>
      <c r="H17" s="275">
        <v>2.5000000000000001E-2</v>
      </c>
      <c r="I17" s="275">
        <v>2.5000000000000001E-2</v>
      </c>
      <c r="J17" s="275">
        <v>2.5000000000000001E-2</v>
      </c>
      <c r="K17" s="275">
        <v>2.5000000000000001E-2</v>
      </c>
      <c r="L17" s="276">
        <v>2.5000000000000001E-2</v>
      </c>
    </row>
    <row r="18" spans="2:12">
      <c r="B18" s="243"/>
      <c r="C18" s="277"/>
      <c r="D18" s="261"/>
      <c r="E18" s="261"/>
      <c r="F18" s="243"/>
      <c r="G18" s="267"/>
      <c r="H18" s="267"/>
      <c r="I18" s="267"/>
      <c r="J18" s="267"/>
      <c r="K18" s="267"/>
      <c r="L18" s="267"/>
    </row>
    <row r="20" spans="2:12" s="279" customFormat="1" ht="16.149999999999999" customHeight="1">
      <c r="B20" s="278" t="s">
        <v>121</v>
      </c>
      <c r="G20" s="280">
        <f t="shared" ref="G20:L20" si="1">CHOOSE($D6,G22,G23,G24)</f>
        <v>0.92</v>
      </c>
      <c r="H20" s="281">
        <f t="shared" si="1"/>
        <v>0.9</v>
      </c>
      <c r="I20" s="281">
        <f t="shared" si="1"/>
        <v>0.9</v>
      </c>
      <c r="J20" s="281">
        <f t="shared" si="1"/>
        <v>0.88</v>
      </c>
      <c r="K20" s="281">
        <f t="shared" si="1"/>
        <v>0.88</v>
      </c>
      <c r="L20" s="282">
        <f t="shared" si="1"/>
        <v>0.86</v>
      </c>
    </row>
    <row r="21" spans="2:12" s="243" customFormat="1" ht="4.1500000000000004" customHeight="1">
      <c r="B21" s="265"/>
      <c r="D21" s="261"/>
      <c r="E21" s="261"/>
      <c r="G21" s="283"/>
      <c r="H21" s="283"/>
      <c r="I21" s="283"/>
      <c r="J21" s="283"/>
      <c r="K21" s="283"/>
      <c r="L21" s="283"/>
    </row>
    <row r="22" spans="2:12">
      <c r="C22" s="284" t="str">
        <f>Assumptions!C14</f>
        <v>Base Case</v>
      </c>
      <c r="D22" s="285"/>
      <c r="E22" s="285"/>
      <c r="G22" s="286">
        <v>0.92</v>
      </c>
      <c r="H22" s="287">
        <v>0.9</v>
      </c>
      <c r="I22" s="287">
        <v>0.9</v>
      </c>
      <c r="J22" s="287">
        <v>0.88</v>
      </c>
      <c r="K22" s="287">
        <v>0.88</v>
      </c>
      <c r="L22" s="288">
        <v>0.86</v>
      </c>
    </row>
    <row r="23" spans="2:12">
      <c r="C23" s="284" t="str">
        <f>Assumptions!C15</f>
        <v>Best Case</v>
      </c>
      <c r="D23" s="285"/>
      <c r="E23" s="285"/>
      <c r="G23" s="289">
        <v>0.91</v>
      </c>
      <c r="H23" s="290">
        <v>0.89</v>
      </c>
      <c r="I23" s="290">
        <v>0.89</v>
      </c>
      <c r="J23" s="290">
        <v>0.87</v>
      </c>
      <c r="K23" s="290">
        <v>0.87</v>
      </c>
      <c r="L23" s="291">
        <v>0.85</v>
      </c>
    </row>
    <row r="24" spans="2:12">
      <c r="C24" s="292" t="str">
        <f>Assumptions!C16</f>
        <v>Worst Case</v>
      </c>
      <c r="D24" s="285"/>
      <c r="E24" s="285"/>
      <c r="G24" s="293">
        <v>0.93</v>
      </c>
      <c r="H24" s="294">
        <v>0.91</v>
      </c>
      <c r="I24" s="294">
        <v>0.91</v>
      </c>
      <c r="J24" s="294">
        <v>0.89</v>
      </c>
      <c r="K24" s="294">
        <v>0.89</v>
      </c>
      <c r="L24" s="295">
        <v>0.87</v>
      </c>
    </row>
    <row r="25" spans="2:12">
      <c r="C25" s="284"/>
      <c r="D25" s="285"/>
      <c r="E25" s="285"/>
      <c r="G25" s="296"/>
      <c r="H25" s="296"/>
      <c r="I25" s="296"/>
      <c r="J25" s="296"/>
      <c r="K25" s="297"/>
      <c r="L25" s="297"/>
    </row>
    <row r="26" spans="2:12">
      <c r="B26" s="298"/>
      <c r="C26" s="298"/>
      <c r="D26" s="299"/>
      <c r="E26" s="299"/>
      <c r="F26" s="298"/>
      <c r="G26" s="298"/>
      <c r="H26" s="298"/>
      <c r="I26" s="298"/>
      <c r="J26" s="298"/>
      <c r="K26" s="298"/>
      <c r="L26" s="298"/>
    </row>
    <row r="27" spans="2:12">
      <c r="B27" s="243"/>
      <c r="C27" s="243"/>
      <c r="D27" s="300"/>
      <c r="E27" s="300"/>
      <c r="F27" s="243"/>
      <c r="G27" s="243"/>
      <c r="H27" s="243"/>
      <c r="I27" s="243"/>
      <c r="J27" s="243"/>
      <c r="K27" s="243"/>
      <c r="L27" s="243"/>
    </row>
    <row r="28" spans="2:12" ht="12.75" customHeight="1">
      <c r="B28" s="243"/>
      <c r="C28" s="243"/>
      <c r="D28" s="300"/>
      <c r="E28" s="300"/>
      <c r="F28" s="243"/>
      <c r="G28" s="243"/>
      <c r="H28" s="243"/>
      <c r="I28" s="243"/>
      <c r="J28" s="243"/>
      <c r="K28" s="243"/>
      <c r="L28" s="243"/>
    </row>
    <row r="29" spans="2:12" ht="12.75" customHeight="1">
      <c r="B29" s="258" t="s">
        <v>223</v>
      </c>
      <c r="C29" s="243"/>
      <c r="D29" s="300"/>
      <c r="E29" s="300"/>
      <c r="F29" s="243"/>
      <c r="G29" s="243"/>
      <c r="H29" s="243"/>
      <c r="I29" s="243"/>
      <c r="J29" s="243"/>
      <c r="K29" s="243"/>
      <c r="L29" s="243"/>
    </row>
    <row r="30" spans="2:12" ht="12.75" customHeight="1"/>
    <row r="31" spans="2:12" s="279" customFormat="1" ht="16.149999999999999" customHeight="1">
      <c r="B31" s="278" t="s">
        <v>122</v>
      </c>
      <c r="D31" s="247"/>
      <c r="E31" s="247"/>
      <c r="G31" s="301">
        <f t="shared" ref="G31:L31" si="2">CHOOSE($D6,G33,G34,G35)</f>
        <v>690</v>
      </c>
      <c r="H31" s="302">
        <f t="shared" si="2"/>
        <v>645</v>
      </c>
      <c r="I31" s="302">
        <f t="shared" si="2"/>
        <v>750</v>
      </c>
      <c r="J31" s="302">
        <f t="shared" si="2"/>
        <v>715</v>
      </c>
      <c r="K31" s="302">
        <f t="shared" si="2"/>
        <v>665</v>
      </c>
      <c r="L31" s="303">
        <f t="shared" si="2"/>
        <v>693</v>
      </c>
    </row>
    <row r="32" spans="2:12" ht="4.1500000000000004" customHeight="1">
      <c r="B32" s="304"/>
      <c r="D32" s="261"/>
      <c r="E32" s="261"/>
      <c r="F32" s="243"/>
      <c r="G32" s="305"/>
      <c r="H32" s="305"/>
      <c r="I32" s="305"/>
      <c r="J32" s="305"/>
      <c r="K32" s="305"/>
      <c r="L32" s="305"/>
    </row>
    <row r="33" spans="1:14">
      <c r="C33" s="284" t="str">
        <f>Assumptions!C14</f>
        <v>Base Case</v>
      </c>
      <c r="D33" s="285"/>
      <c r="E33" s="285"/>
      <c r="G33" s="306">
        <v>690</v>
      </c>
      <c r="H33" s="307">
        <v>645</v>
      </c>
      <c r="I33" s="307">
        <v>750</v>
      </c>
      <c r="J33" s="307">
        <v>715</v>
      </c>
      <c r="K33" s="308">
        <v>665</v>
      </c>
      <c r="L33" s="309">
        <f>AVERAGE(G33:K33)</f>
        <v>693</v>
      </c>
      <c r="M33" s="310"/>
      <c r="N33" s="311"/>
    </row>
    <row r="34" spans="1:14">
      <c r="A34" s="312"/>
      <c r="C34" s="284" t="str">
        <f>CONCATENATE(,Assumptions!C15,": ",TEXT(Assumptions!E15,"+0.0%;-0.0%"))</f>
        <v>Best Case: +5.0%</v>
      </c>
      <c r="D34" s="285"/>
      <c r="E34" s="285"/>
      <c r="G34" s="313">
        <f>G$33*(1+Assumptions!$E$15)</f>
        <v>724.5</v>
      </c>
      <c r="H34" s="314">
        <f>H$33*(1+Assumptions!$E$15)</f>
        <v>677.25</v>
      </c>
      <c r="I34" s="314">
        <f>I$33*(1+Assumptions!$E$15)</f>
        <v>787.5</v>
      </c>
      <c r="J34" s="314">
        <f>J$33*(1+Assumptions!$E$15)</f>
        <v>750.75</v>
      </c>
      <c r="K34" s="314">
        <f>K$33*(1+Assumptions!$E$15)</f>
        <v>698.25</v>
      </c>
      <c r="L34" s="315">
        <f>AVERAGE(G34:K34)</f>
        <v>727.65</v>
      </c>
      <c r="M34" s="310"/>
      <c r="N34" s="311"/>
    </row>
    <row r="35" spans="1:14">
      <c r="A35" s="312"/>
      <c r="C35" s="284" t="str">
        <f>CONCATENATE(,Assumptions!C16,": ",TEXT(Assumptions!E16,"+0.0%;-0.0%"))</f>
        <v>Worst Case: -5.0%</v>
      </c>
      <c r="D35" s="285"/>
      <c r="E35" s="285"/>
      <c r="G35" s="316">
        <f>G$33*(1+Assumptions!$E$16)</f>
        <v>655.5</v>
      </c>
      <c r="H35" s="317">
        <f>H$33*(1+Assumptions!$E$16)</f>
        <v>612.75</v>
      </c>
      <c r="I35" s="317">
        <f>I$33*(1+Assumptions!$E$16)</f>
        <v>712.5</v>
      </c>
      <c r="J35" s="317">
        <f>J$33*(1+Assumptions!$E$16)</f>
        <v>679.25</v>
      </c>
      <c r="K35" s="317">
        <f>K$33*(1+Assumptions!$E$16)</f>
        <v>631.75</v>
      </c>
      <c r="L35" s="318">
        <f>AVERAGE(G35:K35)</f>
        <v>658.35</v>
      </c>
      <c r="M35" s="319"/>
      <c r="N35" s="311"/>
    </row>
    <row r="36" spans="1:14">
      <c r="C36" s="320"/>
      <c r="D36" s="285"/>
      <c r="E36" s="285"/>
      <c r="G36" s="321"/>
      <c r="H36" s="321"/>
      <c r="I36" s="321"/>
      <c r="J36" s="321"/>
      <c r="K36" s="322"/>
      <c r="L36" s="322"/>
      <c r="M36" s="310"/>
    </row>
    <row r="37" spans="1:14">
      <c r="C37" s="320"/>
      <c r="D37" s="285"/>
      <c r="E37" s="285"/>
      <c r="G37" s="321"/>
      <c r="H37" s="321"/>
      <c r="I37" s="321"/>
      <c r="J37" s="321"/>
      <c r="K37" s="322"/>
      <c r="L37" s="322"/>
      <c r="M37" s="310"/>
    </row>
    <row r="38" spans="1:14" ht="16.149999999999999" customHeight="1">
      <c r="B38" s="260" t="s">
        <v>224</v>
      </c>
      <c r="D38" s="261"/>
      <c r="E38" s="261"/>
      <c r="F38" s="243"/>
      <c r="G38" s="262">
        <f t="shared" ref="G38:L38" si="3">CHOOSE($D$6,G40,G41,G42)</f>
        <v>0.05</v>
      </c>
      <c r="H38" s="263">
        <f t="shared" si="3"/>
        <v>0.04</v>
      </c>
      <c r="I38" s="263">
        <f t="shared" si="3"/>
        <v>0.04</v>
      </c>
      <c r="J38" s="263">
        <f t="shared" si="3"/>
        <v>0.03</v>
      </c>
      <c r="K38" s="263">
        <f t="shared" si="3"/>
        <v>0.03</v>
      </c>
      <c r="L38" s="264">
        <f t="shared" si="3"/>
        <v>2.5000000000000001E-2</v>
      </c>
    </row>
    <row r="39" spans="1:14" ht="4.1500000000000004" customHeight="1">
      <c r="B39" s="265"/>
      <c r="D39" s="261"/>
      <c r="E39" s="261"/>
      <c r="F39" s="243"/>
      <c r="G39" s="266"/>
      <c r="H39" s="267"/>
      <c r="I39" s="267"/>
      <c r="J39" s="267"/>
      <c r="K39" s="267"/>
      <c r="L39" s="267"/>
    </row>
    <row r="40" spans="1:14">
      <c r="B40" s="265"/>
      <c r="C40" s="233" t="str">
        <f>C22</f>
        <v>Base Case</v>
      </c>
      <c r="D40" s="261"/>
      <c r="E40" s="261"/>
      <c r="F40" s="243"/>
      <c r="G40" s="268">
        <v>0.05</v>
      </c>
      <c r="H40" s="269">
        <v>0.04</v>
      </c>
      <c r="I40" s="269">
        <v>0.04</v>
      </c>
      <c r="J40" s="269">
        <v>0.03</v>
      </c>
      <c r="K40" s="269">
        <v>0.03</v>
      </c>
      <c r="L40" s="270">
        <v>2.5000000000000001E-2</v>
      </c>
    </row>
    <row r="41" spans="1:14">
      <c r="B41" s="265"/>
      <c r="C41" s="233" t="str">
        <f>C23</f>
        <v>Best Case</v>
      </c>
      <c r="D41" s="261"/>
      <c r="E41" s="261"/>
      <c r="F41" s="243"/>
      <c r="G41" s="271">
        <v>0.05</v>
      </c>
      <c r="H41" s="272">
        <v>0.04</v>
      </c>
      <c r="I41" s="272">
        <v>0.05</v>
      </c>
      <c r="J41" s="272">
        <v>0.05</v>
      </c>
      <c r="K41" s="272">
        <v>0.04</v>
      </c>
      <c r="L41" s="273">
        <v>2.5000000000000001E-2</v>
      </c>
    </row>
    <row r="42" spans="1:14">
      <c r="B42" s="265"/>
      <c r="C42" s="233" t="str">
        <f>C24</f>
        <v>Worst Case</v>
      </c>
      <c r="D42" s="261"/>
      <c r="E42" s="261"/>
      <c r="F42" s="243"/>
      <c r="G42" s="274">
        <v>0.04</v>
      </c>
      <c r="H42" s="275">
        <v>0.04</v>
      </c>
      <c r="I42" s="275">
        <v>0.03</v>
      </c>
      <c r="J42" s="275">
        <v>0.03</v>
      </c>
      <c r="K42" s="275">
        <v>0.02</v>
      </c>
      <c r="L42" s="276">
        <v>0.02</v>
      </c>
    </row>
    <row r="43" spans="1:14">
      <c r="C43" s="320"/>
      <c r="D43" s="285"/>
      <c r="E43" s="285"/>
      <c r="G43" s="321"/>
      <c r="H43" s="321"/>
      <c r="I43" s="321"/>
      <c r="J43" s="321"/>
      <c r="K43" s="322"/>
      <c r="L43" s="322"/>
      <c r="M43" s="310"/>
    </row>
    <row r="44" spans="1:14">
      <c r="B44" s="323"/>
      <c r="C44" s="323"/>
      <c r="D44" s="324"/>
      <c r="E44" s="324"/>
      <c r="F44" s="323"/>
      <c r="G44" s="323"/>
      <c r="H44" s="323"/>
      <c r="I44" s="323"/>
      <c r="J44" s="323"/>
      <c r="K44" s="323"/>
      <c r="L44" s="323"/>
    </row>
    <row r="47" spans="1:14">
      <c r="C47" s="246"/>
      <c r="D47" s="261"/>
      <c r="E47" s="261"/>
      <c r="G47" s="325"/>
      <c r="H47" s="243"/>
      <c r="I47" s="243"/>
      <c r="J47" s="243"/>
    </row>
    <row r="48" spans="1:14">
      <c r="C48" s="243"/>
      <c r="D48" s="285"/>
      <c r="E48" s="285"/>
      <c r="H48" s="311"/>
    </row>
    <row r="49" spans="3:10">
      <c r="C49" s="243"/>
      <c r="D49" s="285"/>
      <c r="E49" s="285"/>
    </row>
    <row r="50" spans="3:10">
      <c r="G50" s="326"/>
      <c r="H50" s="243"/>
      <c r="I50" s="243"/>
      <c r="J50" s="243"/>
    </row>
  </sheetData>
  <sheetProtection formatCells="0" formatColumns="0" formatRows="0" insertColumns="0" insertRows="0"/>
  <phoneticPr fontId="0" type="noConversion"/>
  <conditionalFormatting sqref="J356:N360">
    <cfRule type="cellIs" dxfId="6" priority="1" stopIfTrue="1" operator="greaterThan">
      <formula>330</formula>
    </cfRule>
  </conditionalFormatting>
  <printOptions horizontalCentered="1"/>
  <pageMargins left="0.25" right="0.25" top="0.35" bottom="0.5" header="0.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8249" r:id="rId4" name="Drop Down 57">
              <controlPr defaultSize="0" autoLine="0" autoPict="0">
                <anchor moveWithCells="1">
                  <from>
                    <xdr:col>2</xdr:col>
                    <xdr:colOff>1212850</xdr:colOff>
                    <xdr:row>5</xdr:row>
                    <xdr:rowOff>0</xdr:rowOff>
                  </from>
                  <to>
                    <xdr:col>4</xdr:col>
                    <xdr:colOff>57150</xdr:colOff>
                    <xdr:row>6</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R423"/>
  <sheetViews>
    <sheetView showGridLines="0" topLeftCell="A15" zoomScaleNormal="100" zoomScaleSheetLayoutView="90" workbookViewId="0"/>
  </sheetViews>
  <sheetFormatPr defaultColWidth="9.26953125" defaultRowHeight="13"/>
  <cols>
    <col min="1" max="1" width="7.7265625" style="15" customWidth="1"/>
    <col min="2" max="2" width="1.81640625" style="15" customWidth="1"/>
    <col min="3" max="3" width="2.26953125" style="15" customWidth="1"/>
    <col min="4" max="4" width="11.26953125" style="15" customWidth="1"/>
    <col min="5" max="5" width="12.7265625" style="15" customWidth="1"/>
    <col min="6" max="6" width="10.26953125" style="336" customWidth="1"/>
    <col min="7" max="7" width="1.81640625" style="15" customWidth="1"/>
    <col min="8" max="16" width="9.7265625" style="15" customWidth="1"/>
    <col min="17" max="16384" width="9.26953125" style="15"/>
  </cols>
  <sheetData>
    <row r="1" spans="1:18" ht="12.75" customHeight="1">
      <c r="A1" s="327"/>
      <c r="B1" s="26"/>
      <c r="C1" s="13"/>
      <c r="D1" s="13"/>
      <c r="E1" s="13"/>
      <c r="F1" s="14"/>
      <c r="G1" s="13"/>
      <c r="H1" s="13"/>
      <c r="I1" s="13"/>
      <c r="J1" s="13"/>
      <c r="K1" s="13"/>
      <c r="L1" s="13"/>
      <c r="M1" s="13"/>
      <c r="N1" s="13"/>
      <c r="O1" s="13"/>
      <c r="P1" s="328" t="str">
        <f>"CURRENTLY RUNNING: "&amp;UPPER(CHOOSE(Scenarios!$D$6,Scenarios!C15,Scenarios!C16,Scenarios!C17))&amp;" SCENARIO"</f>
        <v>CURRENTLY RUNNING: BASE CASE SCENARIO</v>
      </c>
    </row>
    <row r="2" spans="1:18" ht="22.5">
      <c r="A2" s="12"/>
      <c r="B2" s="1" t="str">
        <f>Scenarios!B1</f>
        <v>Medallion Mouldings</v>
      </c>
      <c r="C2" s="13"/>
      <c r="D2" s="13"/>
      <c r="E2" s="13"/>
      <c r="F2" s="14"/>
      <c r="G2" s="13"/>
      <c r="H2" s="13"/>
      <c r="I2" s="13"/>
      <c r="J2" s="13"/>
      <c r="K2" s="13"/>
      <c r="L2" s="13"/>
      <c r="M2" s="13"/>
      <c r="N2" s="13"/>
      <c r="O2" s="13"/>
      <c r="P2" s="13"/>
    </row>
    <row r="3" spans="1:18" ht="17.5">
      <c r="A3" s="329"/>
      <c r="B3" s="330" t="s">
        <v>174</v>
      </c>
      <c r="C3" s="331"/>
      <c r="D3" s="331"/>
      <c r="E3" s="331"/>
      <c r="F3" s="332"/>
      <c r="G3" s="331"/>
      <c r="H3" s="331"/>
      <c r="I3" s="331"/>
      <c r="J3" s="331"/>
      <c r="K3" s="331"/>
      <c r="L3" s="331"/>
      <c r="M3" s="331"/>
      <c r="N3" s="331"/>
      <c r="O3" s="331"/>
      <c r="P3" s="331"/>
    </row>
    <row r="4" spans="1:18" ht="6" customHeight="1" thickBot="1">
      <c r="A4" s="329"/>
      <c r="B4" s="333"/>
      <c r="C4" s="334"/>
      <c r="D4" s="334"/>
      <c r="E4" s="334"/>
      <c r="F4" s="335"/>
      <c r="G4" s="334"/>
      <c r="H4" s="334"/>
      <c r="I4" s="334"/>
      <c r="J4" s="334"/>
      <c r="K4" s="334"/>
      <c r="L4" s="334"/>
      <c r="M4" s="334"/>
      <c r="N4" s="334"/>
      <c r="O4" s="334"/>
      <c r="P4" s="334"/>
    </row>
    <row r="5" spans="1:18" ht="12.75" customHeight="1">
      <c r="A5" s="330"/>
      <c r="B5" s="331"/>
      <c r="C5" s="331"/>
      <c r="D5" s="331"/>
      <c r="E5" s="331"/>
      <c r="F5" s="332"/>
      <c r="G5" s="331"/>
      <c r="H5" s="331"/>
      <c r="I5" s="331"/>
      <c r="J5" s="331"/>
      <c r="K5" s="331"/>
      <c r="L5" s="331"/>
      <c r="M5" s="331"/>
      <c r="N5" s="331"/>
      <c r="O5" s="331"/>
      <c r="P5" s="331"/>
    </row>
    <row r="6" spans="1:18" ht="13.5">
      <c r="G6" s="337"/>
      <c r="K6" s="338" t="s">
        <v>8</v>
      </c>
      <c r="L6" s="169"/>
      <c r="M6" s="169"/>
      <c r="N6" s="169"/>
      <c r="O6" s="169"/>
      <c r="P6" s="169"/>
    </row>
    <row r="7" spans="1:18">
      <c r="G7" s="172"/>
      <c r="H7" s="339">
        <f>I7-1</f>
        <v>2015</v>
      </c>
      <c r="I7" s="339">
        <f>J7-1</f>
        <v>2016</v>
      </c>
      <c r="J7" s="339">
        <f>K7-1</f>
        <v>2017</v>
      </c>
      <c r="K7" s="172">
        <f>Scenarios!G6</f>
        <v>2018</v>
      </c>
      <c r="L7" s="172">
        <f>Scenarios!H6</f>
        <v>2019</v>
      </c>
      <c r="M7" s="172">
        <f>Scenarios!I6</f>
        <v>2020</v>
      </c>
      <c r="N7" s="172">
        <f>Scenarios!J6</f>
        <v>2021</v>
      </c>
      <c r="O7" s="172">
        <f>Scenarios!K6</f>
        <v>2022</v>
      </c>
      <c r="P7" s="340" t="s">
        <v>9</v>
      </c>
      <c r="R7" s="341"/>
    </row>
    <row r="8" spans="1:18" ht="12.75" customHeight="1">
      <c r="H8" s="342"/>
      <c r="I8" s="342"/>
      <c r="J8" s="342"/>
      <c r="P8" s="343"/>
    </row>
    <row r="9" spans="1:18">
      <c r="B9" s="344" t="s">
        <v>5</v>
      </c>
      <c r="C9" s="345"/>
      <c r="D9" s="345"/>
      <c r="E9" s="345"/>
      <c r="F9" s="346" t="s">
        <v>51</v>
      </c>
      <c r="G9" s="345"/>
      <c r="H9" s="347">
        <v>0.74</v>
      </c>
      <c r="I9" s="347">
        <v>0.85</v>
      </c>
      <c r="J9" s="347">
        <v>0.9</v>
      </c>
      <c r="K9" s="348">
        <f>Scenarios!G20</f>
        <v>0.92</v>
      </c>
      <c r="L9" s="348">
        <f>Scenarios!H20</f>
        <v>0.9</v>
      </c>
      <c r="M9" s="348">
        <f>Scenarios!I20</f>
        <v>0.9</v>
      </c>
      <c r="N9" s="348">
        <f>Scenarios!J20</f>
        <v>0.88</v>
      </c>
      <c r="O9" s="348">
        <f>Scenarios!K20</f>
        <v>0.88</v>
      </c>
      <c r="P9" s="349">
        <f>Scenarios!L20</f>
        <v>0.86</v>
      </c>
    </row>
    <row r="10" spans="1:18" ht="12.75" customHeight="1">
      <c r="F10" s="350"/>
      <c r="H10" s="342"/>
      <c r="I10" s="342"/>
      <c r="J10" s="342"/>
      <c r="P10" s="343"/>
    </row>
    <row r="11" spans="1:18">
      <c r="B11" s="351" t="s">
        <v>2</v>
      </c>
      <c r="F11" s="350"/>
      <c r="H11" s="342"/>
      <c r="I11" s="342"/>
      <c r="J11" s="342"/>
      <c r="P11" s="343"/>
    </row>
    <row r="12" spans="1:18">
      <c r="C12" s="352" t="s">
        <v>95</v>
      </c>
      <c r="F12" s="353" t="s">
        <v>112</v>
      </c>
      <c r="H12" s="354">
        <v>555</v>
      </c>
      <c r="I12" s="354">
        <v>685</v>
      </c>
      <c r="J12" s="354">
        <v>625</v>
      </c>
      <c r="K12" s="355">
        <f>Scenarios!G31</f>
        <v>690</v>
      </c>
      <c r="L12" s="355">
        <f>Scenarios!H31</f>
        <v>645</v>
      </c>
      <c r="M12" s="355">
        <f>Scenarios!I31</f>
        <v>750</v>
      </c>
      <c r="N12" s="355">
        <f>Scenarios!J31</f>
        <v>715</v>
      </c>
      <c r="O12" s="355">
        <f>Scenarios!K31</f>
        <v>665</v>
      </c>
      <c r="P12" s="356">
        <f>Scenarios!L31</f>
        <v>693</v>
      </c>
    </row>
    <row r="13" spans="1:18" ht="12.75" customHeight="1">
      <c r="C13" s="204"/>
      <c r="F13" s="353"/>
      <c r="H13" s="357"/>
      <c r="I13" s="357"/>
      <c r="J13" s="357"/>
      <c r="K13" s="358"/>
      <c r="L13" s="358"/>
      <c r="M13" s="358"/>
      <c r="N13" s="358"/>
      <c r="O13" s="358"/>
      <c r="P13" s="359"/>
    </row>
    <row r="14" spans="1:18">
      <c r="C14" s="352" t="s">
        <v>95</v>
      </c>
      <c r="F14" s="353" t="s">
        <v>113</v>
      </c>
      <c r="H14" s="360">
        <f t="shared" ref="H14:P14" si="0">H12/H9</f>
        <v>750</v>
      </c>
      <c r="I14" s="360">
        <f t="shared" si="0"/>
        <v>805.88235294117646</v>
      </c>
      <c r="J14" s="360">
        <f t="shared" si="0"/>
        <v>694.44444444444446</v>
      </c>
      <c r="K14" s="360">
        <f t="shared" si="0"/>
        <v>750</v>
      </c>
      <c r="L14" s="360">
        <f t="shared" si="0"/>
        <v>716.66666666666663</v>
      </c>
      <c r="M14" s="360">
        <f t="shared" si="0"/>
        <v>833.33333333333326</v>
      </c>
      <c r="N14" s="360">
        <f t="shared" si="0"/>
        <v>812.5</v>
      </c>
      <c r="O14" s="360">
        <f t="shared" si="0"/>
        <v>755.68181818181813</v>
      </c>
      <c r="P14" s="361">
        <f t="shared" si="0"/>
        <v>805.81395348837214</v>
      </c>
    </row>
    <row r="15" spans="1:18">
      <c r="C15" s="129" t="s">
        <v>170</v>
      </c>
      <c r="D15" s="129"/>
      <c r="E15" s="129"/>
      <c r="F15" s="362" t="s">
        <v>225</v>
      </c>
      <c r="G15" s="129"/>
      <c r="H15" s="363">
        <v>2.1000000000000001E-2</v>
      </c>
      <c r="I15" s="364">
        <f>I16/H16-1</f>
        <v>2.0833333333333259E-2</v>
      </c>
      <c r="J15" s="364">
        <f>J16/I16-1</f>
        <v>2.0408163265306145E-2</v>
      </c>
      <c r="K15" s="365">
        <f>Scenarios!G13</f>
        <v>0.02</v>
      </c>
      <c r="L15" s="365">
        <f>Scenarios!H13</f>
        <v>0.02</v>
      </c>
      <c r="M15" s="365">
        <f>Scenarios!I13</f>
        <v>0.02</v>
      </c>
      <c r="N15" s="365">
        <f>Scenarios!J13</f>
        <v>2.5000000000000001E-2</v>
      </c>
      <c r="O15" s="365">
        <f>Scenarios!K13</f>
        <v>2.5000000000000001E-2</v>
      </c>
      <c r="P15" s="366">
        <f>Scenarios!L13</f>
        <v>2.5000000000000001E-2</v>
      </c>
    </row>
    <row r="16" spans="1:18">
      <c r="C16" s="204" t="s">
        <v>77</v>
      </c>
      <c r="F16" s="353" t="str">
        <f>F14</f>
        <v>(CDN$/unit)</v>
      </c>
      <c r="H16" s="367">
        <v>96</v>
      </c>
      <c r="I16" s="367">
        <v>98</v>
      </c>
      <c r="J16" s="367">
        <v>100</v>
      </c>
      <c r="K16" s="368">
        <f t="shared" ref="K16:P16" si="1">J16*(1+K$15)</f>
        <v>102</v>
      </c>
      <c r="L16" s="368">
        <f t="shared" si="1"/>
        <v>104.04</v>
      </c>
      <c r="M16" s="368">
        <f t="shared" si="1"/>
        <v>106.1208</v>
      </c>
      <c r="N16" s="368">
        <f t="shared" si="1"/>
        <v>108.77381999999999</v>
      </c>
      <c r="O16" s="368">
        <f t="shared" si="1"/>
        <v>111.49316549999998</v>
      </c>
      <c r="P16" s="369">
        <f t="shared" si="1"/>
        <v>114.28049463749997</v>
      </c>
    </row>
    <row r="17" spans="2:16">
      <c r="C17" s="202" t="s">
        <v>98</v>
      </c>
      <c r="F17" s="370" t="str">
        <f>F16</f>
        <v>(CDN$/unit)</v>
      </c>
      <c r="H17" s="371">
        <f>H14-H16</f>
        <v>654</v>
      </c>
      <c r="I17" s="371">
        <f t="shared" ref="I17:P17" si="2">I14-I16</f>
        <v>707.88235294117646</v>
      </c>
      <c r="J17" s="371">
        <f t="shared" si="2"/>
        <v>594.44444444444446</v>
      </c>
      <c r="K17" s="371">
        <f t="shared" si="2"/>
        <v>648</v>
      </c>
      <c r="L17" s="371">
        <f t="shared" si="2"/>
        <v>612.62666666666667</v>
      </c>
      <c r="M17" s="371">
        <f t="shared" si="2"/>
        <v>727.21253333333323</v>
      </c>
      <c r="N17" s="371">
        <f t="shared" si="2"/>
        <v>703.72618</v>
      </c>
      <c r="O17" s="371">
        <f t="shared" si="2"/>
        <v>644.18865268181821</v>
      </c>
      <c r="P17" s="372">
        <f t="shared" si="2"/>
        <v>691.53345885087219</v>
      </c>
    </row>
    <row r="18" spans="2:16">
      <c r="B18" s="373"/>
      <c r="C18" s="374"/>
      <c r="D18" s="373"/>
      <c r="E18" s="373"/>
      <c r="F18" s="375"/>
      <c r="G18" s="373"/>
      <c r="H18" s="376"/>
      <c r="I18" s="376"/>
      <c r="J18" s="376"/>
      <c r="K18" s="377"/>
      <c r="L18" s="377"/>
      <c r="M18" s="377"/>
      <c r="N18" s="377"/>
      <c r="O18" s="377"/>
      <c r="P18" s="378"/>
    </row>
    <row r="19" spans="2:16">
      <c r="C19" s="351"/>
      <c r="F19" s="370"/>
      <c r="H19" s="379"/>
      <c r="I19" s="379"/>
      <c r="J19" s="379"/>
      <c r="K19" s="380"/>
      <c r="L19" s="380"/>
      <c r="M19" s="380"/>
      <c r="N19" s="380"/>
      <c r="O19" s="380"/>
      <c r="P19" s="381"/>
    </row>
    <row r="20" spans="2:16">
      <c r="B20" s="341" t="s">
        <v>20</v>
      </c>
      <c r="F20" s="353"/>
      <c r="H20" s="358"/>
      <c r="I20" s="358"/>
      <c r="J20" s="358"/>
      <c r="K20" s="382"/>
      <c r="L20" s="382"/>
      <c r="M20" s="382"/>
      <c r="N20" s="382"/>
      <c r="O20" s="358"/>
      <c r="P20" s="359"/>
    </row>
    <row r="21" spans="2:16">
      <c r="C21" s="15" t="s">
        <v>63</v>
      </c>
      <c r="F21" s="350" t="s">
        <v>64</v>
      </c>
      <c r="H21" s="354">
        <v>350</v>
      </c>
      <c r="I21" s="354">
        <v>350</v>
      </c>
      <c r="J21" s="354">
        <v>350</v>
      </c>
      <c r="K21" s="355">
        <f>Assumptions!N12</f>
        <v>350</v>
      </c>
      <c r="L21" s="360">
        <f t="shared" ref="L21:P22" si="3">K21</f>
        <v>350</v>
      </c>
      <c r="M21" s="360">
        <f t="shared" si="3"/>
        <v>350</v>
      </c>
      <c r="N21" s="360">
        <f t="shared" si="3"/>
        <v>350</v>
      </c>
      <c r="O21" s="360">
        <f t="shared" si="3"/>
        <v>350</v>
      </c>
      <c r="P21" s="361">
        <f t="shared" si="3"/>
        <v>350</v>
      </c>
    </row>
    <row r="22" spans="2:16">
      <c r="C22" s="15" t="s">
        <v>114</v>
      </c>
      <c r="E22" s="383"/>
      <c r="F22" s="350" t="s">
        <v>115</v>
      </c>
      <c r="H22" s="367">
        <v>1200</v>
      </c>
      <c r="I22" s="367">
        <v>1200</v>
      </c>
      <c r="J22" s="367">
        <v>1200</v>
      </c>
      <c r="K22" s="384">
        <f>Assumptions!N13</f>
        <v>1200</v>
      </c>
      <c r="L22" s="368">
        <f t="shared" si="3"/>
        <v>1200</v>
      </c>
      <c r="M22" s="368">
        <f t="shared" si="3"/>
        <v>1200</v>
      </c>
      <c r="N22" s="368">
        <f t="shared" si="3"/>
        <v>1200</v>
      </c>
      <c r="O22" s="368">
        <f t="shared" si="3"/>
        <v>1200</v>
      </c>
      <c r="P22" s="369">
        <f t="shared" si="3"/>
        <v>1200</v>
      </c>
    </row>
    <row r="23" spans="2:16">
      <c r="C23" s="341" t="s">
        <v>20</v>
      </c>
      <c r="F23" s="385" t="s">
        <v>116</v>
      </c>
      <c r="H23" s="371">
        <f t="shared" ref="H23:P23" si="4">H22*H21/1000</f>
        <v>420</v>
      </c>
      <c r="I23" s="371">
        <f>I22*I21/1000</f>
        <v>420</v>
      </c>
      <c r="J23" s="371">
        <f>J22*J21/1000</f>
        <v>420</v>
      </c>
      <c r="K23" s="371">
        <f t="shared" si="4"/>
        <v>420</v>
      </c>
      <c r="L23" s="371">
        <f t="shared" si="4"/>
        <v>420</v>
      </c>
      <c r="M23" s="371">
        <f t="shared" si="4"/>
        <v>420</v>
      </c>
      <c r="N23" s="371">
        <f t="shared" si="4"/>
        <v>420</v>
      </c>
      <c r="O23" s="371">
        <f t="shared" si="4"/>
        <v>420</v>
      </c>
      <c r="P23" s="386">
        <f t="shared" si="4"/>
        <v>420</v>
      </c>
    </row>
    <row r="24" spans="2:16" ht="12.75" customHeight="1">
      <c r="F24" s="350"/>
      <c r="P24" s="343"/>
    </row>
    <row r="25" spans="2:16">
      <c r="B25" s="202" t="s">
        <v>226</v>
      </c>
      <c r="F25" s="350"/>
      <c r="P25" s="343"/>
    </row>
    <row r="26" spans="2:16">
      <c r="C26" s="15" t="s">
        <v>63</v>
      </c>
      <c r="F26" s="350" t="s">
        <v>64</v>
      </c>
      <c r="H26" s="354">
        <v>340</v>
      </c>
      <c r="I26" s="354">
        <v>335</v>
      </c>
      <c r="J26" s="354">
        <v>348</v>
      </c>
      <c r="K26" s="355">
        <f>Assumptions!N12</f>
        <v>350</v>
      </c>
      <c r="L26" s="360">
        <f>K26</f>
        <v>350</v>
      </c>
      <c r="M26" s="360">
        <f>L26</f>
        <v>350</v>
      </c>
      <c r="N26" s="360">
        <f>M26</f>
        <v>350</v>
      </c>
      <c r="O26" s="360">
        <f>N26</f>
        <v>350</v>
      </c>
      <c r="P26" s="361">
        <f>O26</f>
        <v>350</v>
      </c>
    </row>
    <row r="27" spans="2:16">
      <c r="C27" s="15" t="s">
        <v>224</v>
      </c>
      <c r="F27" s="362" t="s">
        <v>225</v>
      </c>
      <c r="H27" s="363">
        <v>0.02</v>
      </c>
      <c r="I27" s="364">
        <f>I28/H28-1</f>
        <v>1.5625E-2</v>
      </c>
      <c r="J27" s="364">
        <f>J28/I28-1</f>
        <v>1.538461538461533E-2</v>
      </c>
      <c r="K27" s="365">
        <f>Scenarios!G38</f>
        <v>0.05</v>
      </c>
      <c r="L27" s="365">
        <f>Scenarios!H38</f>
        <v>0.04</v>
      </c>
      <c r="M27" s="365">
        <f>Scenarios!I38</f>
        <v>0.04</v>
      </c>
      <c r="N27" s="365">
        <f>Scenarios!J38</f>
        <v>0.03</v>
      </c>
      <c r="O27" s="365">
        <f>Scenarios!K38</f>
        <v>0.03</v>
      </c>
      <c r="P27" s="366">
        <f>Scenarios!L38</f>
        <v>2.5000000000000001E-2</v>
      </c>
    </row>
    <row r="28" spans="2:16">
      <c r="C28" s="15" t="s">
        <v>114</v>
      </c>
      <c r="F28" s="350" t="s">
        <v>115</v>
      </c>
      <c r="H28" s="367">
        <v>960</v>
      </c>
      <c r="I28" s="367">
        <v>975</v>
      </c>
      <c r="J28" s="367">
        <v>990</v>
      </c>
      <c r="K28" s="368">
        <f t="shared" ref="K28:P28" si="5">MIN(J28*(1+K27),K22)</f>
        <v>1039.5</v>
      </c>
      <c r="L28" s="368">
        <f t="shared" si="5"/>
        <v>1081.08</v>
      </c>
      <c r="M28" s="368">
        <f t="shared" si="5"/>
        <v>1124.3232</v>
      </c>
      <c r="N28" s="368">
        <f t="shared" si="5"/>
        <v>1158.0528960000001</v>
      </c>
      <c r="O28" s="368">
        <f t="shared" si="5"/>
        <v>1192.7944828800003</v>
      </c>
      <c r="P28" s="369">
        <f t="shared" si="5"/>
        <v>1200</v>
      </c>
    </row>
    <row r="29" spans="2:16">
      <c r="C29" s="341" t="s">
        <v>227</v>
      </c>
      <c r="F29" s="385" t="s">
        <v>116</v>
      </c>
      <c r="H29" s="371">
        <f t="shared" ref="H29:P29" si="6">H28*H26/1000</f>
        <v>326.39999999999998</v>
      </c>
      <c r="I29" s="371">
        <f t="shared" si="6"/>
        <v>326.625</v>
      </c>
      <c r="J29" s="371">
        <f t="shared" si="6"/>
        <v>344.52</v>
      </c>
      <c r="K29" s="371">
        <f t="shared" si="6"/>
        <v>363.82499999999999</v>
      </c>
      <c r="L29" s="371">
        <f t="shared" si="6"/>
        <v>378.37799999999999</v>
      </c>
      <c r="M29" s="371">
        <f t="shared" si="6"/>
        <v>393.51312000000001</v>
      </c>
      <c r="N29" s="371">
        <f t="shared" si="6"/>
        <v>405.31851360000007</v>
      </c>
      <c r="O29" s="371">
        <f t="shared" si="6"/>
        <v>417.47806900800009</v>
      </c>
      <c r="P29" s="372">
        <f t="shared" si="6"/>
        <v>420</v>
      </c>
    </row>
    <row r="30" spans="2:16" ht="6" customHeight="1">
      <c r="C30" s="341"/>
      <c r="F30" s="385"/>
      <c r="H30" s="380"/>
      <c r="I30" s="380"/>
      <c r="J30" s="380"/>
      <c r="K30" s="380"/>
      <c r="L30" s="380"/>
      <c r="M30" s="380"/>
      <c r="N30" s="380"/>
      <c r="O30" s="380"/>
      <c r="P30" s="381"/>
    </row>
    <row r="31" spans="2:16">
      <c r="C31" s="15" t="s">
        <v>78</v>
      </c>
      <c r="F31" s="385"/>
      <c r="H31" s="387">
        <f>H29/H23</f>
        <v>0.77714285714285714</v>
      </c>
      <c r="I31" s="387">
        <f>I29/I23</f>
        <v>0.77767857142857144</v>
      </c>
      <c r="J31" s="387">
        <f>J29/J23</f>
        <v>0.82028571428571428</v>
      </c>
      <c r="K31" s="387">
        <f t="shared" ref="K31:P31" si="7">K29/K23</f>
        <v>0.86624999999999996</v>
      </c>
      <c r="L31" s="387">
        <f t="shared" si="7"/>
        <v>0.90089999999999992</v>
      </c>
      <c r="M31" s="387">
        <f t="shared" si="7"/>
        <v>0.93693599999999999</v>
      </c>
      <c r="N31" s="387">
        <f t="shared" si="7"/>
        <v>0.96504408000000019</v>
      </c>
      <c r="O31" s="387">
        <f t="shared" si="7"/>
        <v>0.99399540240000017</v>
      </c>
      <c r="P31" s="388">
        <f t="shared" si="7"/>
        <v>1</v>
      </c>
    </row>
    <row r="32" spans="2:16" ht="12.75" customHeight="1">
      <c r="B32" s="373"/>
      <c r="C32" s="373"/>
      <c r="D32" s="373"/>
      <c r="E32" s="373"/>
      <c r="F32" s="389"/>
      <c r="G32" s="373"/>
      <c r="H32" s="373"/>
      <c r="I32" s="373"/>
      <c r="J32" s="373"/>
      <c r="K32" s="373"/>
      <c r="L32" s="373"/>
      <c r="M32" s="373"/>
      <c r="N32" s="373"/>
      <c r="O32" s="373"/>
      <c r="P32" s="390"/>
    </row>
    <row r="33" spans="1:20" ht="12.75" customHeight="1">
      <c r="F33" s="350"/>
      <c r="P33" s="343"/>
    </row>
    <row r="34" spans="1:20">
      <c r="B34" s="341" t="s">
        <v>65</v>
      </c>
      <c r="F34" s="350"/>
      <c r="P34" s="343"/>
    </row>
    <row r="35" spans="1:20">
      <c r="A35" s="391"/>
      <c r="C35" s="352" t="s">
        <v>66</v>
      </c>
      <c r="F35" s="350" t="s">
        <v>219</v>
      </c>
      <c r="H35" s="392">
        <f t="shared" ref="H35:P35" si="8">H$29*H14/1000</f>
        <v>244.79999999999998</v>
      </c>
      <c r="I35" s="392">
        <f t="shared" si="8"/>
        <v>263.22132352941173</v>
      </c>
      <c r="J35" s="392">
        <f t="shared" si="8"/>
        <v>239.25</v>
      </c>
      <c r="K35" s="392">
        <f t="shared" si="8"/>
        <v>272.86874999999998</v>
      </c>
      <c r="L35" s="392">
        <f t="shared" si="8"/>
        <v>271.17089999999996</v>
      </c>
      <c r="M35" s="392">
        <f t="shared" si="8"/>
        <v>327.92759999999998</v>
      </c>
      <c r="N35" s="392">
        <f t="shared" si="8"/>
        <v>329.3212923000001</v>
      </c>
      <c r="O35" s="392">
        <f t="shared" si="8"/>
        <v>315.48058623900005</v>
      </c>
      <c r="P35" s="393">
        <f t="shared" si="8"/>
        <v>338.44186046511629</v>
      </c>
    </row>
    <row r="36" spans="1:20">
      <c r="C36" s="204" t="s">
        <v>77</v>
      </c>
      <c r="F36" s="350" t="s">
        <v>219</v>
      </c>
      <c r="H36" s="392">
        <f t="shared" ref="H36:P36" si="9">H$29*H16/1000</f>
        <v>31.334399999999999</v>
      </c>
      <c r="I36" s="392">
        <f t="shared" si="9"/>
        <v>32.009250000000002</v>
      </c>
      <c r="J36" s="392">
        <f t="shared" si="9"/>
        <v>34.451999999999998</v>
      </c>
      <c r="K36" s="392">
        <f t="shared" si="9"/>
        <v>37.110150000000004</v>
      </c>
      <c r="L36" s="392">
        <f t="shared" si="9"/>
        <v>39.366447120000004</v>
      </c>
      <c r="M36" s="392">
        <f t="shared" si="9"/>
        <v>41.759927104896001</v>
      </c>
      <c r="N36" s="392">
        <f t="shared" si="9"/>
        <v>44.088043040993959</v>
      </c>
      <c r="O36" s="392">
        <f t="shared" si="9"/>
        <v>46.545951440529365</v>
      </c>
      <c r="P36" s="393">
        <f t="shared" si="9"/>
        <v>47.997807747749988</v>
      </c>
    </row>
    <row r="37" spans="1:20">
      <c r="C37" s="341" t="s">
        <v>14</v>
      </c>
      <c r="F37" s="385" t="s">
        <v>219</v>
      </c>
      <c r="H37" s="394">
        <f>H35-H36</f>
        <v>213.46559999999999</v>
      </c>
      <c r="I37" s="394">
        <f>I35-I36</f>
        <v>231.21207352941173</v>
      </c>
      <c r="J37" s="394">
        <f>J35-J36</f>
        <v>204.798</v>
      </c>
      <c r="K37" s="394">
        <f t="shared" ref="K37:P37" si="10">K35-K36</f>
        <v>235.75859999999997</v>
      </c>
      <c r="L37" s="394">
        <f t="shared" si="10"/>
        <v>231.80445287999996</v>
      </c>
      <c r="M37" s="394">
        <f t="shared" si="10"/>
        <v>286.16767289510398</v>
      </c>
      <c r="N37" s="394">
        <f t="shared" si="10"/>
        <v>285.23324925900613</v>
      </c>
      <c r="O37" s="394">
        <f t="shared" si="10"/>
        <v>268.93463479847071</v>
      </c>
      <c r="P37" s="395">
        <f t="shared" si="10"/>
        <v>290.44405271736628</v>
      </c>
    </row>
    <row r="38" spans="1:20" ht="12.75" customHeight="1">
      <c r="B38" s="142"/>
      <c r="C38" s="142"/>
      <c r="D38" s="142"/>
      <c r="E38" s="142"/>
      <c r="F38" s="396"/>
      <c r="G38" s="142"/>
      <c r="H38" s="142"/>
      <c r="I38" s="142"/>
      <c r="J38" s="142"/>
      <c r="K38" s="142"/>
      <c r="L38" s="142"/>
      <c r="M38" s="142"/>
      <c r="N38" s="142"/>
      <c r="O38" s="142"/>
      <c r="P38" s="397"/>
      <c r="T38" s="398"/>
    </row>
    <row r="39" spans="1:20" ht="12.75" customHeight="1">
      <c r="B39" s="129"/>
      <c r="C39" s="129"/>
      <c r="D39" s="129"/>
      <c r="E39" s="129"/>
      <c r="F39" s="399"/>
      <c r="G39" s="129"/>
      <c r="H39" s="129"/>
      <c r="I39" s="129"/>
      <c r="J39" s="129"/>
      <c r="K39" s="129"/>
      <c r="L39" s="129"/>
      <c r="M39" s="129"/>
      <c r="N39" s="129"/>
      <c r="O39" s="129"/>
      <c r="P39" s="129"/>
      <c r="T39" s="398"/>
    </row>
    <row r="40" spans="1:20">
      <c r="K40" s="400"/>
    </row>
    <row r="41" spans="1:20" ht="12.75" customHeight="1">
      <c r="A41" s="12"/>
      <c r="B41" s="1"/>
      <c r="C41" s="13"/>
      <c r="D41" s="13"/>
      <c r="E41" s="13"/>
      <c r="F41" s="14"/>
      <c r="G41" s="13"/>
      <c r="H41" s="13"/>
      <c r="I41" s="13"/>
      <c r="J41" s="13"/>
      <c r="K41" s="13"/>
      <c r="L41" s="13"/>
      <c r="M41" s="13"/>
      <c r="N41" s="13"/>
      <c r="O41" s="401" t="str">
        <f>P1</f>
        <v>CURRENTLY RUNNING: BASE CASE SCENARIO</v>
      </c>
      <c r="P41" s="16"/>
    </row>
    <row r="42" spans="1:20" ht="22.5">
      <c r="A42" s="12"/>
      <c r="B42" s="1" t="str">
        <f>B$2</f>
        <v>Medallion Mouldings</v>
      </c>
      <c r="C42" s="13"/>
      <c r="D42" s="13"/>
      <c r="E42" s="13"/>
      <c r="F42" s="14"/>
      <c r="G42" s="13"/>
      <c r="H42" s="13"/>
      <c r="I42" s="13"/>
      <c r="J42" s="13"/>
      <c r="K42" s="13"/>
      <c r="L42" s="13"/>
      <c r="M42" s="13"/>
      <c r="N42" s="13"/>
      <c r="O42" s="13"/>
      <c r="P42" s="16"/>
    </row>
    <row r="43" spans="1:20" ht="17.5">
      <c r="A43" s="329"/>
      <c r="B43" s="330" t="s">
        <v>72</v>
      </c>
      <c r="C43" s="331"/>
      <c r="D43" s="331"/>
      <c r="E43" s="331"/>
      <c r="F43" s="332"/>
      <c r="G43" s="331"/>
      <c r="H43" s="331"/>
      <c r="I43" s="331"/>
      <c r="J43" s="331"/>
      <c r="K43" s="331"/>
      <c r="L43" s="331"/>
      <c r="M43" s="331"/>
      <c r="N43" s="331"/>
      <c r="O43" s="331"/>
      <c r="P43" s="402"/>
    </row>
    <row r="44" spans="1:20" ht="6" customHeight="1" thickBot="1">
      <c r="A44" s="329"/>
      <c r="B44" s="333"/>
      <c r="C44" s="334"/>
      <c r="D44" s="334"/>
      <c r="E44" s="334"/>
      <c r="F44" s="335"/>
      <c r="G44" s="334"/>
      <c r="H44" s="334"/>
      <c r="I44" s="334"/>
      <c r="J44" s="334"/>
      <c r="K44" s="334"/>
      <c r="L44" s="334"/>
      <c r="M44" s="334"/>
      <c r="N44" s="334"/>
      <c r="O44" s="334"/>
      <c r="P44" s="402"/>
    </row>
    <row r="45" spans="1:20" ht="6" customHeight="1">
      <c r="A45" s="330"/>
      <c r="B45" s="331"/>
      <c r="C45" s="331"/>
      <c r="D45" s="331"/>
      <c r="E45" s="331"/>
      <c r="F45" s="332"/>
      <c r="G45" s="331"/>
      <c r="H45" s="331"/>
      <c r="I45" s="331"/>
      <c r="J45" s="331"/>
      <c r="K45" s="331"/>
      <c r="L45" s="331"/>
      <c r="M45" s="331"/>
      <c r="N45" s="331"/>
      <c r="O45" s="331"/>
      <c r="P45" s="402"/>
    </row>
    <row r="46" spans="1:20" ht="13.5">
      <c r="G46" s="337"/>
      <c r="K46" s="338" t="s">
        <v>8</v>
      </c>
      <c r="L46" s="169"/>
      <c r="M46" s="169"/>
      <c r="N46" s="169"/>
      <c r="O46" s="169"/>
      <c r="P46" s="16"/>
    </row>
    <row r="47" spans="1:20">
      <c r="G47" s="172"/>
      <c r="H47" s="403">
        <f>H7</f>
        <v>2015</v>
      </c>
      <c r="I47" s="403">
        <f>I7</f>
        <v>2016</v>
      </c>
      <c r="J47" s="339">
        <f>J7</f>
        <v>2017</v>
      </c>
      <c r="K47" s="404">
        <f>K$7</f>
        <v>2018</v>
      </c>
      <c r="L47" s="404">
        <f>L$7</f>
        <v>2019</v>
      </c>
      <c r="M47" s="404">
        <f>M$7</f>
        <v>2020</v>
      </c>
      <c r="N47" s="404">
        <f>N$7</f>
        <v>2021</v>
      </c>
      <c r="O47" s="404">
        <f>O$7</f>
        <v>2022</v>
      </c>
      <c r="P47" s="405"/>
      <c r="R47" s="341"/>
    </row>
    <row r="48" spans="1:20" ht="13" customHeight="1">
      <c r="G48" s="172"/>
      <c r="H48" s="172"/>
      <c r="I48" s="172"/>
      <c r="J48" s="172"/>
      <c r="K48" s="172"/>
      <c r="L48" s="172"/>
      <c r="M48" s="172"/>
      <c r="N48" s="172"/>
      <c r="O48" s="172"/>
      <c r="P48" s="405"/>
      <c r="R48" s="341"/>
    </row>
    <row r="49" spans="1:18" ht="13" customHeight="1">
      <c r="B49" s="854" t="s">
        <v>227</v>
      </c>
      <c r="C49" s="855"/>
      <c r="D49" s="855"/>
      <c r="E49" s="855"/>
      <c r="F49" s="856" t="s">
        <v>116</v>
      </c>
      <c r="G49" s="857"/>
      <c r="H49" s="858">
        <f>H29</f>
        <v>326.39999999999998</v>
      </c>
      <c r="I49" s="858">
        <f t="shared" ref="I49:O49" si="11">I29</f>
        <v>326.625</v>
      </c>
      <c r="J49" s="858">
        <f t="shared" si="11"/>
        <v>344.52</v>
      </c>
      <c r="K49" s="858">
        <f t="shared" si="11"/>
        <v>363.82499999999999</v>
      </c>
      <c r="L49" s="858">
        <f t="shared" si="11"/>
        <v>378.37799999999999</v>
      </c>
      <c r="M49" s="858">
        <f t="shared" si="11"/>
        <v>393.51312000000001</v>
      </c>
      <c r="N49" s="858">
        <f t="shared" si="11"/>
        <v>405.31851360000007</v>
      </c>
      <c r="O49" s="859">
        <f t="shared" si="11"/>
        <v>417.47806900800009</v>
      </c>
      <c r="P49" s="405"/>
      <c r="R49" s="341"/>
    </row>
    <row r="50" spans="1:18">
      <c r="B50" s="860" t="s">
        <v>170</v>
      </c>
      <c r="C50" s="373"/>
      <c r="D50" s="373"/>
      <c r="E50" s="373"/>
      <c r="F50" s="389" t="s">
        <v>225</v>
      </c>
      <c r="G50" s="861"/>
      <c r="H50" s="862"/>
      <c r="I50" s="862"/>
      <c r="J50" s="862"/>
      <c r="K50" s="862"/>
      <c r="L50" s="863">
        <f>L15</f>
        <v>0.02</v>
      </c>
      <c r="M50" s="863">
        <f>M15</f>
        <v>0.02</v>
      </c>
      <c r="N50" s="863">
        <f>N15</f>
        <v>2.5000000000000001E-2</v>
      </c>
      <c r="O50" s="864">
        <f>O15</f>
        <v>2.5000000000000001E-2</v>
      </c>
      <c r="P50" s="405"/>
      <c r="R50" s="341"/>
    </row>
    <row r="51" spans="1:18" ht="13" customHeight="1">
      <c r="B51" s="407"/>
      <c r="G51" s="172"/>
      <c r="H51" s="172"/>
      <c r="I51" s="172"/>
      <c r="J51" s="172"/>
      <c r="K51" s="172"/>
      <c r="L51" s="172"/>
      <c r="M51" s="172"/>
      <c r="N51" s="172"/>
      <c r="O51" s="172"/>
      <c r="P51" s="405"/>
      <c r="R51" s="341"/>
    </row>
    <row r="52" spans="1:18" ht="12.75" customHeight="1">
      <c r="B52" s="408" t="s">
        <v>117</v>
      </c>
      <c r="G52" s="172"/>
      <c r="H52" s="172"/>
      <c r="I52" s="172"/>
      <c r="J52" s="172"/>
      <c r="K52" s="172"/>
      <c r="M52" s="172"/>
      <c r="N52" s="172"/>
      <c r="O52" s="172"/>
      <c r="P52" s="405"/>
      <c r="R52" s="341"/>
    </row>
    <row r="53" spans="1:18">
      <c r="A53" s="391"/>
      <c r="C53" s="341" t="s">
        <v>52</v>
      </c>
    </row>
    <row r="54" spans="1:18">
      <c r="D54" s="204" t="s">
        <v>96</v>
      </c>
      <c r="F54" s="336" t="s">
        <v>118</v>
      </c>
      <c r="H54" s="409">
        <v>228</v>
      </c>
      <c r="I54" s="409">
        <v>234.22</v>
      </c>
      <c r="J54" s="409">
        <v>228</v>
      </c>
      <c r="K54" s="410">
        <f>Assumptions!E20</f>
        <v>226</v>
      </c>
      <c r="L54" s="411">
        <f t="shared" ref="L54:O55" si="12">K54*(1+L$50)</f>
        <v>230.52</v>
      </c>
      <c r="M54" s="411">
        <f t="shared" si="12"/>
        <v>235.13040000000001</v>
      </c>
      <c r="N54" s="411">
        <f t="shared" si="12"/>
        <v>241.00865999999999</v>
      </c>
      <c r="O54" s="411">
        <f t="shared" si="12"/>
        <v>247.03387649999996</v>
      </c>
      <c r="P54" s="412"/>
    </row>
    <row r="55" spans="1:18">
      <c r="D55" s="204" t="s">
        <v>50</v>
      </c>
      <c r="F55" s="336" t="str">
        <f>F54</f>
        <v>(C$/unit)</v>
      </c>
      <c r="H55" s="413">
        <v>63</v>
      </c>
      <c r="I55" s="413">
        <v>64</v>
      </c>
      <c r="J55" s="413">
        <v>65</v>
      </c>
      <c r="K55" s="414">
        <f>Assumptions!E21</f>
        <v>66.2</v>
      </c>
      <c r="L55" s="415">
        <f t="shared" si="12"/>
        <v>67.524000000000001</v>
      </c>
      <c r="M55" s="415">
        <f t="shared" si="12"/>
        <v>68.874480000000005</v>
      </c>
      <c r="N55" s="415">
        <f t="shared" si="12"/>
        <v>70.596341999999993</v>
      </c>
      <c r="O55" s="415">
        <f t="shared" si="12"/>
        <v>72.36125054999998</v>
      </c>
      <c r="P55" s="412"/>
    </row>
    <row r="56" spans="1:18">
      <c r="D56" s="341" t="s">
        <v>53</v>
      </c>
      <c r="F56" s="416" t="str">
        <f>F55</f>
        <v>(C$/unit)</v>
      </c>
      <c r="H56" s="417">
        <f t="shared" ref="H56:O56" si="13">H55+H54</f>
        <v>291</v>
      </c>
      <c r="I56" s="417">
        <f t="shared" si="13"/>
        <v>298.22000000000003</v>
      </c>
      <c r="J56" s="417">
        <f t="shared" si="13"/>
        <v>293</v>
      </c>
      <c r="K56" s="417">
        <f t="shared" si="13"/>
        <v>292.2</v>
      </c>
      <c r="L56" s="417">
        <f t="shared" si="13"/>
        <v>298.04399999999998</v>
      </c>
      <c r="M56" s="417">
        <f t="shared" si="13"/>
        <v>304.00488000000001</v>
      </c>
      <c r="N56" s="417">
        <f t="shared" si="13"/>
        <v>311.60500200000001</v>
      </c>
      <c r="O56" s="417">
        <f t="shared" si="13"/>
        <v>319.39512704999993</v>
      </c>
      <c r="P56" s="412"/>
    </row>
    <row r="57" spans="1:18" ht="6" customHeight="1">
      <c r="D57" s="204"/>
      <c r="H57" s="418"/>
      <c r="I57" s="418"/>
      <c r="J57" s="418"/>
      <c r="K57" s="418"/>
      <c r="L57" s="418"/>
      <c r="M57" s="418"/>
      <c r="N57" s="418"/>
      <c r="O57" s="418"/>
      <c r="P57" s="412"/>
    </row>
    <row r="58" spans="1:18" ht="12.75" customHeight="1">
      <c r="C58" s="202" t="s">
        <v>54</v>
      </c>
      <c r="D58" s="204"/>
      <c r="H58" s="419"/>
      <c r="I58" s="419"/>
      <c r="J58" s="419"/>
      <c r="K58" s="419"/>
      <c r="L58" s="420"/>
      <c r="M58" s="420"/>
      <c r="N58" s="420"/>
      <c r="O58" s="420"/>
      <c r="P58" s="412"/>
    </row>
    <row r="59" spans="1:18" ht="12.75" customHeight="1">
      <c r="D59" s="204" t="s">
        <v>79</v>
      </c>
      <c r="F59" s="336" t="str">
        <f>F56</f>
        <v>(C$/unit)</v>
      </c>
      <c r="H59" s="411">
        <f t="shared" ref="H59:O62" si="14">H77*1000/H$49</f>
        <v>30.637254901960787</v>
      </c>
      <c r="I59" s="411">
        <f t="shared" si="14"/>
        <v>30.616150019135095</v>
      </c>
      <c r="J59" s="411">
        <f t="shared" si="14"/>
        <v>29.025891094856615</v>
      </c>
      <c r="K59" s="411">
        <f t="shared" si="14"/>
        <v>31.058888201745347</v>
      </c>
      <c r="L59" s="411">
        <f t="shared" si="14"/>
        <v>30.461601890173323</v>
      </c>
      <c r="M59" s="411">
        <f t="shared" si="14"/>
        <v>29.875801853823837</v>
      </c>
      <c r="N59" s="411">
        <f t="shared" si="14"/>
        <v>29.730773689484877</v>
      </c>
      <c r="O59" s="411">
        <f t="shared" si="14"/>
        <v>29.586449545361162</v>
      </c>
      <c r="P59" s="412"/>
    </row>
    <row r="60" spans="1:18">
      <c r="D60" s="204" t="s">
        <v>80</v>
      </c>
      <c r="F60" s="336" t="str">
        <f t="shared" ref="F60:F65" si="15">F59</f>
        <v>(C$/unit)</v>
      </c>
      <c r="H60" s="411">
        <f t="shared" si="14"/>
        <v>36.764705882352942</v>
      </c>
      <c r="I60" s="411">
        <f t="shared" si="14"/>
        <v>36.739380022962109</v>
      </c>
      <c r="J60" s="411">
        <f t="shared" si="14"/>
        <v>37.733658423313599</v>
      </c>
      <c r="K60" s="411">
        <f t="shared" si="14"/>
        <v>33.532604961176389</v>
      </c>
      <c r="L60" s="411">
        <f t="shared" si="14"/>
        <v>32.887747173461456</v>
      </c>
      <c r="M60" s="411">
        <f t="shared" si="14"/>
        <v>32.255290497048733</v>
      </c>
      <c r="N60" s="411">
        <f t="shared" si="14"/>
        <v>32.098711416965969</v>
      </c>
      <c r="O60" s="411">
        <f t="shared" si="14"/>
        <v>31.942892429504965</v>
      </c>
      <c r="P60" s="412"/>
    </row>
    <row r="61" spans="1:18">
      <c r="D61" s="352" t="s">
        <v>81</v>
      </c>
      <c r="F61" s="336" t="str">
        <f t="shared" si="15"/>
        <v>(C$/unit)</v>
      </c>
      <c r="H61" s="411">
        <f t="shared" si="14"/>
        <v>76.593137254901961</v>
      </c>
      <c r="I61" s="411">
        <f t="shared" si="14"/>
        <v>76.540375047837728</v>
      </c>
      <c r="J61" s="411">
        <f t="shared" si="14"/>
        <v>72.564727737141538</v>
      </c>
      <c r="K61" s="411">
        <f t="shared" si="14"/>
        <v>71.462928605785748</v>
      </c>
      <c r="L61" s="411">
        <f t="shared" si="14"/>
        <v>70.088641517212949</v>
      </c>
      <c r="M61" s="411">
        <f t="shared" si="14"/>
        <v>68.740783026497311</v>
      </c>
      <c r="N61" s="411">
        <f t="shared" si="14"/>
        <v>68.407089905009443</v>
      </c>
      <c r="O61" s="411">
        <f t="shared" si="14"/>
        <v>68.075016653043377</v>
      </c>
      <c r="P61" s="412"/>
    </row>
    <row r="62" spans="1:18">
      <c r="D62" s="204" t="s">
        <v>82</v>
      </c>
      <c r="F62" s="336" t="str">
        <f t="shared" si="15"/>
        <v>(C$/unit)</v>
      </c>
      <c r="H62" s="411">
        <f t="shared" si="14"/>
        <v>30.637254901960787</v>
      </c>
      <c r="I62" s="411">
        <f t="shared" si="14"/>
        <v>30.616150019135095</v>
      </c>
      <c r="J62" s="411">
        <f t="shared" si="14"/>
        <v>29.025891094856615</v>
      </c>
      <c r="K62" s="411">
        <f t="shared" si="14"/>
        <v>28.03545660688518</v>
      </c>
      <c r="L62" s="411">
        <f t="shared" si="14"/>
        <v>27.496313210598927</v>
      </c>
      <c r="M62" s="411">
        <f t="shared" si="14"/>
        <v>26.967537956548945</v>
      </c>
      <c r="N62" s="411">
        <f t="shared" si="14"/>
        <v>26.836627578119092</v>
      </c>
      <c r="O62" s="411">
        <f t="shared" si="14"/>
        <v>26.706352686963168</v>
      </c>
      <c r="P62" s="412"/>
    </row>
    <row r="63" spans="1:18">
      <c r="D63" s="15" t="s">
        <v>268</v>
      </c>
      <c r="F63" s="336" t="str">
        <f t="shared" si="15"/>
        <v>(C$/unit)</v>
      </c>
      <c r="H63" s="411">
        <f t="shared" ref="H63:O63" si="16">H81*1000/H$49</f>
        <v>18.382352941176471</v>
      </c>
      <c r="I63" s="411">
        <f t="shared" si="16"/>
        <v>18.369690011481055</v>
      </c>
      <c r="J63" s="411">
        <f t="shared" si="16"/>
        <v>17.41553465691397</v>
      </c>
      <c r="K63" s="411">
        <f t="shared" si="16"/>
        <v>19.789734075448361</v>
      </c>
      <c r="L63" s="411">
        <f t="shared" si="16"/>
        <v>19.409162266305124</v>
      </c>
      <c r="M63" s="411">
        <f t="shared" si="16"/>
        <v>19.035909145799259</v>
      </c>
      <c r="N63" s="411">
        <f t="shared" si="16"/>
        <v>18.94350181984877</v>
      </c>
      <c r="O63" s="411">
        <f t="shared" si="16"/>
        <v>18.851543073150474</v>
      </c>
      <c r="P63" s="412"/>
    </row>
    <row r="64" spans="1:18" ht="12.75" customHeight="1">
      <c r="D64" s="15" t="s">
        <v>22</v>
      </c>
      <c r="F64" s="336" t="str">
        <f t="shared" si="15"/>
        <v>(C$/unit)</v>
      </c>
      <c r="H64" s="415">
        <f t="shared" ref="H64:O64" si="17">H82*1000/H$49</f>
        <v>6.1274509803921573</v>
      </c>
      <c r="I64" s="415">
        <f t="shared" si="17"/>
        <v>6.1232300038270191</v>
      </c>
      <c r="J64" s="415">
        <f t="shared" si="17"/>
        <v>8.7077673284569848</v>
      </c>
      <c r="K64" s="415">
        <f t="shared" si="17"/>
        <v>5.4971483542912116</v>
      </c>
      <c r="L64" s="415">
        <f t="shared" si="17"/>
        <v>5.3914339628625347</v>
      </c>
      <c r="M64" s="415">
        <f t="shared" si="17"/>
        <v>5.2877525404997936</v>
      </c>
      <c r="N64" s="415">
        <f t="shared" si="17"/>
        <v>5.2620838388468796</v>
      </c>
      <c r="O64" s="415">
        <f t="shared" si="17"/>
        <v>5.2365397425417974</v>
      </c>
      <c r="P64" s="412"/>
    </row>
    <row r="65" spans="1:17">
      <c r="D65" s="351" t="s">
        <v>76</v>
      </c>
      <c r="F65" s="416" t="str">
        <f t="shared" si="15"/>
        <v>(C$/unit)</v>
      </c>
      <c r="H65" s="417">
        <f t="shared" ref="H65:O65" si="18">SUM(H59:H64)</f>
        <v>199.14215686274508</v>
      </c>
      <c r="I65" s="417">
        <f t="shared" si="18"/>
        <v>199.00497512437809</v>
      </c>
      <c r="J65" s="417">
        <f t="shared" si="18"/>
        <v>194.4734703355393</v>
      </c>
      <c r="K65" s="417">
        <f t="shared" si="18"/>
        <v>189.37676080533222</v>
      </c>
      <c r="L65" s="417">
        <f t="shared" si="18"/>
        <v>185.7349000206143</v>
      </c>
      <c r="M65" s="417">
        <f t="shared" si="18"/>
        <v>182.16307502021786</v>
      </c>
      <c r="N65" s="417">
        <f t="shared" si="18"/>
        <v>181.27878824827499</v>
      </c>
      <c r="O65" s="417">
        <f t="shared" si="18"/>
        <v>180.39879413056494</v>
      </c>
      <c r="P65" s="412"/>
      <c r="Q65" s="412"/>
    </row>
    <row r="66" spans="1:17" ht="6" customHeight="1">
      <c r="C66" s="341"/>
      <c r="F66" s="416"/>
      <c r="H66" s="421"/>
      <c r="I66" s="421"/>
      <c r="J66" s="421"/>
      <c r="K66" s="421"/>
      <c r="L66" s="421"/>
      <c r="M66" s="421"/>
      <c r="N66" s="421"/>
      <c r="O66" s="421"/>
      <c r="P66" s="412"/>
      <c r="Q66" s="412"/>
    </row>
    <row r="67" spans="1:17" ht="13.5" thickBot="1">
      <c r="C67" s="351" t="s">
        <v>67</v>
      </c>
      <c r="F67" s="416" t="str">
        <f>F65</f>
        <v>(C$/unit)</v>
      </c>
      <c r="H67" s="422">
        <f t="shared" ref="H67:O67" si="19">H65+H56</f>
        <v>490.14215686274508</v>
      </c>
      <c r="I67" s="422">
        <f t="shared" si="19"/>
        <v>497.22497512437815</v>
      </c>
      <c r="J67" s="422">
        <f t="shared" si="19"/>
        <v>487.47347033553933</v>
      </c>
      <c r="K67" s="422">
        <f t="shared" si="19"/>
        <v>481.57676080533224</v>
      </c>
      <c r="L67" s="422">
        <f t="shared" si="19"/>
        <v>483.77890002061429</v>
      </c>
      <c r="M67" s="422">
        <f t="shared" si="19"/>
        <v>486.16795502021785</v>
      </c>
      <c r="N67" s="422">
        <f t="shared" si="19"/>
        <v>492.88379024827498</v>
      </c>
      <c r="O67" s="422">
        <f t="shared" si="19"/>
        <v>499.79392118056489</v>
      </c>
      <c r="P67" s="412"/>
    </row>
    <row r="68" spans="1:17" ht="13" customHeight="1" thickTop="1">
      <c r="B68" s="374"/>
      <c r="C68" s="423"/>
      <c r="D68" s="373"/>
      <c r="E68" s="373"/>
      <c r="F68" s="424"/>
      <c r="G68" s="373"/>
      <c r="H68" s="425"/>
      <c r="I68" s="425"/>
      <c r="J68" s="425"/>
      <c r="K68" s="425"/>
      <c r="L68" s="425"/>
      <c r="M68" s="425"/>
      <c r="N68" s="425"/>
      <c r="O68" s="425"/>
      <c r="P68" s="412"/>
    </row>
    <row r="69" spans="1:17" ht="13" customHeight="1">
      <c r="B69" s="351"/>
      <c r="C69" s="341"/>
      <c r="F69" s="416"/>
      <c r="H69" s="421"/>
      <c r="I69" s="421"/>
      <c r="J69" s="421"/>
      <c r="K69" s="421"/>
      <c r="L69" s="421"/>
      <c r="M69" s="421"/>
      <c r="N69" s="421"/>
      <c r="O69" s="421"/>
      <c r="P69" s="412"/>
    </row>
    <row r="70" spans="1:17" ht="13.5">
      <c r="B70" s="408" t="s">
        <v>83</v>
      </c>
      <c r="C70" s="341"/>
      <c r="F70" s="416"/>
      <c r="H70" s="421"/>
      <c r="I70" s="421"/>
      <c r="J70" s="421"/>
      <c r="K70" s="421"/>
      <c r="L70" s="421"/>
      <c r="M70" s="421"/>
      <c r="N70" s="421"/>
      <c r="O70" s="421"/>
      <c r="P70" s="412"/>
    </row>
    <row r="71" spans="1:17">
      <c r="C71" s="341" t="s">
        <v>52</v>
      </c>
      <c r="F71" s="416"/>
      <c r="H71" s="421"/>
      <c r="I71" s="421"/>
      <c r="J71" s="421"/>
      <c r="K71" s="421"/>
      <c r="L71" s="421"/>
      <c r="M71" s="421"/>
      <c r="N71" s="421"/>
      <c r="O71" s="421"/>
      <c r="P71" s="412"/>
    </row>
    <row r="72" spans="1:17">
      <c r="D72" s="204" t="s">
        <v>96</v>
      </c>
      <c r="F72" s="336" t="s">
        <v>219</v>
      </c>
      <c r="H72" s="411">
        <f>H54*H$49/1000</f>
        <v>74.419200000000004</v>
      </c>
      <c r="I72" s="411">
        <f t="shared" ref="I72:O72" si="20">I54*I$49/1000</f>
        <v>76.502107499999994</v>
      </c>
      <c r="J72" s="411">
        <f t="shared" si="20"/>
        <v>78.550560000000004</v>
      </c>
      <c r="K72" s="411">
        <f t="shared" si="20"/>
        <v>82.22444999999999</v>
      </c>
      <c r="L72" s="411">
        <f t="shared" si="20"/>
        <v>87.223696559999993</v>
      </c>
      <c r="M72" s="411">
        <f t="shared" si="20"/>
        <v>92.526897310848014</v>
      </c>
      <c r="N72" s="411">
        <f t="shared" si="20"/>
        <v>97.685271835927793</v>
      </c>
      <c r="O72" s="411">
        <f t="shared" si="20"/>
        <v>103.13122574078076</v>
      </c>
      <c r="P72" s="412"/>
    </row>
    <row r="73" spans="1:17">
      <c r="D73" s="204" t="s">
        <v>50</v>
      </c>
      <c r="F73" s="336" t="s">
        <v>219</v>
      </c>
      <c r="H73" s="415">
        <f>H55*H$49/1000</f>
        <v>20.563199999999998</v>
      </c>
      <c r="I73" s="415">
        <f t="shared" ref="I73:O73" si="21">I55*I$49/1000</f>
        <v>20.904</v>
      </c>
      <c r="J73" s="415">
        <f t="shared" si="21"/>
        <v>22.393799999999999</v>
      </c>
      <c r="K73" s="415">
        <f t="shared" si="21"/>
        <v>24.085215000000002</v>
      </c>
      <c r="L73" s="415">
        <f t="shared" si="21"/>
        <v>25.549596072</v>
      </c>
      <c r="M73" s="415">
        <f t="shared" si="21"/>
        <v>27.103011513177602</v>
      </c>
      <c r="N73" s="415">
        <f t="shared" si="21"/>
        <v>28.614004405037253</v>
      </c>
      <c r="O73" s="415">
        <f t="shared" si="21"/>
        <v>30.209235150618074</v>
      </c>
      <c r="P73" s="412"/>
    </row>
    <row r="74" spans="1:17" ht="12.75" customHeight="1">
      <c r="D74" s="341" t="s">
        <v>53</v>
      </c>
      <c r="F74" s="416" t="s">
        <v>219</v>
      </c>
      <c r="H74" s="417">
        <f>SUM(H72:H73)</f>
        <v>94.982399999999998</v>
      </c>
      <c r="I74" s="417">
        <f t="shared" ref="I74:O74" si="22">SUM(I72:I73)</f>
        <v>97.40610749999999</v>
      </c>
      <c r="J74" s="417">
        <f t="shared" si="22"/>
        <v>100.94436</v>
      </c>
      <c r="K74" s="417">
        <f t="shared" si="22"/>
        <v>106.309665</v>
      </c>
      <c r="L74" s="417">
        <f t="shared" si="22"/>
        <v>112.77329263199999</v>
      </c>
      <c r="M74" s="417">
        <f t="shared" si="22"/>
        <v>119.62990882402562</v>
      </c>
      <c r="N74" s="417">
        <f t="shared" si="22"/>
        <v>126.29927624096504</v>
      </c>
      <c r="O74" s="417">
        <f t="shared" si="22"/>
        <v>133.34046089139883</v>
      </c>
      <c r="P74" s="412"/>
    </row>
    <row r="75" spans="1:17" ht="6" customHeight="1">
      <c r="D75" s="204"/>
      <c r="F75" s="416"/>
      <c r="H75" s="421"/>
      <c r="I75" s="421"/>
      <c r="J75" s="421"/>
      <c r="K75" s="421"/>
      <c r="L75" s="421"/>
      <c r="M75" s="421"/>
      <c r="N75" s="421"/>
      <c r="O75" s="421"/>
      <c r="P75" s="412"/>
    </row>
    <row r="76" spans="1:17" ht="12.75" customHeight="1">
      <c r="C76" s="202" t="s">
        <v>54</v>
      </c>
      <c r="D76" s="204"/>
      <c r="F76" s="416"/>
      <c r="H76" s="421"/>
      <c r="I76" s="421"/>
      <c r="J76" s="421"/>
      <c r="K76" s="421"/>
      <c r="L76" s="421"/>
      <c r="M76" s="421"/>
      <c r="N76" s="421"/>
      <c r="O76" s="421"/>
      <c r="P76" s="412"/>
    </row>
    <row r="77" spans="1:17" ht="12.75" customHeight="1">
      <c r="A77" s="426"/>
      <c r="D77" s="204" t="s">
        <v>79</v>
      </c>
      <c r="F77" s="336" t="s">
        <v>219</v>
      </c>
      <c r="H77" s="409">
        <v>10</v>
      </c>
      <c r="I77" s="409">
        <v>10</v>
      </c>
      <c r="J77" s="409">
        <v>10</v>
      </c>
      <c r="K77" s="410">
        <f>Assumptions!E22</f>
        <v>11.3</v>
      </c>
      <c r="L77" s="411">
        <f>K77*(1+L$50)</f>
        <v>11.526000000000002</v>
      </c>
      <c r="M77" s="411">
        <f>L77*(1+M$50)</f>
        <v>11.756520000000002</v>
      </c>
      <c r="N77" s="411">
        <f>M77*(1+N$50)</f>
        <v>12.050433000000002</v>
      </c>
      <c r="O77" s="411">
        <f>N77*(1+O$50)</f>
        <v>12.351693825</v>
      </c>
      <c r="P77" s="412"/>
    </row>
    <row r="78" spans="1:17" ht="12.75" customHeight="1">
      <c r="D78" s="204" t="s">
        <v>80</v>
      </c>
      <c r="F78" s="336" t="s">
        <v>219</v>
      </c>
      <c r="H78" s="409">
        <v>12</v>
      </c>
      <c r="I78" s="409">
        <v>12</v>
      </c>
      <c r="J78" s="409">
        <v>13</v>
      </c>
      <c r="K78" s="410">
        <f>Assumptions!E23</f>
        <v>12.2</v>
      </c>
      <c r="L78" s="411">
        <f t="shared" ref="L78:N82" si="23">K78*(1+L$50)</f>
        <v>12.443999999999999</v>
      </c>
      <c r="M78" s="411">
        <f t="shared" si="23"/>
        <v>12.692879999999999</v>
      </c>
      <c r="N78" s="411">
        <f t="shared" si="23"/>
        <v>13.010201999999998</v>
      </c>
      <c r="O78" s="411">
        <f>N78*(1+O$50)</f>
        <v>13.335457049999997</v>
      </c>
      <c r="P78" s="412"/>
    </row>
    <row r="79" spans="1:17" ht="12.75" customHeight="1">
      <c r="D79" s="352" t="s">
        <v>81</v>
      </c>
      <c r="F79" s="336" t="s">
        <v>219</v>
      </c>
      <c r="H79" s="409">
        <v>25</v>
      </c>
      <c r="I79" s="409">
        <v>25</v>
      </c>
      <c r="J79" s="409">
        <v>25</v>
      </c>
      <c r="K79" s="410">
        <f>Assumptions!E24</f>
        <v>26</v>
      </c>
      <c r="L79" s="411">
        <f t="shared" si="23"/>
        <v>26.52</v>
      </c>
      <c r="M79" s="411">
        <f t="shared" si="23"/>
        <v>27.0504</v>
      </c>
      <c r="N79" s="411">
        <f t="shared" si="23"/>
        <v>27.726659999999999</v>
      </c>
      <c r="O79" s="411">
        <f>N79*(1+O$50)</f>
        <v>28.419826499999996</v>
      </c>
      <c r="P79" s="412"/>
    </row>
    <row r="80" spans="1:17" ht="12.75" customHeight="1">
      <c r="D80" s="204" t="s">
        <v>82</v>
      </c>
      <c r="F80" s="336" t="s">
        <v>219</v>
      </c>
      <c r="H80" s="409">
        <v>10</v>
      </c>
      <c r="I80" s="409">
        <v>10</v>
      </c>
      <c r="J80" s="409">
        <v>10</v>
      </c>
      <c r="K80" s="410">
        <f>Assumptions!E25</f>
        <v>10.199999999999999</v>
      </c>
      <c r="L80" s="411">
        <f t="shared" si="23"/>
        <v>10.404</v>
      </c>
      <c r="M80" s="411">
        <f t="shared" si="23"/>
        <v>10.612080000000001</v>
      </c>
      <c r="N80" s="411">
        <f t="shared" si="23"/>
        <v>10.877381999999999</v>
      </c>
      <c r="O80" s="411">
        <f>N80*(1+O$50)</f>
        <v>11.149316549999998</v>
      </c>
      <c r="P80" s="412"/>
    </row>
    <row r="81" spans="1:18">
      <c r="D81" s="15" t="s">
        <v>268</v>
      </c>
      <c r="F81" s="336" t="s">
        <v>219</v>
      </c>
      <c r="H81" s="409">
        <v>6</v>
      </c>
      <c r="I81" s="409">
        <v>6</v>
      </c>
      <c r="J81" s="409">
        <v>6</v>
      </c>
      <c r="K81" s="410">
        <f>Assumptions!E26</f>
        <v>7.2</v>
      </c>
      <c r="L81" s="411">
        <f t="shared" si="23"/>
        <v>7.3440000000000003</v>
      </c>
      <c r="M81" s="411">
        <f t="shared" si="23"/>
        <v>7.4908800000000006</v>
      </c>
      <c r="N81" s="411">
        <f t="shared" si="23"/>
        <v>7.6781519999999999</v>
      </c>
      <c r="O81" s="411">
        <f>N81*(1+O$50)</f>
        <v>7.8701057999999993</v>
      </c>
      <c r="P81" s="412"/>
    </row>
    <row r="82" spans="1:18">
      <c r="D82" s="15" t="s">
        <v>22</v>
      </c>
      <c r="F82" s="336" t="s">
        <v>219</v>
      </c>
      <c r="H82" s="413">
        <v>2</v>
      </c>
      <c r="I82" s="413">
        <v>2</v>
      </c>
      <c r="J82" s="413">
        <v>3</v>
      </c>
      <c r="K82" s="414">
        <f>Assumptions!E27</f>
        <v>2</v>
      </c>
      <c r="L82" s="415">
        <f t="shared" si="23"/>
        <v>2.04</v>
      </c>
      <c r="M82" s="415">
        <f t="shared" si="23"/>
        <v>2.0808</v>
      </c>
      <c r="N82" s="415">
        <f t="shared" si="23"/>
        <v>2.1328199999999997</v>
      </c>
      <c r="O82" s="415">
        <f>N82*(1+O$50)</f>
        <v>2.1861404999999996</v>
      </c>
      <c r="P82" s="412"/>
    </row>
    <row r="83" spans="1:18">
      <c r="D83" s="351" t="s">
        <v>76</v>
      </c>
      <c r="F83" s="416" t="s">
        <v>219</v>
      </c>
      <c r="H83" s="417">
        <f t="shared" ref="H83:O83" si="24">SUM(H77:H82)</f>
        <v>65</v>
      </c>
      <c r="I83" s="417">
        <f t="shared" si="24"/>
        <v>65</v>
      </c>
      <c r="J83" s="417">
        <f t="shared" si="24"/>
        <v>67</v>
      </c>
      <c r="K83" s="417">
        <f t="shared" si="24"/>
        <v>68.900000000000006</v>
      </c>
      <c r="L83" s="417">
        <f t="shared" si="24"/>
        <v>70.277999999999992</v>
      </c>
      <c r="M83" s="417">
        <f t="shared" si="24"/>
        <v>71.68356</v>
      </c>
      <c r="N83" s="417">
        <f t="shared" si="24"/>
        <v>73.47564899999999</v>
      </c>
      <c r="O83" s="417">
        <f t="shared" si="24"/>
        <v>75.312540224999992</v>
      </c>
      <c r="P83" s="412"/>
    </row>
    <row r="84" spans="1:18" ht="6" customHeight="1">
      <c r="C84" s="341"/>
      <c r="H84" s="418"/>
      <c r="I84" s="418"/>
      <c r="J84" s="418"/>
      <c r="K84" s="418"/>
      <c r="L84" s="418"/>
      <c r="M84" s="418"/>
      <c r="N84" s="418"/>
      <c r="O84" s="418"/>
      <c r="P84" s="412"/>
    </row>
    <row r="85" spans="1:18" ht="13.5" thickBot="1">
      <c r="C85" s="351" t="s">
        <v>67</v>
      </c>
      <c r="F85" s="416" t="s">
        <v>219</v>
      </c>
      <c r="H85" s="422">
        <f t="shared" ref="H85:O85" si="25">H83+H74</f>
        <v>159.98239999999998</v>
      </c>
      <c r="I85" s="422">
        <f t="shared" si="25"/>
        <v>162.40610749999999</v>
      </c>
      <c r="J85" s="422">
        <f t="shared" si="25"/>
        <v>167.94436000000002</v>
      </c>
      <c r="K85" s="422">
        <f t="shared" si="25"/>
        <v>175.209665</v>
      </c>
      <c r="L85" s="422">
        <f t="shared" si="25"/>
        <v>183.05129263199998</v>
      </c>
      <c r="M85" s="422">
        <f t="shared" si="25"/>
        <v>191.31346882402562</v>
      </c>
      <c r="N85" s="422">
        <f t="shared" si="25"/>
        <v>199.77492524096505</v>
      </c>
      <c r="O85" s="422">
        <f t="shared" si="25"/>
        <v>208.65300111639883</v>
      </c>
      <c r="P85" s="412"/>
    </row>
    <row r="86" spans="1:18" ht="12.75" customHeight="1" thickTop="1">
      <c r="B86" s="427"/>
      <c r="C86" s="428"/>
      <c r="D86" s="142"/>
      <c r="E86" s="142"/>
      <c r="F86" s="429"/>
      <c r="G86" s="142"/>
      <c r="H86" s="430"/>
      <c r="I86" s="430"/>
      <c r="J86" s="430"/>
      <c r="K86" s="430"/>
      <c r="L86" s="430"/>
      <c r="M86" s="430"/>
      <c r="N86" s="430"/>
      <c r="O86" s="430"/>
      <c r="P86" s="412"/>
    </row>
    <row r="87" spans="1:18">
      <c r="H87" s="431"/>
      <c r="I87" s="431"/>
      <c r="J87" s="431"/>
      <c r="K87" s="431"/>
      <c r="L87" s="431"/>
      <c r="M87" s="431"/>
      <c r="N87" s="431"/>
      <c r="O87" s="431"/>
      <c r="P87" s="358"/>
    </row>
    <row r="88" spans="1:18">
      <c r="H88" s="431"/>
      <c r="I88" s="431"/>
      <c r="J88" s="431"/>
      <c r="K88" s="431"/>
      <c r="L88" s="431"/>
      <c r="M88" s="431"/>
      <c r="N88" s="431"/>
      <c r="O88" s="431"/>
      <c r="P88" s="358"/>
    </row>
    <row r="89" spans="1:18" ht="12.75" customHeight="1">
      <c r="A89" s="12"/>
      <c r="B89" s="1"/>
      <c r="C89" s="13"/>
      <c r="D89" s="13"/>
      <c r="E89" s="13"/>
      <c r="F89" s="14"/>
      <c r="G89" s="13"/>
      <c r="H89" s="13"/>
      <c r="I89" s="13"/>
      <c r="J89" s="13"/>
      <c r="K89" s="13"/>
      <c r="L89" s="13"/>
      <c r="M89" s="13"/>
      <c r="N89" s="13"/>
      <c r="P89" s="401" t="str">
        <f>O41</f>
        <v>CURRENTLY RUNNING: BASE CASE SCENARIO</v>
      </c>
    </row>
    <row r="90" spans="1:18" ht="22.5">
      <c r="A90" s="12"/>
      <c r="B90" s="1" t="str">
        <f>B$2</f>
        <v>Medallion Mouldings</v>
      </c>
      <c r="C90" s="13"/>
      <c r="D90" s="13"/>
      <c r="E90" s="13"/>
      <c r="F90" s="14"/>
      <c r="G90" s="13"/>
      <c r="H90" s="13"/>
      <c r="I90" s="13"/>
      <c r="J90" s="13"/>
      <c r="K90" s="13"/>
      <c r="L90" s="13"/>
      <c r="M90" s="13"/>
      <c r="N90" s="13"/>
      <c r="O90" s="13"/>
      <c r="P90" s="13"/>
    </row>
    <row r="91" spans="1:18" ht="17.5">
      <c r="A91" s="329"/>
      <c r="B91" s="330" t="s">
        <v>56</v>
      </c>
      <c r="C91" s="331"/>
      <c r="D91" s="331"/>
      <c r="E91" s="331"/>
      <c r="F91" s="332"/>
      <c r="G91" s="331"/>
      <c r="H91" s="331"/>
      <c r="I91" s="331"/>
      <c r="J91" s="331"/>
      <c r="K91" s="331"/>
      <c r="L91" s="331"/>
      <c r="M91" s="331"/>
      <c r="N91" s="331"/>
      <c r="O91" s="331"/>
      <c r="P91" s="331"/>
    </row>
    <row r="92" spans="1:18" ht="6" customHeight="1" thickBot="1">
      <c r="A92" s="329"/>
      <c r="B92" s="333"/>
      <c r="C92" s="334"/>
      <c r="D92" s="334"/>
      <c r="E92" s="334"/>
      <c r="F92" s="335"/>
      <c r="G92" s="334"/>
      <c r="H92" s="334"/>
      <c r="I92" s="334"/>
      <c r="J92" s="334"/>
      <c r="K92" s="334"/>
      <c r="L92" s="334"/>
      <c r="M92" s="334"/>
      <c r="N92" s="334"/>
      <c r="O92" s="334"/>
      <c r="P92" s="334"/>
    </row>
    <row r="93" spans="1:18" ht="12.75" customHeight="1">
      <c r="A93" s="330"/>
      <c r="B93" s="331"/>
      <c r="C93" s="331"/>
      <c r="D93" s="331"/>
      <c r="E93" s="331"/>
      <c r="F93" s="332"/>
      <c r="G93" s="331"/>
      <c r="H93" s="331"/>
      <c r="I93" s="331"/>
      <c r="J93" s="331"/>
      <c r="K93" s="331"/>
      <c r="L93" s="331"/>
      <c r="M93" s="331"/>
      <c r="N93" s="331"/>
      <c r="O93" s="331"/>
      <c r="P93" s="402"/>
    </row>
    <row r="94" spans="1:18" ht="13.5">
      <c r="G94" s="337"/>
      <c r="K94" s="338" t="s">
        <v>8</v>
      </c>
      <c r="L94" s="169"/>
      <c r="M94" s="169"/>
      <c r="N94" s="169"/>
      <c r="O94" s="169"/>
      <c r="P94" s="169"/>
    </row>
    <row r="95" spans="1:18">
      <c r="G95" s="172"/>
      <c r="H95" s="403">
        <f>H7</f>
        <v>2015</v>
      </c>
      <c r="I95" s="403">
        <f>I7</f>
        <v>2016</v>
      </c>
      <c r="J95" s="339">
        <f>J47</f>
        <v>2017</v>
      </c>
      <c r="K95" s="404">
        <f t="shared" ref="K95:P95" si="26">K$7</f>
        <v>2018</v>
      </c>
      <c r="L95" s="404">
        <f t="shared" si="26"/>
        <v>2019</v>
      </c>
      <c r="M95" s="404">
        <f t="shared" si="26"/>
        <v>2020</v>
      </c>
      <c r="N95" s="404">
        <f t="shared" si="26"/>
        <v>2021</v>
      </c>
      <c r="O95" s="404">
        <f t="shared" si="26"/>
        <v>2022</v>
      </c>
      <c r="P95" s="432" t="str">
        <f t="shared" si="26"/>
        <v>Term.</v>
      </c>
      <c r="R95" s="341"/>
    </row>
    <row r="96" spans="1:18" ht="6" customHeight="1">
      <c r="B96" s="129"/>
      <c r="C96" s="129"/>
      <c r="D96" s="129"/>
      <c r="E96" s="129"/>
      <c r="F96" s="399"/>
      <c r="G96" s="172"/>
      <c r="H96" s="172"/>
      <c r="I96" s="172"/>
      <c r="J96" s="172"/>
      <c r="K96" s="433"/>
      <c r="L96" s="433"/>
      <c r="M96" s="433"/>
      <c r="N96" s="266"/>
      <c r="O96" s="267"/>
      <c r="P96" s="434"/>
      <c r="R96" s="341"/>
    </row>
    <row r="97" spans="1:18">
      <c r="B97" s="344" t="s">
        <v>226</v>
      </c>
      <c r="C97" s="345"/>
      <c r="D97" s="345"/>
      <c r="E97" s="345"/>
      <c r="F97" s="435" t="s">
        <v>116</v>
      </c>
      <c r="G97" s="406"/>
      <c r="H97" s="436">
        <f t="shared" ref="H97:P97" si="27">H29</f>
        <v>326.39999999999998</v>
      </c>
      <c r="I97" s="436">
        <f t="shared" si="27"/>
        <v>326.625</v>
      </c>
      <c r="J97" s="436">
        <f t="shared" si="27"/>
        <v>344.52</v>
      </c>
      <c r="K97" s="436">
        <f t="shared" si="27"/>
        <v>363.82499999999999</v>
      </c>
      <c r="L97" s="436">
        <f t="shared" si="27"/>
        <v>378.37799999999999</v>
      </c>
      <c r="M97" s="436">
        <f t="shared" si="27"/>
        <v>393.51312000000001</v>
      </c>
      <c r="N97" s="436">
        <f t="shared" si="27"/>
        <v>405.31851360000007</v>
      </c>
      <c r="O97" s="436">
        <f t="shared" si="27"/>
        <v>417.47806900800009</v>
      </c>
      <c r="P97" s="437">
        <f t="shared" si="27"/>
        <v>420</v>
      </c>
      <c r="R97" s="341"/>
    </row>
    <row r="98" spans="1:18" ht="6" customHeight="1">
      <c r="B98" s="129"/>
      <c r="C98" s="129"/>
      <c r="D98" s="129"/>
      <c r="E98" s="129"/>
      <c r="F98" s="362"/>
      <c r="G98" s="172"/>
      <c r="H98" s="172"/>
      <c r="I98" s="172"/>
      <c r="J98" s="172"/>
      <c r="K98" s="433"/>
      <c r="L98" s="433"/>
      <c r="M98" s="433"/>
      <c r="N98" s="266"/>
      <c r="O98" s="267"/>
      <c r="P98" s="434"/>
      <c r="R98" s="341"/>
    </row>
    <row r="99" spans="1:18">
      <c r="B99" s="438" t="s">
        <v>65</v>
      </c>
      <c r="C99" s="129"/>
      <c r="D99" s="129"/>
      <c r="E99" s="129"/>
      <c r="F99" s="362"/>
      <c r="G99" s="172"/>
      <c r="H99" s="172"/>
      <c r="I99" s="172"/>
      <c r="J99" s="172"/>
      <c r="K99" s="433"/>
      <c r="L99" s="433"/>
      <c r="M99" s="433"/>
      <c r="N99" s="266"/>
      <c r="O99" s="267"/>
      <c r="P99" s="434"/>
      <c r="R99" s="341"/>
    </row>
    <row r="100" spans="1:18">
      <c r="B100" s="129"/>
      <c r="C100" s="15" t="s">
        <v>66</v>
      </c>
      <c r="F100" s="350" t="s">
        <v>219</v>
      </c>
      <c r="G100" s="172"/>
      <c r="H100" s="439">
        <f>H35</f>
        <v>244.79999999999998</v>
      </c>
      <c r="I100" s="439">
        <f>I35</f>
        <v>263.22132352941173</v>
      </c>
      <c r="J100" s="439">
        <f>J35</f>
        <v>239.25</v>
      </c>
      <c r="K100" s="439">
        <f t="shared" ref="K100:P100" si="28">K35</f>
        <v>272.86874999999998</v>
      </c>
      <c r="L100" s="439">
        <f t="shared" si="28"/>
        <v>271.17089999999996</v>
      </c>
      <c r="M100" s="439">
        <f t="shared" si="28"/>
        <v>327.92759999999998</v>
      </c>
      <c r="N100" s="439">
        <f t="shared" si="28"/>
        <v>329.3212923000001</v>
      </c>
      <c r="O100" s="439">
        <f t="shared" si="28"/>
        <v>315.48058623900005</v>
      </c>
      <c r="P100" s="440">
        <f t="shared" si="28"/>
        <v>338.44186046511629</v>
      </c>
      <c r="R100" s="341"/>
    </row>
    <row r="101" spans="1:18">
      <c r="B101" s="129"/>
      <c r="C101" s="204" t="s">
        <v>77</v>
      </c>
      <c r="F101" s="350" t="s">
        <v>219</v>
      </c>
      <c r="G101" s="172"/>
      <c r="H101" s="441">
        <f t="shared" ref="H101:P101" si="29">H36</f>
        <v>31.334399999999999</v>
      </c>
      <c r="I101" s="441">
        <f>I36</f>
        <v>32.009250000000002</v>
      </c>
      <c r="J101" s="441">
        <f>J36</f>
        <v>34.451999999999998</v>
      </c>
      <c r="K101" s="441">
        <f t="shared" si="29"/>
        <v>37.110150000000004</v>
      </c>
      <c r="L101" s="441">
        <f t="shared" si="29"/>
        <v>39.366447120000004</v>
      </c>
      <c r="M101" s="441">
        <f t="shared" si="29"/>
        <v>41.759927104896001</v>
      </c>
      <c r="N101" s="441">
        <f t="shared" si="29"/>
        <v>44.088043040993959</v>
      </c>
      <c r="O101" s="441">
        <f t="shared" si="29"/>
        <v>46.545951440529365</v>
      </c>
      <c r="P101" s="442">
        <f t="shared" si="29"/>
        <v>47.997807747749988</v>
      </c>
      <c r="R101" s="341"/>
    </row>
    <row r="102" spans="1:18">
      <c r="B102" s="129"/>
      <c r="C102" s="341" t="s">
        <v>14</v>
      </c>
      <c r="F102" s="385" t="s">
        <v>219</v>
      </c>
      <c r="G102" s="172"/>
      <c r="H102" s="443">
        <f t="shared" ref="H102:P102" si="30">H37</f>
        <v>213.46559999999999</v>
      </c>
      <c r="I102" s="443">
        <f>I37</f>
        <v>231.21207352941173</v>
      </c>
      <c r="J102" s="443">
        <f>J37</f>
        <v>204.798</v>
      </c>
      <c r="K102" s="443">
        <f t="shared" si="30"/>
        <v>235.75859999999997</v>
      </c>
      <c r="L102" s="443">
        <f t="shared" si="30"/>
        <v>231.80445287999996</v>
      </c>
      <c r="M102" s="443">
        <f t="shared" si="30"/>
        <v>286.16767289510398</v>
      </c>
      <c r="N102" s="443">
        <f t="shared" si="30"/>
        <v>285.23324925900613</v>
      </c>
      <c r="O102" s="443">
        <f t="shared" si="30"/>
        <v>268.93463479847071</v>
      </c>
      <c r="P102" s="444">
        <f t="shared" si="30"/>
        <v>290.44405271736628</v>
      </c>
      <c r="R102" s="341"/>
    </row>
    <row r="103" spans="1:18">
      <c r="B103" s="129"/>
      <c r="C103" s="129"/>
      <c r="D103" s="129"/>
      <c r="E103" s="129"/>
      <c r="F103" s="362"/>
      <c r="G103" s="172"/>
      <c r="H103" s="445"/>
      <c r="I103" s="445"/>
      <c r="J103" s="445"/>
      <c r="K103" s="446"/>
      <c r="L103" s="446"/>
      <c r="M103" s="446"/>
      <c r="N103" s="446"/>
      <c r="O103" s="447"/>
      <c r="P103" s="448"/>
      <c r="R103" s="341"/>
    </row>
    <row r="104" spans="1:18">
      <c r="B104" s="129"/>
      <c r="C104" s="129" t="s">
        <v>15</v>
      </c>
      <c r="D104" s="129"/>
      <c r="E104" s="129"/>
      <c r="F104" s="350" t="s">
        <v>219</v>
      </c>
      <c r="G104" s="172"/>
      <c r="H104" s="439">
        <f t="shared" ref="H104:O104" si="31">H85</f>
        <v>159.98239999999998</v>
      </c>
      <c r="I104" s="439">
        <f t="shared" si="31"/>
        <v>162.40610749999999</v>
      </c>
      <c r="J104" s="439">
        <f t="shared" si="31"/>
        <v>167.94436000000002</v>
      </c>
      <c r="K104" s="439">
        <f t="shared" si="31"/>
        <v>175.209665</v>
      </c>
      <c r="L104" s="439">
        <f t="shared" si="31"/>
        <v>183.05129263199998</v>
      </c>
      <c r="M104" s="439">
        <f t="shared" si="31"/>
        <v>191.31346882402562</v>
      </c>
      <c r="N104" s="439">
        <f t="shared" si="31"/>
        <v>199.77492524096505</v>
      </c>
      <c r="O104" s="439">
        <f t="shared" si="31"/>
        <v>208.65300111639883</v>
      </c>
      <c r="P104" s="449"/>
      <c r="R104" s="341"/>
    </row>
    <row r="105" spans="1:18">
      <c r="A105" s="391"/>
      <c r="B105" s="129"/>
      <c r="C105" s="137" t="s">
        <v>55</v>
      </c>
      <c r="D105" s="129"/>
      <c r="E105" s="129"/>
      <c r="F105" s="350" t="s">
        <v>219</v>
      </c>
      <c r="G105" s="172"/>
      <c r="H105" s="450">
        <v>3.4</v>
      </c>
      <c r="I105" s="450">
        <v>3.6</v>
      </c>
      <c r="J105" s="450">
        <v>3.8</v>
      </c>
      <c r="K105" s="451">
        <f>Assumptions!E28</f>
        <v>3.9</v>
      </c>
      <c r="L105" s="441">
        <f>K105*(1+L$15)</f>
        <v>3.9779999999999998</v>
      </c>
      <c r="M105" s="441">
        <f>L105*(1+M$15)</f>
        <v>4.0575599999999996</v>
      </c>
      <c r="N105" s="441">
        <f>M105*(1+N$15)</f>
        <v>4.1589989999999997</v>
      </c>
      <c r="O105" s="441">
        <f>N105*(1+O$15)</f>
        <v>4.2629739749999995</v>
      </c>
      <c r="P105" s="449"/>
      <c r="R105" s="341"/>
    </row>
    <row r="106" spans="1:18">
      <c r="B106" s="129"/>
      <c r="C106" s="351" t="s">
        <v>67</v>
      </c>
      <c r="D106" s="129"/>
      <c r="E106" s="129"/>
      <c r="F106" s="385" t="s">
        <v>219</v>
      </c>
      <c r="G106" s="172"/>
      <c r="H106" s="443">
        <f t="shared" ref="H106:O106" si="32">SUM(H104:H105)</f>
        <v>163.38239999999999</v>
      </c>
      <c r="I106" s="443">
        <f t="shared" si="32"/>
        <v>166.00610749999998</v>
      </c>
      <c r="J106" s="443">
        <f t="shared" si="32"/>
        <v>171.74436000000003</v>
      </c>
      <c r="K106" s="443">
        <f t="shared" si="32"/>
        <v>179.10966500000001</v>
      </c>
      <c r="L106" s="443">
        <f t="shared" si="32"/>
        <v>187.02929263199999</v>
      </c>
      <c r="M106" s="443">
        <f t="shared" si="32"/>
        <v>195.37102882402561</v>
      </c>
      <c r="N106" s="443">
        <f t="shared" si="32"/>
        <v>203.93392424096504</v>
      </c>
      <c r="O106" s="443">
        <f t="shared" si="32"/>
        <v>212.91597509139882</v>
      </c>
      <c r="P106" s="449"/>
      <c r="R106" s="341"/>
    </row>
    <row r="107" spans="1:18">
      <c r="B107" s="129"/>
      <c r="C107" s="351"/>
      <c r="D107" s="129"/>
      <c r="E107" s="129"/>
      <c r="F107" s="385"/>
      <c r="G107" s="172"/>
      <c r="H107" s="452"/>
      <c r="I107" s="452"/>
      <c r="J107" s="452"/>
      <c r="K107" s="452"/>
      <c r="L107" s="452"/>
      <c r="M107" s="452"/>
      <c r="N107" s="452"/>
      <c r="O107" s="452"/>
      <c r="P107" s="449"/>
      <c r="R107" s="341"/>
    </row>
    <row r="108" spans="1:18">
      <c r="B108" s="129"/>
      <c r="C108" s="15" t="s">
        <v>269</v>
      </c>
      <c r="D108" s="129"/>
      <c r="E108" s="129"/>
      <c r="F108" s="350" t="s">
        <v>219</v>
      </c>
      <c r="G108" s="172"/>
      <c r="H108" s="450">
        <v>0</v>
      </c>
      <c r="I108" s="450">
        <v>0</v>
      </c>
      <c r="J108" s="450">
        <v>0</v>
      </c>
      <c r="K108" s="451">
        <f>Assumptions!G70</f>
        <v>0</v>
      </c>
      <c r="L108" s="451">
        <f>Assumptions!H70</f>
        <v>0</v>
      </c>
      <c r="M108" s="451">
        <f>Assumptions!I70</f>
        <v>0</v>
      </c>
      <c r="N108" s="451">
        <f>Assumptions!J70</f>
        <v>0</v>
      </c>
      <c r="O108" s="451">
        <f>Assumptions!K70</f>
        <v>0</v>
      </c>
      <c r="P108" s="442"/>
      <c r="R108" s="341"/>
    </row>
    <row r="109" spans="1:18">
      <c r="B109" s="341"/>
      <c r="C109" s="341" t="s">
        <v>16</v>
      </c>
      <c r="F109" s="385" t="s">
        <v>219</v>
      </c>
      <c r="H109" s="417">
        <f>H102-H106-H108</f>
        <v>50.083200000000005</v>
      </c>
      <c r="I109" s="417">
        <f t="shared" ref="I109:O109" si="33">I102-I106-I108</f>
        <v>65.205966029411741</v>
      </c>
      <c r="J109" s="417">
        <f t="shared" si="33"/>
        <v>33.053639999999973</v>
      </c>
      <c r="K109" s="417">
        <f t="shared" si="33"/>
        <v>56.648934999999966</v>
      </c>
      <c r="L109" s="417">
        <f t="shared" si="33"/>
        <v>44.775160247999963</v>
      </c>
      <c r="M109" s="417">
        <f t="shared" si="33"/>
        <v>90.796644071078362</v>
      </c>
      <c r="N109" s="417">
        <f t="shared" si="33"/>
        <v>81.299325018041088</v>
      </c>
      <c r="O109" s="417">
        <f t="shared" si="33"/>
        <v>56.01865970707189</v>
      </c>
      <c r="P109" s="453">
        <f>P102*P127</f>
        <v>72.265590340172096</v>
      </c>
    </row>
    <row r="110" spans="1:18">
      <c r="F110" s="350"/>
      <c r="H110" s="418"/>
      <c r="I110" s="418"/>
      <c r="J110" s="454"/>
      <c r="K110" s="454"/>
      <c r="L110" s="454"/>
      <c r="M110" s="454"/>
      <c r="N110" s="454"/>
      <c r="O110" s="454"/>
      <c r="P110" s="455"/>
    </row>
    <row r="111" spans="1:18">
      <c r="C111" s="15" t="s">
        <v>68</v>
      </c>
      <c r="F111" s="350" t="s">
        <v>219</v>
      </c>
      <c r="H111" s="415">
        <f t="shared" ref="H111:O111" si="34">H231</f>
        <v>15.4</v>
      </c>
      <c r="I111" s="415">
        <f t="shared" si="34"/>
        <v>15.5</v>
      </c>
      <c r="J111" s="415">
        <f t="shared" si="34"/>
        <v>15.8</v>
      </c>
      <c r="K111" s="415">
        <f t="shared" si="34"/>
        <v>16.174666666666667</v>
      </c>
      <c r="L111" s="415">
        <f t="shared" si="34"/>
        <v>16.724666666666668</v>
      </c>
      <c r="M111" s="415">
        <f t="shared" si="34"/>
        <v>17.297000000000001</v>
      </c>
      <c r="N111" s="415">
        <f t="shared" si="34"/>
        <v>17.882224999999998</v>
      </c>
      <c r="O111" s="415">
        <f t="shared" si="34"/>
        <v>18.482080624999998</v>
      </c>
      <c r="P111" s="456">
        <f>Assumptions!L59</f>
        <v>18.673283437499997</v>
      </c>
    </row>
    <row r="112" spans="1:18">
      <c r="C112" s="351" t="s">
        <v>18</v>
      </c>
      <c r="F112" s="385" t="s">
        <v>219</v>
      </c>
      <c r="H112" s="417">
        <f>H109-H111</f>
        <v>34.683200000000006</v>
      </c>
      <c r="I112" s="417">
        <f>I109-I111</f>
        <v>49.705966029411741</v>
      </c>
      <c r="J112" s="417">
        <f>J109-J111</f>
        <v>17.253639999999972</v>
      </c>
      <c r="K112" s="417">
        <f t="shared" ref="K112:P112" si="35">K109-K111</f>
        <v>40.474268333333299</v>
      </c>
      <c r="L112" s="417">
        <f t="shared" si="35"/>
        <v>28.050493581333296</v>
      </c>
      <c r="M112" s="417">
        <f t="shared" si="35"/>
        <v>73.499644071078365</v>
      </c>
      <c r="N112" s="417">
        <f t="shared" si="35"/>
        <v>63.41710001804109</v>
      </c>
      <c r="O112" s="417">
        <f t="shared" si="35"/>
        <v>37.536579082071896</v>
      </c>
      <c r="P112" s="457">
        <f t="shared" si="35"/>
        <v>53.5923069026721</v>
      </c>
    </row>
    <row r="113" spans="2:17" ht="6" customHeight="1">
      <c r="C113" s="351"/>
      <c r="F113" s="385"/>
      <c r="H113" s="421"/>
      <c r="I113" s="421"/>
      <c r="J113" s="421"/>
      <c r="K113" s="421"/>
      <c r="L113" s="421"/>
      <c r="M113" s="421"/>
      <c r="N113" s="421"/>
      <c r="O113" s="421"/>
      <c r="P113" s="458"/>
    </row>
    <row r="114" spans="2:17">
      <c r="C114" s="459" t="s">
        <v>108</v>
      </c>
      <c r="D114" s="460"/>
      <c r="E114" s="460"/>
      <c r="F114" s="350" t="s">
        <v>219</v>
      </c>
      <c r="G114" s="460"/>
      <c r="H114" s="461">
        <v>15</v>
      </c>
      <c r="I114" s="461">
        <v>15</v>
      </c>
      <c r="J114" s="461">
        <v>14</v>
      </c>
      <c r="K114" s="462">
        <f ca="1">K353</f>
        <v>15.03852644152583</v>
      </c>
      <c r="L114" s="462">
        <f ca="1">L353</f>
        <v>13.355904387566898</v>
      </c>
      <c r="M114" s="462">
        <f ca="1">M353</f>
        <v>11.431553444625967</v>
      </c>
      <c r="N114" s="462">
        <f ca="1">N353</f>
        <v>9.1027306459914357</v>
      </c>
      <c r="O114" s="462">
        <f ca="1">O353</f>
        <v>7.1050818740271637</v>
      </c>
      <c r="P114" s="463">
        <v>0</v>
      </c>
    </row>
    <row r="115" spans="2:17">
      <c r="C115" s="202" t="s">
        <v>110</v>
      </c>
      <c r="F115" s="385" t="s">
        <v>219</v>
      </c>
      <c r="H115" s="411">
        <f t="shared" ref="H115:P115" si="36">H112-H114</f>
        <v>19.683200000000006</v>
      </c>
      <c r="I115" s="411">
        <f t="shared" si="36"/>
        <v>34.705966029411741</v>
      </c>
      <c r="J115" s="411">
        <f t="shared" si="36"/>
        <v>3.2536399999999723</v>
      </c>
      <c r="K115" s="411">
        <f t="shared" ca="1" si="36"/>
        <v>25.435741891807467</v>
      </c>
      <c r="L115" s="411">
        <f t="shared" ca="1" si="36"/>
        <v>14.694589193766397</v>
      </c>
      <c r="M115" s="411">
        <f t="shared" ca="1" si="36"/>
        <v>62.068090626452395</v>
      </c>
      <c r="N115" s="411">
        <f t="shared" ca="1" si="36"/>
        <v>54.314369372049654</v>
      </c>
      <c r="O115" s="411">
        <f t="shared" ca="1" si="36"/>
        <v>30.431497208044732</v>
      </c>
      <c r="P115" s="464">
        <f t="shared" si="36"/>
        <v>53.5923069026721</v>
      </c>
    </row>
    <row r="116" spans="2:17" ht="6" customHeight="1">
      <c r="C116" s="351"/>
      <c r="F116" s="385"/>
      <c r="H116" s="465"/>
      <c r="I116" s="465"/>
      <c r="J116" s="465"/>
      <c r="K116" s="465"/>
      <c r="L116" s="421"/>
      <c r="M116" s="417"/>
      <c r="N116" s="417"/>
      <c r="O116" s="421"/>
      <c r="P116" s="466"/>
    </row>
    <row r="117" spans="2:17">
      <c r="C117" s="15" t="s">
        <v>160</v>
      </c>
      <c r="F117" s="350" t="s">
        <v>219</v>
      </c>
      <c r="H117" s="409">
        <v>3</v>
      </c>
      <c r="I117" s="409">
        <v>8</v>
      </c>
      <c r="J117" s="409">
        <v>0</v>
      </c>
      <c r="K117" s="411">
        <f t="shared" ref="K117:O118" ca="1" si="37">K266</f>
        <v>0</v>
      </c>
      <c r="L117" s="411">
        <f t="shared" ca="1" si="37"/>
        <v>6.1825466175195127E-3</v>
      </c>
      <c r="M117" s="411">
        <f t="shared" ca="1" si="37"/>
        <v>20.08772171925834</v>
      </c>
      <c r="N117" s="411">
        <f t="shared" ca="1" si="37"/>
        <v>17.887787530217373</v>
      </c>
      <c r="O117" s="411">
        <f t="shared" ca="1" si="37"/>
        <v>9.9552390290656536</v>
      </c>
      <c r="P117" s="440">
        <f>P115*E241</f>
        <v>18.757307415935234</v>
      </c>
    </row>
    <row r="118" spans="2:17">
      <c r="C118" s="874" t="s">
        <v>315</v>
      </c>
      <c r="F118" s="350" t="s">
        <v>219</v>
      </c>
      <c r="H118" s="413">
        <v>2.7</v>
      </c>
      <c r="I118" s="413">
        <v>6.2</v>
      </c>
      <c r="J118" s="413">
        <v>1.1000000000000001</v>
      </c>
      <c r="K118" s="415">
        <f t="shared" ca="1" si="37"/>
        <v>8.9025096621326121</v>
      </c>
      <c r="L118" s="415">
        <f t="shared" ca="1" si="37"/>
        <v>5.1369236712007194</v>
      </c>
      <c r="M118" s="415">
        <f t="shared" ca="1" si="37"/>
        <v>1.6361099999999986</v>
      </c>
      <c r="N118" s="415">
        <f t="shared" ca="1" si="37"/>
        <v>1.1222417500000041</v>
      </c>
      <c r="O118" s="415">
        <f t="shared" ca="1" si="37"/>
        <v>0.69578499375000114</v>
      </c>
      <c r="P118" s="467">
        <v>0</v>
      </c>
    </row>
    <row r="119" spans="2:17">
      <c r="C119" s="341" t="s">
        <v>161</v>
      </c>
      <c r="F119" s="385" t="s">
        <v>219</v>
      </c>
      <c r="H119" s="468">
        <f t="shared" ref="H119:P119" si="38">SUM(H117:H118)</f>
        <v>5.7</v>
      </c>
      <c r="I119" s="468">
        <f t="shared" si="38"/>
        <v>14.2</v>
      </c>
      <c r="J119" s="468">
        <f t="shared" si="38"/>
        <v>1.1000000000000001</v>
      </c>
      <c r="K119" s="468">
        <f t="shared" ca="1" si="38"/>
        <v>8.9025096621326121</v>
      </c>
      <c r="L119" s="468">
        <f t="shared" ca="1" si="38"/>
        <v>5.1431062178182385</v>
      </c>
      <c r="M119" s="468">
        <f t="shared" ca="1" si="38"/>
        <v>21.723831719258339</v>
      </c>
      <c r="N119" s="468">
        <f t="shared" ca="1" si="38"/>
        <v>19.010029280217378</v>
      </c>
      <c r="O119" s="468">
        <f t="shared" ca="1" si="38"/>
        <v>10.651024022815655</v>
      </c>
      <c r="P119" s="469">
        <f t="shared" si="38"/>
        <v>18.757307415935234</v>
      </c>
    </row>
    <row r="120" spans="2:17">
      <c r="F120" s="350"/>
      <c r="P120" s="466"/>
    </row>
    <row r="121" spans="2:17" ht="13.5" thickBot="1">
      <c r="B121" s="129"/>
      <c r="C121" s="470" t="s">
        <v>19</v>
      </c>
      <c r="D121" s="438"/>
      <c r="E121" s="438"/>
      <c r="F121" s="385" t="s">
        <v>219</v>
      </c>
      <c r="G121" s="129"/>
      <c r="H121" s="471">
        <f t="shared" ref="H121:P121" si="39">H115-H119</f>
        <v>13.983200000000007</v>
      </c>
      <c r="I121" s="471">
        <f t="shared" si="39"/>
        <v>20.505966029411741</v>
      </c>
      <c r="J121" s="471">
        <f t="shared" si="39"/>
        <v>2.1536399999999722</v>
      </c>
      <c r="K121" s="471">
        <f ca="1">K115-K119</f>
        <v>16.533232229674855</v>
      </c>
      <c r="L121" s="471">
        <f ca="1">L115-L119</f>
        <v>9.5514829759481579</v>
      </c>
      <c r="M121" s="471">
        <f ca="1">M115-M119</f>
        <v>40.34425890719406</v>
      </c>
      <c r="N121" s="471">
        <f ca="1">N115-N119</f>
        <v>35.304340091832273</v>
      </c>
      <c r="O121" s="471">
        <f ca="1">O115-O119</f>
        <v>19.780473185229077</v>
      </c>
      <c r="P121" s="472">
        <f t="shared" si="39"/>
        <v>34.834999486736862</v>
      </c>
    </row>
    <row r="122" spans="2:17" ht="13.5" thickTop="1">
      <c r="B122" s="129"/>
      <c r="C122" s="473"/>
      <c r="D122" s="129"/>
      <c r="E122" s="129"/>
      <c r="F122" s="385"/>
      <c r="G122" s="129"/>
      <c r="H122" s="221"/>
      <c r="I122" s="221"/>
      <c r="J122" s="221"/>
      <c r="K122" s="221"/>
      <c r="L122" s="221"/>
      <c r="M122" s="221"/>
      <c r="N122" s="221"/>
      <c r="O122" s="221"/>
      <c r="P122" s="474"/>
    </row>
    <row r="123" spans="2:17">
      <c r="B123" s="129"/>
      <c r="C123" s="475" t="s">
        <v>289</v>
      </c>
      <c r="D123" s="129"/>
      <c r="E123" s="129"/>
      <c r="F123" s="350" t="s">
        <v>229</v>
      </c>
      <c r="G123" s="129"/>
      <c r="H123" s="409">
        <v>13.9</v>
      </c>
      <c r="I123" s="476">
        <v>14.2</v>
      </c>
      <c r="J123" s="476">
        <v>14.6</v>
      </c>
      <c r="K123" s="477">
        <f>K390</f>
        <v>15.05</v>
      </c>
      <c r="L123" s="477">
        <f>L390</f>
        <v>15.55</v>
      </c>
      <c r="M123" s="477">
        <f>M390</f>
        <v>15.8</v>
      </c>
      <c r="N123" s="477">
        <f>N390</f>
        <v>15.8</v>
      </c>
      <c r="O123" s="477">
        <f>O390</f>
        <v>15.8</v>
      </c>
      <c r="P123" s="478">
        <f>O123</f>
        <v>15.8</v>
      </c>
    </row>
    <row r="124" spans="2:17">
      <c r="C124" s="341" t="s">
        <v>228</v>
      </c>
      <c r="F124" s="385" t="s">
        <v>230</v>
      </c>
      <c r="H124" s="479">
        <f t="shared" ref="H124:P124" si="40">H121/H123</f>
        <v>1.0059856115107919</v>
      </c>
      <c r="I124" s="479">
        <f t="shared" si="40"/>
        <v>1.4440821147473057</v>
      </c>
      <c r="J124" s="479">
        <f t="shared" si="40"/>
        <v>0.14750958904109399</v>
      </c>
      <c r="K124" s="479">
        <f t="shared" ca="1" si="40"/>
        <v>1.0985536365232462</v>
      </c>
      <c r="L124" s="479">
        <f t="shared" ca="1" si="40"/>
        <v>0.61424327819602298</v>
      </c>
      <c r="M124" s="479">
        <f t="shared" ca="1" si="40"/>
        <v>2.5534341080502569</v>
      </c>
      <c r="N124" s="479">
        <f t="shared" ca="1" si="40"/>
        <v>2.2344519045463462</v>
      </c>
      <c r="O124" s="479">
        <f t="shared" ca="1" si="40"/>
        <v>1.2519286826094351</v>
      </c>
      <c r="P124" s="480">
        <f t="shared" si="40"/>
        <v>2.2047468029580291</v>
      </c>
    </row>
    <row r="125" spans="2:17">
      <c r="H125" s="431"/>
      <c r="I125" s="431"/>
      <c r="J125" s="431"/>
      <c r="K125" s="481"/>
      <c r="L125" s="481"/>
      <c r="M125" s="481"/>
      <c r="N125" s="481"/>
      <c r="O125" s="481"/>
      <c r="P125" s="482"/>
    </row>
    <row r="126" spans="2:17">
      <c r="B126" s="483" t="s">
        <v>57</v>
      </c>
      <c r="C126" s="192"/>
      <c r="D126" s="192"/>
      <c r="E126" s="192"/>
      <c r="F126" s="484"/>
      <c r="G126" s="192"/>
      <c r="H126" s="485"/>
      <c r="I126" s="485"/>
      <c r="J126" s="485"/>
      <c r="K126" s="485"/>
      <c r="L126" s="485"/>
      <c r="M126" s="485"/>
      <c r="N126" s="485"/>
      <c r="O126" s="485"/>
      <c r="P126" s="486"/>
    </row>
    <row r="127" spans="2:17">
      <c r="B127" s="132"/>
      <c r="C127" s="129" t="s">
        <v>58</v>
      </c>
      <c r="D127" s="129"/>
      <c r="E127" s="129"/>
      <c r="F127" s="399"/>
      <c r="G127" s="129"/>
      <c r="H127" s="487">
        <f t="shared" ref="H127:O127" si="41">H109/H102</f>
        <v>0.23461953588774961</v>
      </c>
      <c r="I127" s="487">
        <f>I109/I102</f>
        <v>0.28201799773711689</v>
      </c>
      <c r="J127" s="487">
        <f>J109/J102</f>
        <v>0.16139630269826841</v>
      </c>
      <c r="K127" s="487">
        <f t="shared" si="41"/>
        <v>0.24028364182685158</v>
      </c>
      <c r="L127" s="487">
        <f t="shared" si="41"/>
        <v>0.19315918953109618</v>
      </c>
      <c r="M127" s="487">
        <f t="shared" si="41"/>
        <v>0.3172847692840563</v>
      </c>
      <c r="N127" s="487">
        <f t="shared" si="41"/>
        <v>0.28502751775694007</v>
      </c>
      <c r="O127" s="487">
        <f t="shared" si="41"/>
        <v>0.20829842072609994</v>
      </c>
      <c r="P127" s="488">
        <f>AVERAGE(K127:O127)</f>
        <v>0.24881070782500886</v>
      </c>
      <c r="Q127" s="489"/>
    </row>
    <row r="128" spans="2:17">
      <c r="B128" s="132"/>
      <c r="C128" s="129" t="s">
        <v>59</v>
      </c>
      <c r="D128" s="129"/>
      <c r="E128" s="129"/>
      <c r="F128" s="490"/>
      <c r="G128" s="129"/>
      <c r="H128" s="487">
        <f t="shared" ref="H128:O128" si="42">H112/H102</f>
        <v>0.16247676440606826</v>
      </c>
      <c r="I128" s="487">
        <f>I112/I102</f>
        <v>0.21497997604821795</v>
      </c>
      <c r="J128" s="487">
        <f>J112/J102</f>
        <v>8.4247111788200921E-2</v>
      </c>
      <c r="K128" s="487">
        <f t="shared" si="42"/>
        <v>0.17167674194423152</v>
      </c>
      <c r="L128" s="487">
        <f t="shared" si="42"/>
        <v>0.1210092956922377</v>
      </c>
      <c r="M128" s="487">
        <f t="shared" si="42"/>
        <v>0.25684118449682464</v>
      </c>
      <c r="N128" s="487">
        <f t="shared" si="42"/>
        <v>0.22233417802023206</v>
      </c>
      <c r="O128" s="487">
        <f t="shared" si="42"/>
        <v>0.1395751019953245</v>
      </c>
      <c r="P128" s="491"/>
    </row>
    <row r="129" spans="2:16">
      <c r="B129" s="144"/>
      <c r="C129" s="142" t="s">
        <v>252</v>
      </c>
      <c r="D129" s="142"/>
      <c r="E129" s="142"/>
      <c r="F129" s="492"/>
      <c r="G129" s="142"/>
      <c r="H129" s="493"/>
      <c r="I129" s="493"/>
      <c r="J129" s="494">
        <f t="shared" ref="J129:O129" si="43">J121/J203</f>
        <v>9.298963730569829E-3</v>
      </c>
      <c r="K129" s="494">
        <f t="shared" ca="1" si="43"/>
        <v>6.7530379418348718E-2</v>
      </c>
      <c r="L129" s="494">
        <f t="shared" ca="1" si="43"/>
        <v>3.7832484099098299E-2</v>
      </c>
      <c r="M129" s="494">
        <f t="shared" ca="1" si="43"/>
        <v>0.14168648045496832</v>
      </c>
      <c r="N129" s="494">
        <f t="shared" ca="1" si="43"/>
        <v>0.11279822937498174</v>
      </c>
      <c r="O129" s="494">
        <f t="shared" ca="1" si="43"/>
        <v>6.015757193585871E-2</v>
      </c>
      <c r="P129" s="482"/>
    </row>
    <row r="130" spans="2:16">
      <c r="B130" s="129"/>
      <c r="C130" s="495"/>
      <c r="D130" s="129"/>
      <c r="E130" s="129"/>
      <c r="F130" s="490"/>
      <c r="G130" s="129"/>
      <c r="H130" s="496"/>
      <c r="I130" s="496"/>
      <c r="J130" s="496"/>
      <c r="K130" s="496"/>
      <c r="L130" s="496"/>
      <c r="M130" s="496"/>
      <c r="N130" s="496"/>
      <c r="O130" s="496"/>
      <c r="P130" s="497"/>
    </row>
    <row r="131" spans="2:16">
      <c r="B131" s="341"/>
      <c r="F131" s="498"/>
      <c r="H131" s="431"/>
      <c r="I131" s="431"/>
      <c r="J131" s="431"/>
      <c r="K131" s="431"/>
      <c r="L131" s="431"/>
      <c r="M131" s="431"/>
      <c r="N131" s="431"/>
      <c r="O131" s="431"/>
      <c r="P131" s="358"/>
    </row>
    <row r="132" spans="2:16">
      <c r="B132" s="341"/>
      <c r="F132" s="498"/>
      <c r="H132" s="431"/>
      <c r="I132" s="431"/>
      <c r="J132" s="431"/>
      <c r="K132" s="431"/>
      <c r="L132" s="431"/>
      <c r="M132" s="431"/>
      <c r="N132" s="431"/>
      <c r="O132" s="431"/>
      <c r="P132" s="358"/>
    </row>
    <row r="133" spans="2:16" ht="12.75" customHeight="1">
      <c r="B133" s="1"/>
      <c r="C133" s="13"/>
      <c r="D133" s="13"/>
      <c r="E133" s="13"/>
      <c r="F133" s="13"/>
      <c r="G133" s="13"/>
      <c r="H133" s="13"/>
      <c r="I133" s="13"/>
      <c r="J133" s="13"/>
      <c r="K133" s="13"/>
      <c r="L133" s="13"/>
      <c r="M133" s="13"/>
      <c r="N133" s="13"/>
      <c r="O133" s="401" t="str">
        <f>O211</f>
        <v>CURRENTLY RUNNING: BASE CASE SCENARIO</v>
      </c>
      <c r="P133" s="16"/>
    </row>
    <row r="134" spans="2:16" ht="22.5">
      <c r="B134" s="1" t="str">
        <f>B2</f>
        <v>Medallion Mouldings</v>
      </c>
      <c r="C134" s="13"/>
      <c r="D134" s="13"/>
      <c r="E134" s="13"/>
      <c r="F134" s="13"/>
      <c r="G134" s="13"/>
      <c r="H134" s="13"/>
      <c r="I134" s="13"/>
      <c r="J134" s="13"/>
      <c r="K134" s="13"/>
      <c r="L134" s="13"/>
      <c r="M134" s="13"/>
      <c r="N134" s="13"/>
      <c r="O134" s="13"/>
      <c r="P134" s="16"/>
    </row>
    <row r="135" spans="2:16" ht="17.5">
      <c r="B135" s="330" t="s">
        <v>71</v>
      </c>
      <c r="C135" s="121"/>
      <c r="D135" s="121"/>
      <c r="E135" s="121"/>
      <c r="F135" s="121"/>
      <c r="G135" s="121"/>
      <c r="H135" s="121"/>
      <c r="I135" s="121"/>
      <c r="J135" s="121"/>
      <c r="K135" s="121"/>
      <c r="L135" s="121"/>
      <c r="M135" s="121"/>
      <c r="N135" s="121"/>
      <c r="O135" s="121"/>
      <c r="P135" s="16"/>
    </row>
    <row r="136" spans="2:16" ht="6" customHeight="1" thickBot="1">
      <c r="B136" s="333"/>
      <c r="C136" s="499"/>
      <c r="D136" s="499"/>
      <c r="E136" s="499"/>
      <c r="F136" s="499"/>
      <c r="G136" s="499"/>
      <c r="H136" s="499"/>
      <c r="I136" s="499"/>
      <c r="J136" s="499"/>
      <c r="K136" s="499"/>
      <c r="L136" s="499"/>
      <c r="M136" s="499"/>
      <c r="N136" s="499"/>
      <c r="O136" s="499"/>
      <c r="P136" s="16"/>
    </row>
    <row r="137" spans="2:16">
      <c r="B137" s="500" t="s">
        <v>13</v>
      </c>
      <c r="F137" s="15"/>
      <c r="P137" s="16"/>
    </row>
    <row r="138" spans="2:16" ht="13.5">
      <c r="F138" s="15"/>
      <c r="K138" s="338" t="s">
        <v>8</v>
      </c>
      <c r="L138" s="169"/>
      <c r="M138" s="169"/>
      <c r="N138" s="169"/>
      <c r="O138" s="169"/>
      <c r="P138" s="16"/>
    </row>
    <row r="139" spans="2:16">
      <c r="B139" s="501"/>
      <c r="F139" s="17"/>
      <c r="G139" s="502"/>
      <c r="H139" s="403">
        <f>H7</f>
        <v>2015</v>
      </c>
      <c r="I139" s="403">
        <f>I7</f>
        <v>2016</v>
      </c>
      <c r="J139" s="339">
        <f>J7</f>
        <v>2017</v>
      </c>
      <c r="K139" s="503">
        <f>K$7</f>
        <v>2018</v>
      </c>
      <c r="L139" s="503">
        <f>L$7</f>
        <v>2019</v>
      </c>
      <c r="M139" s="503">
        <f>M$7</f>
        <v>2020</v>
      </c>
      <c r="N139" s="503">
        <f>N$7</f>
        <v>2021</v>
      </c>
      <c r="O139" s="503">
        <f>O$7</f>
        <v>2022</v>
      </c>
      <c r="P139" s="405"/>
    </row>
    <row r="140" spans="2:16">
      <c r="B140" s="341" t="s">
        <v>21</v>
      </c>
      <c r="F140" s="15"/>
      <c r="P140" s="16"/>
    </row>
    <row r="141" spans="2:16">
      <c r="C141" s="876" t="s">
        <v>19</v>
      </c>
      <c r="F141" s="15"/>
      <c r="G141" s="504"/>
      <c r="H141" s="505">
        <f t="shared" ref="H141:O141" si="44">H121</f>
        <v>13.983200000000007</v>
      </c>
      <c r="I141" s="505">
        <f t="shared" si="44"/>
        <v>20.505966029411741</v>
      </c>
      <c r="J141" s="505">
        <f t="shared" si="44"/>
        <v>2.1536399999999722</v>
      </c>
      <c r="K141" s="505">
        <f t="shared" ca="1" si="44"/>
        <v>16.533232229674855</v>
      </c>
      <c r="L141" s="505">
        <f t="shared" ca="1" si="44"/>
        <v>9.5514829759481579</v>
      </c>
      <c r="M141" s="505">
        <f t="shared" ca="1" si="44"/>
        <v>40.34425890719406</v>
      </c>
      <c r="N141" s="505">
        <f t="shared" ca="1" si="44"/>
        <v>35.304340091832273</v>
      </c>
      <c r="O141" s="505">
        <f t="shared" ca="1" si="44"/>
        <v>19.780473185229077</v>
      </c>
      <c r="P141" s="506"/>
    </row>
    <row r="142" spans="2:16">
      <c r="C142" s="876" t="s">
        <v>17</v>
      </c>
      <c r="F142" s="15"/>
      <c r="G142" s="504"/>
      <c r="H142" s="505">
        <f t="shared" ref="H142:O142" si="45">H111</f>
        <v>15.4</v>
      </c>
      <c r="I142" s="505">
        <f t="shared" si="45"/>
        <v>15.5</v>
      </c>
      <c r="J142" s="505">
        <f t="shared" si="45"/>
        <v>15.8</v>
      </c>
      <c r="K142" s="505">
        <f t="shared" si="45"/>
        <v>16.174666666666667</v>
      </c>
      <c r="L142" s="505">
        <f t="shared" si="45"/>
        <v>16.724666666666668</v>
      </c>
      <c r="M142" s="505">
        <f t="shared" si="45"/>
        <v>17.297000000000001</v>
      </c>
      <c r="N142" s="505">
        <f t="shared" si="45"/>
        <v>17.882224999999998</v>
      </c>
      <c r="O142" s="505">
        <f t="shared" si="45"/>
        <v>18.482080624999998</v>
      </c>
      <c r="P142" s="506"/>
    </row>
    <row r="143" spans="2:16">
      <c r="C143" s="876" t="s">
        <v>315</v>
      </c>
      <c r="F143" s="15"/>
      <c r="G143" s="507"/>
      <c r="H143" s="508">
        <f t="shared" ref="H143:O143" si="46">H118</f>
        <v>2.7</v>
      </c>
      <c r="I143" s="508">
        <f t="shared" si="46"/>
        <v>6.2</v>
      </c>
      <c r="J143" s="508">
        <f t="shared" si="46"/>
        <v>1.1000000000000001</v>
      </c>
      <c r="K143" s="508">
        <f t="shared" ca="1" si="46"/>
        <v>8.9025096621326121</v>
      </c>
      <c r="L143" s="508">
        <f t="shared" ca="1" si="46"/>
        <v>5.1369236712007194</v>
      </c>
      <c r="M143" s="508">
        <f t="shared" ca="1" si="46"/>
        <v>1.6361099999999986</v>
      </c>
      <c r="N143" s="508">
        <f t="shared" ca="1" si="46"/>
        <v>1.1222417500000041</v>
      </c>
      <c r="O143" s="508">
        <f t="shared" ca="1" si="46"/>
        <v>0.69578499375000114</v>
      </c>
      <c r="P143" s="509"/>
    </row>
    <row r="144" spans="2:16">
      <c r="C144" s="876" t="s">
        <v>254</v>
      </c>
      <c r="F144" s="15"/>
      <c r="G144" s="510"/>
      <c r="H144" s="415">
        <f t="shared" ref="H144:O144" si="47">H306</f>
        <v>0</v>
      </c>
      <c r="I144" s="415">
        <f t="shared" si="47"/>
        <v>0</v>
      </c>
      <c r="J144" s="415">
        <f t="shared" si="47"/>
        <v>0</v>
      </c>
      <c r="K144" s="415">
        <f t="shared" si="47"/>
        <v>1.7330768493150686</v>
      </c>
      <c r="L144" s="415">
        <f t="shared" si="47"/>
        <v>5.5259356684931618</v>
      </c>
      <c r="M144" s="415">
        <f t="shared" si="47"/>
        <v>-3.7884559393510457</v>
      </c>
      <c r="N144" s="415">
        <f t="shared" si="47"/>
        <v>-0.47556609949703699</v>
      </c>
      <c r="O144" s="415">
        <f t="shared" si="47"/>
        <v>4.1579399082047601</v>
      </c>
      <c r="P144" s="511"/>
    </row>
    <row r="145" spans="1:16">
      <c r="C145" s="877" t="s">
        <v>23</v>
      </c>
      <c r="F145" s="15"/>
      <c r="G145" s="421"/>
      <c r="H145" s="512">
        <f t="shared" ref="H145:O145" si="48">SUM(H141:H144)</f>
        <v>32.083200000000012</v>
      </c>
      <c r="I145" s="512">
        <f t="shared" si="48"/>
        <v>42.205966029411741</v>
      </c>
      <c r="J145" s="512">
        <f t="shared" si="48"/>
        <v>19.053639999999973</v>
      </c>
      <c r="K145" s="512">
        <f t="shared" ca="1" si="48"/>
        <v>43.343485407789203</v>
      </c>
      <c r="L145" s="512">
        <f t="shared" ca="1" si="48"/>
        <v>36.939008982308707</v>
      </c>
      <c r="M145" s="512">
        <f t="shared" ca="1" si="48"/>
        <v>55.488912967843014</v>
      </c>
      <c r="N145" s="512">
        <f t="shared" ca="1" si="48"/>
        <v>53.833240742335242</v>
      </c>
      <c r="O145" s="512">
        <f t="shared" ca="1" si="48"/>
        <v>43.116278712183842</v>
      </c>
      <c r="P145" s="513"/>
    </row>
    <row r="146" spans="1:16">
      <c r="B146" s="352"/>
      <c r="F146" s="15"/>
      <c r="G146" s="431"/>
      <c r="H146" s="358"/>
      <c r="I146" s="358"/>
      <c r="J146" s="358"/>
      <c r="K146" s="358"/>
      <c r="L146" s="358"/>
      <c r="M146" s="358"/>
      <c r="N146" s="358"/>
      <c r="O146" s="358"/>
      <c r="P146" s="514"/>
    </row>
    <row r="147" spans="1:16">
      <c r="B147" s="352"/>
      <c r="F147" s="15"/>
      <c r="G147" s="431"/>
      <c r="H147" s="358"/>
      <c r="I147" s="358"/>
      <c r="J147" s="358"/>
      <c r="K147" s="358"/>
      <c r="L147" s="358"/>
      <c r="M147" s="358"/>
      <c r="N147" s="358"/>
      <c r="O147" s="358"/>
      <c r="P147" s="514"/>
    </row>
    <row r="148" spans="1:16">
      <c r="B148" s="877" t="s">
        <v>214</v>
      </c>
      <c r="C148" s="876"/>
      <c r="D148" s="876"/>
      <c r="E148" s="460"/>
      <c r="F148" s="460"/>
      <c r="G148" s="515"/>
      <c r="H148" s="516"/>
      <c r="I148" s="516"/>
      <c r="J148" s="516"/>
      <c r="K148" s="507"/>
      <c r="L148" s="507"/>
      <c r="M148" s="507"/>
      <c r="N148" s="507"/>
      <c r="O148" s="507"/>
      <c r="P148" s="509"/>
    </row>
    <row r="149" spans="1:16">
      <c r="B149" s="876"/>
      <c r="C149" s="876" t="s">
        <v>84</v>
      </c>
      <c r="D149" s="876"/>
      <c r="H149" s="409">
        <v>-14.1</v>
      </c>
      <c r="I149" s="409">
        <v>-15</v>
      </c>
      <c r="J149" s="409">
        <v>-15.5</v>
      </c>
      <c r="K149" s="410">
        <f>-Assumptions!G59</f>
        <v>-16</v>
      </c>
      <c r="L149" s="410">
        <f>-Assumptions!H59</f>
        <v>-17</v>
      </c>
      <c r="M149" s="410">
        <f>-Assumptions!I59</f>
        <v>-17.34</v>
      </c>
      <c r="N149" s="410">
        <f>-Assumptions!J59</f>
        <v>-17.773499999999999</v>
      </c>
      <c r="O149" s="410">
        <f>-Assumptions!K59</f>
        <v>-18.217837499999998</v>
      </c>
      <c r="P149" s="517"/>
    </row>
    <row r="150" spans="1:16">
      <c r="B150" s="876"/>
      <c r="C150" s="876" t="s">
        <v>22</v>
      </c>
      <c r="D150" s="876"/>
      <c r="H150" s="409">
        <v>0</v>
      </c>
      <c r="I150" s="409">
        <v>0</v>
      </c>
      <c r="J150" s="409">
        <v>0</v>
      </c>
      <c r="K150" s="411">
        <f>J150</f>
        <v>0</v>
      </c>
      <c r="L150" s="411">
        <f>K150</f>
        <v>0</v>
      </c>
      <c r="M150" s="411">
        <f>L150</f>
        <v>0</v>
      </c>
      <c r="N150" s="411">
        <f>M150</f>
        <v>0</v>
      </c>
      <c r="O150" s="411">
        <f>N150</f>
        <v>0</v>
      </c>
      <c r="P150" s="517"/>
    </row>
    <row r="151" spans="1:16">
      <c r="A151" s="341"/>
      <c r="B151" s="876"/>
      <c r="C151" s="877" t="s">
        <v>215</v>
      </c>
      <c r="D151" s="876"/>
      <c r="F151" s="15"/>
      <c r="G151" s="421"/>
      <c r="H151" s="518">
        <f>SUM(H149:H150)</f>
        <v>-14.1</v>
      </c>
      <c r="I151" s="518">
        <f t="shared" ref="I151:O151" si="49">SUM(I149:I150)</f>
        <v>-15</v>
      </c>
      <c r="J151" s="518">
        <f t="shared" si="49"/>
        <v>-15.5</v>
      </c>
      <c r="K151" s="518">
        <f t="shared" si="49"/>
        <v>-16</v>
      </c>
      <c r="L151" s="518">
        <f t="shared" si="49"/>
        <v>-17</v>
      </c>
      <c r="M151" s="518">
        <f t="shared" si="49"/>
        <v>-17.34</v>
      </c>
      <c r="N151" s="518">
        <f t="shared" si="49"/>
        <v>-17.773499999999999</v>
      </c>
      <c r="O151" s="518">
        <f t="shared" si="49"/>
        <v>-18.217837499999998</v>
      </c>
      <c r="P151" s="519"/>
    </row>
    <row r="152" spans="1:16">
      <c r="A152" s="341"/>
      <c r="B152" s="202"/>
      <c r="F152" s="15"/>
      <c r="G152" s="421"/>
      <c r="H152" s="520"/>
      <c r="I152" s="520"/>
      <c r="J152" s="521"/>
      <c r="K152" s="522"/>
      <c r="L152" s="522"/>
      <c r="M152" s="522"/>
      <c r="N152" s="522"/>
      <c r="O152" s="522"/>
      <c r="P152" s="523"/>
    </row>
    <row r="153" spans="1:16">
      <c r="A153" s="341"/>
      <c r="B153" s="202"/>
      <c r="F153" s="15"/>
      <c r="G153" s="421"/>
      <c r="H153" s="520"/>
      <c r="I153" s="520"/>
      <c r="J153" s="520"/>
      <c r="K153" s="522"/>
      <c r="L153" s="522"/>
      <c r="M153" s="522"/>
      <c r="N153" s="522"/>
      <c r="O153" s="522"/>
      <c r="P153" s="523"/>
    </row>
    <row r="154" spans="1:16">
      <c r="A154" s="341"/>
      <c r="B154" s="202" t="s">
        <v>107</v>
      </c>
      <c r="F154" s="15"/>
      <c r="G154" s="421"/>
      <c r="H154" s="524"/>
      <c r="I154" s="524"/>
      <c r="J154" s="524"/>
      <c r="K154" s="525"/>
      <c r="L154" s="525"/>
      <c r="M154" s="525"/>
      <c r="N154" s="525"/>
      <c r="O154" s="525"/>
      <c r="P154" s="526"/>
    </row>
    <row r="155" spans="1:16">
      <c r="A155" s="341"/>
      <c r="B155" s="202"/>
      <c r="C155" s="876" t="s">
        <v>276</v>
      </c>
      <c r="F155" s="15"/>
      <c r="G155" s="421"/>
      <c r="H155" s="524"/>
      <c r="I155" s="524"/>
      <c r="J155" s="524"/>
      <c r="K155" s="505">
        <f ca="1">K337</f>
        <v>0.9631610381457687</v>
      </c>
      <c r="L155" s="505">
        <f ca="1">L337</f>
        <v>6.9712876128809249</v>
      </c>
      <c r="M155" s="505">
        <f ca="1">M337</f>
        <v>-5.0800611864042047</v>
      </c>
      <c r="N155" s="505">
        <f ca="1">N337</f>
        <v>-2.8543874646224889</v>
      </c>
      <c r="O155" s="505">
        <f ca="1">O337</f>
        <v>2.9131681655156747</v>
      </c>
      <c r="P155" s="513"/>
    </row>
    <row r="156" spans="1:16">
      <c r="A156" s="341"/>
      <c r="B156" s="202"/>
      <c r="C156" s="876" t="s">
        <v>277</v>
      </c>
      <c r="F156" s="15"/>
      <c r="G156" s="421"/>
      <c r="H156" s="524"/>
      <c r="I156" s="524"/>
      <c r="J156" s="524"/>
      <c r="K156" s="505">
        <f>K346</f>
        <v>-25</v>
      </c>
      <c r="L156" s="505">
        <f>L346</f>
        <v>-25</v>
      </c>
      <c r="M156" s="505">
        <f>M346</f>
        <v>-25</v>
      </c>
      <c r="N156" s="505">
        <f>N346</f>
        <v>-25</v>
      </c>
      <c r="O156" s="505">
        <f>O346</f>
        <v>-25</v>
      </c>
      <c r="P156" s="513"/>
    </row>
    <row r="157" spans="1:16">
      <c r="A157" s="341"/>
      <c r="B157" s="202"/>
      <c r="C157" s="876" t="s">
        <v>242</v>
      </c>
      <c r="F157" s="15"/>
      <c r="G157" s="421"/>
      <c r="H157" s="524"/>
      <c r="I157" s="524"/>
      <c r="J157" s="524"/>
      <c r="K157" s="505">
        <f>K366</f>
        <v>0</v>
      </c>
      <c r="L157" s="505">
        <f>L366</f>
        <v>0</v>
      </c>
      <c r="M157" s="505">
        <f>M366</f>
        <v>0</v>
      </c>
      <c r="N157" s="505">
        <f>N366</f>
        <v>0</v>
      </c>
      <c r="O157" s="505">
        <f>O366</f>
        <v>0</v>
      </c>
      <c r="P157" s="513"/>
    </row>
    <row r="158" spans="1:16">
      <c r="A158" s="341"/>
      <c r="B158" s="202"/>
      <c r="C158" s="876" t="s">
        <v>243</v>
      </c>
      <c r="F158" s="15"/>
      <c r="G158" s="421"/>
      <c r="H158" s="524"/>
      <c r="I158" s="524"/>
      <c r="J158" s="524"/>
      <c r="K158" s="505">
        <f ca="1">-K371</f>
        <v>-3.3066464459349714</v>
      </c>
      <c r="L158" s="505">
        <f ca="1">-L371</f>
        <v>-1.9102965951896316</v>
      </c>
      <c r="M158" s="505">
        <f ca="1">-M371</f>
        <v>-8.0688517814388128</v>
      </c>
      <c r="N158" s="505">
        <f ca="1">-N371</f>
        <v>-7.0608680183664552</v>
      </c>
      <c r="O158" s="505">
        <f ca="1">-O371</f>
        <v>-3.9560946370458154</v>
      </c>
      <c r="P158" s="513"/>
    </row>
    <row r="159" spans="1:16">
      <c r="A159" s="341"/>
      <c r="B159" s="202"/>
      <c r="C159" s="877" t="s">
        <v>216</v>
      </c>
      <c r="F159" s="15"/>
      <c r="G159" s="421"/>
      <c r="H159" s="524"/>
      <c r="I159" s="524"/>
      <c r="J159" s="524"/>
      <c r="K159" s="518">
        <f ca="1">SUM(K155:K158)</f>
        <v>-27.343485407789203</v>
      </c>
      <c r="L159" s="518">
        <f ca="1">SUM(L155:L158)</f>
        <v>-19.939008982308707</v>
      </c>
      <c r="M159" s="518">
        <f ca="1">SUM(M155:M158)</f>
        <v>-38.148912967843017</v>
      </c>
      <c r="N159" s="518">
        <f ca="1">SUM(N155:N158)</f>
        <v>-34.915255482988947</v>
      </c>
      <c r="O159" s="518">
        <f ca="1">SUM(O155:O158)</f>
        <v>-26.042926471530141</v>
      </c>
      <c r="P159" s="513"/>
    </row>
    <row r="160" spans="1:16">
      <c r="A160" s="341"/>
      <c r="B160" s="202"/>
      <c r="F160" s="15"/>
      <c r="G160" s="421"/>
      <c r="H160" s="524"/>
      <c r="I160" s="524"/>
      <c r="J160" s="524"/>
      <c r="K160" s="524"/>
      <c r="L160" s="524"/>
      <c r="M160" s="524"/>
      <c r="N160" s="524"/>
      <c r="O160" s="524"/>
      <c r="P160" s="513"/>
    </row>
    <row r="161" spans="1:16">
      <c r="A161" s="341"/>
      <c r="C161" s="351"/>
      <c r="F161" s="15"/>
      <c r="G161" s="421"/>
      <c r="H161" s="524"/>
      <c r="I161" s="524"/>
      <c r="J161" s="524"/>
      <c r="K161" s="524"/>
      <c r="L161" s="524"/>
      <c r="M161" s="524"/>
      <c r="N161" s="524"/>
      <c r="O161" s="524"/>
      <c r="P161" s="513"/>
    </row>
    <row r="162" spans="1:16">
      <c r="A162" s="341"/>
      <c r="B162" s="527" t="s">
        <v>86</v>
      </c>
      <c r="C162" s="528"/>
      <c r="D162" s="192"/>
      <c r="E162" s="192"/>
      <c r="F162" s="192"/>
      <c r="G162" s="529"/>
      <c r="H162" s="530"/>
      <c r="I162" s="530"/>
      <c r="J162" s="530"/>
      <c r="K162" s="531">
        <f ca="1">K159+K151+K145</f>
        <v>0</v>
      </c>
      <c r="L162" s="531">
        <f ca="1">L159+L151+L145</f>
        <v>0</v>
      </c>
      <c r="M162" s="531">
        <f ca="1">M159+M151+M145</f>
        <v>0</v>
      </c>
      <c r="N162" s="531">
        <f ca="1">N159+N151+N145</f>
        <v>1.1444852593462969</v>
      </c>
      <c r="O162" s="532">
        <f ca="1">O159+O151+O145</f>
        <v>-1.1444852593462969</v>
      </c>
      <c r="P162" s="513"/>
    </row>
    <row r="163" spans="1:16">
      <c r="A163" s="341"/>
      <c r="B163" s="132" t="s">
        <v>87</v>
      </c>
      <c r="C163" s="533"/>
      <c r="D163" s="129"/>
      <c r="E163" s="129"/>
      <c r="F163" s="129"/>
      <c r="G163" s="421"/>
      <c r="H163" s="421"/>
      <c r="I163" s="421"/>
      <c r="J163" s="421"/>
      <c r="K163" s="534">
        <f>J178</f>
        <v>0</v>
      </c>
      <c r="L163" s="534">
        <f ca="1">K164</f>
        <v>0</v>
      </c>
      <c r="M163" s="534">
        <f ca="1">L164</f>
        <v>0</v>
      </c>
      <c r="N163" s="534">
        <f ca="1">M164</f>
        <v>0</v>
      </c>
      <c r="O163" s="535">
        <f ca="1">N164</f>
        <v>1.1444852593462969</v>
      </c>
      <c r="P163" s="513"/>
    </row>
    <row r="164" spans="1:16">
      <c r="A164" s="341"/>
      <c r="B164" s="536" t="s">
        <v>88</v>
      </c>
      <c r="C164" s="427"/>
      <c r="D164" s="142"/>
      <c r="E164" s="142"/>
      <c r="F164" s="142"/>
      <c r="G164" s="430"/>
      <c r="H164" s="537"/>
      <c r="I164" s="537"/>
      <c r="J164" s="537"/>
      <c r="K164" s="415">
        <f ca="1">K163+K162</f>
        <v>0</v>
      </c>
      <c r="L164" s="415">
        <f ca="1">L163+L162</f>
        <v>0</v>
      </c>
      <c r="M164" s="415">
        <f ca="1">M163+M162</f>
        <v>0</v>
      </c>
      <c r="N164" s="415">
        <f ca="1">N163+N162</f>
        <v>1.1444852593462969</v>
      </c>
      <c r="O164" s="538">
        <f ca="1">O163+O162</f>
        <v>0</v>
      </c>
      <c r="P164" s="513"/>
    </row>
    <row r="165" spans="1:16">
      <c r="A165" s="341"/>
      <c r="B165" s="16"/>
      <c r="C165" s="533"/>
      <c r="D165" s="129"/>
      <c r="E165" s="129"/>
      <c r="F165" s="129"/>
      <c r="G165" s="421"/>
      <c r="H165" s="418"/>
      <c r="I165" s="418"/>
      <c r="J165" s="418"/>
      <c r="K165" s="418"/>
      <c r="L165" s="418"/>
      <c r="M165" s="418"/>
      <c r="N165" s="418"/>
      <c r="O165" s="418"/>
      <c r="P165" s="513"/>
    </row>
    <row r="166" spans="1:16">
      <c r="B166" s="142"/>
      <c r="C166" s="142"/>
      <c r="D166" s="142"/>
      <c r="E166" s="142"/>
      <c r="F166" s="142"/>
      <c r="G166" s="142"/>
      <c r="H166" s="142"/>
      <c r="I166" s="142"/>
      <c r="J166" s="142"/>
      <c r="K166" s="142"/>
      <c r="L166" s="142"/>
      <c r="M166" s="142"/>
      <c r="N166" s="142"/>
      <c r="O166" s="142"/>
      <c r="P166" s="129"/>
    </row>
    <row r="167" spans="1:16">
      <c r="B167" s="129"/>
      <c r="C167" s="129"/>
      <c r="D167" s="129"/>
      <c r="E167" s="129"/>
      <c r="F167" s="129"/>
      <c r="G167" s="129"/>
      <c r="H167" s="129"/>
      <c r="I167" s="129"/>
      <c r="J167" s="129"/>
      <c r="K167" s="129"/>
      <c r="L167" s="129"/>
      <c r="M167" s="129"/>
      <c r="N167" s="129"/>
      <c r="O167" s="129"/>
      <c r="P167" s="129"/>
    </row>
    <row r="168" spans="1:16">
      <c r="B168" s="129"/>
      <c r="C168" s="129"/>
      <c r="D168" s="129"/>
      <c r="E168" s="129"/>
      <c r="F168" s="129"/>
      <c r="G168" s="129"/>
      <c r="H168" s="129"/>
      <c r="I168" s="129"/>
      <c r="J168" s="129"/>
      <c r="K168" s="129"/>
      <c r="L168" s="129"/>
      <c r="M168" s="129"/>
      <c r="N168" s="129"/>
      <c r="O168" s="129"/>
      <c r="P168" s="129"/>
    </row>
    <row r="169" spans="1:16" ht="12.75" customHeight="1">
      <c r="B169" s="1"/>
      <c r="C169" s="13"/>
      <c r="D169" s="13"/>
      <c r="E169" s="13"/>
      <c r="F169" s="13"/>
      <c r="G169" s="13"/>
      <c r="H169" s="13"/>
      <c r="I169" s="13"/>
      <c r="J169" s="13"/>
      <c r="K169" s="13"/>
      <c r="L169" s="13"/>
      <c r="M169" s="13"/>
      <c r="N169" s="13"/>
      <c r="O169" s="401" t="str">
        <f>O133</f>
        <v>CURRENTLY RUNNING: BASE CASE SCENARIO</v>
      </c>
      <c r="P169" s="17"/>
    </row>
    <row r="170" spans="1:16" ht="22.5">
      <c r="B170" s="1" t="str">
        <f>B2</f>
        <v>Medallion Mouldings</v>
      </c>
      <c r="C170" s="13"/>
      <c r="D170" s="13"/>
      <c r="E170" s="13"/>
      <c r="F170" s="13"/>
      <c r="G170" s="13"/>
      <c r="H170" s="13"/>
      <c r="I170" s="13"/>
      <c r="J170" s="13"/>
      <c r="K170" s="13"/>
      <c r="L170" s="13"/>
      <c r="M170" s="13"/>
      <c r="N170" s="13"/>
      <c r="O170" s="13"/>
      <c r="P170" s="17"/>
    </row>
    <row r="171" spans="1:16" ht="17.5">
      <c r="B171" s="330" t="s">
        <v>217</v>
      </c>
      <c r="C171" s="121"/>
      <c r="D171" s="121"/>
      <c r="E171" s="121"/>
      <c r="F171" s="121"/>
      <c r="G171" s="121"/>
      <c r="H171" s="121"/>
      <c r="I171" s="121"/>
      <c r="J171" s="121"/>
      <c r="K171" s="121"/>
      <c r="L171" s="121"/>
      <c r="M171" s="121"/>
      <c r="N171" s="121"/>
      <c r="O171" s="121"/>
      <c r="P171" s="17"/>
    </row>
    <row r="172" spans="1:16" ht="6" customHeight="1" thickBot="1">
      <c r="B172" s="333"/>
      <c r="C172" s="499"/>
      <c r="D172" s="499"/>
      <c r="E172" s="499"/>
      <c r="F172" s="499"/>
      <c r="G172" s="499"/>
      <c r="H172" s="499"/>
      <c r="I172" s="499"/>
      <c r="J172" s="499"/>
      <c r="K172" s="499"/>
      <c r="L172" s="499"/>
      <c r="M172" s="499"/>
      <c r="N172" s="499"/>
      <c r="O172" s="499"/>
      <c r="P172" s="17"/>
    </row>
    <row r="173" spans="1:16">
      <c r="B173" s="500" t="s">
        <v>13</v>
      </c>
      <c r="F173" s="15"/>
      <c r="O173" s="16"/>
      <c r="P173" s="17"/>
    </row>
    <row r="174" spans="1:16" ht="13.5">
      <c r="F174" s="15"/>
      <c r="H174" s="539"/>
      <c r="I174" s="539"/>
      <c r="J174" s="539"/>
      <c r="K174" s="338" t="s">
        <v>8</v>
      </c>
      <c r="L174" s="169"/>
      <c r="M174" s="169"/>
      <c r="N174" s="169"/>
      <c r="O174" s="169"/>
      <c r="P174" s="17"/>
    </row>
    <row r="175" spans="1:16">
      <c r="B175" s="540"/>
      <c r="F175" s="541"/>
      <c r="G175" s="502"/>
      <c r="H175" s="403"/>
      <c r="I175" s="403"/>
      <c r="J175" s="339">
        <f>J7</f>
        <v>2017</v>
      </c>
      <c r="K175" s="503">
        <f>K$7</f>
        <v>2018</v>
      </c>
      <c r="L175" s="503">
        <f>L$7</f>
        <v>2019</v>
      </c>
      <c r="M175" s="503">
        <f>M$7</f>
        <v>2020</v>
      </c>
      <c r="N175" s="503">
        <f>N$7</f>
        <v>2021</v>
      </c>
      <c r="O175" s="503">
        <f>O$7</f>
        <v>2022</v>
      </c>
      <c r="P175" s="17"/>
    </row>
    <row r="176" spans="1:16">
      <c r="B176" s="540"/>
      <c r="F176" s="129"/>
      <c r="G176" s="502"/>
      <c r="H176" s="541"/>
      <c r="I176" s="541"/>
      <c r="J176" s="503"/>
      <c r="K176" s="503"/>
      <c r="L176" s="503"/>
      <c r="M176" s="503"/>
      <c r="N176" s="503"/>
      <c r="O176" s="503"/>
      <c r="P176" s="17"/>
    </row>
    <row r="177" spans="2:18">
      <c r="B177" s="341" t="s">
        <v>24</v>
      </c>
      <c r="F177" s="129"/>
      <c r="H177" s="129"/>
      <c r="I177" s="129"/>
      <c r="P177" s="17"/>
      <c r="R177" s="360"/>
    </row>
    <row r="178" spans="2:18">
      <c r="C178" s="876" t="s">
        <v>25</v>
      </c>
      <c r="F178" s="350"/>
      <c r="G178" s="510"/>
      <c r="H178" s="510"/>
      <c r="I178" s="510"/>
      <c r="J178" s="542">
        <v>0</v>
      </c>
      <c r="K178" s="505">
        <f ca="1">K164</f>
        <v>0</v>
      </c>
      <c r="L178" s="505">
        <f ca="1">L164</f>
        <v>0</v>
      </c>
      <c r="M178" s="505">
        <f ca="1">M164</f>
        <v>0</v>
      </c>
      <c r="N178" s="505">
        <f ca="1">N164</f>
        <v>1.1444852593462969</v>
      </c>
      <c r="O178" s="505">
        <f ca="1">O164</f>
        <v>0</v>
      </c>
      <c r="P178" s="17"/>
    </row>
    <row r="179" spans="2:18">
      <c r="C179" s="876" t="s">
        <v>26</v>
      </c>
      <c r="F179" s="350"/>
      <c r="G179" s="510"/>
      <c r="H179" s="510"/>
      <c r="I179" s="510"/>
      <c r="J179" s="542">
        <v>28.3</v>
      </c>
      <c r="K179" s="505">
        <f t="shared" ref="K179:O180" si="50">K301</f>
        <v>29.066128767123285</v>
      </c>
      <c r="L179" s="505">
        <f t="shared" si="50"/>
        <v>25.403227712876706</v>
      </c>
      <c r="M179" s="505">
        <f t="shared" si="50"/>
        <v>31.275155507661637</v>
      </c>
      <c r="N179" s="505">
        <f t="shared" si="50"/>
        <v>31.258438274959577</v>
      </c>
      <c r="O179" s="505">
        <f t="shared" si="50"/>
        <v>29.472288745037886</v>
      </c>
      <c r="P179" s="17"/>
    </row>
    <row r="180" spans="2:18">
      <c r="C180" s="876" t="s">
        <v>27</v>
      </c>
      <c r="F180" s="350"/>
      <c r="G180" s="510"/>
      <c r="H180" s="510"/>
      <c r="I180" s="510"/>
      <c r="J180" s="542">
        <v>35.1</v>
      </c>
      <c r="K180" s="505">
        <f t="shared" si="50"/>
        <v>33.601853561643836</v>
      </c>
      <c r="L180" s="505">
        <f t="shared" si="50"/>
        <v>32.598175400219176</v>
      </c>
      <c r="M180" s="505">
        <f t="shared" si="50"/>
        <v>31.362863741643544</v>
      </c>
      <c r="N180" s="505">
        <f t="shared" si="50"/>
        <v>32.839713738240832</v>
      </c>
      <c r="O180" s="505">
        <f t="shared" si="50"/>
        <v>31.44086318192311</v>
      </c>
      <c r="P180" s="17"/>
    </row>
    <row r="181" spans="2:18">
      <c r="C181" s="876" t="s">
        <v>22</v>
      </c>
      <c r="F181" s="350"/>
      <c r="G181" s="510"/>
      <c r="H181" s="510"/>
      <c r="I181" s="510"/>
      <c r="J181" s="413">
        <v>1.5</v>
      </c>
      <c r="K181" s="415">
        <f>J181</f>
        <v>1.5</v>
      </c>
      <c r="L181" s="415">
        <f>K181</f>
        <v>1.5</v>
      </c>
      <c r="M181" s="415">
        <f>L181</f>
        <v>1.5</v>
      </c>
      <c r="N181" s="415">
        <f>M181</f>
        <v>1.5</v>
      </c>
      <c r="O181" s="415">
        <f>N181</f>
        <v>1.5</v>
      </c>
      <c r="P181" s="17"/>
    </row>
    <row r="182" spans="2:18">
      <c r="C182" s="877" t="s">
        <v>28</v>
      </c>
      <c r="F182" s="385"/>
      <c r="G182" s="418"/>
      <c r="H182" s="418"/>
      <c r="I182" s="418"/>
      <c r="J182" s="505">
        <f t="shared" ref="J182:O182" si="51">SUM(J178:J181)</f>
        <v>64.900000000000006</v>
      </c>
      <c r="K182" s="505">
        <f t="shared" ca="1" si="51"/>
        <v>64.167982328767124</v>
      </c>
      <c r="L182" s="505">
        <f t="shared" ca="1" si="51"/>
        <v>59.501403113095883</v>
      </c>
      <c r="M182" s="505">
        <f t="shared" ca="1" si="51"/>
        <v>64.138019249305188</v>
      </c>
      <c r="N182" s="505">
        <f t="shared" ca="1" si="51"/>
        <v>66.742637272546702</v>
      </c>
      <c r="O182" s="505">
        <f t="shared" ca="1" si="51"/>
        <v>62.413151926960992</v>
      </c>
      <c r="P182" s="17"/>
    </row>
    <row r="183" spans="2:18">
      <c r="C183" s="876"/>
      <c r="F183" s="418"/>
      <c r="G183" s="504"/>
      <c r="H183" s="418"/>
      <c r="I183" s="418"/>
      <c r="J183" s="543"/>
      <c r="K183" s="543"/>
      <c r="L183" s="543"/>
      <c r="M183" s="543"/>
      <c r="N183" s="543"/>
      <c r="O183" s="543"/>
      <c r="P183" s="17"/>
    </row>
    <row r="184" spans="2:18">
      <c r="C184" s="876" t="s">
        <v>29</v>
      </c>
      <c r="F184" s="350"/>
      <c r="G184" s="510"/>
      <c r="H184" s="510"/>
      <c r="I184" s="510"/>
      <c r="J184" s="542">
        <v>397.7</v>
      </c>
      <c r="K184" s="505">
        <f>J184-K149-K142</f>
        <v>397.52533333333332</v>
      </c>
      <c r="L184" s="505">
        <f>K184-L149-L142</f>
        <v>397.80066666666664</v>
      </c>
      <c r="M184" s="505">
        <f>L184-M149-M142</f>
        <v>397.84366666666659</v>
      </c>
      <c r="N184" s="505">
        <f>M184-N149-N142</f>
        <v>397.7349416666666</v>
      </c>
      <c r="O184" s="505">
        <f>N184-O149-O142</f>
        <v>397.47069854166659</v>
      </c>
      <c r="P184" s="17"/>
    </row>
    <row r="185" spans="2:18">
      <c r="C185" s="876" t="s">
        <v>22</v>
      </c>
      <c r="F185" s="350"/>
      <c r="G185" s="510"/>
      <c r="H185" s="510"/>
      <c r="I185" s="510"/>
      <c r="J185" s="542">
        <v>0</v>
      </c>
      <c r="K185" s="505">
        <f>J185</f>
        <v>0</v>
      </c>
      <c r="L185" s="505">
        <f>K185</f>
        <v>0</v>
      </c>
      <c r="M185" s="505">
        <f>L185</f>
        <v>0</v>
      </c>
      <c r="N185" s="505">
        <f>M185</f>
        <v>0</v>
      </c>
      <c r="O185" s="505">
        <f>N185</f>
        <v>0</v>
      </c>
      <c r="P185" s="17"/>
    </row>
    <row r="186" spans="2:18" ht="13.5" thickBot="1">
      <c r="C186" s="877" t="s">
        <v>30</v>
      </c>
      <c r="F186" s="385"/>
      <c r="G186" s="421"/>
      <c r="H186" s="544"/>
      <c r="I186" s="544"/>
      <c r="J186" s="422">
        <f t="shared" ref="J186:O186" si="52">SUM(J182:J185)</f>
        <v>462.6</v>
      </c>
      <c r="K186" s="422">
        <f t="shared" ca="1" si="52"/>
        <v>461.69331566210042</v>
      </c>
      <c r="L186" s="422">
        <f t="shared" ca="1" si="52"/>
        <v>457.30206977976252</v>
      </c>
      <c r="M186" s="422">
        <f t="shared" ca="1" si="52"/>
        <v>461.98168591597175</v>
      </c>
      <c r="N186" s="422">
        <f t="shared" ca="1" si="52"/>
        <v>464.47757893921329</v>
      </c>
      <c r="O186" s="422">
        <f t="shared" ca="1" si="52"/>
        <v>459.8838504686276</v>
      </c>
      <c r="P186" s="17"/>
    </row>
    <row r="187" spans="2:18" ht="13.5" thickTop="1">
      <c r="F187" s="418"/>
      <c r="G187" s="504"/>
      <c r="H187" s="418"/>
      <c r="I187" s="418"/>
      <c r="J187" s="504"/>
      <c r="K187" s="504"/>
      <c r="L187" s="504"/>
      <c r="M187" s="504"/>
      <c r="N187" s="504"/>
      <c r="O187" s="504"/>
      <c r="P187" s="17"/>
    </row>
    <row r="188" spans="2:18">
      <c r="F188" s="418"/>
      <c r="G188" s="504"/>
      <c r="H188" s="418"/>
      <c r="I188" s="418"/>
      <c r="J188" s="504"/>
      <c r="K188" s="504"/>
      <c r="L188" s="504"/>
      <c r="M188" s="504"/>
      <c r="N188" s="504"/>
      <c r="O188" s="504"/>
      <c r="P188" s="17"/>
    </row>
    <row r="189" spans="2:18">
      <c r="B189" s="351" t="s">
        <v>31</v>
      </c>
      <c r="F189" s="418"/>
      <c r="G189" s="504"/>
      <c r="H189" s="418"/>
      <c r="I189" s="418"/>
      <c r="J189" s="504"/>
      <c r="K189" s="504"/>
      <c r="L189" s="504"/>
      <c r="M189" s="504"/>
      <c r="N189" s="504"/>
      <c r="O189" s="504"/>
      <c r="P189" s="17"/>
    </row>
    <row r="190" spans="2:18">
      <c r="C190" s="876" t="s">
        <v>282</v>
      </c>
      <c r="F190" s="350"/>
      <c r="G190" s="510"/>
      <c r="H190" s="510"/>
      <c r="I190" s="510"/>
      <c r="J190" s="542">
        <v>0</v>
      </c>
      <c r="K190" s="505">
        <f ca="1">K338</f>
        <v>0.9631610381457687</v>
      </c>
      <c r="L190" s="505">
        <f ca="1">L338</f>
        <v>7.9344486510266936</v>
      </c>
      <c r="M190" s="505">
        <f ca="1">M338</f>
        <v>2.8543874646224889</v>
      </c>
      <c r="N190" s="505">
        <f ca="1">N338</f>
        <v>0</v>
      </c>
      <c r="O190" s="505">
        <f ca="1">O338</f>
        <v>2.9131681655156747</v>
      </c>
      <c r="P190" s="17"/>
    </row>
    <row r="191" spans="2:18">
      <c r="C191" s="876" t="s">
        <v>32</v>
      </c>
      <c r="F191" s="350"/>
      <c r="G191" s="510"/>
      <c r="H191" s="510"/>
      <c r="I191" s="510"/>
      <c r="J191" s="409">
        <v>18.2</v>
      </c>
      <c r="K191" s="411">
        <f>K303</f>
        <v>19.20105917808219</v>
      </c>
      <c r="L191" s="411">
        <f>L303</f>
        <v>20.06041563090411</v>
      </c>
      <c r="M191" s="411">
        <f>M303</f>
        <v>20.908575827762363</v>
      </c>
      <c r="N191" s="411">
        <f>N303</f>
        <v>21.893142492160553</v>
      </c>
      <c r="O191" s="411">
        <f>O303</f>
        <v>22.866082314125897</v>
      </c>
      <c r="P191" s="17"/>
    </row>
    <row r="192" spans="2:18">
      <c r="C192" s="876" t="s">
        <v>22</v>
      </c>
      <c r="F192" s="350"/>
      <c r="G192" s="510"/>
      <c r="H192" s="510"/>
      <c r="I192" s="510"/>
      <c r="J192" s="413">
        <v>4.8</v>
      </c>
      <c r="K192" s="415">
        <f>J192</f>
        <v>4.8</v>
      </c>
      <c r="L192" s="415">
        <f>K192</f>
        <v>4.8</v>
      </c>
      <c r="M192" s="415">
        <f>L192</f>
        <v>4.8</v>
      </c>
      <c r="N192" s="415">
        <f>M192</f>
        <v>4.8</v>
      </c>
      <c r="O192" s="415">
        <f>N192</f>
        <v>4.8</v>
      </c>
      <c r="P192" s="17"/>
    </row>
    <row r="193" spans="2:16">
      <c r="C193" s="877" t="s">
        <v>33</v>
      </c>
      <c r="F193" s="385"/>
      <c r="G193" s="418"/>
      <c r="H193" s="418"/>
      <c r="I193" s="418"/>
      <c r="J193" s="411">
        <f t="shared" ref="J193:O193" si="53">SUM(J190:J192)</f>
        <v>23</v>
      </c>
      <c r="K193" s="411">
        <f t="shared" ca="1" si="53"/>
        <v>24.964220216227961</v>
      </c>
      <c r="L193" s="411">
        <f t="shared" ca="1" si="53"/>
        <v>32.794864281930799</v>
      </c>
      <c r="M193" s="411">
        <f t="shared" ca="1" si="53"/>
        <v>28.562963292384854</v>
      </c>
      <c r="N193" s="411">
        <f t="shared" ca="1" si="53"/>
        <v>26.693142492160554</v>
      </c>
      <c r="O193" s="411">
        <f t="shared" ca="1" si="53"/>
        <v>30.579250479641573</v>
      </c>
      <c r="P193" s="17"/>
    </row>
    <row r="194" spans="2:16">
      <c r="F194" s="418"/>
      <c r="G194" s="504"/>
      <c r="H194" s="418"/>
      <c r="I194" s="418"/>
      <c r="J194" s="504"/>
      <c r="K194" s="504"/>
      <c r="L194" s="504"/>
      <c r="M194" s="505"/>
      <c r="N194" s="504"/>
      <c r="O194" s="504"/>
      <c r="P194" s="17"/>
    </row>
    <row r="195" spans="2:16">
      <c r="C195" s="876" t="s">
        <v>315</v>
      </c>
      <c r="F195" s="350"/>
      <c r="G195" s="504"/>
      <c r="H195" s="510"/>
      <c r="I195" s="510"/>
      <c r="J195" s="542">
        <v>8</v>
      </c>
      <c r="K195" s="505">
        <f ca="1">J195+K267</f>
        <v>16.902509662132612</v>
      </c>
      <c r="L195" s="505">
        <f ca="1">K195+L267</f>
        <v>22.039433333333331</v>
      </c>
      <c r="M195" s="505">
        <f ca="1">L195+M267</f>
        <v>23.67554333333333</v>
      </c>
      <c r="N195" s="505">
        <f ca="1">M195+N267</f>
        <v>24.797785083333334</v>
      </c>
      <c r="O195" s="505">
        <f ca="1">N195+O267</f>
        <v>25.493570077083334</v>
      </c>
      <c r="P195" s="17"/>
    </row>
    <row r="196" spans="2:16">
      <c r="C196" s="876" t="s">
        <v>275</v>
      </c>
      <c r="F196" s="350"/>
      <c r="G196" s="545"/>
      <c r="H196" s="510"/>
      <c r="I196" s="510"/>
      <c r="J196" s="413">
        <v>200</v>
      </c>
      <c r="K196" s="415">
        <f>K347</f>
        <v>175</v>
      </c>
      <c r="L196" s="415">
        <f>L347</f>
        <v>150</v>
      </c>
      <c r="M196" s="415">
        <f>M347</f>
        <v>125</v>
      </c>
      <c r="N196" s="415">
        <f>N347</f>
        <v>100</v>
      </c>
      <c r="O196" s="415">
        <f>O347</f>
        <v>75</v>
      </c>
      <c r="P196" s="17"/>
    </row>
    <row r="197" spans="2:16">
      <c r="C197" s="877" t="s">
        <v>34</v>
      </c>
      <c r="F197" s="385"/>
      <c r="G197" s="510"/>
      <c r="H197" s="418"/>
      <c r="I197" s="418"/>
      <c r="J197" s="505">
        <f t="shared" ref="J197:O197" si="54">SUM(J195:J196)</f>
        <v>208</v>
      </c>
      <c r="K197" s="505">
        <f t="shared" ca="1" si="54"/>
        <v>191.90250966213262</v>
      </c>
      <c r="L197" s="505">
        <f t="shared" ca="1" si="54"/>
        <v>172.03943333333333</v>
      </c>
      <c r="M197" s="505">
        <f t="shared" ca="1" si="54"/>
        <v>148.67554333333334</v>
      </c>
      <c r="N197" s="505">
        <f t="shared" ca="1" si="54"/>
        <v>124.79778508333334</v>
      </c>
      <c r="O197" s="505">
        <f t="shared" ca="1" si="54"/>
        <v>100.49357007708333</v>
      </c>
      <c r="P197" s="17"/>
    </row>
    <row r="198" spans="2:16">
      <c r="C198" s="351"/>
      <c r="F198" s="418"/>
      <c r="G198" s="504"/>
      <c r="H198" s="418"/>
      <c r="I198" s="418"/>
      <c r="J198" s="504"/>
      <c r="K198" s="504"/>
      <c r="L198" s="504"/>
      <c r="M198" s="504"/>
      <c r="N198" s="504"/>
      <c r="O198" s="504"/>
      <c r="P198" s="17"/>
    </row>
    <row r="199" spans="2:16">
      <c r="C199" s="877" t="s">
        <v>35</v>
      </c>
      <c r="F199" s="385"/>
      <c r="G199" s="421"/>
      <c r="H199" s="421"/>
      <c r="I199" s="421"/>
      <c r="J199" s="417">
        <f t="shared" ref="J199:O199" si="55">J197+J193</f>
        <v>231</v>
      </c>
      <c r="K199" s="417">
        <f t="shared" ca="1" si="55"/>
        <v>216.86672987836059</v>
      </c>
      <c r="L199" s="417">
        <f t="shared" ca="1" si="55"/>
        <v>204.83429761526412</v>
      </c>
      <c r="M199" s="417">
        <f t="shared" ca="1" si="55"/>
        <v>177.2385066257182</v>
      </c>
      <c r="N199" s="417">
        <f t="shared" ca="1" si="55"/>
        <v>151.49092757549388</v>
      </c>
      <c r="O199" s="417">
        <f t="shared" ca="1" si="55"/>
        <v>131.07282055672491</v>
      </c>
      <c r="P199" s="17"/>
    </row>
    <row r="200" spans="2:16">
      <c r="F200" s="418"/>
      <c r="G200" s="418"/>
      <c r="H200" s="418"/>
      <c r="I200" s="418"/>
      <c r="J200" s="504"/>
      <c r="K200" s="504"/>
      <c r="L200" s="504"/>
      <c r="M200" s="504"/>
      <c r="N200" s="504"/>
      <c r="O200" s="504"/>
      <c r="P200" s="17"/>
    </row>
    <row r="201" spans="2:16">
      <c r="C201" s="876" t="s">
        <v>233</v>
      </c>
      <c r="F201" s="350"/>
      <c r="G201" s="418"/>
      <c r="H201" s="418"/>
      <c r="I201" s="418"/>
      <c r="J201" s="542">
        <v>120</v>
      </c>
      <c r="K201" s="505">
        <f>K367</f>
        <v>120</v>
      </c>
      <c r="L201" s="505">
        <f>L367</f>
        <v>120</v>
      </c>
      <c r="M201" s="505">
        <f>M367</f>
        <v>120</v>
      </c>
      <c r="N201" s="505">
        <f>N367</f>
        <v>120</v>
      </c>
      <c r="O201" s="505">
        <f>O367</f>
        <v>120</v>
      </c>
      <c r="P201" s="17"/>
    </row>
    <row r="202" spans="2:16">
      <c r="C202" s="876" t="s">
        <v>236</v>
      </c>
      <c r="F202" s="350"/>
      <c r="G202" s="418"/>
      <c r="H202" s="418"/>
      <c r="I202" s="418"/>
      <c r="J202" s="413">
        <v>111.6</v>
      </c>
      <c r="K202" s="415">
        <f ca="1">K378</f>
        <v>124.82658578373989</v>
      </c>
      <c r="L202" s="415">
        <f ca="1">L378</f>
        <v>132.4677721644984</v>
      </c>
      <c r="M202" s="415">
        <f ca="1">M378</f>
        <v>164.74317929025364</v>
      </c>
      <c r="N202" s="415">
        <f ca="1">N378</f>
        <v>192.98665136371946</v>
      </c>
      <c r="O202" s="415">
        <f ca="1">O378</f>
        <v>208.81102991190272</v>
      </c>
      <c r="P202" s="17"/>
    </row>
    <row r="203" spans="2:16">
      <c r="C203" s="877" t="s">
        <v>36</v>
      </c>
      <c r="F203" s="385"/>
      <c r="G203" s="510"/>
      <c r="H203" s="510"/>
      <c r="I203" s="510"/>
      <c r="J203" s="512">
        <f t="shared" ref="J203:O203" si="56">SUM(J201:J202)</f>
        <v>231.6</v>
      </c>
      <c r="K203" s="512">
        <f t="shared" ca="1" si="56"/>
        <v>244.82658578373989</v>
      </c>
      <c r="L203" s="512">
        <f t="shared" ca="1" si="56"/>
        <v>252.4677721644984</v>
      </c>
      <c r="M203" s="512">
        <f t="shared" ca="1" si="56"/>
        <v>284.74317929025364</v>
      </c>
      <c r="N203" s="512">
        <f t="shared" ca="1" si="56"/>
        <v>312.98665136371949</v>
      </c>
      <c r="O203" s="512">
        <f t="shared" ca="1" si="56"/>
        <v>328.81102991190272</v>
      </c>
      <c r="P203" s="17"/>
    </row>
    <row r="204" spans="2:16">
      <c r="F204" s="418"/>
      <c r="G204" s="418"/>
      <c r="H204" s="418"/>
      <c r="I204" s="418"/>
      <c r="J204" s="504"/>
      <c r="K204" s="504"/>
      <c r="L204" s="504"/>
      <c r="M204" s="504"/>
      <c r="N204" s="504"/>
      <c r="O204" s="504"/>
      <c r="P204" s="17"/>
    </row>
    <row r="205" spans="2:16" ht="13.5" thickBot="1">
      <c r="B205" s="351" t="s">
        <v>37</v>
      </c>
      <c r="F205" s="385"/>
      <c r="G205" s="421"/>
      <c r="H205" s="544"/>
      <c r="I205" s="544"/>
      <c r="J205" s="422">
        <f t="shared" ref="J205:O205" si="57">J203+J199</f>
        <v>462.6</v>
      </c>
      <c r="K205" s="422">
        <f t="shared" ca="1" si="57"/>
        <v>461.69331566210047</v>
      </c>
      <c r="L205" s="422">
        <f t="shared" ca="1" si="57"/>
        <v>457.30206977976252</v>
      </c>
      <c r="M205" s="422">
        <f t="shared" ca="1" si="57"/>
        <v>461.98168591597187</v>
      </c>
      <c r="N205" s="422">
        <f t="shared" ca="1" si="57"/>
        <v>464.47757893921334</v>
      </c>
      <c r="O205" s="422">
        <f t="shared" ca="1" si="57"/>
        <v>459.88385046862766</v>
      </c>
      <c r="P205" s="17"/>
    </row>
    <row r="206" spans="2:16" ht="13.5" thickTop="1">
      <c r="F206" s="546"/>
      <c r="G206" s="546"/>
      <c r="H206" s="546"/>
      <c r="I206" s="546"/>
      <c r="J206" s="360"/>
      <c r="K206" s="360"/>
      <c r="L206" s="360"/>
      <c r="M206" s="360"/>
      <c r="N206" s="360"/>
      <c r="O206" s="360"/>
      <c r="P206" s="17"/>
    </row>
    <row r="207" spans="2:16">
      <c r="B207" s="501"/>
      <c r="D207" s="547" t="s">
        <v>38</v>
      </c>
      <c r="F207" s="548"/>
      <c r="G207" s="548"/>
      <c r="H207" s="548"/>
      <c r="I207" s="548"/>
      <c r="J207" s="549">
        <f t="shared" ref="J207:O207" si="58">J186-J205</f>
        <v>0</v>
      </c>
      <c r="K207" s="549">
        <f t="shared" ca="1" si="58"/>
        <v>0</v>
      </c>
      <c r="L207" s="549">
        <f t="shared" ca="1" si="58"/>
        <v>0</v>
      </c>
      <c r="M207" s="549">
        <f t="shared" ca="1" si="58"/>
        <v>0</v>
      </c>
      <c r="N207" s="549">
        <f t="shared" ca="1" si="58"/>
        <v>0</v>
      </c>
      <c r="O207" s="549">
        <f t="shared" ca="1" si="58"/>
        <v>0</v>
      </c>
      <c r="P207" s="17"/>
    </row>
    <row r="208" spans="2:16">
      <c r="B208" s="550"/>
      <c r="C208" s="142"/>
      <c r="D208" s="142"/>
      <c r="E208" s="142"/>
      <c r="F208" s="142"/>
      <c r="G208" s="142"/>
      <c r="H208" s="142"/>
      <c r="I208" s="142"/>
      <c r="J208" s="142"/>
      <c r="K208" s="551"/>
      <c r="L208" s="551"/>
      <c r="M208" s="551"/>
      <c r="N208" s="551"/>
      <c r="O208" s="551"/>
      <c r="P208" s="17"/>
    </row>
    <row r="209" spans="1:252">
      <c r="B209" s="129"/>
      <c r="C209" s="129"/>
      <c r="D209" s="129"/>
      <c r="E209" s="129"/>
      <c r="F209" s="129"/>
      <c r="G209" s="129"/>
      <c r="H209" s="129"/>
      <c r="I209" s="129"/>
      <c r="J209" s="129"/>
      <c r="K209" s="129"/>
      <c r="L209" s="129"/>
      <c r="M209" s="129"/>
      <c r="N209" s="129"/>
      <c r="O209" s="129"/>
      <c r="P209" s="129"/>
    </row>
    <row r="210" spans="1:252">
      <c r="F210" s="15"/>
    </row>
    <row r="211" spans="1:252" ht="12.75" customHeight="1">
      <c r="B211" s="2"/>
      <c r="C211" s="18"/>
      <c r="D211" s="18"/>
      <c r="E211" s="19"/>
      <c r="F211" s="19"/>
      <c r="G211" s="20"/>
      <c r="H211" s="20"/>
      <c r="I211" s="20"/>
      <c r="J211" s="20"/>
      <c r="K211" s="20"/>
      <c r="L211" s="20"/>
      <c r="M211" s="20"/>
      <c r="N211" s="20"/>
      <c r="O211" s="401" t="str">
        <f>P89</f>
        <v>CURRENTLY RUNNING: BASE CASE SCENARIO</v>
      </c>
    </row>
    <row r="212" spans="1:252" ht="22.75" customHeight="1">
      <c r="B212" s="2" t="str">
        <f>$B$2</f>
        <v>Medallion Mouldings</v>
      </c>
      <c r="C212" s="18"/>
      <c r="D212" s="18"/>
      <c r="E212" s="19"/>
      <c r="F212" s="19"/>
      <c r="G212" s="20"/>
      <c r="H212" s="20"/>
      <c r="I212" s="20"/>
      <c r="J212" s="20"/>
      <c r="K212" s="20"/>
      <c r="L212" s="20"/>
      <c r="M212" s="20"/>
      <c r="N212" s="20"/>
      <c r="O212" s="20"/>
    </row>
    <row r="213" spans="1:252" ht="17.5">
      <c r="B213" s="552" t="s">
        <v>286</v>
      </c>
      <c r="C213" s="552"/>
      <c r="D213" s="552"/>
      <c r="E213" s="553"/>
      <c r="F213" s="553"/>
      <c r="G213" s="552"/>
      <c r="H213" s="552"/>
      <c r="I213" s="552"/>
      <c r="J213" s="552"/>
      <c r="K213" s="552"/>
      <c r="L213" s="552"/>
      <c r="M213" s="552"/>
      <c r="N213" s="552"/>
      <c r="O213" s="552"/>
    </row>
    <row r="214" spans="1:252" ht="6" customHeight="1" thickBot="1">
      <c r="B214" s="123"/>
      <c r="C214" s="123"/>
      <c r="D214" s="123"/>
      <c r="E214" s="554"/>
      <c r="F214" s="554"/>
      <c r="G214" s="123"/>
      <c r="H214" s="123"/>
      <c r="I214" s="123"/>
      <c r="J214" s="123"/>
      <c r="K214" s="123"/>
      <c r="L214" s="123"/>
      <c r="M214" s="123"/>
      <c r="N214" s="123"/>
      <c r="O214" s="123"/>
    </row>
    <row r="215" spans="1:252">
      <c r="B215" s="500" t="s">
        <v>13</v>
      </c>
      <c r="C215" s="501"/>
      <c r="E215" s="336"/>
      <c r="G215" s="501"/>
      <c r="O215" s="129"/>
    </row>
    <row r="216" spans="1:252" ht="13.5">
      <c r="C216" s="129"/>
      <c r="D216" s="129"/>
      <c r="E216" s="399"/>
      <c r="F216" s="399"/>
      <c r="G216" s="129"/>
      <c r="K216" s="338" t="s">
        <v>8</v>
      </c>
      <c r="L216" s="555"/>
      <c r="M216" s="555"/>
      <c r="N216" s="555"/>
      <c r="O216" s="555"/>
      <c r="P216" s="204"/>
    </row>
    <row r="217" spans="1:252">
      <c r="C217" s="438"/>
      <c r="D217" s="438"/>
      <c r="E217" s="556"/>
      <c r="F217" s="557"/>
      <c r="G217" s="404"/>
      <c r="H217" s="403">
        <f>H7</f>
        <v>2015</v>
      </c>
      <c r="I217" s="403">
        <f>I7</f>
        <v>2016</v>
      </c>
      <c r="J217" s="339">
        <f>J7</f>
        <v>2017</v>
      </c>
      <c r="K217" s="558">
        <f>K$7</f>
        <v>2018</v>
      </c>
      <c r="L217" s="558">
        <f>L$7</f>
        <v>2019</v>
      </c>
      <c r="M217" s="558">
        <f>M$7</f>
        <v>2020</v>
      </c>
      <c r="N217" s="558">
        <f>N$7</f>
        <v>2021</v>
      </c>
      <c r="O217" s="558">
        <f>O$7</f>
        <v>2022</v>
      </c>
    </row>
    <row r="218" spans="1:252">
      <c r="D218" s="129"/>
      <c r="E218" s="129"/>
      <c r="F218" s="399"/>
    </row>
    <row r="219" spans="1:252" s="563" customFormat="1" ht="13.15" customHeight="1">
      <c r="A219" s="559"/>
      <c r="B219" s="560" t="s">
        <v>305</v>
      </c>
      <c r="C219" s="192"/>
      <c r="D219" s="192"/>
      <c r="E219" s="192"/>
      <c r="F219" s="561">
        <f>Assumptions!N39</f>
        <v>25</v>
      </c>
      <c r="G219" s="562"/>
      <c r="K219" s="564"/>
      <c r="L219" s="565"/>
      <c r="M219" s="565"/>
      <c r="N219" s="565"/>
      <c r="O219" s="15"/>
      <c r="P219" s="15"/>
      <c r="Q219" s="566"/>
      <c r="R219" s="566"/>
      <c r="S219" s="566"/>
      <c r="T219" s="566"/>
      <c r="U219" s="566"/>
      <c r="V219" s="566"/>
      <c r="W219" s="566"/>
      <c r="X219" s="566"/>
      <c r="Y219" s="566"/>
      <c r="Z219" s="566"/>
      <c r="AA219" s="566"/>
      <c r="AB219" s="566"/>
      <c r="AC219" s="566"/>
      <c r="AD219" s="566"/>
      <c r="AE219" s="566"/>
      <c r="AF219" s="566"/>
      <c r="AG219" s="566"/>
      <c r="AH219" s="566"/>
      <c r="AI219" s="566"/>
      <c r="AJ219" s="566"/>
      <c r="AK219" s="566"/>
      <c r="AL219" s="566"/>
      <c r="AM219" s="566"/>
      <c r="AN219" s="566"/>
      <c r="AO219" s="566"/>
      <c r="AP219" s="566"/>
      <c r="AQ219" s="566"/>
      <c r="AR219" s="566"/>
      <c r="AS219" s="566"/>
      <c r="AT219" s="566"/>
      <c r="AU219" s="566"/>
      <c r="AV219" s="566"/>
      <c r="AW219" s="566"/>
      <c r="AX219" s="566"/>
      <c r="AY219" s="566"/>
      <c r="AZ219" s="566"/>
      <c r="BA219" s="566"/>
      <c r="BB219" s="566"/>
      <c r="BC219" s="566"/>
      <c r="BD219" s="566"/>
      <c r="BE219" s="566"/>
      <c r="BF219" s="566"/>
      <c r="BG219" s="566"/>
      <c r="BH219" s="566"/>
      <c r="BI219" s="566"/>
      <c r="BJ219" s="566"/>
      <c r="BK219" s="566"/>
      <c r="BL219" s="566"/>
      <c r="BM219" s="566"/>
      <c r="BN219" s="566"/>
      <c r="BO219" s="566"/>
      <c r="BP219" s="566"/>
      <c r="BQ219" s="566"/>
      <c r="BR219" s="566"/>
      <c r="BS219" s="566"/>
      <c r="BT219" s="566"/>
      <c r="BU219" s="566"/>
      <c r="BV219" s="566"/>
      <c r="BW219" s="566"/>
      <c r="BX219" s="566"/>
      <c r="BY219" s="566"/>
      <c r="BZ219" s="566"/>
      <c r="CA219" s="566"/>
      <c r="CB219" s="566"/>
      <c r="CC219" s="566"/>
      <c r="CD219" s="566"/>
      <c r="CE219" s="566"/>
      <c r="CF219" s="566"/>
      <c r="CG219" s="566"/>
      <c r="CH219" s="566"/>
      <c r="CI219" s="566"/>
      <c r="CJ219" s="566"/>
      <c r="CK219" s="566"/>
      <c r="CL219" s="566"/>
      <c r="CM219" s="566"/>
      <c r="CN219" s="566"/>
      <c r="CO219" s="566"/>
      <c r="CP219" s="566"/>
      <c r="CQ219" s="566"/>
      <c r="CR219" s="566"/>
      <c r="CS219" s="566"/>
      <c r="CT219" s="566"/>
      <c r="CU219" s="566"/>
      <c r="CV219" s="566"/>
      <c r="CW219" s="566"/>
      <c r="CX219" s="566"/>
      <c r="CY219" s="566"/>
      <c r="CZ219" s="566"/>
      <c r="DA219" s="566"/>
      <c r="DB219" s="566"/>
      <c r="DC219" s="566"/>
      <c r="DD219" s="566"/>
      <c r="DE219" s="566"/>
      <c r="DF219" s="566"/>
      <c r="DG219" s="566"/>
      <c r="DH219" s="566"/>
      <c r="DI219" s="566"/>
      <c r="DJ219" s="566"/>
      <c r="DK219" s="566"/>
      <c r="DL219" s="566"/>
      <c r="DM219" s="566"/>
      <c r="DN219" s="566"/>
      <c r="DO219" s="566"/>
      <c r="DP219" s="566"/>
      <c r="DQ219" s="566"/>
      <c r="DR219" s="566"/>
      <c r="DS219" s="566"/>
      <c r="DT219" s="566"/>
      <c r="DU219" s="566"/>
      <c r="DV219" s="566"/>
      <c r="DW219" s="566"/>
      <c r="DX219" s="566"/>
      <c r="DY219" s="566"/>
      <c r="DZ219" s="566"/>
      <c r="EA219" s="566"/>
      <c r="EB219" s="566"/>
      <c r="EC219" s="566"/>
      <c r="ED219" s="566"/>
      <c r="EE219" s="566"/>
      <c r="EF219" s="566"/>
      <c r="EG219" s="566"/>
      <c r="EH219" s="566"/>
      <c r="EI219" s="566"/>
      <c r="EJ219" s="566"/>
      <c r="EK219" s="566"/>
      <c r="EL219" s="566"/>
      <c r="EM219" s="566"/>
      <c r="EN219" s="566"/>
      <c r="EO219" s="566"/>
      <c r="EP219" s="566"/>
      <c r="EQ219" s="566"/>
      <c r="ER219" s="566"/>
      <c r="ES219" s="566"/>
      <c r="ET219" s="566"/>
      <c r="EU219" s="566"/>
      <c r="EV219" s="566"/>
      <c r="EW219" s="566"/>
      <c r="EX219" s="566"/>
      <c r="EY219" s="566"/>
      <c r="EZ219" s="566"/>
      <c r="FA219" s="566"/>
      <c r="FB219" s="566"/>
      <c r="FC219" s="566"/>
      <c r="FD219" s="566"/>
      <c r="FE219" s="566"/>
      <c r="FF219" s="566"/>
      <c r="FG219" s="566"/>
      <c r="FH219" s="566"/>
      <c r="FI219" s="566"/>
      <c r="FJ219" s="566"/>
      <c r="FK219" s="566"/>
      <c r="FL219" s="566"/>
      <c r="FM219" s="566"/>
      <c r="FN219" s="566"/>
      <c r="FO219" s="566"/>
      <c r="FP219" s="566"/>
      <c r="FQ219" s="566"/>
      <c r="FR219" s="566"/>
      <c r="FS219" s="566"/>
      <c r="FT219" s="566"/>
      <c r="FU219" s="566"/>
      <c r="FV219" s="566"/>
      <c r="FW219" s="566"/>
      <c r="FX219" s="566"/>
      <c r="FY219" s="566"/>
      <c r="FZ219" s="566"/>
      <c r="GA219" s="566"/>
      <c r="GB219" s="566"/>
      <c r="GC219" s="566"/>
      <c r="GD219" s="566"/>
      <c r="GE219" s="566"/>
      <c r="GF219" s="566"/>
      <c r="GG219" s="566"/>
      <c r="GH219" s="566"/>
      <c r="GI219" s="566"/>
      <c r="GJ219" s="566"/>
      <c r="GK219" s="566"/>
      <c r="GL219" s="566"/>
      <c r="GM219" s="566"/>
      <c r="GN219" s="566"/>
      <c r="GO219" s="566"/>
      <c r="GP219" s="566"/>
      <c r="GQ219" s="566"/>
      <c r="GR219" s="566"/>
      <c r="GS219" s="566"/>
      <c r="GT219" s="566"/>
      <c r="GU219" s="566"/>
      <c r="GV219" s="566"/>
      <c r="GW219" s="566"/>
      <c r="GX219" s="566"/>
      <c r="GY219" s="566"/>
      <c r="GZ219" s="566"/>
      <c r="HA219" s="566"/>
      <c r="HB219" s="566"/>
      <c r="HC219" s="566"/>
      <c r="HD219" s="566"/>
      <c r="HE219" s="566"/>
      <c r="HF219" s="566"/>
      <c r="HG219" s="566"/>
      <c r="HH219" s="566"/>
      <c r="HI219" s="566"/>
      <c r="HJ219" s="566"/>
      <c r="HK219" s="566"/>
      <c r="HL219" s="566"/>
      <c r="HM219" s="566"/>
      <c r="HN219" s="566"/>
      <c r="HO219" s="566"/>
      <c r="HP219" s="566"/>
      <c r="HQ219" s="566"/>
      <c r="HR219" s="566"/>
      <c r="HS219" s="566"/>
      <c r="HT219" s="566"/>
      <c r="HU219" s="566"/>
      <c r="HV219" s="566"/>
      <c r="HW219" s="566"/>
      <c r="HX219" s="566"/>
      <c r="HY219" s="566"/>
      <c r="HZ219" s="566"/>
      <c r="IA219" s="566"/>
      <c r="IB219" s="566"/>
      <c r="IC219" s="566"/>
      <c r="ID219" s="566"/>
      <c r="IE219" s="566"/>
      <c r="IF219" s="566"/>
      <c r="IG219" s="566"/>
      <c r="IH219" s="566"/>
      <c r="II219" s="566"/>
      <c r="IJ219" s="566"/>
      <c r="IK219" s="566"/>
      <c r="IL219" s="566"/>
      <c r="IM219" s="566"/>
      <c r="IN219" s="566"/>
      <c r="IO219" s="566"/>
      <c r="IP219" s="566"/>
      <c r="IQ219" s="566"/>
      <c r="IR219" s="566"/>
    </row>
    <row r="220" spans="1:252" s="563" customFormat="1" ht="13.15" customHeight="1">
      <c r="A220" s="559"/>
      <c r="B220" s="567" t="s">
        <v>306</v>
      </c>
      <c r="C220" s="568"/>
      <c r="D220" s="569"/>
      <c r="E220" s="570"/>
      <c r="F220" s="571">
        <f>Assumptions!N40</f>
        <v>30</v>
      </c>
      <c r="G220" s="562"/>
      <c r="K220" s="564"/>
      <c r="L220" s="565"/>
      <c r="M220" s="565"/>
      <c r="N220" s="565"/>
      <c r="O220" s="15"/>
      <c r="P220" s="15"/>
      <c r="Q220" s="566"/>
      <c r="R220" s="566"/>
      <c r="S220" s="566"/>
      <c r="T220" s="566"/>
      <c r="U220" s="566"/>
      <c r="V220" s="566"/>
      <c r="W220" s="566"/>
      <c r="X220" s="566"/>
      <c r="Y220" s="566"/>
      <c r="Z220" s="566"/>
      <c r="AA220" s="566"/>
      <c r="AB220" s="566"/>
      <c r="AC220" s="566"/>
      <c r="AD220" s="566"/>
      <c r="AE220" s="566"/>
      <c r="AF220" s="566"/>
      <c r="AG220" s="566"/>
      <c r="AH220" s="566"/>
      <c r="AI220" s="566"/>
      <c r="AJ220" s="566"/>
      <c r="AK220" s="566"/>
      <c r="AL220" s="566"/>
      <c r="AM220" s="566"/>
      <c r="AN220" s="566"/>
      <c r="AO220" s="566"/>
      <c r="AP220" s="566"/>
      <c r="AQ220" s="566"/>
      <c r="AR220" s="566"/>
      <c r="AS220" s="566"/>
      <c r="AT220" s="566"/>
      <c r="AU220" s="566"/>
      <c r="AV220" s="566"/>
      <c r="AW220" s="566"/>
      <c r="AX220" s="566"/>
      <c r="AY220" s="566"/>
      <c r="AZ220" s="566"/>
      <c r="BA220" s="566"/>
      <c r="BB220" s="566"/>
      <c r="BC220" s="566"/>
      <c r="BD220" s="566"/>
      <c r="BE220" s="566"/>
      <c r="BF220" s="566"/>
      <c r="BG220" s="566"/>
      <c r="BH220" s="566"/>
      <c r="BI220" s="566"/>
      <c r="BJ220" s="566"/>
      <c r="BK220" s="566"/>
      <c r="BL220" s="566"/>
      <c r="BM220" s="566"/>
      <c r="BN220" s="566"/>
      <c r="BO220" s="566"/>
      <c r="BP220" s="566"/>
      <c r="BQ220" s="566"/>
      <c r="BR220" s="566"/>
      <c r="BS220" s="566"/>
      <c r="BT220" s="566"/>
      <c r="BU220" s="566"/>
      <c r="BV220" s="566"/>
      <c r="BW220" s="566"/>
      <c r="BX220" s="566"/>
      <c r="BY220" s="566"/>
      <c r="BZ220" s="566"/>
      <c r="CA220" s="566"/>
      <c r="CB220" s="566"/>
      <c r="CC220" s="566"/>
      <c r="CD220" s="566"/>
      <c r="CE220" s="566"/>
      <c r="CF220" s="566"/>
      <c r="CG220" s="566"/>
      <c r="CH220" s="566"/>
      <c r="CI220" s="566"/>
      <c r="CJ220" s="566"/>
      <c r="CK220" s="566"/>
      <c r="CL220" s="566"/>
      <c r="CM220" s="566"/>
      <c r="CN220" s="566"/>
      <c r="CO220" s="566"/>
      <c r="CP220" s="566"/>
      <c r="CQ220" s="566"/>
      <c r="CR220" s="566"/>
      <c r="CS220" s="566"/>
      <c r="CT220" s="566"/>
      <c r="CU220" s="566"/>
      <c r="CV220" s="566"/>
      <c r="CW220" s="566"/>
      <c r="CX220" s="566"/>
      <c r="CY220" s="566"/>
      <c r="CZ220" s="566"/>
      <c r="DA220" s="566"/>
      <c r="DB220" s="566"/>
      <c r="DC220" s="566"/>
      <c r="DD220" s="566"/>
      <c r="DE220" s="566"/>
      <c r="DF220" s="566"/>
      <c r="DG220" s="566"/>
      <c r="DH220" s="566"/>
      <c r="DI220" s="566"/>
      <c r="DJ220" s="566"/>
      <c r="DK220" s="566"/>
      <c r="DL220" s="566"/>
      <c r="DM220" s="566"/>
      <c r="DN220" s="566"/>
      <c r="DO220" s="566"/>
      <c r="DP220" s="566"/>
      <c r="DQ220" s="566"/>
      <c r="DR220" s="566"/>
      <c r="DS220" s="566"/>
      <c r="DT220" s="566"/>
      <c r="DU220" s="566"/>
      <c r="DV220" s="566"/>
      <c r="DW220" s="566"/>
      <c r="DX220" s="566"/>
      <c r="DY220" s="566"/>
      <c r="DZ220" s="566"/>
      <c r="EA220" s="566"/>
      <c r="EB220" s="566"/>
      <c r="EC220" s="566"/>
      <c r="ED220" s="566"/>
      <c r="EE220" s="566"/>
      <c r="EF220" s="566"/>
      <c r="EG220" s="566"/>
      <c r="EH220" s="566"/>
      <c r="EI220" s="566"/>
      <c r="EJ220" s="566"/>
      <c r="EK220" s="566"/>
      <c r="EL220" s="566"/>
      <c r="EM220" s="566"/>
      <c r="EN220" s="566"/>
      <c r="EO220" s="566"/>
      <c r="EP220" s="566"/>
      <c r="EQ220" s="566"/>
      <c r="ER220" s="566"/>
      <c r="ES220" s="566"/>
      <c r="ET220" s="566"/>
      <c r="EU220" s="566"/>
      <c r="EV220" s="566"/>
      <c r="EW220" s="566"/>
      <c r="EX220" s="566"/>
      <c r="EY220" s="566"/>
      <c r="EZ220" s="566"/>
      <c r="FA220" s="566"/>
      <c r="FB220" s="566"/>
      <c r="FC220" s="566"/>
      <c r="FD220" s="566"/>
      <c r="FE220" s="566"/>
      <c r="FF220" s="566"/>
      <c r="FG220" s="566"/>
      <c r="FH220" s="566"/>
      <c r="FI220" s="566"/>
      <c r="FJ220" s="566"/>
      <c r="FK220" s="566"/>
      <c r="FL220" s="566"/>
      <c r="FM220" s="566"/>
      <c r="FN220" s="566"/>
      <c r="FO220" s="566"/>
      <c r="FP220" s="566"/>
      <c r="FQ220" s="566"/>
      <c r="FR220" s="566"/>
      <c r="FS220" s="566"/>
      <c r="FT220" s="566"/>
      <c r="FU220" s="566"/>
      <c r="FV220" s="566"/>
      <c r="FW220" s="566"/>
      <c r="FX220" s="566"/>
      <c r="FY220" s="566"/>
      <c r="FZ220" s="566"/>
      <c r="GA220" s="566"/>
      <c r="GB220" s="566"/>
      <c r="GC220" s="566"/>
      <c r="GD220" s="566"/>
      <c r="GE220" s="566"/>
      <c r="GF220" s="566"/>
      <c r="GG220" s="566"/>
      <c r="GH220" s="566"/>
      <c r="GI220" s="566"/>
      <c r="GJ220" s="566"/>
      <c r="GK220" s="566"/>
      <c r="GL220" s="566"/>
      <c r="GM220" s="566"/>
      <c r="GN220" s="566"/>
      <c r="GO220" s="566"/>
      <c r="GP220" s="566"/>
      <c r="GQ220" s="566"/>
      <c r="GR220" s="566"/>
      <c r="GS220" s="566"/>
      <c r="GT220" s="566"/>
      <c r="GU220" s="566"/>
      <c r="GV220" s="566"/>
      <c r="GW220" s="566"/>
      <c r="GX220" s="566"/>
      <c r="GY220" s="566"/>
      <c r="GZ220" s="566"/>
      <c r="HA220" s="566"/>
      <c r="HB220" s="566"/>
      <c r="HC220" s="566"/>
      <c r="HD220" s="566"/>
      <c r="HE220" s="566"/>
      <c r="HF220" s="566"/>
      <c r="HG220" s="566"/>
      <c r="HH220" s="566"/>
      <c r="HI220" s="566"/>
      <c r="HJ220" s="566"/>
      <c r="HK220" s="566"/>
      <c r="HL220" s="566"/>
      <c r="HM220" s="566"/>
      <c r="HN220" s="566"/>
      <c r="HO220" s="566"/>
      <c r="HP220" s="566"/>
      <c r="HQ220" s="566"/>
      <c r="HR220" s="566"/>
      <c r="HS220" s="566"/>
      <c r="HT220" s="566"/>
      <c r="HU220" s="566"/>
      <c r="HV220" s="566"/>
      <c r="HW220" s="566"/>
      <c r="HX220" s="566"/>
      <c r="HY220" s="566"/>
      <c r="HZ220" s="566"/>
      <c r="IA220" s="566"/>
      <c r="IB220" s="566"/>
      <c r="IC220" s="566"/>
      <c r="ID220" s="566"/>
      <c r="IE220" s="566"/>
      <c r="IF220" s="566"/>
      <c r="IG220" s="566"/>
      <c r="IH220" s="566"/>
      <c r="II220" s="566"/>
      <c r="IJ220" s="566"/>
      <c r="IK220" s="566"/>
      <c r="IL220" s="566"/>
      <c r="IM220" s="566"/>
      <c r="IN220" s="566"/>
      <c r="IO220" s="566"/>
      <c r="IP220" s="566"/>
      <c r="IQ220" s="566"/>
      <c r="IR220" s="566"/>
    </row>
    <row r="221" spans="1:252" ht="12.75" customHeight="1">
      <c r="A221" s="15" t="s">
        <v>296</v>
      </c>
      <c r="F221" s="15"/>
      <c r="K221" s="572"/>
    </row>
    <row r="222" spans="1:252">
      <c r="D222" s="15" t="s">
        <v>60</v>
      </c>
      <c r="F222" s="15"/>
      <c r="H222" s="573">
        <v>15.4</v>
      </c>
      <c r="I222" s="573">
        <v>15.5</v>
      </c>
      <c r="J222" s="573">
        <v>15.8</v>
      </c>
      <c r="K222" s="574">
        <f>J184/F219</f>
        <v>15.907999999999999</v>
      </c>
      <c r="L222" s="574">
        <f>K222</f>
        <v>15.907999999999999</v>
      </c>
      <c r="M222" s="574">
        <f>L222</f>
        <v>15.907999999999999</v>
      </c>
      <c r="N222" s="574">
        <f>M222</f>
        <v>15.907999999999999</v>
      </c>
      <c r="O222" s="574">
        <f>N222</f>
        <v>15.907999999999999</v>
      </c>
    </row>
    <row r="223" spans="1:252">
      <c r="F223" s="15"/>
    </row>
    <row r="224" spans="1:252" ht="13.5">
      <c r="D224" s="575" t="s">
        <v>84</v>
      </c>
      <c r="F224" s="15"/>
    </row>
    <row r="225" spans="2:16">
      <c r="D225" s="576">
        <f>K217</f>
        <v>2018</v>
      </c>
      <c r="E225" s="577">
        <f>-HLOOKUP(D225,$K$139:$O$149,11,FALSE)</f>
        <v>16</v>
      </c>
      <c r="F225" s="578"/>
      <c r="H225" s="579"/>
      <c r="I225" s="579"/>
      <c r="J225" s="579"/>
      <c r="K225" s="580">
        <f>IF(K$217=$D225,$E225/$F$220/2,($E225/$F$220))</f>
        <v>0.26666666666666666</v>
      </c>
      <c r="L225" s="580">
        <f t="shared" ref="L225:O228" si="59">IF(L$217=$D225,$E225/$F$220/2,($E225/$F$220))</f>
        <v>0.53333333333333333</v>
      </c>
      <c r="M225" s="580">
        <f t="shared" si="59"/>
        <v>0.53333333333333333</v>
      </c>
      <c r="N225" s="580">
        <f t="shared" si="59"/>
        <v>0.53333333333333333</v>
      </c>
      <c r="O225" s="580">
        <f t="shared" si="59"/>
        <v>0.53333333333333333</v>
      </c>
    </row>
    <row r="226" spans="2:16">
      <c r="D226" s="576">
        <f>D225+1</f>
        <v>2019</v>
      </c>
      <c r="E226" s="581">
        <f>-HLOOKUP(D226,$K$139:$O$149,11,FALSE)</f>
        <v>17</v>
      </c>
      <c r="F226" s="578"/>
      <c r="H226" s="579"/>
      <c r="I226" s="579"/>
      <c r="J226" s="579"/>
      <c r="K226" s="580"/>
      <c r="L226" s="580">
        <f t="shared" si="59"/>
        <v>0.28333333333333333</v>
      </c>
      <c r="M226" s="580">
        <f t="shared" si="59"/>
        <v>0.56666666666666665</v>
      </c>
      <c r="N226" s="580">
        <f t="shared" si="59"/>
        <v>0.56666666666666665</v>
      </c>
      <c r="O226" s="580">
        <f t="shared" si="59"/>
        <v>0.56666666666666665</v>
      </c>
    </row>
    <row r="227" spans="2:16">
      <c r="D227" s="576">
        <f>D226+1</f>
        <v>2020</v>
      </c>
      <c r="E227" s="581">
        <f>-HLOOKUP(D227,$K$139:$O$149,11,FALSE)</f>
        <v>17.34</v>
      </c>
      <c r="F227" s="578"/>
      <c r="H227" s="447"/>
      <c r="I227" s="447"/>
      <c r="J227" s="447"/>
      <c r="K227" s="580"/>
      <c r="L227" s="580"/>
      <c r="M227" s="580">
        <f t="shared" si="59"/>
        <v>0.28899999999999998</v>
      </c>
      <c r="N227" s="580">
        <f t="shared" si="59"/>
        <v>0.57799999999999996</v>
      </c>
      <c r="O227" s="580">
        <f t="shared" si="59"/>
        <v>0.57799999999999996</v>
      </c>
    </row>
    <row r="228" spans="2:16">
      <c r="D228" s="576">
        <f>D227+1</f>
        <v>2021</v>
      </c>
      <c r="E228" s="581">
        <f>-HLOOKUP(D228,$K$139:$O$149,11,FALSE)</f>
        <v>17.773499999999999</v>
      </c>
      <c r="F228" s="578"/>
      <c r="H228" s="447"/>
      <c r="I228" s="447"/>
      <c r="J228" s="447"/>
      <c r="K228" s="468"/>
      <c r="L228" s="580"/>
      <c r="M228" s="580"/>
      <c r="N228" s="580">
        <f t="shared" si="59"/>
        <v>0.29622499999999996</v>
      </c>
      <c r="O228" s="580">
        <f t="shared" si="59"/>
        <v>0.59244999999999992</v>
      </c>
    </row>
    <row r="229" spans="2:16">
      <c r="D229" s="576">
        <f>D228+1</f>
        <v>2022</v>
      </c>
      <c r="E229" s="582">
        <f>-HLOOKUP(D229,$K$139:$O$149,11,FALSE)</f>
        <v>18.217837499999998</v>
      </c>
      <c r="F229" s="578"/>
      <c r="H229" s="447"/>
      <c r="I229" s="447"/>
      <c r="J229" s="447"/>
      <c r="K229" s="468"/>
      <c r="L229" s="468"/>
      <c r="M229" s="580"/>
      <c r="N229" s="580"/>
      <c r="O229" s="580">
        <f>IF(O$217=$D229,$E229/$F$220/2,($E229/$F$220))</f>
        <v>0.30363062499999999</v>
      </c>
    </row>
    <row r="230" spans="2:16">
      <c r="H230" s="129"/>
      <c r="I230" s="129"/>
      <c r="J230" s="129"/>
    </row>
    <row r="231" spans="2:16" ht="13.5" thickBot="1">
      <c r="D231" s="583" t="s">
        <v>61</v>
      </c>
      <c r="H231" s="584">
        <f t="shared" ref="H231:O231" si="60">SUM(H222:H229)</f>
        <v>15.4</v>
      </c>
      <c r="I231" s="584">
        <f t="shared" si="60"/>
        <v>15.5</v>
      </c>
      <c r="J231" s="584">
        <f t="shared" si="60"/>
        <v>15.8</v>
      </c>
      <c r="K231" s="584">
        <f t="shared" si="60"/>
        <v>16.174666666666667</v>
      </c>
      <c r="L231" s="584">
        <f t="shared" si="60"/>
        <v>16.724666666666668</v>
      </c>
      <c r="M231" s="584">
        <f t="shared" si="60"/>
        <v>17.297000000000001</v>
      </c>
      <c r="N231" s="584">
        <f t="shared" si="60"/>
        <v>17.882224999999998</v>
      </c>
      <c r="O231" s="584">
        <f t="shared" si="60"/>
        <v>18.482080624999998</v>
      </c>
    </row>
    <row r="232" spans="2:16" ht="13.5" thickTop="1">
      <c r="D232" s="583"/>
      <c r="H232" s="585"/>
      <c r="I232" s="585"/>
      <c r="J232" s="585"/>
      <c r="K232" s="585"/>
      <c r="L232" s="221"/>
      <c r="M232" s="221"/>
      <c r="N232" s="221"/>
      <c r="O232" s="221"/>
    </row>
    <row r="233" spans="2:16">
      <c r="B233" s="142"/>
      <c r="C233" s="142"/>
      <c r="D233" s="142"/>
      <c r="E233" s="142"/>
      <c r="F233" s="396"/>
      <c r="G233" s="142"/>
      <c r="H233" s="537"/>
      <c r="I233" s="537"/>
      <c r="J233" s="537"/>
      <c r="K233" s="537"/>
      <c r="L233" s="537"/>
      <c r="M233" s="537"/>
      <c r="N233" s="537"/>
      <c r="O233" s="142"/>
    </row>
    <row r="234" spans="2:16">
      <c r="F234" s="15"/>
    </row>
    <row r="235" spans="2:16" ht="12.75" customHeight="1">
      <c r="B235" s="1"/>
      <c r="C235" s="13"/>
      <c r="D235" s="13"/>
      <c r="E235" s="13"/>
      <c r="F235" s="13"/>
      <c r="G235" s="13"/>
      <c r="H235" s="13"/>
      <c r="I235" s="13"/>
      <c r="J235" s="13"/>
      <c r="K235" s="13"/>
      <c r="L235" s="13"/>
      <c r="M235" s="13"/>
      <c r="N235" s="13"/>
      <c r="O235" s="401" t="str">
        <f>O211</f>
        <v>CURRENTLY RUNNING: BASE CASE SCENARIO</v>
      </c>
      <c r="P235" s="17"/>
    </row>
    <row r="236" spans="2:16" ht="22.5">
      <c r="B236" s="1" t="str">
        <f>B2</f>
        <v>Medallion Mouldings</v>
      </c>
      <c r="C236" s="13"/>
      <c r="D236" s="13"/>
      <c r="E236" s="13"/>
      <c r="F236" s="13"/>
      <c r="G236" s="13"/>
      <c r="H236" s="13"/>
      <c r="I236" s="13"/>
      <c r="J236" s="13"/>
      <c r="K236" s="13"/>
      <c r="L236" s="13"/>
      <c r="M236" s="13"/>
      <c r="N236" s="13"/>
      <c r="O236" s="13"/>
      <c r="P236" s="17"/>
    </row>
    <row r="237" spans="2:16" ht="17.5">
      <c r="B237" s="330" t="s">
        <v>73</v>
      </c>
      <c r="C237" s="13"/>
      <c r="D237" s="121"/>
      <c r="E237" s="121"/>
      <c r="F237" s="121"/>
      <c r="G237" s="121"/>
      <c r="H237" s="121"/>
      <c r="I237" s="121"/>
      <c r="J237" s="121"/>
      <c r="K237" s="121"/>
      <c r="L237" s="121"/>
      <c r="M237" s="121"/>
      <c r="N237" s="121"/>
      <c r="O237" s="121"/>
      <c r="P237" s="17"/>
    </row>
    <row r="238" spans="2:16" ht="6" customHeight="1" thickBot="1">
      <c r="B238" s="334"/>
      <c r="C238" s="334"/>
      <c r="D238" s="499"/>
      <c r="E238" s="499"/>
      <c r="F238" s="499"/>
      <c r="G238" s="499"/>
      <c r="H238" s="499"/>
      <c r="I238" s="499"/>
      <c r="J238" s="499"/>
      <c r="K238" s="499"/>
      <c r="L238" s="499"/>
      <c r="M238" s="499"/>
      <c r="N238" s="499"/>
      <c r="O238" s="499"/>
      <c r="P238" s="17"/>
    </row>
    <row r="239" spans="2:16">
      <c r="B239" s="500" t="s">
        <v>13</v>
      </c>
      <c r="F239" s="15"/>
      <c r="P239" s="17"/>
    </row>
    <row r="240" spans="2:16" ht="13.5">
      <c r="F240" s="15"/>
      <c r="H240" s="539"/>
      <c r="I240" s="539"/>
      <c r="J240" s="539"/>
      <c r="K240" s="338" t="s">
        <v>8</v>
      </c>
      <c r="L240" s="169"/>
      <c r="M240" s="169"/>
      <c r="N240" s="169"/>
      <c r="O240" s="169"/>
      <c r="P240" s="17"/>
    </row>
    <row r="241" spans="2:16" ht="13.5">
      <c r="B241" s="586"/>
      <c r="C241" s="587" t="s">
        <v>162</v>
      </c>
      <c r="D241" s="588"/>
      <c r="E241" s="589">
        <f>Assumptions!N17</f>
        <v>0.35</v>
      </c>
      <c r="F241" s="15"/>
      <c r="H241" s="590"/>
      <c r="I241" s="590"/>
      <c r="J241" s="590"/>
      <c r="K241" s="503">
        <f>K$7</f>
        <v>2018</v>
      </c>
      <c r="L241" s="503">
        <f>L$7</f>
        <v>2019</v>
      </c>
      <c r="M241" s="503">
        <f>M$7</f>
        <v>2020</v>
      </c>
      <c r="N241" s="503">
        <f>N$7</f>
        <v>2021</v>
      </c>
      <c r="O241" s="503">
        <f>O$7</f>
        <v>2022</v>
      </c>
      <c r="P241" s="17"/>
    </row>
    <row r="242" spans="2:16">
      <c r="F242" s="15"/>
      <c r="P242" s="17"/>
    </row>
    <row r="243" spans="2:16">
      <c r="C243" s="351" t="s">
        <v>195</v>
      </c>
      <c r="F243" s="15"/>
      <c r="G243" s="591" t="s">
        <v>43</v>
      </c>
      <c r="H243" s="565"/>
      <c r="I243" s="565"/>
      <c r="J243" s="565"/>
      <c r="K243" s="592">
        <f ca="1">K115</f>
        <v>25.435741891807467</v>
      </c>
      <c r="L243" s="592">
        <f ca="1">L115</f>
        <v>14.694589193766397</v>
      </c>
      <c r="M243" s="592">
        <f ca="1">M115</f>
        <v>62.068090626452395</v>
      </c>
      <c r="N243" s="592">
        <f ca="1">N115</f>
        <v>54.314369372049654</v>
      </c>
      <c r="O243" s="592">
        <f ca="1">O115</f>
        <v>30.431497208044732</v>
      </c>
      <c r="P243" s="17"/>
    </row>
    <row r="244" spans="2:16" ht="6" customHeight="1">
      <c r="E244" s="593"/>
      <c r="F244" s="593"/>
      <c r="G244" s="594"/>
      <c r="H244" s="594"/>
      <c r="I244" s="594"/>
      <c r="J244" s="594"/>
      <c r="K244" s="594"/>
      <c r="L244" s="594"/>
      <c r="M244" s="594"/>
      <c r="N244" s="594"/>
      <c r="O244" s="594"/>
      <c r="P244" s="17"/>
    </row>
    <row r="245" spans="2:16">
      <c r="D245" s="15" t="s">
        <v>314</v>
      </c>
      <c r="E245" s="593"/>
      <c r="F245" s="593"/>
      <c r="G245" s="594"/>
      <c r="H245" s="565"/>
      <c r="I245" s="565"/>
      <c r="J245" s="565"/>
      <c r="K245" s="580">
        <f>K111</f>
        <v>16.174666666666667</v>
      </c>
      <c r="L245" s="580">
        <f>L111</f>
        <v>16.724666666666668</v>
      </c>
      <c r="M245" s="580">
        <f>M111</f>
        <v>17.297000000000001</v>
      </c>
      <c r="N245" s="580">
        <f>N111</f>
        <v>17.882224999999998</v>
      </c>
      <c r="O245" s="580">
        <f>O111</f>
        <v>18.482080624999998</v>
      </c>
      <c r="P245" s="17"/>
    </row>
    <row r="246" spans="2:16">
      <c r="D246" s="15" t="s">
        <v>44</v>
      </c>
      <c r="E246" s="593"/>
      <c r="F246" s="593"/>
      <c r="G246" s="594"/>
      <c r="H246" s="579"/>
      <c r="I246" s="579"/>
      <c r="J246" s="579"/>
      <c r="K246" s="595">
        <f>K277</f>
        <v>24.840000000000003</v>
      </c>
      <c r="L246" s="595">
        <f>L277</f>
        <v>23.171999999999997</v>
      </c>
      <c r="M246" s="595">
        <f>M277</f>
        <v>21.971599999999999</v>
      </c>
      <c r="N246" s="595">
        <f>N277</f>
        <v>21.088630000000002</v>
      </c>
      <c r="O246" s="595">
        <f>O277</f>
        <v>20.470037749999999</v>
      </c>
      <c r="P246" s="17"/>
    </row>
    <row r="247" spans="2:16">
      <c r="D247" s="341" t="s">
        <v>210</v>
      </c>
      <c r="E247" s="596"/>
      <c r="F247" s="596"/>
      <c r="G247" s="597"/>
      <c r="H247" s="598"/>
      <c r="I247" s="598"/>
      <c r="J247" s="598"/>
      <c r="K247" s="599">
        <f ca="1">K243+K245-K246</f>
        <v>16.770408558474131</v>
      </c>
      <c r="L247" s="599">
        <f ca="1">L243+L245-L246</f>
        <v>8.2472558604330679</v>
      </c>
      <c r="M247" s="599">
        <f ca="1">M243+M245-M246</f>
        <v>57.393490626452405</v>
      </c>
      <c r="N247" s="599">
        <f ca="1">N243+N245-N246</f>
        <v>51.107964372049643</v>
      </c>
      <c r="O247" s="599">
        <f ca="1">O243+O245-O246</f>
        <v>28.443540083044727</v>
      </c>
      <c r="P247" s="17"/>
    </row>
    <row r="248" spans="2:16">
      <c r="E248" s="593"/>
      <c r="F248" s="593"/>
      <c r="G248" s="594"/>
      <c r="H248" s="594"/>
      <c r="I248" s="594"/>
      <c r="J248" s="594"/>
      <c r="K248" s="594"/>
      <c r="L248" s="594"/>
      <c r="M248" s="594"/>
      <c r="N248" s="594"/>
      <c r="O248" s="594"/>
      <c r="P248" s="17"/>
    </row>
    <row r="249" spans="2:16">
      <c r="C249" s="341" t="s">
        <v>45</v>
      </c>
      <c r="E249" s="593"/>
      <c r="F249" s="593"/>
      <c r="G249" s="594"/>
      <c r="H249" s="594"/>
      <c r="I249" s="594"/>
      <c r="J249" s="594"/>
      <c r="K249" s="594"/>
      <c r="L249" s="594"/>
      <c r="M249" s="594"/>
      <c r="N249" s="594"/>
      <c r="O249" s="594"/>
      <c r="P249" s="17"/>
    </row>
    <row r="250" spans="2:16">
      <c r="D250" s="352" t="s">
        <v>307</v>
      </c>
      <c r="E250" s="593"/>
      <c r="F250" s="593"/>
      <c r="G250" s="594"/>
      <c r="H250" s="594"/>
      <c r="I250" s="594"/>
      <c r="J250" s="594"/>
      <c r="K250" s="600">
        <f>Assumptions!N19</f>
        <v>25</v>
      </c>
      <c r="L250" s="580">
        <f ca="1">K250-K251</f>
        <v>8.2295914415258693</v>
      </c>
      <c r="M250" s="580">
        <f ca="1">L250-L251</f>
        <v>0</v>
      </c>
      <c r="N250" s="580">
        <f ca="1">M250-M251</f>
        <v>0</v>
      </c>
      <c r="O250" s="580">
        <f ca="1">N250-N251</f>
        <v>0</v>
      </c>
      <c r="P250" s="17"/>
    </row>
    <row r="251" spans="2:16">
      <c r="D251" s="204" t="s">
        <v>194</v>
      </c>
      <c r="E251" s="593"/>
      <c r="F251" s="593"/>
      <c r="G251" s="594"/>
      <c r="H251" s="579"/>
      <c r="I251" s="579"/>
      <c r="J251" s="579"/>
      <c r="K251" s="595">
        <f ca="1">IF(K247&lt;0,0,MIN(K250,K247))</f>
        <v>16.770408558474131</v>
      </c>
      <c r="L251" s="595">
        <f ca="1">IF(L247&lt;0,0,MIN(L250,L247))</f>
        <v>8.2295914415258693</v>
      </c>
      <c r="M251" s="595">
        <f ca="1">IF(M247&lt;0,0,MIN(M250,M247))</f>
        <v>0</v>
      </c>
      <c r="N251" s="595">
        <f ca="1">IF(N247&lt;0,0,MIN(N250,N247))</f>
        <v>0</v>
      </c>
      <c r="O251" s="595">
        <f ca="1">IF(O247&lt;0,0,MIN(O250,O247))</f>
        <v>0</v>
      </c>
      <c r="P251" s="17"/>
    </row>
    <row r="252" spans="2:16">
      <c r="D252" s="351" t="s">
        <v>196</v>
      </c>
      <c r="E252" s="596"/>
      <c r="F252" s="596"/>
      <c r="G252" s="597"/>
      <c r="H252" s="598"/>
      <c r="I252" s="598"/>
      <c r="J252" s="598"/>
      <c r="K252" s="599">
        <f ca="1">K247-K251</f>
        <v>0</v>
      </c>
      <c r="L252" s="599">
        <f ca="1">L247-L251</f>
        <v>1.7664418907198609E-2</v>
      </c>
      <c r="M252" s="599">
        <f ca="1">M247-M251</f>
        <v>57.393490626452405</v>
      </c>
      <c r="N252" s="599">
        <f ca="1">N247-N251</f>
        <v>51.107964372049643</v>
      </c>
      <c r="O252" s="599">
        <f ca="1">O247-O251</f>
        <v>28.443540083044727</v>
      </c>
      <c r="P252" s="17"/>
    </row>
    <row r="253" spans="2:16">
      <c r="E253" s="593"/>
      <c r="F253" s="593"/>
      <c r="G253" s="594"/>
      <c r="H253" s="594"/>
      <c r="I253" s="594"/>
      <c r="J253" s="594"/>
      <c r="K253" s="594"/>
      <c r="L253" s="594"/>
      <c r="M253" s="594"/>
      <c r="N253" s="594"/>
      <c r="O253" s="594"/>
      <c r="P253" s="17"/>
    </row>
    <row r="254" spans="2:16">
      <c r="D254" s="352" t="s">
        <v>197</v>
      </c>
      <c r="E254" s="593"/>
      <c r="F254" s="593"/>
      <c r="G254" s="594"/>
      <c r="H254" s="594"/>
      <c r="I254" s="594"/>
      <c r="J254" s="594"/>
      <c r="K254" s="580">
        <f>J256</f>
        <v>0</v>
      </c>
      <c r="L254" s="580">
        <f ca="1">K256</f>
        <v>0</v>
      </c>
      <c r="M254" s="580">
        <f ca="1">L256</f>
        <v>0</v>
      </c>
      <c r="N254" s="580">
        <f ca="1">M256</f>
        <v>0</v>
      </c>
      <c r="O254" s="580">
        <f ca="1">N256</f>
        <v>0</v>
      </c>
      <c r="P254" s="17"/>
    </row>
    <row r="255" spans="2:16">
      <c r="D255" s="352" t="s">
        <v>198</v>
      </c>
      <c r="E255" s="593"/>
      <c r="F255" s="593"/>
      <c r="G255" s="594"/>
      <c r="H255" s="565"/>
      <c r="I255" s="565"/>
      <c r="J255" s="565"/>
      <c r="K255" s="595">
        <f ca="1">MIN(K254,K252)</f>
        <v>0</v>
      </c>
      <c r="L255" s="595">
        <f ca="1">MIN(L254,L252)</f>
        <v>0</v>
      </c>
      <c r="M255" s="595">
        <f ca="1">MIN(M254,M252)</f>
        <v>0</v>
      </c>
      <c r="N255" s="595">
        <f ca="1">MIN(N254,N252)</f>
        <v>0</v>
      </c>
      <c r="O255" s="595">
        <f ca="1">MIN(O254,O252)</f>
        <v>0</v>
      </c>
      <c r="P255" s="17"/>
    </row>
    <row r="256" spans="2:16">
      <c r="D256" s="352" t="s">
        <v>199</v>
      </c>
      <c r="E256" s="593"/>
      <c r="F256" s="593"/>
      <c r="G256" s="594"/>
      <c r="H256" s="565"/>
      <c r="I256" s="565"/>
      <c r="J256" s="565"/>
      <c r="K256" s="580">
        <f ca="1">K254-K255</f>
        <v>0</v>
      </c>
      <c r="L256" s="580">
        <f ca="1">L254-L255</f>
        <v>0</v>
      </c>
      <c r="M256" s="580">
        <f ca="1">M254-M255</f>
        <v>0</v>
      </c>
      <c r="N256" s="580">
        <f ca="1">N254-N255</f>
        <v>0</v>
      </c>
      <c r="O256" s="580">
        <f ca="1">O254-O255</f>
        <v>0</v>
      </c>
      <c r="P256" s="17"/>
    </row>
    <row r="257" spans="3:16" ht="6" customHeight="1">
      <c r="D257" s="352"/>
      <c r="E257" s="593"/>
      <c r="F257" s="593"/>
      <c r="G257" s="594"/>
      <c r="H257" s="565"/>
      <c r="I257" s="565"/>
      <c r="J257" s="565"/>
      <c r="K257" s="580"/>
      <c r="L257" s="580"/>
      <c r="M257" s="580"/>
      <c r="N257" s="580"/>
      <c r="O257" s="580"/>
      <c r="P257" s="17"/>
    </row>
    <row r="258" spans="3:16">
      <c r="D258" s="352" t="s">
        <v>200</v>
      </c>
      <c r="E258" s="593"/>
      <c r="F258" s="593"/>
      <c r="G258" s="594"/>
      <c r="H258" s="579"/>
      <c r="I258" s="579"/>
      <c r="J258" s="579"/>
      <c r="K258" s="595">
        <f ca="1">IF(K251&lt;0,K250,(K250-K251))</f>
        <v>8.2295914415258693</v>
      </c>
      <c r="L258" s="595">
        <f ca="1">IF(L251&lt;0,L250,(L250-L251))</f>
        <v>0</v>
      </c>
      <c r="M258" s="595">
        <f ca="1">IF(M251&lt;0,M250,(M250-M251))</f>
        <v>0</v>
      </c>
      <c r="N258" s="595">
        <f ca="1">IF(N251&lt;0,N250,(N250-N251))</f>
        <v>0</v>
      </c>
      <c r="O258" s="595">
        <f ca="1">IF(O251&lt;0,O250,(O250-O251))</f>
        <v>0</v>
      </c>
      <c r="P258" s="17"/>
    </row>
    <row r="259" spans="3:16">
      <c r="D259" s="351" t="s">
        <v>201</v>
      </c>
      <c r="E259" s="596"/>
      <c r="F259" s="596"/>
      <c r="G259" s="597"/>
      <c r="H259" s="598"/>
      <c r="I259" s="598"/>
      <c r="J259" s="598"/>
      <c r="K259" s="599">
        <f ca="1">K258+K256</f>
        <v>8.2295914415258693</v>
      </c>
      <c r="L259" s="599">
        <f ca="1">L258+L256</f>
        <v>0</v>
      </c>
      <c r="M259" s="599">
        <f ca="1">M258+M256</f>
        <v>0</v>
      </c>
      <c r="N259" s="599">
        <f ca="1">N258+N256</f>
        <v>0</v>
      </c>
      <c r="O259" s="599">
        <f ca="1">O258+O256</f>
        <v>0</v>
      </c>
      <c r="P259" s="17"/>
    </row>
    <row r="260" spans="3:16">
      <c r="E260" s="593"/>
      <c r="F260" s="593"/>
      <c r="G260" s="594"/>
      <c r="H260" s="594"/>
      <c r="I260" s="594"/>
      <c r="J260" s="594"/>
      <c r="K260" s="594"/>
      <c r="L260" s="594"/>
      <c r="M260" s="594"/>
      <c r="N260" s="594"/>
      <c r="O260" s="594"/>
      <c r="P260" s="17"/>
    </row>
    <row r="261" spans="3:16">
      <c r="D261" s="351" t="s">
        <v>308</v>
      </c>
      <c r="F261" s="593"/>
      <c r="G261" s="591" t="s">
        <v>46</v>
      </c>
      <c r="H261" s="598"/>
      <c r="I261" s="598"/>
      <c r="J261" s="598"/>
      <c r="K261" s="592">
        <f ca="1">K252-K255</f>
        <v>0</v>
      </c>
      <c r="L261" s="592">
        <f ca="1">L252-L255</f>
        <v>1.7664418907198609E-2</v>
      </c>
      <c r="M261" s="592">
        <f ca="1">M252-M255</f>
        <v>57.393490626452405</v>
      </c>
      <c r="N261" s="592">
        <f ca="1">N252-N255</f>
        <v>51.107964372049643</v>
      </c>
      <c r="O261" s="592">
        <f ca="1">O252-O255</f>
        <v>28.443540083044727</v>
      </c>
      <c r="P261" s="17"/>
    </row>
    <row r="262" spans="3:16">
      <c r="E262" s="438"/>
      <c r="F262" s="15"/>
      <c r="G262" s="129"/>
      <c r="H262" s="579"/>
      <c r="I262" s="579"/>
      <c r="J262" s="579"/>
      <c r="K262" s="579"/>
      <c r="L262" s="579"/>
      <c r="M262" s="579"/>
      <c r="N262" s="579"/>
      <c r="O262" s="579"/>
      <c r="P262" s="17"/>
    </row>
    <row r="263" spans="3:16">
      <c r="D263" s="16" t="str">
        <f>CONCATENATE("Accounting Taxes (",$E$241*100,"% of A)")</f>
        <v>Accounting Taxes (35% of A)</v>
      </c>
      <c r="E263" s="321"/>
      <c r="F263" s="446"/>
      <c r="G263" s="446"/>
      <c r="H263" s="579"/>
      <c r="I263" s="579"/>
      <c r="J263" s="579"/>
      <c r="K263" s="601">
        <f ca="1">$E$241*K243</f>
        <v>8.9025096621326121</v>
      </c>
      <c r="L263" s="601">
        <f ca="1">$E$241*L243</f>
        <v>5.1431062178182385</v>
      </c>
      <c r="M263" s="601">
        <f ca="1">$E$241*M243</f>
        <v>21.723831719258339</v>
      </c>
      <c r="N263" s="601">
        <f ca="1">$E$241*N243</f>
        <v>19.010029280217378</v>
      </c>
      <c r="O263" s="601">
        <f ca="1">$E$241*O243</f>
        <v>10.651024022815655</v>
      </c>
      <c r="P263" s="17"/>
    </row>
    <row r="264" spans="3:16">
      <c r="D264" s="129"/>
      <c r="E264" s="129"/>
      <c r="F264" s="602"/>
      <c r="G264" s="129"/>
      <c r="H264" s="579"/>
      <c r="I264" s="579"/>
      <c r="J264" s="579"/>
      <c r="K264" s="579"/>
      <c r="L264" s="579"/>
      <c r="M264" s="579"/>
      <c r="N264" s="579"/>
      <c r="O264" s="579"/>
      <c r="P264" s="17"/>
    </row>
    <row r="265" spans="3:16">
      <c r="C265" s="129"/>
      <c r="D265" s="483" t="s">
        <v>163</v>
      </c>
      <c r="E265" s="603"/>
      <c r="F265" s="604"/>
      <c r="G265" s="604"/>
      <c r="H265" s="604"/>
      <c r="I265" s="604"/>
      <c r="J265" s="604"/>
      <c r="K265" s="604"/>
      <c r="L265" s="604"/>
      <c r="M265" s="604"/>
      <c r="N265" s="604"/>
      <c r="O265" s="605"/>
      <c r="P265" s="17"/>
    </row>
    <row r="266" spans="3:16">
      <c r="C266" s="129"/>
      <c r="D266" s="216" t="str">
        <f>CONCATENATE("Current Tax (",$E$241*100,"% of B)")</f>
        <v>Current Tax (35% of B)</v>
      </c>
      <c r="E266" s="321"/>
      <c r="F266" s="446"/>
      <c r="G266" s="606"/>
      <c r="H266" s="607"/>
      <c r="I266" s="607"/>
      <c r="J266" s="607"/>
      <c r="K266" s="601">
        <f ca="1">$E$241*K261</f>
        <v>0</v>
      </c>
      <c r="L266" s="601">
        <f ca="1">$E$241*L261</f>
        <v>6.1825466175195127E-3</v>
      </c>
      <c r="M266" s="601">
        <f ca="1">$E$241*M261</f>
        <v>20.08772171925834</v>
      </c>
      <c r="N266" s="601">
        <f ca="1">$E$241*N261</f>
        <v>17.887787530217373</v>
      </c>
      <c r="O266" s="608">
        <f ca="1">$E$241*O261</f>
        <v>9.9552390290656536</v>
      </c>
      <c r="P266" s="17"/>
    </row>
    <row r="267" spans="3:16">
      <c r="C267" s="129"/>
      <c r="D267" s="875" t="s">
        <v>316</v>
      </c>
      <c r="E267" s="321"/>
      <c r="F267" s="446"/>
      <c r="G267" s="446"/>
      <c r="H267" s="579"/>
      <c r="I267" s="579"/>
      <c r="J267" s="579"/>
      <c r="K267" s="595">
        <f ca="1">K263-K266</f>
        <v>8.9025096621326121</v>
      </c>
      <c r="L267" s="595">
        <f ca="1">L263-L266</f>
        <v>5.1369236712007194</v>
      </c>
      <c r="M267" s="595">
        <f ca="1">M263-M266</f>
        <v>1.6361099999999986</v>
      </c>
      <c r="N267" s="595">
        <f ca="1">N263-N266</f>
        <v>1.1222417500000041</v>
      </c>
      <c r="O267" s="609">
        <f ca="1">O263-O266</f>
        <v>0.69578499375000114</v>
      </c>
      <c r="P267" s="17"/>
    </row>
    <row r="268" spans="3:16">
      <c r="C268" s="129"/>
      <c r="D268" s="610" t="s">
        <v>164</v>
      </c>
      <c r="E268" s="611"/>
      <c r="F268" s="612"/>
      <c r="G268" s="612"/>
      <c r="H268" s="613"/>
      <c r="I268" s="613"/>
      <c r="J268" s="613"/>
      <c r="K268" s="614">
        <f ca="1">SUM(K266:K267)</f>
        <v>8.9025096621326121</v>
      </c>
      <c r="L268" s="614">
        <f ca="1">SUM(L266:L267)</f>
        <v>5.1431062178182385</v>
      </c>
      <c r="M268" s="614">
        <f ca="1">SUM(M266:M267)</f>
        <v>21.723831719258339</v>
      </c>
      <c r="N268" s="614">
        <f ca="1">SUM(N266:N267)</f>
        <v>19.010029280217378</v>
      </c>
      <c r="O268" s="615">
        <f ca="1">SUM(O266:O267)</f>
        <v>10.651024022815655</v>
      </c>
      <c r="P268" s="17"/>
    </row>
    <row r="269" spans="3:16">
      <c r="E269" s="593"/>
      <c r="F269" s="594"/>
      <c r="G269" s="594"/>
      <c r="H269" s="594"/>
      <c r="I269" s="594"/>
      <c r="J269" s="594"/>
      <c r="K269" s="594"/>
      <c r="L269" s="594"/>
      <c r="M269" s="594"/>
      <c r="N269" s="594"/>
      <c r="O269" s="594"/>
      <c r="P269" s="17"/>
    </row>
    <row r="270" spans="3:16" ht="13.5">
      <c r="D270" s="616" t="s">
        <v>47</v>
      </c>
      <c r="F270" s="594"/>
      <c r="G270" s="594"/>
      <c r="H270" s="594"/>
      <c r="I270" s="594"/>
      <c r="J270" s="594"/>
      <c r="K270" s="594"/>
      <c r="L270" s="594"/>
      <c r="M270" s="594"/>
      <c r="N270" s="594"/>
      <c r="O270" s="594"/>
      <c r="P270" s="17"/>
    </row>
    <row r="271" spans="3:16">
      <c r="D271" s="565" t="s">
        <v>48</v>
      </c>
      <c r="F271" s="617">
        <f>Assumptions!N18</f>
        <v>0.2</v>
      </c>
      <c r="H271" s="404"/>
      <c r="I271" s="404"/>
      <c r="J271" s="404"/>
      <c r="K271" s="404">
        <f>K$7</f>
        <v>2018</v>
      </c>
      <c r="L271" s="404">
        <f>L$7</f>
        <v>2019</v>
      </c>
      <c r="M271" s="404">
        <f>M$7</f>
        <v>2020</v>
      </c>
      <c r="N271" s="404">
        <f>N$7</f>
        <v>2021</v>
      </c>
      <c r="O271" s="404">
        <f>O$7</f>
        <v>2022</v>
      </c>
      <c r="P271" s="17"/>
    </row>
    <row r="272" spans="3:16" ht="6" customHeight="1">
      <c r="G272" s="594"/>
      <c r="H272" s="404"/>
      <c r="I272" s="404"/>
      <c r="J272" s="404"/>
      <c r="K272" s="404"/>
      <c r="L272" s="404"/>
      <c r="M272" s="404"/>
      <c r="N272" s="404"/>
      <c r="O272" s="404"/>
      <c r="P272" s="17"/>
    </row>
    <row r="273" spans="2:16">
      <c r="D273" s="565" t="s">
        <v>49</v>
      </c>
      <c r="F273" s="593"/>
      <c r="G273" s="591" t="s">
        <v>206</v>
      </c>
      <c r="H273" s="618"/>
      <c r="I273" s="618"/>
      <c r="J273" s="618"/>
      <c r="K273" s="619">
        <f>Assumptions!N20</f>
        <v>116.2</v>
      </c>
      <c r="L273" s="620">
        <f>K278</f>
        <v>107.35999999999999</v>
      </c>
      <c r="M273" s="620">
        <f>L278</f>
        <v>101.18799999999999</v>
      </c>
      <c r="N273" s="620">
        <f>M278</f>
        <v>96.556399999999996</v>
      </c>
      <c r="O273" s="620">
        <f>N278</f>
        <v>93.241269999999986</v>
      </c>
      <c r="P273" s="17"/>
    </row>
    <row r="274" spans="2:16">
      <c r="D274" s="565" t="s">
        <v>202</v>
      </c>
      <c r="F274" s="593"/>
      <c r="G274" s="591" t="s">
        <v>207</v>
      </c>
      <c r="H274" s="565"/>
      <c r="I274" s="565"/>
      <c r="J274" s="565"/>
      <c r="K274" s="580">
        <f>-K149</f>
        <v>16</v>
      </c>
      <c r="L274" s="580">
        <f>-L149</f>
        <v>17</v>
      </c>
      <c r="M274" s="580">
        <f>-M149</f>
        <v>17.34</v>
      </c>
      <c r="N274" s="580">
        <f>-N149</f>
        <v>17.773499999999999</v>
      </c>
      <c r="O274" s="580">
        <f>-O149</f>
        <v>18.217837499999998</v>
      </c>
      <c r="P274" s="17"/>
    </row>
    <row r="275" spans="2:16">
      <c r="D275" s="565" t="s">
        <v>203</v>
      </c>
      <c r="F275" s="593"/>
      <c r="G275" s="594"/>
      <c r="H275" s="565"/>
      <c r="I275" s="565"/>
      <c r="J275" s="565"/>
      <c r="K275" s="580">
        <f>K274*0.5</f>
        <v>8</v>
      </c>
      <c r="L275" s="580">
        <f>L274*0.5</f>
        <v>8.5</v>
      </c>
      <c r="M275" s="580">
        <f>M274*0.5</f>
        <v>8.67</v>
      </c>
      <c r="N275" s="580">
        <f>N274*0.5</f>
        <v>8.8867499999999993</v>
      </c>
      <c r="O275" s="580">
        <f>O274*0.5</f>
        <v>9.1089187499999991</v>
      </c>
      <c r="P275" s="17"/>
    </row>
    <row r="276" spans="2:16">
      <c r="D276" s="565" t="s">
        <v>204</v>
      </c>
      <c r="F276" s="593"/>
      <c r="G276" s="594"/>
      <c r="H276" s="565"/>
      <c r="I276" s="565"/>
      <c r="J276" s="565"/>
      <c r="K276" s="580">
        <f>K275+K273</f>
        <v>124.2</v>
      </c>
      <c r="L276" s="580">
        <f>L275+L273</f>
        <v>115.85999999999999</v>
      </c>
      <c r="M276" s="580">
        <f>M275+M273</f>
        <v>109.85799999999999</v>
      </c>
      <c r="N276" s="580">
        <f>N275+N273</f>
        <v>105.44315</v>
      </c>
      <c r="O276" s="580">
        <f>O275+O273</f>
        <v>102.35018874999999</v>
      </c>
      <c r="P276" s="17"/>
    </row>
    <row r="277" spans="2:16">
      <c r="D277" s="621" t="s">
        <v>205</v>
      </c>
      <c r="F277" s="593"/>
      <c r="G277" s="591" t="s">
        <v>208</v>
      </c>
      <c r="H277" s="579"/>
      <c r="I277" s="579"/>
      <c r="J277" s="579"/>
      <c r="K277" s="595">
        <f>K276*$F$271</f>
        <v>24.840000000000003</v>
      </c>
      <c r="L277" s="595">
        <f>L276*$F$271</f>
        <v>23.171999999999997</v>
      </c>
      <c r="M277" s="595">
        <f>M276*$F$271</f>
        <v>21.971599999999999</v>
      </c>
      <c r="N277" s="595">
        <f>N276*$F$271</f>
        <v>21.088630000000002</v>
      </c>
      <c r="O277" s="595">
        <f>O276*$F$271</f>
        <v>20.470037749999999</v>
      </c>
      <c r="P277" s="17"/>
    </row>
    <row r="278" spans="2:16">
      <c r="D278" s="598" t="s">
        <v>209</v>
      </c>
      <c r="F278" s="596"/>
      <c r="G278" s="622"/>
      <c r="H278" s="623"/>
      <c r="I278" s="623"/>
      <c r="J278" s="623"/>
      <c r="K278" s="592">
        <f>K273+K274-K277</f>
        <v>107.35999999999999</v>
      </c>
      <c r="L278" s="592">
        <f>L273+L274-L277</f>
        <v>101.18799999999999</v>
      </c>
      <c r="M278" s="592">
        <f>M273+M274-M277</f>
        <v>96.556399999999996</v>
      </c>
      <c r="N278" s="592">
        <f>N273+N274-N277</f>
        <v>93.241269999999986</v>
      </c>
      <c r="O278" s="592">
        <f>O273+O274-O277</f>
        <v>90.989069749999985</v>
      </c>
      <c r="P278" s="17"/>
    </row>
    <row r="279" spans="2:16" ht="6" customHeight="1">
      <c r="B279" s="142"/>
      <c r="C279" s="142"/>
      <c r="D279" s="142"/>
      <c r="E279" s="624"/>
      <c r="F279" s="624"/>
      <c r="G279" s="625"/>
      <c r="H279" s="625"/>
      <c r="I279" s="625"/>
      <c r="J279" s="625"/>
      <c r="K279" s="625"/>
      <c r="L279" s="625"/>
      <c r="M279" s="625"/>
      <c r="N279" s="625"/>
      <c r="O279" s="142"/>
      <c r="P279" s="17"/>
    </row>
    <row r="281" spans="2:16" ht="12.75" customHeight="1">
      <c r="B281" s="1"/>
      <c r="C281" s="13"/>
      <c r="D281" s="13"/>
      <c r="E281" s="13"/>
      <c r="F281" s="13"/>
      <c r="G281" s="13"/>
      <c r="H281" s="13"/>
      <c r="I281" s="13"/>
      <c r="J281" s="13"/>
      <c r="K281" s="13"/>
      <c r="L281" s="13"/>
      <c r="M281" s="13"/>
      <c r="N281" s="13"/>
      <c r="O281" s="401" t="str">
        <f>O235</f>
        <v>CURRENTLY RUNNING: BASE CASE SCENARIO</v>
      </c>
      <c r="P281" s="17"/>
    </row>
    <row r="282" spans="2:16" ht="22.5">
      <c r="B282" s="1" t="str">
        <f>B2</f>
        <v>Medallion Mouldings</v>
      </c>
      <c r="C282" s="13"/>
      <c r="D282" s="13"/>
      <c r="E282" s="13"/>
      <c r="F282" s="13"/>
      <c r="G282" s="13"/>
      <c r="H282" s="13"/>
      <c r="I282" s="13"/>
      <c r="J282" s="13"/>
      <c r="K282" s="13"/>
      <c r="L282" s="13"/>
      <c r="M282" s="13"/>
      <c r="N282" s="13"/>
      <c r="O282" s="13"/>
      <c r="P282" s="17"/>
    </row>
    <row r="283" spans="2:16" ht="17.5">
      <c r="B283" s="330" t="s">
        <v>75</v>
      </c>
      <c r="C283" s="121"/>
      <c r="D283" s="121"/>
      <c r="E283" s="121"/>
      <c r="F283" s="121"/>
      <c r="G283" s="121"/>
      <c r="H283" s="121"/>
      <c r="I283" s="121"/>
      <c r="J283" s="121"/>
      <c r="K283" s="121"/>
      <c r="L283" s="121"/>
      <c r="M283" s="121"/>
      <c r="N283" s="121"/>
      <c r="O283" s="121"/>
      <c r="P283" s="17"/>
    </row>
    <row r="284" spans="2:16" ht="6" customHeight="1" thickBot="1">
      <c r="B284" s="334"/>
      <c r="C284" s="499"/>
      <c r="D284" s="499"/>
      <c r="E284" s="499"/>
      <c r="F284" s="499"/>
      <c r="G284" s="499"/>
      <c r="H284" s="499"/>
      <c r="I284" s="499"/>
      <c r="J284" s="499"/>
      <c r="K284" s="499"/>
      <c r="L284" s="499"/>
      <c r="M284" s="499"/>
      <c r="N284" s="499"/>
      <c r="O284" s="499"/>
      <c r="P284" s="17"/>
    </row>
    <row r="285" spans="2:16">
      <c r="B285" s="500" t="s">
        <v>13</v>
      </c>
      <c r="F285" s="15"/>
      <c r="O285" s="16"/>
      <c r="P285" s="17"/>
    </row>
    <row r="286" spans="2:16" ht="13.5">
      <c r="F286" s="15"/>
      <c r="H286" s="121"/>
      <c r="I286" s="121"/>
      <c r="J286" s="121"/>
      <c r="K286" s="338" t="s">
        <v>8</v>
      </c>
      <c r="L286" s="169"/>
      <c r="M286" s="169"/>
      <c r="N286" s="169"/>
      <c r="O286" s="169"/>
      <c r="P286" s="17"/>
    </row>
    <row r="287" spans="2:16">
      <c r="F287" s="15"/>
      <c r="G287" s="502"/>
      <c r="H287" s="590"/>
      <c r="I287" s="403">
        <f>I7</f>
        <v>2016</v>
      </c>
      <c r="J287" s="339">
        <f>J7</f>
        <v>2017</v>
      </c>
      <c r="K287" s="503">
        <f>K$7</f>
        <v>2018</v>
      </c>
      <c r="L287" s="503">
        <f>L$7</f>
        <v>2019</v>
      </c>
      <c r="M287" s="503">
        <f>M$7</f>
        <v>2020</v>
      </c>
      <c r="N287" s="503">
        <f>N$7</f>
        <v>2021</v>
      </c>
      <c r="O287" s="503">
        <f>O$7</f>
        <v>2022</v>
      </c>
      <c r="P287" s="17"/>
    </row>
    <row r="288" spans="2:16">
      <c r="F288" s="15"/>
      <c r="P288" s="17"/>
    </row>
    <row r="289" spans="2:16">
      <c r="B289" s="344" t="s">
        <v>220</v>
      </c>
      <c r="C289" s="345"/>
      <c r="D289" s="345"/>
      <c r="E289" s="345"/>
      <c r="F289" s="435" t="s">
        <v>94</v>
      </c>
      <c r="G289" s="345"/>
      <c r="H289" s="345"/>
      <c r="I289" s="345"/>
      <c r="J289" s="626">
        <f t="shared" ref="J289:O289" si="61">DATE(J287,12,31)-DATE(I287,12,31)</f>
        <v>365</v>
      </c>
      <c r="K289" s="626">
        <f t="shared" si="61"/>
        <v>365</v>
      </c>
      <c r="L289" s="626">
        <f t="shared" si="61"/>
        <v>365</v>
      </c>
      <c r="M289" s="626">
        <f t="shared" si="61"/>
        <v>366</v>
      </c>
      <c r="N289" s="626">
        <f t="shared" si="61"/>
        <v>365</v>
      </c>
      <c r="O289" s="627">
        <f t="shared" si="61"/>
        <v>365</v>
      </c>
      <c r="P289" s="17"/>
    </row>
    <row r="290" spans="2:16">
      <c r="F290" s="350"/>
      <c r="P290" s="17"/>
    </row>
    <row r="291" spans="2:16">
      <c r="B291" s="341" t="s">
        <v>309</v>
      </c>
      <c r="F291" s="350"/>
      <c r="P291" s="17"/>
    </row>
    <row r="292" spans="2:16">
      <c r="C292" s="876" t="s">
        <v>14</v>
      </c>
      <c r="F292" s="350" t="s">
        <v>219</v>
      </c>
      <c r="J292" s="392">
        <f t="shared" ref="J292:O292" si="62">J102</f>
        <v>204.798</v>
      </c>
      <c r="K292" s="392">
        <f t="shared" si="62"/>
        <v>235.75859999999997</v>
      </c>
      <c r="L292" s="392">
        <f t="shared" si="62"/>
        <v>231.80445287999996</v>
      </c>
      <c r="M292" s="392">
        <f t="shared" si="62"/>
        <v>286.16767289510398</v>
      </c>
      <c r="N292" s="392">
        <f t="shared" si="62"/>
        <v>285.23324925900613</v>
      </c>
      <c r="O292" s="392">
        <f t="shared" si="62"/>
        <v>268.93463479847071</v>
      </c>
      <c r="P292" s="17"/>
    </row>
    <row r="293" spans="2:16">
      <c r="C293" s="876" t="s">
        <v>15</v>
      </c>
      <c r="F293" s="350" t="s">
        <v>219</v>
      </c>
      <c r="J293" s="392">
        <f t="shared" ref="J293:O293" si="63">J104</f>
        <v>167.94436000000002</v>
      </c>
      <c r="K293" s="392">
        <f t="shared" si="63"/>
        <v>175.209665</v>
      </c>
      <c r="L293" s="392">
        <f t="shared" si="63"/>
        <v>183.05129263199998</v>
      </c>
      <c r="M293" s="392">
        <f t="shared" si="63"/>
        <v>191.31346882402562</v>
      </c>
      <c r="N293" s="392">
        <f t="shared" si="63"/>
        <v>199.77492524096505</v>
      </c>
      <c r="O293" s="392">
        <f t="shared" si="63"/>
        <v>208.65300111639883</v>
      </c>
      <c r="P293" s="17"/>
    </row>
    <row r="294" spans="2:16">
      <c r="F294" s="350"/>
      <c r="P294" s="17"/>
    </row>
    <row r="295" spans="2:16">
      <c r="B295" s="877" t="s">
        <v>39</v>
      </c>
      <c r="C295" s="876"/>
      <c r="D295" s="876"/>
      <c r="F295" s="350"/>
      <c r="P295" s="17"/>
    </row>
    <row r="296" spans="2:16">
      <c r="B296" s="876"/>
      <c r="C296" s="876" t="s">
        <v>26</v>
      </c>
      <c r="D296" s="876"/>
      <c r="F296" s="350" t="s">
        <v>94</v>
      </c>
      <c r="G296" s="628"/>
      <c r="H296" s="629"/>
      <c r="I296" s="629"/>
      <c r="J296" s="392">
        <f>J301/J292*J289</f>
        <v>50.437504272502665</v>
      </c>
      <c r="K296" s="630">
        <f>Assumptions!G78</f>
        <v>45</v>
      </c>
      <c r="L296" s="630">
        <f>Assumptions!H78</f>
        <v>40</v>
      </c>
      <c r="M296" s="630">
        <f>Assumptions!I78</f>
        <v>40</v>
      </c>
      <c r="N296" s="630">
        <f>Assumptions!J78</f>
        <v>40</v>
      </c>
      <c r="O296" s="630">
        <f>Assumptions!K78</f>
        <v>40</v>
      </c>
      <c r="P296" s="17"/>
    </row>
    <row r="297" spans="2:16">
      <c r="B297" s="876"/>
      <c r="C297" s="876" t="s">
        <v>40</v>
      </c>
      <c r="D297" s="876"/>
      <c r="F297" s="350" t="s">
        <v>94</v>
      </c>
      <c r="G297" s="628"/>
      <c r="H297" s="629"/>
      <c r="I297" s="629"/>
      <c r="J297" s="392">
        <f>J302/J293*J289</f>
        <v>76.284193169690241</v>
      </c>
      <c r="K297" s="630">
        <f>Assumptions!G79</f>
        <v>70</v>
      </c>
      <c r="L297" s="630">
        <f>Assumptions!H79</f>
        <v>65</v>
      </c>
      <c r="M297" s="630">
        <f>Assumptions!I79</f>
        <v>60</v>
      </c>
      <c r="N297" s="630">
        <f>Assumptions!J79</f>
        <v>60</v>
      </c>
      <c r="O297" s="630">
        <f>Assumptions!K79</f>
        <v>55</v>
      </c>
      <c r="P297" s="17"/>
    </row>
    <row r="298" spans="2:16">
      <c r="B298" s="876"/>
      <c r="C298" s="876" t="s">
        <v>32</v>
      </c>
      <c r="D298" s="876"/>
      <c r="F298" s="350" t="s">
        <v>94</v>
      </c>
      <c r="G298" s="628"/>
      <c r="H298" s="629"/>
      <c r="I298" s="629"/>
      <c r="J298" s="392">
        <f>J303/J293*J289</f>
        <v>39.554766828728269</v>
      </c>
      <c r="K298" s="630">
        <f>Assumptions!G80</f>
        <v>40</v>
      </c>
      <c r="L298" s="630">
        <f>Assumptions!H80</f>
        <v>40</v>
      </c>
      <c r="M298" s="630">
        <f>Assumptions!I80</f>
        <v>40</v>
      </c>
      <c r="N298" s="630">
        <f>Assumptions!J80</f>
        <v>40</v>
      </c>
      <c r="O298" s="630">
        <f>Assumptions!K80</f>
        <v>40</v>
      </c>
      <c r="P298" s="17"/>
    </row>
    <row r="299" spans="2:16">
      <c r="B299" s="878"/>
      <c r="C299" s="879"/>
      <c r="D299" s="874"/>
      <c r="F299" s="350"/>
      <c r="H299" s="576"/>
      <c r="I299" s="576"/>
      <c r="J299" s="576"/>
      <c r="K299" s="576"/>
      <c r="L299" s="576"/>
      <c r="M299" s="576"/>
      <c r="N299" s="576"/>
      <c r="O299" s="576"/>
      <c r="P299" s="17"/>
    </row>
    <row r="300" spans="2:16">
      <c r="B300" s="877" t="s">
        <v>41</v>
      </c>
      <c r="C300" s="876"/>
      <c r="D300" s="876"/>
      <c r="F300" s="350"/>
      <c r="H300" s="576"/>
      <c r="I300" s="576"/>
      <c r="J300" s="576"/>
      <c r="K300" s="576"/>
      <c r="L300" s="576"/>
      <c r="M300" s="576"/>
      <c r="N300" s="576"/>
      <c r="O300" s="576"/>
      <c r="P300" s="17"/>
    </row>
    <row r="301" spans="2:16">
      <c r="B301" s="876"/>
      <c r="C301" s="876" t="s">
        <v>26</v>
      </c>
      <c r="D301" s="876"/>
      <c r="F301" s="350" t="s">
        <v>219</v>
      </c>
      <c r="I301" s="631"/>
      <c r="J301" s="392">
        <f>J179</f>
        <v>28.3</v>
      </c>
      <c r="K301" s="392">
        <f>K292/K289*K296</f>
        <v>29.066128767123285</v>
      </c>
      <c r="L301" s="392">
        <f>L292/L289*L296</f>
        <v>25.403227712876706</v>
      </c>
      <c r="M301" s="392">
        <f>M292/M289*M296</f>
        <v>31.275155507661637</v>
      </c>
      <c r="N301" s="392">
        <f>N292/N289*N296</f>
        <v>31.258438274959577</v>
      </c>
      <c r="O301" s="392">
        <f>O292/O289*O296</f>
        <v>29.472288745037886</v>
      </c>
      <c r="P301" s="17"/>
    </row>
    <row r="302" spans="2:16">
      <c r="B302" s="876"/>
      <c r="C302" s="876" t="s">
        <v>40</v>
      </c>
      <c r="D302" s="876"/>
      <c r="F302" s="350" t="s">
        <v>219</v>
      </c>
      <c r="I302" s="631"/>
      <c r="J302" s="392">
        <f>J180</f>
        <v>35.1</v>
      </c>
      <c r="K302" s="392">
        <f>K293/K289*K297</f>
        <v>33.601853561643836</v>
      </c>
      <c r="L302" s="392">
        <f>L293/L289*L297</f>
        <v>32.598175400219176</v>
      </c>
      <c r="M302" s="392">
        <f>M293/M289*M297</f>
        <v>31.362863741643544</v>
      </c>
      <c r="N302" s="392">
        <f>N293/N289*N297</f>
        <v>32.839713738240832</v>
      </c>
      <c r="O302" s="392">
        <f>O293/O289*O297</f>
        <v>31.44086318192311</v>
      </c>
      <c r="P302" s="17"/>
    </row>
    <row r="303" spans="2:16">
      <c r="B303" s="876"/>
      <c r="C303" s="876" t="s">
        <v>32</v>
      </c>
      <c r="D303" s="876"/>
      <c r="F303" s="350" t="s">
        <v>219</v>
      </c>
      <c r="I303" s="400"/>
      <c r="J303" s="632">
        <f>J191</f>
        <v>18.2</v>
      </c>
      <c r="K303" s="632">
        <f>K293/K289*K298</f>
        <v>19.20105917808219</v>
      </c>
      <c r="L303" s="632">
        <f>L293/L289*L298</f>
        <v>20.06041563090411</v>
      </c>
      <c r="M303" s="632">
        <f>M293/M289*M298</f>
        <v>20.908575827762363</v>
      </c>
      <c r="N303" s="632">
        <f>N293/N289*N298</f>
        <v>21.893142492160553</v>
      </c>
      <c r="O303" s="632">
        <f>O293/O289*O298</f>
        <v>22.866082314125897</v>
      </c>
      <c r="P303" s="17"/>
    </row>
    <row r="304" spans="2:16">
      <c r="B304" s="876"/>
      <c r="C304" s="877" t="s">
        <v>42</v>
      </c>
      <c r="D304" s="876"/>
      <c r="E304" s="341"/>
      <c r="F304" s="385" t="s">
        <v>219</v>
      </c>
      <c r="I304" s="576"/>
      <c r="J304" s="633">
        <f t="shared" ref="J304:O304" si="64">J301+J302-J303</f>
        <v>45.2</v>
      </c>
      <c r="K304" s="633">
        <f t="shared" si="64"/>
        <v>43.466923150684934</v>
      </c>
      <c r="L304" s="633">
        <f t="shared" si="64"/>
        <v>37.940987482191773</v>
      </c>
      <c r="M304" s="633">
        <f t="shared" si="64"/>
        <v>41.729443421542818</v>
      </c>
      <c r="N304" s="633">
        <f t="shared" si="64"/>
        <v>42.205009521039855</v>
      </c>
      <c r="O304" s="633">
        <f t="shared" si="64"/>
        <v>38.047069612835095</v>
      </c>
      <c r="P304" s="17"/>
    </row>
    <row r="305" spans="2:20">
      <c r="B305" s="878"/>
      <c r="C305" s="879"/>
      <c r="D305" s="874"/>
      <c r="F305" s="350"/>
      <c r="H305" s="576"/>
      <c r="I305" s="576"/>
      <c r="J305" s="576"/>
      <c r="K305" s="576"/>
      <c r="L305" s="576"/>
      <c r="M305" s="576"/>
      <c r="N305" s="576"/>
      <c r="O305" s="576"/>
      <c r="P305" s="17"/>
    </row>
    <row r="306" spans="2:20" ht="13.5" thickBot="1">
      <c r="B306" s="877" t="s">
        <v>231</v>
      </c>
      <c r="C306" s="880"/>
      <c r="D306" s="874"/>
      <c r="F306" s="385" t="s">
        <v>219</v>
      </c>
      <c r="H306" s="576"/>
      <c r="I306" s="576"/>
      <c r="J306" s="634"/>
      <c r="K306" s="422">
        <f>J304-K304</f>
        <v>1.7330768493150686</v>
      </c>
      <c r="L306" s="422">
        <f>K304-L304</f>
        <v>5.5259356684931618</v>
      </c>
      <c r="M306" s="422">
        <f>L304-M304</f>
        <v>-3.7884559393510457</v>
      </c>
      <c r="N306" s="422">
        <f>M304-N304</f>
        <v>-0.47556609949703699</v>
      </c>
      <c r="O306" s="422">
        <f>N304-O304</f>
        <v>4.1579399082047601</v>
      </c>
      <c r="P306" s="17"/>
    </row>
    <row r="307" spans="2:20" ht="13.5" thickTop="1">
      <c r="B307" s="129"/>
      <c r="C307" s="546"/>
      <c r="F307" s="15"/>
      <c r="P307" s="17"/>
    </row>
    <row r="308" spans="2:20">
      <c r="B308" s="142"/>
      <c r="C308" s="368"/>
      <c r="D308" s="142"/>
      <c r="E308" s="142"/>
      <c r="F308" s="142"/>
      <c r="G308" s="142"/>
      <c r="H308" s="142"/>
      <c r="I308" s="142"/>
      <c r="J308" s="142"/>
      <c r="K308" s="142"/>
      <c r="L308" s="142"/>
      <c r="M308" s="142"/>
      <c r="N308" s="142"/>
      <c r="O308" s="142"/>
      <c r="P308" s="17"/>
      <c r="T308" s="129"/>
    </row>
    <row r="310" spans="2:20" ht="12.75" customHeight="1">
      <c r="B310" s="1"/>
      <c r="C310" s="13"/>
      <c r="D310" s="13"/>
      <c r="E310" s="13"/>
      <c r="F310" s="13"/>
      <c r="G310" s="13"/>
      <c r="H310" s="13"/>
      <c r="I310" s="13"/>
      <c r="J310" s="13"/>
      <c r="K310" s="13"/>
      <c r="L310" s="13"/>
      <c r="M310" s="13"/>
      <c r="N310" s="13"/>
      <c r="O310" s="401" t="str">
        <f>O281</f>
        <v>CURRENTLY RUNNING: BASE CASE SCENARIO</v>
      </c>
      <c r="P310" s="17"/>
    </row>
    <row r="311" spans="2:20" ht="22.5">
      <c r="B311" s="1" t="str">
        <f>B2</f>
        <v>Medallion Mouldings</v>
      </c>
      <c r="C311" s="13"/>
      <c r="D311" s="13"/>
      <c r="E311" s="13"/>
      <c r="F311" s="13"/>
      <c r="G311" s="13"/>
      <c r="H311" s="13"/>
      <c r="I311" s="13"/>
      <c r="J311" s="13"/>
      <c r="K311" s="13"/>
      <c r="L311" s="13"/>
      <c r="M311" s="13"/>
      <c r="N311" s="13"/>
      <c r="O311" s="13"/>
      <c r="P311" s="17"/>
    </row>
    <row r="312" spans="2:20" ht="17.5">
      <c r="B312" s="330" t="s">
        <v>97</v>
      </c>
      <c r="C312" s="121"/>
      <c r="D312" s="121"/>
      <c r="E312" s="121"/>
      <c r="F312" s="121"/>
      <c r="G312" s="121"/>
      <c r="H312" s="121"/>
      <c r="I312" s="121"/>
      <c r="J312" s="121"/>
      <c r="K312" s="121"/>
      <c r="L312" s="121"/>
      <c r="M312" s="121"/>
      <c r="N312" s="121"/>
      <c r="O312" s="121"/>
      <c r="P312" s="17"/>
    </row>
    <row r="313" spans="2:20" ht="6" customHeight="1" thickBot="1">
      <c r="B313" s="334"/>
      <c r="C313" s="499"/>
      <c r="D313" s="499"/>
      <c r="E313" s="499"/>
      <c r="F313" s="499"/>
      <c r="G313" s="499"/>
      <c r="H313" s="499"/>
      <c r="I313" s="499"/>
      <c r="J313" s="499"/>
      <c r="K313" s="499"/>
      <c r="L313" s="499"/>
      <c r="M313" s="499"/>
      <c r="N313" s="499"/>
      <c r="O313" s="499"/>
      <c r="P313" s="17"/>
    </row>
    <row r="314" spans="2:20">
      <c r="B314" s="500" t="s">
        <v>13</v>
      </c>
      <c r="F314" s="15"/>
      <c r="O314" s="16"/>
      <c r="P314" s="17"/>
    </row>
    <row r="315" spans="2:20" ht="13.5">
      <c r="F315" s="15"/>
      <c r="H315" s="121"/>
      <c r="I315" s="121"/>
      <c r="J315" s="121"/>
      <c r="K315" s="338" t="s">
        <v>8</v>
      </c>
      <c r="L315" s="169"/>
      <c r="M315" s="169"/>
      <c r="N315" s="169"/>
      <c r="O315" s="169"/>
      <c r="P315" s="17"/>
    </row>
    <row r="316" spans="2:20">
      <c r="F316" s="15"/>
      <c r="G316" s="502"/>
      <c r="H316" s="635"/>
      <c r="I316" s="635"/>
      <c r="J316" s="339">
        <f>$J$7</f>
        <v>2017</v>
      </c>
      <c r="K316" s="503">
        <f>K$7</f>
        <v>2018</v>
      </c>
      <c r="L316" s="503">
        <f>L$7</f>
        <v>2019</v>
      </c>
      <c r="M316" s="503">
        <f>M$7</f>
        <v>2020</v>
      </c>
      <c r="N316" s="503">
        <f>N$7</f>
        <v>2021</v>
      </c>
      <c r="O316" s="503">
        <f>O$7</f>
        <v>2022</v>
      </c>
      <c r="P316" s="17"/>
    </row>
    <row r="317" spans="2:20" ht="6" customHeight="1"/>
    <row r="318" spans="2:20">
      <c r="B318" s="341" t="s">
        <v>256</v>
      </c>
      <c r="K318" s="636"/>
      <c r="L318" s="636"/>
      <c r="M318" s="636"/>
      <c r="N318" s="636"/>
      <c r="O318" s="636"/>
    </row>
    <row r="319" spans="2:20" ht="6" customHeight="1"/>
    <row r="320" spans="2:20">
      <c r="C320" s="877" t="s">
        <v>25</v>
      </c>
      <c r="D320" s="874"/>
    </row>
    <row r="321" spans="2:16">
      <c r="C321" s="874"/>
      <c r="D321" s="876" t="s">
        <v>99</v>
      </c>
      <c r="K321" s="468">
        <f>J323</f>
        <v>0</v>
      </c>
      <c r="L321" s="468">
        <f ca="1">K323</f>
        <v>0</v>
      </c>
      <c r="M321" s="468">
        <f ca="1">L323</f>
        <v>0</v>
      </c>
      <c r="N321" s="468">
        <f ca="1">M323</f>
        <v>0</v>
      </c>
      <c r="O321" s="468">
        <f ca="1">N323</f>
        <v>1.1444852593462969</v>
      </c>
    </row>
    <row r="322" spans="2:16">
      <c r="C322" s="874"/>
      <c r="D322" s="876" t="s">
        <v>106</v>
      </c>
      <c r="H322" s="129"/>
      <c r="I322" s="129"/>
      <c r="J322" s="142"/>
      <c r="K322" s="637">
        <f ca="1">K162</f>
        <v>0</v>
      </c>
      <c r="L322" s="637">
        <f ca="1">L162</f>
        <v>0</v>
      </c>
      <c r="M322" s="637">
        <f ca="1">M162</f>
        <v>0</v>
      </c>
      <c r="N322" s="637">
        <f ca="1">N162</f>
        <v>1.1444852593462969</v>
      </c>
      <c r="O322" s="637">
        <f ca="1">O162</f>
        <v>-1.1444852593462969</v>
      </c>
      <c r="P322" s="447"/>
    </row>
    <row r="323" spans="2:16">
      <c r="C323" s="874"/>
      <c r="D323" s="876" t="s">
        <v>101</v>
      </c>
      <c r="I323" s="638"/>
      <c r="J323" s="639">
        <f>J178</f>
        <v>0</v>
      </c>
      <c r="K323" s="639">
        <f ca="1">SUM(K321:K322)</f>
        <v>0</v>
      </c>
      <c r="L323" s="639">
        <f ca="1">SUM(L321:L322)</f>
        <v>0</v>
      </c>
      <c r="M323" s="639">
        <f ca="1">SUM(M321:M322)</f>
        <v>0</v>
      </c>
      <c r="N323" s="639">
        <f ca="1">SUM(N321:N322)</f>
        <v>1.1444852593462969</v>
      </c>
      <c r="O323" s="639">
        <f ca="1">SUM(O321:O322)</f>
        <v>0</v>
      </c>
    </row>
    <row r="324" spans="2:16" ht="6" customHeight="1">
      <c r="C324" s="874"/>
      <c r="D324" s="874"/>
    </row>
    <row r="325" spans="2:16">
      <c r="C325" s="874"/>
      <c r="D325" s="876" t="s">
        <v>102</v>
      </c>
      <c r="K325" s="640">
        <f>Assumptions!H32</f>
        <v>0.02</v>
      </c>
      <c r="L325" s="641">
        <f>K325</f>
        <v>0.02</v>
      </c>
      <c r="M325" s="641">
        <f>L325</f>
        <v>0.02</v>
      </c>
      <c r="N325" s="641">
        <f>M325</f>
        <v>0.02</v>
      </c>
      <c r="O325" s="641">
        <f>N325</f>
        <v>0.02</v>
      </c>
    </row>
    <row r="326" spans="2:16">
      <c r="C326" s="874"/>
      <c r="D326" s="877" t="s">
        <v>105</v>
      </c>
      <c r="K326" s="642">
        <f ca="1">K325*AVERAGE(K323,K321)</f>
        <v>0</v>
      </c>
      <c r="L326" s="642">
        <f ca="1">L325*AVERAGE(L323,L321)</f>
        <v>0</v>
      </c>
      <c r="M326" s="642">
        <f ca="1">M325*AVERAGE(M323,M321)</f>
        <v>0</v>
      </c>
      <c r="N326" s="642">
        <f ca="1">N325*AVERAGE(N323,N321)</f>
        <v>1.1444852593462968E-2</v>
      </c>
      <c r="O326" s="642">
        <f ca="1">O325*AVERAGE(O323,O321)</f>
        <v>1.1444852593462968E-2</v>
      </c>
    </row>
    <row r="327" spans="2:16" ht="6" customHeight="1"/>
    <row r="329" spans="2:16">
      <c r="C329" s="877" t="s">
        <v>274</v>
      </c>
      <c r="D329" s="874"/>
    </row>
    <row r="330" spans="2:16">
      <c r="B330" s="438"/>
      <c r="C330" s="881"/>
      <c r="D330" s="876" t="s">
        <v>23</v>
      </c>
      <c r="E330" s="129"/>
      <c r="F330" s="399"/>
      <c r="G330" s="129"/>
      <c r="H330" s="643"/>
      <c r="I330" s="643"/>
      <c r="J330" s="643"/>
      <c r="K330" s="505">
        <f ca="1">K145</f>
        <v>43.343485407789203</v>
      </c>
      <c r="L330" s="505">
        <f ca="1">L145</f>
        <v>36.939008982308707</v>
      </c>
      <c r="M330" s="505">
        <f ca="1">M145</f>
        <v>55.488912967843014</v>
      </c>
      <c r="N330" s="505">
        <f ca="1">N145</f>
        <v>53.833240742335242</v>
      </c>
      <c r="O330" s="505">
        <f ca="1">O145</f>
        <v>43.116278712183842</v>
      </c>
    </row>
    <row r="331" spans="2:16">
      <c r="B331" s="438"/>
      <c r="C331" s="881"/>
      <c r="D331" s="876" t="s">
        <v>215</v>
      </c>
      <c r="E331" s="129"/>
      <c r="F331" s="399"/>
      <c r="G331" s="129"/>
      <c r="H331" s="644"/>
      <c r="I331" s="644"/>
      <c r="J331" s="643"/>
      <c r="K331" s="505">
        <f>K151</f>
        <v>-16</v>
      </c>
      <c r="L331" s="505">
        <f>L151</f>
        <v>-17</v>
      </c>
      <c r="M331" s="505">
        <f>M151</f>
        <v>-17.34</v>
      </c>
      <c r="N331" s="505">
        <f>N151</f>
        <v>-17.773499999999999</v>
      </c>
      <c r="O331" s="505">
        <f>O151</f>
        <v>-18.217837499999998</v>
      </c>
    </row>
    <row r="332" spans="2:16">
      <c r="B332" s="438"/>
      <c r="C332" s="881"/>
      <c r="D332" s="876" t="s">
        <v>291</v>
      </c>
      <c r="E332" s="129"/>
      <c r="F332" s="399"/>
      <c r="G332" s="129"/>
      <c r="H332" s="644"/>
      <c r="I332" s="644"/>
      <c r="J332" s="643"/>
      <c r="K332" s="505">
        <f>K346</f>
        <v>-25</v>
      </c>
      <c r="L332" s="505">
        <f>L346</f>
        <v>-25</v>
      </c>
      <c r="M332" s="505">
        <f>M346</f>
        <v>-25</v>
      </c>
      <c r="N332" s="505">
        <f>N346</f>
        <v>-25</v>
      </c>
      <c r="O332" s="505">
        <f>O346</f>
        <v>-25</v>
      </c>
    </row>
    <row r="333" spans="2:16">
      <c r="B333" s="438"/>
      <c r="C333" s="881"/>
      <c r="D333" s="876" t="s">
        <v>255</v>
      </c>
      <c r="E333" s="129"/>
      <c r="F333" s="399"/>
      <c r="G333" s="129"/>
      <c r="H333" s="644"/>
      <c r="I333" s="644"/>
      <c r="J333" s="643"/>
      <c r="K333" s="415">
        <f ca="1">K158</f>
        <v>-3.3066464459349714</v>
      </c>
      <c r="L333" s="415">
        <f ca="1">L158</f>
        <v>-1.9102965951896316</v>
      </c>
      <c r="M333" s="415">
        <f ca="1">M158</f>
        <v>-8.0688517814388128</v>
      </c>
      <c r="N333" s="415">
        <f ca="1">N158</f>
        <v>-7.0608680183664552</v>
      </c>
      <c r="O333" s="415">
        <f ca="1">O158</f>
        <v>-3.9560946370458154</v>
      </c>
    </row>
    <row r="334" spans="2:16">
      <c r="C334" s="874"/>
      <c r="D334" s="877" t="s">
        <v>290</v>
      </c>
      <c r="K334" s="221">
        <f ca="1">SUM(K330:K333)</f>
        <v>-0.9631610381457687</v>
      </c>
      <c r="L334" s="221">
        <f ca="1">SUM(L330:L333)</f>
        <v>-6.9712876128809249</v>
      </c>
      <c r="M334" s="221">
        <f ca="1">SUM(M330:M333)</f>
        <v>5.0800611864042047</v>
      </c>
      <c r="N334" s="221">
        <f ca="1">SUM(N330:N333)</f>
        <v>3.9988727239687885</v>
      </c>
      <c r="O334" s="221">
        <f ca="1">SUM(O330:O333)</f>
        <v>-4.0576534248619716</v>
      </c>
    </row>
    <row r="335" spans="2:16">
      <c r="C335" s="341"/>
      <c r="D335" s="874"/>
    </row>
    <row r="336" spans="2:16">
      <c r="C336" s="874"/>
      <c r="D336" s="876" t="s">
        <v>292</v>
      </c>
      <c r="K336" s="468">
        <f>J338</f>
        <v>0</v>
      </c>
      <c r="L336" s="468">
        <f ca="1">K338</f>
        <v>0.9631610381457687</v>
      </c>
      <c r="M336" s="468">
        <f ca="1">L338</f>
        <v>7.9344486510266936</v>
      </c>
      <c r="N336" s="468">
        <f ca="1">M338</f>
        <v>2.8543874646224889</v>
      </c>
      <c r="O336" s="468">
        <f ca="1">N338</f>
        <v>0</v>
      </c>
    </row>
    <row r="337" spans="3:16">
      <c r="C337" s="874"/>
      <c r="D337" s="876" t="s">
        <v>100</v>
      </c>
      <c r="H337" s="129"/>
      <c r="I337" s="129"/>
      <c r="J337" s="142"/>
      <c r="K337" s="637">
        <f ca="1">-MIN((K334+K321),K336)</f>
        <v>0.9631610381457687</v>
      </c>
      <c r="L337" s="637">
        <f ca="1">-MIN((L334+L321),L336)</f>
        <v>6.9712876128809249</v>
      </c>
      <c r="M337" s="637">
        <f ca="1">-MIN((M334+M321),M336)</f>
        <v>-5.0800611864042047</v>
      </c>
      <c r="N337" s="637">
        <f ca="1">-MIN((N334+N321),N336)</f>
        <v>-2.8543874646224889</v>
      </c>
      <c r="O337" s="637">
        <f ca="1">-MIN((O334+O321),O336)</f>
        <v>2.9131681655156747</v>
      </c>
      <c r="P337" s="447"/>
    </row>
    <row r="338" spans="3:16">
      <c r="C338" s="874"/>
      <c r="D338" s="876" t="s">
        <v>293</v>
      </c>
      <c r="H338" s="129"/>
      <c r="I338" s="638"/>
      <c r="J338" s="639">
        <f>J190</f>
        <v>0</v>
      </c>
      <c r="K338" s="639">
        <f ca="1">SUM(K336:K337)</f>
        <v>0.9631610381457687</v>
      </c>
      <c r="L338" s="639">
        <f ca="1">SUM(L336:L337)</f>
        <v>7.9344486510266936</v>
      </c>
      <c r="M338" s="639">
        <f ca="1">SUM(M336:M337)</f>
        <v>2.8543874646224889</v>
      </c>
      <c r="N338" s="639">
        <f ca="1">SUM(N336:N337)</f>
        <v>0</v>
      </c>
      <c r="O338" s="639">
        <f ca="1">SUM(O336:O337)</f>
        <v>2.9131681655156747</v>
      </c>
    </row>
    <row r="339" spans="3:16" ht="6" customHeight="1">
      <c r="C339" s="874"/>
      <c r="D339" s="874"/>
    </row>
    <row r="340" spans="3:16">
      <c r="C340" s="874"/>
      <c r="D340" s="876" t="s">
        <v>102</v>
      </c>
      <c r="K340" s="645">
        <f>Assumptions!H33</f>
        <v>0.08</v>
      </c>
      <c r="L340" s="387">
        <f>K340</f>
        <v>0.08</v>
      </c>
      <c r="M340" s="387">
        <f>L340</f>
        <v>0.08</v>
      </c>
      <c r="N340" s="387">
        <f>M340</f>
        <v>0.08</v>
      </c>
      <c r="O340" s="387">
        <f>N340</f>
        <v>0.08</v>
      </c>
    </row>
    <row r="341" spans="3:16">
      <c r="C341" s="874"/>
      <c r="D341" s="877" t="s">
        <v>103</v>
      </c>
      <c r="K341" s="642">
        <f ca="1">K340*AVERAGE(K338,K336)</f>
        <v>3.8526441525830749E-2</v>
      </c>
      <c r="L341" s="642">
        <f ca="1">L340*AVERAGE(L338,L336)</f>
        <v>0.35590438756689852</v>
      </c>
      <c r="M341" s="642">
        <f ca="1">M340*AVERAGE(M338,M336)</f>
        <v>0.43155344462596729</v>
      </c>
      <c r="N341" s="642">
        <f ca="1">N340*AVERAGE(N338,N336)</f>
        <v>0.11417549858489956</v>
      </c>
      <c r="O341" s="642">
        <f ca="1">O340*AVERAGE(O338,O336)</f>
        <v>0.11652672662062699</v>
      </c>
    </row>
    <row r="342" spans="3:16" ht="6" customHeight="1"/>
    <row r="344" spans="3:16">
      <c r="C344" s="877" t="s">
        <v>275</v>
      </c>
      <c r="D344" s="874"/>
    </row>
    <row r="345" spans="3:16">
      <c r="C345" s="874"/>
      <c r="D345" s="876" t="s">
        <v>99</v>
      </c>
      <c r="K345" s="468">
        <f>J347</f>
        <v>200</v>
      </c>
      <c r="L345" s="468">
        <f>K347</f>
        <v>175</v>
      </c>
      <c r="M345" s="468">
        <f>L347</f>
        <v>150</v>
      </c>
      <c r="N345" s="468">
        <f>M347</f>
        <v>125</v>
      </c>
      <c r="O345" s="468">
        <f>N347</f>
        <v>100</v>
      </c>
    </row>
    <row r="346" spans="3:16">
      <c r="C346" s="874"/>
      <c r="D346" s="876" t="s">
        <v>100</v>
      </c>
      <c r="H346" s="129"/>
      <c r="I346" s="129"/>
      <c r="J346" s="142"/>
      <c r="K346" s="646">
        <f>Assumptions!G88</f>
        <v>-25</v>
      </c>
      <c r="L346" s="646">
        <f>Assumptions!H88</f>
        <v>-25</v>
      </c>
      <c r="M346" s="646">
        <f>Assumptions!I88</f>
        <v>-25</v>
      </c>
      <c r="N346" s="646">
        <f>Assumptions!J88</f>
        <v>-25</v>
      </c>
      <c r="O346" s="646">
        <f>Assumptions!K88</f>
        <v>-25</v>
      </c>
    </row>
    <row r="347" spans="3:16">
      <c r="C347" s="874"/>
      <c r="D347" s="876" t="s">
        <v>101</v>
      </c>
      <c r="I347" s="638"/>
      <c r="J347" s="639">
        <f>J196</f>
        <v>200</v>
      </c>
      <c r="K347" s="639">
        <f>SUM(K345:K346)</f>
        <v>175</v>
      </c>
      <c r="L347" s="639">
        <f>SUM(L345:L346)</f>
        <v>150</v>
      </c>
      <c r="M347" s="639">
        <f>SUM(M345:M346)</f>
        <v>125</v>
      </c>
      <c r="N347" s="639">
        <f>SUM(N345:N346)</f>
        <v>100</v>
      </c>
      <c r="O347" s="639">
        <f>SUM(O345:O346)</f>
        <v>75</v>
      </c>
    </row>
    <row r="348" spans="3:16" ht="6" customHeight="1">
      <c r="C348" s="874"/>
      <c r="D348" s="874"/>
    </row>
    <row r="349" spans="3:16">
      <c r="C349" s="874"/>
      <c r="D349" s="876" t="s">
        <v>102</v>
      </c>
      <c r="K349" s="645">
        <f>Assumptions!H34</f>
        <v>0.08</v>
      </c>
      <c r="L349" s="387">
        <f>K349</f>
        <v>0.08</v>
      </c>
      <c r="M349" s="387">
        <f>L349</f>
        <v>0.08</v>
      </c>
      <c r="N349" s="387">
        <f>M349</f>
        <v>0.08</v>
      </c>
      <c r="O349" s="387">
        <f>N349</f>
        <v>0.08</v>
      </c>
    </row>
    <row r="350" spans="3:16">
      <c r="C350" s="874"/>
      <c r="D350" s="877" t="s">
        <v>103</v>
      </c>
      <c r="K350" s="642">
        <f>K349*AVERAGE(K347,K345)</f>
        <v>15</v>
      </c>
      <c r="L350" s="642">
        <f>L349*AVERAGE(L347,L345)</f>
        <v>13</v>
      </c>
      <c r="M350" s="642">
        <f>M349*AVERAGE(M347,M345)</f>
        <v>11</v>
      </c>
      <c r="N350" s="642">
        <f>N349*AVERAGE(N347,N345)</f>
        <v>9</v>
      </c>
      <c r="O350" s="642">
        <f>O349*AVERAGE(O347,O345)</f>
        <v>7</v>
      </c>
    </row>
    <row r="353" spans="2:16" ht="13.5" thickBot="1">
      <c r="C353" s="341" t="s">
        <v>109</v>
      </c>
      <c r="K353" s="471">
        <f ca="1">K350+K341-K326</f>
        <v>15.03852644152583</v>
      </c>
      <c r="L353" s="471">
        <f ca="1">L350+L341-L326</f>
        <v>13.355904387566898</v>
      </c>
      <c r="M353" s="471">
        <f ca="1">M350+M341-M326</f>
        <v>11.431553444625967</v>
      </c>
      <c r="N353" s="471">
        <f ca="1">N350+N341-N326</f>
        <v>9.1027306459914357</v>
      </c>
      <c r="O353" s="471">
        <f ca="1">O350+O341-O326</f>
        <v>7.1050818740271637</v>
      </c>
    </row>
    <row r="354" spans="2:16" ht="13.5" thickTop="1">
      <c r="B354" s="142"/>
      <c r="C354" s="142"/>
      <c r="D354" s="142"/>
      <c r="E354" s="142"/>
      <c r="F354" s="396"/>
      <c r="G354" s="142"/>
      <c r="H354" s="142"/>
      <c r="I354" s="142"/>
      <c r="J354" s="142"/>
      <c r="K354" s="142"/>
      <c r="L354" s="142"/>
      <c r="M354" s="142"/>
      <c r="N354" s="142"/>
      <c r="O354" s="142"/>
    </row>
    <row r="355" spans="2:16">
      <c r="B355" s="129"/>
      <c r="C355" s="129"/>
      <c r="D355" s="129"/>
      <c r="E355" s="129"/>
      <c r="F355" s="399"/>
      <c r="G355" s="129"/>
      <c r="H355" s="129"/>
      <c r="I355" s="129"/>
      <c r="J355" s="129"/>
      <c r="K355" s="129"/>
      <c r="L355" s="129"/>
      <c r="M355" s="129"/>
      <c r="N355" s="129"/>
      <c r="O355" s="129"/>
    </row>
    <row r="356" spans="2:16" ht="12.75" customHeight="1">
      <c r="B356" s="1"/>
      <c r="C356" s="13"/>
      <c r="D356" s="13"/>
      <c r="E356" s="13"/>
      <c r="F356" s="13"/>
      <c r="G356" s="13"/>
      <c r="H356" s="13"/>
      <c r="I356" s="13"/>
      <c r="J356" s="13"/>
      <c r="K356" s="13"/>
      <c r="L356" s="13"/>
      <c r="M356" s="13"/>
      <c r="N356" s="13"/>
      <c r="O356" s="401" t="str">
        <f>O310</f>
        <v>CURRENTLY RUNNING: BASE CASE SCENARIO</v>
      </c>
      <c r="P356" s="17"/>
    </row>
    <row r="357" spans="2:16" ht="22.5">
      <c r="B357" s="1" t="str">
        <f>B311</f>
        <v>Medallion Mouldings</v>
      </c>
      <c r="C357" s="13"/>
      <c r="D357" s="13"/>
      <c r="E357" s="13"/>
      <c r="F357" s="13"/>
      <c r="G357" s="13"/>
      <c r="H357" s="13"/>
      <c r="I357" s="13"/>
      <c r="J357" s="13"/>
      <c r="K357" s="13"/>
      <c r="L357" s="13"/>
      <c r="M357" s="13"/>
      <c r="N357" s="13"/>
      <c r="O357" s="13"/>
      <c r="P357" s="17"/>
    </row>
    <row r="358" spans="2:16" ht="17.5">
      <c r="B358" s="330" t="s">
        <v>232</v>
      </c>
      <c r="C358" s="121"/>
      <c r="D358" s="121"/>
      <c r="E358" s="121"/>
      <c r="F358" s="121"/>
      <c r="G358" s="121"/>
      <c r="H358" s="121"/>
      <c r="I358" s="121"/>
      <c r="J358" s="121"/>
      <c r="K358" s="121"/>
      <c r="L358" s="121"/>
      <c r="M358" s="121"/>
      <c r="N358" s="121"/>
      <c r="O358" s="121"/>
      <c r="P358" s="17"/>
    </row>
    <row r="359" spans="2:16" ht="6" customHeight="1" thickBot="1">
      <c r="B359" s="334"/>
      <c r="C359" s="499"/>
      <c r="D359" s="499"/>
      <c r="E359" s="499"/>
      <c r="F359" s="499"/>
      <c r="G359" s="499"/>
      <c r="H359" s="499"/>
      <c r="I359" s="499"/>
      <c r="J359" s="499"/>
      <c r="K359" s="499"/>
      <c r="L359" s="499"/>
      <c r="M359" s="499"/>
      <c r="N359" s="499"/>
      <c r="O359" s="499"/>
      <c r="P359" s="17"/>
    </row>
    <row r="360" spans="2:16">
      <c r="B360" s="500" t="s">
        <v>13</v>
      </c>
      <c r="F360" s="15"/>
      <c r="O360" s="16"/>
      <c r="P360" s="17"/>
    </row>
    <row r="361" spans="2:16" ht="13.5">
      <c r="F361" s="15"/>
      <c r="H361" s="121"/>
      <c r="I361" s="121"/>
      <c r="J361" s="121"/>
      <c r="K361" s="338" t="s">
        <v>8</v>
      </c>
      <c r="L361" s="169"/>
      <c r="M361" s="169"/>
      <c r="N361" s="169"/>
      <c r="O361" s="169"/>
      <c r="P361" s="17"/>
    </row>
    <row r="362" spans="2:16">
      <c r="F362" s="15"/>
      <c r="G362" s="502"/>
      <c r="H362" s="635"/>
      <c r="I362" s="635"/>
      <c r="J362" s="339">
        <f>$J$7</f>
        <v>2017</v>
      </c>
      <c r="K362" s="503">
        <f>K$7</f>
        <v>2018</v>
      </c>
      <c r="L362" s="503">
        <f>L$7</f>
        <v>2019</v>
      </c>
      <c r="M362" s="503">
        <f>M$7</f>
        <v>2020</v>
      </c>
      <c r="N362" s="503">
        <f>N$7</f>
        <v>2021</v>
      </c>
      <c r="O362" s="503">
        <f>O$7</f>
        <v>2022</v>
      </c>
      <c r="P362" s="17"/>
    </row>
    <row r="364" spans="2:16" ht="13.15" customHeight="1">
      <c r="B364" s="341"/>
      <c r="C364" s="877" t="s">
        <v>233</v>
      </c>
      <c r="D364" s="876"/>
      <c r="E364" s="129"/>
      <c r="F364" s="399"/>
      <c r="G364" s="129"/>
      <c r="H364" s="129"/>
      <c r="I364" s="129"/>
      <c r="J364" s="129"/>
      <c r="K364" s="129"/>
      <c r="L364" s="129"/>
      <c r="M364" s="129"/>
      <c r="N364" s="129"/>
      <c r="O364" s="129"/>
    </row>
    <row r="365" spans="2:16" ht="13.15" customHeight="1">
      <c r="C365" s="876"/>
      <c r="D365" s="876" t="s">
        <v>99</v>
      </c>
      <c r="E365" s="129"/>
      <c r="F365" s="399"/>
      <c r="G365" s="350"/>
      <c r="H365" s="129"/>
      <c r="I365" s="129"/>
      <c r="J365" s="129"/>
      <c r="K365" s="468">
        <f>J367</f>
        <v>120</v>
      </c>
      <c r="L365" s="468">
        <f>K367</f>
        <v>120</v>
      </c>
      <c r="M365" s="468">
        <f>L367</f>
        <v>120</v>
      </c>
      <c r="N365" s="468">
        <f>M367</f>
        <v>120</v>
      </c>
      <c r="O365" s="468">
        <f>N367</f>
        <v>120</v>
      </c>
    </row>
    <row r="366" spans="2:16" ht="13.15" customHeight="1">
      <c r="C366" s="876"/>
      <c r="D366" s="876" t="s">
        <v>247</v>
      </c>
      <c r="E366" s="129"/>
      <c r="F366" s="399"/>
      <c r="G366" s="129"/>
      <c r="H366" s="129"/>
      <c r="I366" s="129"/>
      <c r="J366" s="142"/>
      <c r="K366" s="646">
        <f>Assumptions!G90</f>
        <v>0</v>
      </c>
      <c r="L366" s="646">
        <f>Assumptions!H90</f>
        <v>0</v>
      </c>
      <c r="M366" s="646">
        <f>Assumptions!I90</f>
        <v>0</v>
      </c>
      <c r="N366" s="646">
        <f>Assumptions!J90</f>
        <v>0</v>
      </c>
      <c r="O366" s="646">
        <f>Assumptions!K90</f>
        <v>0</v>
      </c>
    </row>
    <row r="367" spans="2:16" ht="13.15" customHeight="1">
      <c r="C367" s="876"/>
      <c r="D367" s="876" t="s">
        <v>101</v>
      </c>
      <c r="E367" s="129"/>
      <c r="F367" s="399"/>
      <c r="G367" s="129"/>
      <c r="H367" s="129"/>
      <c r="I367" s="129"/>
      <c r="J367" s="639">
        <f>J201</f>
        <v>120</v>
      </c>
      <c r="K367" s="639">
        <f>SUM(K365:K366)</f>
        <v>120</v>
      </c>
      <c r="L367" s="639">
        <f>SUM(L365:L366)</f>
        <v>120</v>
      </c>
      <c r="M367" s="639">
        <f>SUM(M365:M366)</f>
        <v>120</v>
      </c>
      <c r="N367" s="639">
        <f>SUM(N365:N366)</f>
        <v>120</v>
      </c>
      <c r="O367" s="639">
        <f>SUM(O365:O366)</f>
        <v>120</v>
      </c>
    </row>
    <row r="368" spans="2:16" ht="6" customHeight="1">
      <c r="C368" s="876"/>
      <c r="D368" s="876"/>
      <c r="E368" s="129"/>
      <c r="F368" s="399"/>
      <c r="G368" s="129"/>
      <c r="H368" s="129"/>
      <c r="I368" s="129"/>
      <c r="J368" s="129"/>
      <c r="K368" s="129"/>
      <c r="L368" s="129"/>
      <c r="M368" s="129"/>
      <c r="N368" s="129"/>
      <c r="O368" s="129"/>
    </row>
    <row r="369" spans="2:15" ht="13.15" customHeight="1">
      <c r="C369" s="876"/>
      <c r="D369" s="876" t="s">
        <v>234</v>
      </c>
      <c r="E369" s="129"/>
      <c r="F369" s="399"/>
      <c r="G369" s="129"/>
      <c r="H369" s="129"/>
      <c r="I369" s="129"/>
      <c r="J369" s="129"/>
      <c r="K369" s="645">
        <f>Assumptions!N8</f>
        <v>0.2</v>
      </c>
      <c r="L369" s="387">
        <f>K369</f>
        <v>0.2</v>
      </c>
      <c r="M369" s="387">
        <f>L369</f>
        <v>0.2</v>
      </c>
      <c r="N369" s="387">
        <f>M369</f>
        <v>0.2</v>
      </c>
      <c r="O369" s="387">
        <f>N369</f>
        <v>0.2</v>
      </c>
    </row>
    <row r="370" spans="2:15" ht="13.15" customHeight="1">
      <c r="C370" s="876"/>
      <c r="D370" s="876" t="s">
        <v>19</v>
      </c>
      <c r="E370" s="129"/>
      <c r="F370" s="399"/>
      <c r="G370" s="129"/>
      <c r="H370" s="129"/>
      <c r="I370" s="129"/>
      <c r="J370" s="129"/>
      <c r="K370" s="468">
        <f ca="1">K121</f>
        <v>16.533232229674855</v>
      </c>
      <c r="L370" s="468">
        <f ca="1">L121</f>
        <v>9.5514829759481579</v>
      </c>
      <c r="M370" s="468">
        <f ca="1">M121</f>
        <v>40.34425890719406</v>
      </c>
      <c r="N370" s="468">
        <f ca="1">N121</f>
        <v>35.304340091832273</v>
      </c>
      <c r="O370" s="468">
        <f ca="1">O121</f>
        <v>19.780473185229077</v>
      </c>
    </row>
    <row r="371" spans="2:15" ht="13.15" customHeight="1">
      <c r="C371" s="876"/>
      <c r="D371" s="877" t="s">
        <v>235</v>
      </c>
      <c r="E371" s="129"/>
      <c r="F371" s="399"/>
      <c r="G371" s="129"/>
      <c r="H371" s="129"/>
      <c r="I371" s="129"/>
      <c r="J371" s="129"/>
      <c r="K371" s="642">
        <f ca="1">MAX(K370*K369,0)</f>
        <v>3.3066464459349714</v>
      </c>
      <c r="L371" s="642">
        <f ca="1">MAX(L370*L369,0)</f>
        <v>1.9102965951896316</v>
      </c>
      <c r="M371" s="642">
        <f ca="1">MAX(M370*M369,0)</f>
        <v>8.0688517814388128</v>
      </c>
      <c r="N371" s="642">
        <f ca="1">MAX(N370*N369,0)</f>
        <v>7.0608680183664552</v>
      </c>
      <c r="O371" s="642">
        <f ca="1">MAX(O370*O369,0)</f>
        <v>3.9560946370458154</v>
      </c>
    </row>
    <row r="372" spans="2:15">
      <c r="B372" s="129"/>
      <c r="C372" s="129"/>
      <c r="D372" s="129"/>
      <c r="E372" s="129"/>
      <c r="F372" s="399"/>
      <c r="G372" s="129"/>
      <c r="H372" s="129"/>
      <c r="I372" s="129"/>
      <c r="J372" s="129"/>
      <c r="K372" s="129"/>
      <c r="L372" s="129"/>
      <c r="M372" s="129"/>
      <c r="N372" s="129"/>
      <c r="O372" s="129"/>
    </row>
    <row r="373" spans="2:15">
      <c r="B373" s="129"/>
      <c r="C373" s="129"/>
      <c r="D373" s="129"/>
      <c r="E373" s="129"/>
      <c r="F373" s="399"/>
      <c r="G373" s="129"/>
      <c r="H373" s="129"/>
      <c r="I373" s="129"/>
      <c r="J373" s="129"/>
      <c r="K373" s="129"/>
      <c r="L373" s="129"/>
      <c r="M373" s="129"/>
      <c r="N373" s="129"/>
      <c r="O373" s="129"/>
    </row>
    <row r="374" spans="2:15" ht="13.15" customHeight="1">
      <c r="B374" s="341"/>
      <c r="C374" s="877" t="s">
        <v>236</v>
      </c>
      <c r="D374" s="876"/>
      <c r="E374" s="129"/>
      <c r="F374" s="399"/>
      <c r="G374" s="129"/>
      <c r="H374" s="129"/>
      <c r="I374" s="129"/>
      <c r="J374" s="129"/>
      <c r="K374" s="129"/>
      <c r="L374" s="129"/>
      <c r="M374" s="129"/>
      <c r="N374" s="129"/>
      <c r="O374" s="129"/>
    </row>
    <row r="375" spans="2:15" ht="13.15" customHeight="1">
      <c r="C375" s="876"/>
      <c r="D375" s="876" t="s">
        <v>99</v>
      </c>
      <c r="E375" s="129"/>
      <c r="F375" s="399"/>
      <c r="G375" s="129"/>
      <c r="H375" s="129"/>
      <c r="I375" s="129"/>
      <c r="J375" s="129"/>
      <c r="K375" s="468">
        <f>J378</f>
        <v>111.6</v>
      </c>
      <c r="L375" s="468">
        <f ca="1">K378</f>
        <v>124.82658578373989</v>
      </c>
      <c r="M375" s="468">
        <f ca="1">L378</f>
        <v>132.4677721644984</v>
      </c>
      <c r="N375" s="468">
        <f ca="1">M378</f>
        <v>164.74317929025364</v>
      </c>
      <c r="O375" s="468">
        <f ca="1">N378</f>
        <v>192.98665136371946</v>
      </c>
    </row>
    <row r="376" spans="2:15" ht="13.15" customHeight="1">
      <c r="C376" s="876"/>
      <c r="D376" s="876" t="s">
        <v>19</v>
      </c>
      <c r="E376" s="129"/>
      <c r="F376" s="399"/>
      <c r="G376" s="129"/>
      <c r="H376" s="129"/>
      <c r="I376" s="129"/>
      <c r="J376" s="129"/>
      <c r="K376" s="468">
        <f ca="1">K121</f>
        <v>16.533232229674855</v>
      </c>
      <c r="L376" s="468">
        <f ca="1">L121</f>
        <v>9.5514829759481579</v>
      </c>
      <c r="M376" s="468">
        <f ca="1">M121</f>
        <v>40.34425890719406</v>
      </c>
      <c r="N376" s="468">
        <f ca="1">N121</f>
        <v>35.304340091832273</v>
      </c>
      <c r="O376" s="468">
        <f ca="1">O121</f>
        <v>19.780473185229077</v>
      </c>
    </row>
    <row r="377" spans="2:15" ht="13.15" customHeight="1">
      <c r="C377" s="876"/>
      <c r="D377" s="876" t="s">
        <v>235</v>
      </c>
      <c r="E377" s="129"/>
      <c r="F377" s="399"/>
      <c r="G377" s="129"/>
      <c r="H377" s="129"/>
      <c r="I377" s="129"/>
      <c r="J377" s="142"/>
      <c r="K377" s="637">
        <f ca="1">-K371</f>
        <v>-3.3066464459349714</v>
      </c>
      <c r="L377" s="637">
        <f ca="1">-L371</f>
        <v>-1.9102965951896316</v>
      </c>
      <c r="M377" s="637">
        <f ca="1">-M371</f>
        <v>-8.0688517814388128</v>
      </c>
      <c r="N377" s="637">
        <f ca="1">-N371</f>
        <v>-7.0608680183664552</v>
      </c>
      <c r="O377" s="637">
        <f ca="1">-O371</f>
        <v>-3.9560946370458154</v>
      </c>
    </row>
    <row r="378" spans="2:15" ht="13.15" customHeight="1">
      <c r="C378" s="876"/>
      <c r="D378" s="877" t="s">
        <v>101</v>
      </c>
      <c r="E378" s="438"/>
      <c r="F378" s="556"/>
      <c r="G378" s="438"/>
      <c r="H378" s="438"/>
      <c r="I378" s="438"/>
      <c r="J378" s="221">
        <f>J202</f>
        <v>111.6</v>
      </c>
      <c r="K378" s="221">
        <f ca="1">SUM(K375:K377)</f>
        <v>124.82658578373989</v>
      </c>
      <c r="L378" s="221">
        <f ca="1">SUM(L375:L377)</f>
        <v>132.4677721644984</v>
      </c>
      <c r="M378" s="221">
        <f ca="1">SUM(M375:M377)</f>
        <v>164.74317929025364</v>
      </c>
      <c r="N378" s="221">
        <f ca="1">SUM(N375:N377)</f>
        <v>192.98665136371946</v>
      </c>
      <c r="O378" s="221">
        <f ca="1">SUM(O375:O377)</f>
        <v>208.81102991190272</v>
      </c>
    </row>
    <row r="379" spans="2:15">
      <c r="B379" s="129"/>
      <c r="C379" s="129"/>
      <c r="D379" s="129"/>
      <c r="E379" s="129"/>
      <c r="F379" s="399"/>
      <c r="G379" s="129"/>
      <c r="H379" s="129"/>
      <c r="I379" s="129"/>
      <c r="J379" s="129"/>
      <c r="K379" s="129"/>
      <c r="L379" s="129"/>
      <c r="M379" s="129"/>
      <c r="N379" s="129"/>
      <c r="O379" s="129"/>
    </row>
    <row r="380" spans="2:15">
      <c r="B380" s="129"/>
      <c r="C380" s="129"/>
      <c r="D380" s="129"/>
      <c r="E380" s="129"/>
      <c r="F380" s="399"/>
      <c r="G380" s="129"/>
      <c r="H380" s="129"/>
      <c r="I380" s="129"/>
      <c r="J380" s="129"/>
      <c r="K380" s="129"/>
      <c r="L380" s="129"/>
      <c r="M380" s="129"/>
      <c r="N380" s="129"/>
      <c r="O380" s="129"/>
    </row>
    <row r="381" spans="2:15">
      <c r="B381" s="129"/>
      <c r="C381" s="877" t="s">
        <v>244</v>
      </c>
      <c r="D381" s="876"/>
      <c r="E381" s="129"/>
      <c r="F381" s="399"/>
      <c r="G381" s="129"/>
      <c r="H381" s="129"/>
      <c r="I381" s="129"/>
      <c r="J381" s="129"/>
      <c r="K381" s="129"/>
      <c r="L381" s="129"/>
      <c r="M381" s="129"/>
      <c r="N381" s="129"/>
      <c r="O381" s="129"/>
    </row>
    <row r="382" spans="2:15">
      <c r="B382" s="129"/>
      <c r="C382" s="876"/>
      <c r="D382" s="876" t="s">
        <v>245</v>
      </c>
      <c r="E382" s="129"/>
      <c r="F382" s="399"/>
      <c r="G382" s="129"/>
      <c r="H382" s="129"/>
      <c r="I382" s="129"/>
      <c r="J382" s="129"/>
      <c r="K382" s="645">
        <f>Assumptions!N23</f>
        <v>0.15</v>
      </c>
      <c r="L382" s="387">
        <f>K382</f>
        <v>0.15</v>
      </c>
      <c r="M382" s="387">
        <f>L382</f>
        <v>0.15</v>
      </c>
      <c r="N382" s="387">
        <f>M382</f>
        <v>0.15</v>
      </c>
      <c r="O382" s="387">
        <f>N382</f>
        <v>0.15</v>
      </c>
    </row>
    <row r="383" spans="2:15">
      <c r="B383" s="129"/>
      <c r="C383" s="876"/>
      <c r="D383" s="876" t="s">
        <v>246</v>
      </c>
      <c r="E383" s="129"/>
      <c r="F383" s="399"/>
      <c r="G383" s="129"/>
      <c r="H383" s="129"/>
      <c r="I383" s="129"/>
      <c r="J383" s="647">
        <f>Assumptions!N7</f>
        <v>10.8</v>
      </c>
      <c r="K383" s="648">
        <f>J383*(1+K382)</f>
        <v>12.42</v>
      </c>
      <c r="L383" s="648">
        <f>K383*(1+L382)</f>
        <v>14.282999999999999</v>
      </c>
      <c r="M383" s="648">
        <f>L383*(1+M382)</f>
        <v>16.425449999999998</v>
      </c>
      <c r="N383" s="648">
        <f>M383*(1+N382)</f>
        <v>18.889267499999995</v>
      </c>
      <c r="O383" s="648">
        <f>N383*(1+O382)</f>
        <v>21.722657624999993</v>
      </c>
    </row>
    <row r="384" spans="2:15">
      <c r="B384" s="129"/>
      <c r="C384" s="876"/>
      <c r="D384" s="876"/>
      <c r="E384" s="129"/>
      <c r="F384" s="399"/>
      <c r="G384" s="129"/>
      <c r="H384" s="129"/>
      <c r="I384" s="129"/>
      <c r="J384" s="129"/>
      <c r="K384" s="129"/>
      <c r="L384" s="129"/>
      <c r="M384" s="129"/>
      <c r="N384" s="129"/>
      <c r="O384" s="129"/>
    </row>
    <row r="385" spans="2:16">
      <c r="B385" s="129"/>
      <c r="C385" s="876"/>
      <c r="D385" s="876" t="s">
        <v>248</v>
      </c>
      <c r="E385" s="212"/>
      <c r="F385" s="649"/>
      <c r="G385" s="212"/>
      <c r="H385" s="212"/>
      <c r="I385" s="212"/>
      <c r="J385" s="212"/>
      <c r="K385" s="650">
        <f>J388</f>
        <v>14.8</v>
      </c>
      <c r="L385" s="650">
        <f>K388</f>
        <v>15.3</v>
      </c>
      <c r="M385" s="650">
        <f>L388</f>
        <v>15.8</v>
      </c>
      <c r="N385" s="650">
        <f>M388</f>
        <v>15.8</v>
      </c>
      <c r="O385" s="650">
        <f>N388</f>
        <v>15.8</v>
      </c>
    </row>
    <row r="386" spans="2:16">
      <c r="B386" s="129"/>
      <c r="C386" s="876"/>
      <c r="D386" s="876" t="s">
        <v>247</v>
      </c>
      <c r="E386" s="212"/>
      <c r="F386" s="649"/>
      <c r="G386" s="212"/>
      <c r="H386" s="212"/>
      <c r="I386" s="212"/>
      <c r="J386" s="650"/>
      <c r="K386" s="650">
        <f>K366/K383</f>
        <v>0</v>
      </c>
      <c r="L386" s="650">
        <f>L366/L383</f>
        <v>0</v>
      </c>
      <c r="M386" s="650">
        <f>M366/M383</f>
        <v>0</v>
      </c>
      <c r="N386" s="650">
        <f>N366/N383</f>
        <v>0</v>
      </c>
      <c r="O386" s="650">
        <f>O366/O383</f>
        <v>0</v>
      </c>
    </row>
    <row r="387" spans="2:16">
      <c r="B387" s="129"/>
      <c r="C387" s="876"/>
      <c r="D387" s="876" t="s">
        <v>250</v>
      </c>
      <c r="E387" s="212"/>
      <c r="F387" s="649"/>
      <c r="G387" s="212"/>
      <c r="H387" s="212"/>
      <c r="I387" s="212"/>
      <c r="J387" s="651"/>
      <c r="K387" s="651">
        <f>Assumptions!G91</f>
        <v>0.5</v>
      </c>
      <c r="L387" s="651">
        <f>Assumptions!H91</f>
        <v>0.5</v>
      </c>
      <c r="M387" s="651">
        <f>Assumptions!I91</f>
        <v>0</v>
      </c>
      <c r="N387" s="651">
        <f>Assumptions!J91</f>
        <v>0</v>
      </c>
      <c r="O387" s="651">
        <f>Assumptions!K91</f>
        <v>0</v>
      </c>
    </row>
    <row r="388" spans="2:16">
      <c r="B388" s="129"/>
      <c r="C388" s="876"/>
      <c r="D388" s="876" t="s">
        <v>249</v>
      </c>
      <c r="E388" s="212"/>
      <c r="F388" s="649"/>
      <c r="G388" s="212"/>
      <c r="H388" s="212"/>
      <c r="I388" s="212"/>
      <c r="J388" s="650">
        <f>Assumptions!N9</f>
        <v>14.8</v>
      </c>
      <c r="K388" s="650">
        <f>SUM(K385:K387)</f>
        <v>15.3</v>
      </c>
      <c r="L388" s="650">
        <f>SUM(L385:L387)</f>
        <v>15.8</v>
      </c>
      <c r="M388" s="650">
        <f>SUM(M385:M387)</f>
        <v>15.8</v>
      </c>
      <c r="N388" s="650">
        <f>SUM(N385:N387)</f>
        <v>15.8</v>
      </c>
      <c r="O388" s="650">
        <f>SUM(O385:O387)</f>
        <v>15.8</v>
      </c>
    </row>
    <row r="389" spans="2:16" ht="6" customHeight="1">
      <c r="B389" s="129"/>
      <c r="C389" s="876"/>
      <c r="D389" s="876"/>
      <c r="E389" s="212"/>
      <c r="F389" s="649"/>
      <c r="G389" s="212"/>
      <c r="H389" s="212"/>
      <c r="I389" s="212"/>
      <c r="J389" s="652"/>
      <c r="K389" s="652"/>
      <c r="L389" s="652"/>
      <c r="M389" s="652"/>
      <c r="N389" s="652"/>
      <c r="O389" s="652"/>
    </row>
    <row r="390" spans="2:16">
      <c r="B390" s="129"/>
      <c r="C390" s="876"/>
      <c r="D390" s="877" t="s">
        <v>295</v>
      </c>
      <c r="E390" s="129"/>
      <c r="F390" s="399"/>
      <c r="G390" s="129"/>
      <c r="H390" s="129"/>
      <c r="I390" s="129"/>
      <c r="J390" s="129"/>
      <c r="K390" s="653">
        <f>AVERAGE(K388,K385)</f>
        <v>15.05</v>
      </c>
      <c r="L390" s="653">
        <f>AVERAGE(L388,L385)</f>
        <v>15.55</v>
      </c>
      <c r="M390" s="653">
        <f>AVERAGE(M388,M385)</f>
        <v>15.8</v>
      </c>
      <c r="N390" s="653">
        <f>AVERAGE(N388,N385)</f>
        <v>15.8</v>
      </c>
      <c r="O390" s="653">
        <f>AVERAGE(O388,O385)</f>
        <v>15.8</v>
      </c>
    </row>
    <row r="391" spans="2:16">
      <c r="B391" s="142"/>
      <c r="C391" s="142"/>
      <c r="D391" s="142"/>
      <c r="E391" s="142"/>
      <c r="F391" s="396"/>
      <c r="G391" s="142"/>
      <c r="H391" s="142"/>
      <c r="I391" s="142"/>
      <c r="J391" s="142"/>
      <c r="K391" s="142"/>
      <c r="L391" s="142"/>
      <c r="M391" s="142"/>
      <c r="N391" s="142"/>
      <c r="O391" s="142"/>
    </row>
    <row r="392" spans="2:16">
      <c r="B392" s="129"/>
      <c r="C392" s="129"/>
      <c r="D392" s="129"/>
      <c r="E392" s="129"/>
      <c r="F392" s="399"/>
      <c r="G392" s="129"/>
      <c r="H392" s="129"/>
      <c r="I392" s="129"/>
      <c r="J392" s="129"/>
      <c r="K392" s="129"/>
      <c r="L392" s="129"/>
      <c r="M392" s="129"/>
      <c r="N392" s="129"/>
      <c r="O392" s="129"/>
    </row>
    <row r="393" spans="2:16" ht="12.75" customHeight="1">
      <c r="B393" s="1"/>
      <c r="C393" s="13"/>
      <c r="D393" s="13"/>
      <c r="E393" s="13"/>
      <c r="F393" s="13"/>
      <c r="G393" s="13"/>
      <c r="H393" s="13"/>
      <c r="I393" s="13"/>
      <c r="J393" s="13"/>
      <c r="K393" s="13"/>
      <c r="L393" s="13"/>
      <c r="M393" s="13"/>
      <c r="N393" s="13"/>
      <c r="O393" s="401" t="str">
        <f>O281</f>
        <v>CURRENTLY RUNNING: BASE CASE SCENARIO</v>
      </c>
      <c r="P393" s="17"/>
    </row>
    <row r="394" spans="2:16" ht="22.5">
      <c r="B394" s="1" t="str">
        <f>B2</f>
        <v>Medallion Mouldings</v>
      </c>
      <c r="C394" s="13"/>
      <c r="D394" s="13"/>
      <c r="E394" s="13"/>
      <c r="F394" s="13"/>
      <c r="G394" s="13"/>
      <c r="H394" s="13"/>
      <c r="I394" s="13"/>
      <c r="J394" s="13"/>
      <c r="K394" s="13"/>
      <c r="L394" s="13"/>
      <c r="M394" s="13"/>
      <c r="N394" s="13"/>
      <c r="O394" s="13"/>
      <c r="P394" s="17"/>
    </row>
    <row r="395" spans="2:16" ht="17.5">
      <c r="B395" s="330" t="s">
        <v>180</v>
      </c>
      <c r="C395" s="121"/>
      <c r="D395" s="121"/>
      <c r="E395" s="121"/>
      <c r="F395" s="121"/>
      <c r="G395" s="121"/>
      <c r="H395" s="121"/>
      <c r="I395" s="121"/>
      <c r="J395" s="121"/>
      <c r="K395" s="121"/>
      <c r="L395" s="121"/>
      <c r="M395" s="121"/>
      <c r="N395" s="121"/>
      <c r="O395" s="121"/>
      <c r="P395" s="17"/>
    </row>
    <row r="396" spans="2:16" ht="6" customHeight="1" thickBot="1">
      <c r="B396" s="334"/>
      <c r="C396" s="499"/>
      <c r="D396" s="499"/>
      <c r="E396" s="499"/>
      <c r="F396" s="499"/>
      <c r="G396" s="499"/>
      <c r="H396" s="499"/>
      <c r="I396" s="499"/>
      <c r="J396" s="499"/>
      <c r="K396" s="499"/>
      <c r="L396" s="499"/>
      <c r="M396" s="499"/>
      <c r="N396" s="499"/>
      <c r="O396" s="499"/>
      <c r="P396" s="17"/>
    </row>
    <row r="397" spans="2:16">
      <c r="B397" s="500" t="s">
        <v>13</v>
      </c>
      <c r="F397" s="15"/>
      <c r="O397" s="16"/>
      <c r="P397" s="17"/>
    </row>
    <row r="398" spans="2:16" ht="13.5">
      <c r="F398" s="15"/>
      <c r="H398" s="121"/>
      <c r="I398" s="121"/>
      <c r="J398" s="121"/>
      <c r="K398" s="338" t="s">
        <v>8</v>
      </c>
      <c r="L398" s="169"/>
      <c r="M398" s="169"/>
      <c r="N398" s="169"/>
      <c r="O398" s="169"/>
      <c r="P398" s="17"/>
    </row>
    <row r="399" spans="2:16">
      <c r="F399" s="15"/>
      <c r="G399" s="502"/>
      <c r="H399" s="635"/>
      <c r="I399" s="635"/>
      <c r="J399" s="339">
        <f>$J$7</f>
        <v>2017</v>
      </c>
      <c r="K399" s="503">
        <f>K$7</f>
        <v>2018</v>
      </c>
      <c r="L399" s="503">
        <f>L$7</f>
        <v>2019</v>
      </c>
      <c r="M399" s="503">
        <f>M$7</f>
        <v>2020</v>
      </c>
      <c r="N399" s="503">
        <f>N$7</f>
        <v>2021</v>
      </c>
      <c r="O399" s="503">
        <f>O$7</f>
        <v>2022</v>
      </c>
      <c r="P399" s="17"/>
    </row>
    <row r="400" spans="2:16">
      <c r="B400" s="129"/>
      <c r="C400" s="129"/>
      <c r="D400" s="129"/>
      <c r="E400" s="129"/>
      <c r="F400" s="399"/>
      <c r="G400" s="129"/>
      <c r="H400" s="129"/>
      <c r="I400" s="129"/>
      <c r="J400" s="129"/>
      <c r="K400" s="129"/>
      <c r="L400" s="129"/>
      <c r="M400" s="129"/>
      <c r="N400" s="129"/>
      <c r="O400" s="129"/>
    </row>
    <row r="401" spans="2:18">
      <c r="B401" s="654" t="s">
        <v>181</v>
      </c>
      <c r="C401" s="655"/>
      <c r="D401" s="655"/>
      <c r="E401" s="655"/>
      <c r="F401" s="656"/>
      <c r="G401" s="192"/>
      <c r="H401" s="192"/>
      <c r="I401" s="192"/>
      <c r="J401" s="192"/>
      <c r="K401" s="192"/>
      <c r="L401" s="192"/>
      <c r="M401" s="192"/>
      <c r="N401" s="192"/>
      <c r="O401" s="657"/>
    </row>
    <row r="402" spans="2:18">
      <c r="B402" s="658"/>
      <c r="C402" s="189" t="s">
        <v>16</v>
      </c>
      <c r="D402" s="189"/>
      <c r="E402" s="189"/>
      <c r="F402" s="659" t="s">
        <v>219</v>
      </c>
      <c r="G402" s="129"/>
      <c r="H402" s="129"/>
      <c r="I402" s="129"/>
      <c r="J402" s="639">
        <f t="shared" ref="J402:O402" si="65">J109</f>
        <v>33.053639999999973</v>
      </c>
      <c r="K402" s="639">
        <f t="shared" si="65"/>
        <v>56.648934999999966</v>
      </c>
      <c r="L402" s="639">
        <f t="shared" si="65"/>
        <v>44.775160247999963</v>
      </c>
      <c r="M402" s="639">
        <f t="shared" si="65"/>
        <v>90.796644071078362</v>
      </c>
      <c r="N402" s="639">
        <f t="shared" si="65"/>
        <v>81.299325018041088</v>
      </c>
      <c r="O402" s="660">
        <f t="shared" si="65"/>
        <v>56.01865970707189</v>
      </c>
    </row>
    <row r="403" spans="2:18">
      <c r="B403" s="658"/>
      <c r="C403" s="189" t="s">
        <v>182</v>
      </c>
      <c r="D403" s="189"/>
      <c r="E403" s="189"/>
      <c r="F403" s="659" t="s">
        <v>219</v>
      </c>
      <c r="G403" s="129"/>
      <c r="H403" s="129"/>
      <c r="I403" s="129"/>
      <c r="J403" s="661">
        <f t="shared" ref="J403:O403" si="66">-J149</f>
        <v>15.5</v>
      </c>
      <c r="K403" s="661">
        <f t="shared" si="66"/>
        <v>16</v>
      </c>
      <c r="L403" s="661">
        <f t="shared" si="66"/>
        <v>17</v>
      </c>
      <c r="M403" s="661">
        <f t="shared" si="66"/>
        <v>17.34</v>
      </c>
      <c r="N403" s="661">
        <f t="shared" si="66"/>
        <v>17.773499999999999</v>
      </c>
      <c r="O403" s="662">
        <f t="shared" si="66"/>
        <v>18.217837499999998</v>
      </c>
    </row>
    <row r="404" spans="2:18">
      <c r="B404" s="658"/>
      <c r="C404" s="189" t="s">
        <v>183</v>
      </c>
      <c r="D404" s="189"/>
      <c r="E404" s="189"/>
      <c r="F404" s="659" t="s">
        <v>219</v>
      </c>
      <c r="G404" s="129"/>
      <c r="H404" s="129"/>
      <c r="I404" s="129"/>
      <c r="J404" s="661">
        <f t="shared" ref="J404:O404" si="67">J347+J338</f>
        <v>200</v>
      </c>
      <c r="K404" s="661">
        <f t="shared" ca="1" si="67"/>
        <v>175.96316103814576</v>
      </c>
      <c r="L404" s="661">
        <f t="shared" ca="1" si="67"/>
        <v>157.93444865102668</v>
      </c>
      <c r="M404" s="661">
        <f t="shared" ca="1" si="67"/>
        <v>127.85438746462249</v>
      </c>
      <c r="N404" s="661">
        <f t="shared" ca="1" si="67"/>
        <v>100</v>
      </c>
      <c r="O404" s="662">
        <f t="shared" ca="1" si="67"/>
        <v>77.913168165515671</v>
      </c>
    </row>
    <row r="405" spans="2:18">
      <c r="B405" s="658"/>
      <c r="C405" s="189" t="s">
        <v>184</v>
      </c>
      <c r="D405" s="189"/>
      <c r="E405" s="189"/>
      <c r="F405" s="659" t="s">
        <v>219</v>
      </c>
      <c r="G405" s="129"/>
      <c r="H405" s="129"/>
      <c r="I405" s="129"/>
      <c r="J405" s="661">
        <f t="shared" ref="J405:O405" si="68">J404-J323</f>
        <v>200</v>
      </c>
      <c r="K405" s="661">
        <f t="shared" ca="1" si="68"/>
        <v>175.96316103814576</v>
      </c>
      <c r="L405" s="661">
        <f t="shared" ca="1" si="68"/>
        <v>157.93444865102668</v>
      </c>
      <c r="M405" s="661">
        <f t="shared" ca="1" si="68"/>
        <v>127.85438746462249</v>
      </c>
      <c r="N405" s="661">
        <f t="shared" ca="1" si="68"/>
        <v>98.855514740653703</v>
      </c>
      <c r="O405" s="662">
        <f t="shared" ca="1" si="68"/>
        <v>77.913168165515671</v>
      </c>
    </row>
    <row r="406" spans="2:18">
      <c r="B406" s="658"/>
      <c r="C406" s="189" t="s">
        <v>108</v>
      </c>
      <c r="D406" s="189"/>
      <c r="E406" s="189"/>
      <c r="F406" s="659" t="s">
        <v>219</v>
      </c>
      <c r="G406" s="129"/>
      <c r="H406" s="129"/>
      <c r="I406" s="129"/>
      <c r="J406" s="661">
        <f t="shared" ref="J406:O406" si="69">J114</f>
        <v>14</v>
      </c>
      <c r="K406" s="661">
        <f t="shared" ca="1" si="69"/>
        <v>15.03852644152583</v>
      </c>
      <c r="L406" s="661">
        <f t="shared" ca="1" si="69"/>
        <v>13.355904387566898</v>
      </c>
      <c r="M406" s="661">
        <f t="shared" ca="1" si="69"/>
        <v>11.431553444625967</v>
      </c>
      <c r="N406" s="661">
        <f t="shared" ca="1" si="69"/>
        <v>9.1027306459914357</v>
      </c>
      <c r="O406" s="662">
        <f t="shared" ca="1" si="69"/>
        <v>7.1050818740271637</v>
      </c>
    </row>
    <row r="407" spans="2:18">
      <c r="B407" s="663"/>
      <c r="C407" s="159" t="s">
        <v>285</v>
      </c>
      <c r="D407" s="159"/>
      <c r="E407" s="159"/>
      <c r="F407" s="664" t="s">
        <v>219</v>
      </c>
      <c r="G407" s="142"/>
      <c r="H407" s="142"/>
      <c r="I407" s="142"/>
      <c r="J407" s="637">
        <f t="shared" ref="J407:O407" si="70">J405+J203</f>
        <v>431.6</v>
      </c>
      <c r="K407" s="637">
        <f t="shared" ca="1" si="70"/>
        <v>420.78974682188561</v>
      </c>
      <c r="L407" s="637">
        <f t="shared" ca="1" si="70"/>
        <v>410.40222081552508</v>
      </c>
      <c r="M407" s="637">
        <f t="shared" ca="1" si="70"/>
        <v>412.59756675487614</v>
      </c>
      <c r="N407" s="637">
        <f t="shared" ca="1" si="70"/>
        <v>411.84216610437318</v>
      </c>
      <c r="O407" s="665">
        <f t="shared" ca="1" si="70"/>
        <v>406.72419807741841</v>
      </c>
    </row>
    <row r="408" spans="2:18">
      <c r="B408" s="129"/>
      <c r="C408" s="129"/>
      <c r="D408" s="129"/>
      <c r="E408" s="129"/>
      <c r="F408" s="399"/>
      <c r="G408" s="129"/>
      <c r="H408" s="129"/>
      <c r="I408" s="129"/>
      <c r="J408" s="129"/>
      <c r="K408" s="129"/>
      <c r="L408" s="129"/>
      <c r="M408" s="129"/>
      <c r="N408" s="129"/>
      <c r="O408" s="129"/>
    </row>
    <row r="409" spans="2:18">
      <c r="B409" s="129"/>
      <c r="C409" s="129"/>
      <c r="D409" s="129"/>
      <c r="E409" s="129"/>
      <c r="F409" s="399"/>
      <c r="G409" s="129"/>
      <c r="H409" s="129"/>
      <c r="I409" s="129"/>
      <c r="J409" s="129"/>
      <c r="K409" s="129"/>
      <c r="L409" s="129"/>
      <c r="M409" s="129"/>
      <c r="N409" s="129"/>
      <c r="O409" s="129"/>
    </row>
    <row r="410" spans="2:18">
      <c r="B410" s="341" t="s">
        <v>185</v>
      </c>
      <c r="C410" s="129"/>
      <c r="D410" s="129"/>
      <c r="E410" s="129"/>
      <c r="F410" s="399"/>
      <c r="G410" s="129"/>
      <c r="H410" s="129"/>
      <c r="I410" s="129"/>
      <c r="J410" s="129"/>
      <c r="K410" s="129"/>
      <c r="L410" s="129"/>
      <c r="M410" s="129"/>
      <c r="N410" s="129"/>
      <c r="O410" s="129"/>
    </row>
    <row r="411" spans="2:18" ht="6" customHeight="1">
      <c r="B411" s="129"/>
      <c r="C411" s="129"/>
      <c r="D411" s="129"/>
      <c r="E411" s="129"/>
      <c r="F411" s="399"/>
      <c r="G411" s="129"/>
      <c r="H411" s="129"/>
      <c r="I411" s="129"/>
      <c r="J411" s="129"/>
      <c r="K411" s="129"/>
      <c r="L411" s="129"/>
      <c r="M411" s="129"/>
      <c r="N411" s="129"/>
      <c r="O411" s="129"/>
    </row>
    <row r="412" spans="2:18">
      <c r="B412" s="129"/>
      <c r="C412" s="147" t="s">
        <v>186</v>
      </c>
      <c r="D412" s="147"/>
      <c r="E412" s="147"/>
      <c r="F412" s="147"/>
      <c r="G412" s="147"/>
      <c r="H412" s="666" t="s">
        <v>187</v>
      </c>
      <c r="I412" s="667">
        <f>Assumptions!H37</f>
        <v>4.5</v>
      </c>
      <c r="J412" s="668">
        <f t="shared" ref="J412:O412" si="71">J405/J402</f>
        <v>6.0507708076931968</v>
      </c>
      <c r="K412" s="668">
        <f t="shared" ca="1" si="71"/>
        <v>3.1062042214588121</v>
      </c>
      <c r="L412" s="668">
        <f t="shared" ca="1" si="71"/>
        <v>3.5272782448183726</v>
      </c>
      <c r="M412" s="668">
        <f t="shared" ca="1" si="71"/>
        <v>1.4081400119208614</v>
      </c>
      <c r="N412" s="668">
        <f t="shared" ca="1" si="71"/>
        <v>1.2159450858751499</v>
      </c>
      <c r="O412" s="668">
        <f t="shared" ca="1" si="71"/>
        <v>1.3908431328584567</v>
      </c>
    </row>
    <row r="413" spans="2:18">
      <c r="B413" s="129"/>
      <c r="C413" s="147"/>
      <c r="D413" s="669" t="s">
        <v>188</v>
      </c>
      <c r="E413" s="147"/>
      <c r="F413" s="670"/>
      <c r="G413" s="147"/>
      <c r="H413" s="147"/>
      <c r="I413" s="147"/>
      <c r="J413" s="671">
        <f t="shared" ref="J413:O413" si="72">J402-(J405/$I412)</f>
        <v>-11.39080444444447</v>
      </c>
      <c r="K413" s="671">
        <f t="shared" ca="1" si="72"/>
        <v>17.546010324856468</v>
      </c>
      <c r="L413" s="671">
        <f t="shared" ca="1" si="72"/>
        <v>9.6786161033273643</v>
      </c>
      <c r="M413" s="671">
        <f t="shared" ca="1" si="72"/>
        <v>62.384557967828918</v>
      </c>
      <c r="N413" s="671">
        <f t="shared" ca="1" si="72"/>
        <v>59.331432853451375</v>
      </c>
      <c r="O413" s="671">
        <f t="shared" ca="1" si="72"/>
        <v>38.7046223369573</v>
      </c>
    </row>
    <row r="414" spans="2:18">
      <c r="B414" s="129"/>
      <c r="C414" s="147"/>
      <c r="D414" s="147"/>
      <c r="E414" s="147"/>
      <c r="F414" s="670"/>
      <c r="G414" s="147"/>
      <c r="H414" s="147"/>
      <c r="I414" s="147"/>
      <c r="J414" s="129"/>
      <c r="K414" s="129"/>
      <c r="L414" s="129"/>
      <c r="M414" s="129"/>
      <c r="N414" s="129"/>
      <c r="O414" s="129"/>
    </row>
    <row r="415" spans="2:18">
      <c r="B415" s="129"/>
      <c r="C415" s="147" t="s">
        <v>189</v>
      </c>
      <c r="D415" s="147"/>
      <c r="E415" s="147"/>
      <c r="F415" s="670"/>
      <c r="G415" s="147"/>
      <c r="H415" s="666" t="s">
        <v>187</v>
      </c>
      <c r="I415" s="672">
        <f>Assumptions!H38</f>
        <v>1.5</v>
      </c>
      <c r="J415" s="668">
        <f t="shared" ref="J415:O415" si="73">J402/J406</f>
        <v>2.3609742857142839</v>
      </c>
      <c r="K415" s="668">
        <f t="shared" ca="1" si="73"/>
        <v>3.7669205969260036</v>
      </c>
      <c r="L415" s="668">
        <f t="shared" ca="1" si="73"/>
        <v>3.3524618736924667</v>
      </c>
      <c r="M415" s="668">
        <f t="shared" ca="1" si="73"/>
        <v>7.9426339133079358</v>
      </c>
      <c r="N415" s="668">
        <f t="shared" ca="1" si="73"/>
        <v>8.9313117326879077</v>
      </c>
      <c r="O415" s="668">
        <f t="shared" ca="1" si="73"/>
        <v>7.8843088229355605</v>
      </c>
    </row>
    <row r="416" spans="2:18">
      <c r="B416" s="129"/>
      <c r="C416" s="147"/>
      <c r="D416" s="669" t="s">
        <v>188</v>
      </c>
      <c r="E416" s="147"/>
      <c r="F416" s="670"/>
      <c r="G416" s="147"/>
      <c r="H416" s="147"/>
      <c r="I416" s="147"/>
      <c r="J416" s="671">
        <f t="shared" ref="J416:O416" si="74">J402-(J406*$I415)</f>
        <v>12.053639999999973</v>
      </c>
      <c r="K416" s="671">
        <f t="shared" ca="1" si="74"/>
        <v>34.091145337711225</v>
      </c>
      <c r="L416" s="671">
        <f t="shared" ca="1" si="74"/>
        <v>24.741303666649614</v>
      </c>
      <c r="M416" s="671">
        <f t="shared" ca="1" si="74"/>
        <v>73.649313904139404</v>
      </c>
      <c r="N416" s="671">
        <f t="shared" ca="1" si="74"/>
        <v>67.645229049053938</v>
      </c>
      <c r="O416" s="671">
        <f t="shared" ca="1" si="74"/>
        <v>45.361036896031145</v>
      </c>
      <c r="Q416" s="563"/>
      <c r="R416" s="563"/>
    </row>
    <row r="417" spans="2:18">
      <c r="B417" s="129"/>
      <c r="C417" s="147"/>
      <c r="D417" s="147"/>
      <c r="E417" s="147"/>
      <c r="F417" s="670"/>
      <c r="G417" s="147"/>
      <c r="H417" s="147"/>
      <c r="I417" s="147"/>
      <c r="J417" s="129"/>
      <c r="K417" s="129"/>
      <c r="L417" s="129"/>
      <c r="M417" s="129"/>
      <c r="N417" s="129"/>
      <c r="O417" s="129"/>
      <c r="Q417" s="563"/>
      <c r="R417" s="563"/>
    </row>
    <row r="418" spans="2:18">
      <c r="B418" s="129"/>
      <c r="C418" s="147" t="s">
        <v>299</v>
      </c>
      <c r="D418" s="147"/>
      <c r="E418" s="147"/>
      <c r="F418" s="670"/>
      <c r="G418" s="147"/>
      <c r="H418" s="666" t="s">
        <v>187</v>
      </c>
      <c r="I418" s="672">
        <f>Assumptions!H39</f>
        <v>1.2</v>
      </c>
      <c r="J418" s="668">
        <f t="shared" ref="J418:O418" si="75">(J402-J403)/J406</f>
        <v>1.2538314285714267</v>
      </c>
      <c r="K418" s="668">
        <f t="shared" ca="1" si="75"/>
        <v>2.7029865697317397</v>
      </c>
      <c r="L418" s="668">
        <f t="shared" ca="1" si="75"/>
        <v>2.0796165831986673</v>
      </c>
      <c r="M418" s="668">
        <f t="shared" ca="1" si="75"/>
        <v>6.425779700624215</v>
      </c>
      <c r="N418" s="668">
        <f t="shared" ca="1" si="75"/>
        <v>6.9787657669532299</v>
      </c>
      <c r="O418" s="668">
        <f t="shared" ca="1" si="75"/>
        <v>5.3202514590653642</v>
      </c>
      <c r="Q418" s="563"/>
      <c r="R418" s="563"/>
    </row>
    <row r="419" spans="2:18">
      <c r="B419" s="129"/>
      <c r="C419" s="147"/>
      <c r="D419" s="669" t="s">
        <v>188</v>
      </c>
      <c r="E419" s="147"/>
      <c r="F419" s="670"/>
      <c r="G419" s="147"/>
      <c r="H419" s="147"/>
      <c r="I419" s="147"/>
      <c r="J419" s="671">
        <f t="shared" ref="J419:O419" si="76">J402-($I418*J406+J403)</f>
        <v>0.75363999999997588</v>
      </c>
      <c r="K419" s="671">
        <f t="shared" ca="1" si="76"/>
        <v>22.602703270168973</v>
      </c>
      <c r="L419" s="671">
        <f t="shared" ca="1" si="76"/>
        <v>11.74807498291969</v>
      </c>
      <c r="M419" s="671">
        <f t="shared" ca="1" si="76"/>
        <v>59.738779937527198</v>
      </c>
      <c r="N419" s="671">
        <f t="shared" ca="1" si="76"/>
        <v>52.60254824285137</v>
      </c>
      <c r="O419" s="671">
        <f t="shared" ca="1" si="76"/>
        <v>29.274723958239296</v>
      </c>
      <c r="Q419" s="563"/>
      <c r="R419" s="563"/>
    </row>
    <row r="420" spans="2:18">
      <c r="B420" s="129"/>
      <c r="C420" s="147"/>
      <c r="D420" s="147"/>
      <c r="E420" s="147"/>
      <c r="F420" s="670"/>
      <c r="G420" s="147"/>
      <c r="H420" s="147"/>
      <c r="I420" s="147"/>
      <c r="J420" s="129"/>
      <c r="K420" s="129"/>
      <c r="L420" s="129"/>
      <c r="M420" s="129"/>
      <c r="N420" s="129"/>
      <c r="O420" s="129"/>
      <c r="Q420" s="563"/>
      <c r="R420" s="563"/>
    </row>
    <row r="421" spans="2:18">
      <c r="B421" s="129"/>
      <c r="C421" s="147" t="s">
        <v>190</v>
      </c>
      <c r="D421" s="147"/>
      <c r="E421" s="147"/>
      <c r="F421" s="670"/>
      <c r="G421" s="147"/>
      <c r="H421" s="666" t="s">
        <v>187</v>
      </c>
      <c r="I421" s="673">
        <f>Assumptions!H40</f>
        <v>0.4</v>
      </c>
      <c r="J421" s="674">
        <f t="shared" ref="J421:O421" si="77">J405/J407</f>
        <v>0.46339202965708987</v>
      </c>
      <c r="K421" s="674">
        <f t="shared" ca="1" si="77"/>
        <v>0.41817359469224064</v>
      </c>
      <c r="L421" s="674">
        <f t="shared" ca="1" si="77"/>
        <v>0.38482844546306166</v>
      </c>
      <c r="M421" s="674">
        <f t="shared" ca="1" si="77"/>
        <v>0.30987673647765518</v>
      </c>
      <c r="N421" s="674">
        <f t="shared" ca="1" si="77"/>
        <v>0.24003252429378671</v>
      </c>
      <c r="O421" s="674">
        <f t="shared" ca="1" si="77"/>
        <v>0.1915626572842494</v>
      </c>
      <c r="Q421" s="563"/>
      <c r="R421" s="563"/>
    </row>
    <row r="422" spans="2:18">
      <c r="B422" s="142"/>
      <c r="C422" s="142"/>
      <c r="D422" s="142"/>
      <c r="E422" s="142"/>
      <c r="F422" s="396"/>
      <c r="G422" s="142"/>
      <c r="H422" s="142"/>
      <c r="I422" s="142"/>
      <c r="J422" s="142"/>
      <c r="K422" s="142"/>
      <c r="L422" s="142"/>
      <c r="M422" s="142"/>
      <c r="N422" s="142"/>
      <c r="O422" s="142"/>
      <c r="Q422" s="563"/>
      <c r="R422" s="563"/>
    </row>
    <row r="423" spans="2:18">
      <c r="B423" s="129"/>
      <c r="C423" s="129"/>
      <c r="D423" s="129"/>
      <c r="E423" s="129"/>
      <c r="F423" s="399"/>
      <c r="G423" s="129"/>
      <c r="H423" s="129"/>
      <c r="I423" s="129"/>
      <c r="J423" s="129"/>
      <c r="K423" s="129"/>
      <c r="L423" s="129"/>
      <c r="M423" s="129"/>
      <c r="N423" s="129"/>
      <c r="O423" s="129"/>
    </row>
  </sheetData>
  <sheetProtection formatCells="0" formatColumns="0" formatRows="0" insertColumns="0" insertRows="0"/>
  <phoneticPr fontId="0" type="noConversion"/>
  <conditionalFormatting sqref="J412:O412">
    <cfRule type="expression" dxfId="5" priority="1" stopIfTrue="1">
      <formula>J412&gt;=$I412</formula>
    </cfRule>
  </conditionalFormatting>
  <conditionalFormatting sqref="J415:O415 J418:O418">
    <cfRule type="expression" dxfId="4" priority="2" stopIfTrue="1">
      <formula>J415&lt;=$I415</formula>
    </cfRule>
  </conditionalFormatting>
  <conditionalFormatting sqref="J421:O421">
    <cfRule type="expression" dxfId="3" priority="3" stopIfTrue="1">
      <formula>J421&gt;=$I421</formula>
    </cfRule>
  </conditionalFormatting>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78"/>
  <sheetViews>
    <sheetView showGridLines="0" topLeftCell="A57" zoomScaleNormal="90" zoomScaleSheetLayoutView="80" workbookViewId="0"/>
  </sheetViews>
  <sheetFormatPr defaultColWidth="9.26953125" defaultRowHeight="13"/>
  <cols>
    <col min="1" max="1" width="7.7265625" style="15" customWidth="1"/>
    <col min="2" max="2" width="1.81640625" style="15" customWidth="1"/>
    <col min="3" max="3" width="2.26953125" style="15" customWidth="1"/>
    <col min="4" max="4" width="11.26953125" style="15" customWidth="1"/>
    <col min="5" max="5" width="12.7265625" style="15" customWidth="1"/>
    <col min="6" max="6" width="10.26953125" style="336" customWidth="1"/>
    <col min="7" max="7" width="1.81640625" style="15" customWidth="1"/>
    <col min="8" max="16" width="9.7265625" style="15" customWidth="1"/>
    <col min="17" max="16384" width="9.26953125" style="15"/>
  </cols>
  <sheetData>
    <row r="1" spans="1:16" ht="12.75" customHeight="1">
      <c r="A1" s="383"/>
      <c r="B1" s="1"/>
      <c r="C1" s="13"/>
      <c r="D1" s="13"/>
      <c r="E1" s="13"/>
      <c r="F1" s="13"/>
      <c r="G1" s="13"/>
      <c r="H1" s="13"/>
      <c r="I1" s="13"/>
      <c r="J1" s="13"/>
      <c r="K1" s="13"/>
      <c r="L1" s="13"/>
      <c r="M1" s="13"/>
      <c r="N1" s="13"/>
      <c r="O1" s="401" t="str">
        <f>P48</f>
        <v>CURRENTLY RUNNING: BASE CASE SCENARIO</v>
      </c>
      <c r="P1" s="17"/>
    </row>
    <row r="2" spans="1:16" ht="22.5">
      <c r="B2" s="1" t="str">
        <f>Model!B2</f>
        <v>Medallion Mouldings</v>
      </c>
      <c r="C2" s="13"/>
      <c r="D2" s="13"/>
      <c r="E2" s="13"/>
      <c r="F2" s="13"/>
      <c r="G2" s="13"/>
      <c r="H2" s="13"/>
      <c r="I2" s="13"/>
      <c r="J2" s="13"/>
      <c r="K2" s="13"/>
      <c r="L2" s="13"/>
      <c r="M2" s="13"/>
      <c r="N2" s="13"/>
      <c r="O2" s="13"/>
      <c r="P2" s="17"/>
    </row>
    <row r="3" spans="1:16" ht="17.5">
      <c r="B3" s="330" t="s">
        <v>212</v>
      </c>
      <c r="C3" s="13"/>
      <c r="D3" s="121"/>
      <c r="E3" s="121"/>
      <c r="F3" s="121"/>
      <c r="G3" s="121"/>
      <c r="H3" s="121"/>
      <c r="I3" s="121"/>
      <c r="J3" s="121"/>
      <c r="K3" s="121"/>
      <c r="L3" s="121"/>
      <c r="M3" s="121"/>
      <c r="N3" s="121"/>
      <c r="O3" s="121"/>
      <c r="P3" s="17"/>
    </row>
    <row r="4" spans="1:16" ht="6" customHeight="1" thickBot="1">
      <c r="B4" s="334"/>
      <c r="C4" s="334"/>
      <c r="D4" s="499"/>
      <c r="E4" s="499"/>
      <c r="F4" s="499"/>
      <c r="G4" s="499"/>
      <c r="H4" s="499"/>
      <c r="I4" s="499"/>
      <c r="J4" s="499"/>
      <c r="K4" s="499"/>
      <c r="L4" s="499"/>
      <c r="M4" s="499"/>
      <c r="N4" s="499"/>
      <c r="O4" s="499"/>
      <c r="P4" s="17"/>
    </row>
    <row r="5" spans="1:16">
      <c r="B5" s="500" t="s">
        <v>13</v>
      </c>
      <c r="F5" s="15"/>
      <c r="P5" s="17"/>
    </row>
    <row r="6" spans="1:16" ht="13.5">
      <c r="F6" s="15"/>
      <c r="H6" s="539"/>
      <c r="I6" s="539"/>
      <c r="J6" s="539"/>
      <c r="K6" s="338" t="s">
        <v>8</v>
      </c>
      <c r="L6" s="169"/>
      <c r="M6" s="169"/>
      <c r="N6" s="169"/>
      <c r="O6" s="169"/>
      <c r="P6" s="17"/>
    </row>
    <row r="7" spans="1:16" ht="13.5">
      <c r="B7" s="586"/>
      <c r="C7" s="587" t="s">
        <v>162</v>
      </c>
      <c r="D7" s="588"/>
      <c r="E7" s="589">
        <f>Assumptions!N17</f>
        <v>0.35</v>
      </c>
      <c r="F7" s="15"/>
      <c r="H7" s="590"/>
      <c r="I7" s="590"/>
      <c r="J7" s="590"/>
      <c r="K7" s="503">
        <f>Model!K399</f>
        <v>2018</v>
      </c>
      <c r="L7" s="503">
        <f>Model!L399</f>
        <v>2019</v>
      </c>
      <c r="M7" s="503">
        <f>Model!M399</f>
        <v>2020</v>
      </c>
      <c r="N7" s="503">
        <f>Model!N399</f>
        <v>2021</v>
      </c>
      <c r="O7" s="503">
        <f>Model!O399</f>
        <v>2022</v>
      </c>
      <c r="P7" s="17"/>
    </row>
    <row r="8" spans="1:16">
      <c r="F8" s="15"/>
      <c r="P8" s="17"/>
    </row>
    <row r="9" spans="1:16">
      <c r="C9" s="351" t="s">
        <v>218</v>
      </c>
      <c r="F9" s="15"/>
      <c r="G9" s="591" t="s">
        <v>43</v>
      </c>
      <c r="H9" s="565"/>
      <c r="I9" s="565"/>
      <c r="J9" s="565"/>
      <c r="K9" s="592">
        <f>Model!K112</f>
        <v>40.474268333333299</v>
      </c>
      <c r="L9" s="592">
        <f>Model!L112</f>
        <v>28.050493581333296</v>
      </c>
      <c r="M9" s="592">
        <f>Model!M112</f>
        <v>73.499644071078365</v>
      </c>
      <c r="N9" s="592">
        <f>Model!N112</f>
        <v>63.41710001804109</v>
      </c>
      <c r="O9" s="592">
        <f>Model!O112</f>
        <v>37.536579082071896</v>
      </c>
      <c r="P9" s="17"/>
    </row>
    <row r="10" spans="1:16" ht="6" customHeight="1">
      <c r="E10" s="593"/>
      <c r="F10" s="593"/>
      <c r="G10" s="594"/>
      <c r="H10" s="594"/>
      <c r="I10" s="594"/>
      <c r="J10" s="594"/>
      <c r="K10" s="594"/>
      <c r="L10" s="594"/>
      <c r="M10" s="594"/>
      <c r="N10" s="594"/>
      <c r="O10" s="594"/>
      <c r="P10" s="17"/>
    </row>
    <row r="11" spans="1:16">
      <c r="D11" s="15" t="s">
        <v>314</v>
      </c>
      <c r="E11" s="593"/>
      <c r="F11" s="593"/>
      <c r="G11" s="594"/>
      <c r="H11" s="565"/>
      <c r="I11" s="565"/>
      <c r="J11" s="565"/>
      <c r="K11" s="580">
        <f>Model!K111</f>
        <v>16.174666666666667</v>
      </c>
      <c r="L11" s="580">
        <f>Model!L111</f>
        <v>16.724666666666668</v>
      </c>
      <c r="M11" s="580">
        <f>Model!M111</f>
        <v>17.297000000000001</v>
      </c>
      <c r="N11" s="580">
        <f>Model!N111</f>
        <v>17.882224999999998</v>
      </c>
      <c r="O11" s="580">
        <f>Model!O111</f>
        <v>18.482080624999998</v>
      </c>
      <c r="P11" s="17"/>
    </row>
    <row r="12" spans="1:16">
      <c r="D12" s="15" t="s">
        <v>44</v>
      </c>
      <c r="E12" s="593"/>
      <c r="F12" s="593"/>
      <c r="G12" s="594"/>
      <c r="H12" s="579"/>
      <c r="I12" s="579"/>
      <c r="J12" s="579"/>
      <c r="K12" s="595">
        <f>K43</f>
        <v>24.840000000000003</v>
      </c>
      <c r="L12" s="595">
        <f>L43</f>
        <v>23.171999999999997</v>
      </c>
      <c r="M12" s="595">
        <f>M43</f>
        <v>21.971599999999999</v>
      </c>
      <c r="N12" s="595">
        <f>N43</f>
        <v>21.088630000000002</v>
      </c>
      <c r="O12" s="595">
        <f>O43</f>
        <v>20.470037749999999</v>
      </c>
      <c r="P12" s="17"/>
    </row>
    <row r="13" spans="1:16">
      <c r="D13" s="341" t="s">
        <v>210</v>
      </c>
      <c r="E13" s="596"/>
      <c r="F13" s="596"/>
      <c r="G13" s="597"/>
      <c r="H13" s="598"/>
      <c r="I13" s="598"/>
      <c r="J13" s="598"/>
      <c r="K13" s="599">
        <f>K9+K11-K12</f>
        <v>31.808934999999963</v>
      </c>
      <c r="L13" s="599">
        <f>L9+L11-L12</f>
        <v>21.603160247999966</v>
      </c>
      <c r="M13" s="599">
        <f>M9+M11-M12</f>
        <v>68.825044071078366</v>
      </c>
      <c r="N13" s="599">
        <f>N9+N11-N12</f>
        <v>60.210695018041086</v>
      </c>
      <c r="O13" s="599">
        <f>O9+O11-O12</f>
        <v>35.548621957071887</v>
      </c>
      <c r="P13" s="17"/>
    </row>
    <row r="14" spans="1:16">
      <c r="E14" s="593"/>
      <c r="F14" s="593"/>
      <c r="G14" s="594"/>
      <c r="H14" s="594"/>
      <c r="I14" s="594"/>
      <c r="J14" s="594"/>
      <c r="K14" s="594"/>
      <c r="L14" s="594"/>
      <c r="M14" s="594"/>
      <c r="N14" s="594"/>
      <c r="O14" s="594"/>
      <c r="P14" s="17"/>
    </row>
    <row r="15" spans="1:16">
      <c r="C15" s="341" t="s">
        <v>45</v>
      </c>
      <c r="E15" s="593"/>
      <c r="F15" s="593"/>
      <c r="G15" s="594"/>
      <c r="H15" s="594"/>
      <c r="I15" s="594"/>
      <c r="J15" s="594"/>
      <c r="K15" s="594"/>
      <c r="L15" s="594"/>
      <c r="M15" s="594"/>
      <c r="N15" s="594"/>
      <c r="O15" s="594"/>
      <c r="P15" s="17"/>
    </row>
    <row r="16" spans="1:16">
      <c r="D16" s="352" t="s">
        <v>307</v>
      </c>
      <c r="E16" s="593"/>
      <c r="F16" s="593"/>
      <c r="G16" s="594"/>
      <c r="H16" s="594"/>
      <c r="I16" s="594"/>
      <c r="J16" s="594"/>
      <c r="K16" s="600">
        <f>Assumptions!N19</f>
        <v>25</v>
      </c>
      <c r="L16" s="580">
        <f>K16-K17</f>
        <v>0</v>
      </c>
      <c r="M16" s="580">
        <f>L16-L17</f>
        <v>0</v>
      </c>
      <c r="N16" s="580">
        <f>M16-M17</f>
        <v>0</v>
      </c>
      <c r="O16" s="580">
        <f>N16-N17</f>
        <v>0</v>
      </c>
      <c r="P16" s="17"/>
    </row>
    <row r="17" spans="3:16">
      <c r="D17" s="204" t="s">
        <v>194</v>
      </c>
      <c r="E17" s="593"/>
      <c r="F17" s="593"/>
      <c r="G17" s="594"/>
      <c r="H17" s="579"/>
      <c r="I17" s="579"/>
      <c r="J17" s="579"/>
      <c r="K17" s="595">
        <f>IF(K13&lt;0,0,MIN(K16,K13))</f>
        <v>25</v>
      </c>
      <c r="L17" s="595">
        <f>IF(L13&lt;0,0,MIN(L16,L13))</f>
        <v>0</v>
      </c>
      <c r="M17" s="595">
        <f>IF(M13&lt;0,0,MIN(M16,M13))</f>
        <v>0</v>
      </c>
      <c r="N17" s="595">
        <f>IF(N13&lt;0,0,MIN(N16,N13))</f>
        <v>0</v>
      </c>
      <c r="O17" s="595">
        <f>IF(O13&lt;0,0,MIN(O16,O13))</f>
        <v>0</v>
      </c>
      <c r="P17" s="17"/>
    </row>
    <row r="18" spans="3:16">
      <c r="D18" s="351" t="s">
        <v>196</v>
      </c>
      <c r="E18" s="596"/>
      <c r="F18" s="596"/>
      <c r="G18" s="597"/>
      <c r="H18" s="598"/>
      <c r="I18" s="598"/>
      <c r="J18" s="598"/>
      <c r="K18" s="599">
        <f>K13-K17</f>
        <v>6.8089349999999627</v>
      </c>
      <c r="L18" s="599">
        <f>L13-L17</f>
        <v>21.603160247999966</v>
      </c>
      <c r="M18" s="599">
        <f>M13-M17</f>
        <v>68.825044071078366</v>
      </c>
      <c r="N18" s="599">
        <f>N13-N17</f>
        <v>60.210695018041086</v>
      </c>
      <c r="O18" s="599">
        <f>O13-O17</f>
        <v>35.548621957071887</v>
      </c>
      <c r="P18" s="17"/>
    </row>
    <row r="19" spans="3:16">
      <c r="E19" s="593"/>
      <c r="F19" s="593"/>
      <c r="G19" s="594"/>
      <c r="H19" s="594"/>
      <c r="I19" s="594"/>
      <c r="J19" s="594"/>
      <c r="K19" s="594"/>
      <c r="L19" s="594"/>
      <c r="M19" s="594"/>
      <c r="N19" s="594"/>
      <c r="O19" s="594"/>
      <c r="P19" s="17"/>
    </row>
    <row r="20" spans="3:16">
      <c r="D20" s="352" t="s">
        <v>197</v>
      </c>
      <c r="E20" s="593"/>
      <c r="F20" s="593"/>
      <c r="G20" s="594"/>
      <c r="H20" s="594"/>
      <c r="I20" s="594"/>
      <c r="J20" s="594"/>
      <c r="K20" s="580">
        <f>J22</f>
        <v>0</v>
      </c>
      <c r="L20" s="580">
        <f>K22</f>
        <v>0</v>
      </c>
      <c r="M20" s="580">
        <f>L22</f>
        <v>0</v>
      </c>
      <c r="N20" s="580">
        <f>M22</f>
        <v>0</v>
      </c>
      <c r="O20" s="580">
        <f>N22</f>
        <v>0</v>
      </c>
      <c r="P20" s="17"/>
    </row>
    <row r="21" spans="3:16">
      <c r="D21" s="352" t="s">
        <v>198</v>
      </c>
      <c r="E21" s="593"/>
      <c r="F21" s="593"/>
      <c r="G21" s="594"/>
      <c r="H21" s="565"/>
      <c r="I21" s="565"/>
      <c r="J21" s="565"/>
      <c r="K21" s="595">
        <f>MIN(K20,K18)</f>
        <v>0</v>
      </c>
      <c r="L21" s="595">
        <f>MIN(L20,L18)</f>
        <v>0</v>
      </c>
      <c r="M21" s="595">
        <f>MIN(M20,M18)</f>
        <v>0</v>
      </c>
      <c r="N21" s="595">
        <f>MIN(N20,N18)</f>
        <v>0</v>
      </c>
      <c r="O21" s="595">
        <f>MIN(O20,O18)</f>
        <v>0</v>
      </c>
      <c r="P21" s="17"/>
    </row>
    <row r="22" spans="3:16">
      <c r="D22" s="352" t="s">
        <v>199</v>
      </c>
      <c r="E22" s="593"/>
      <c r="F22" s="593"/>
      <c r="G22" s="594"/>
      <c r="H22" s="565"/>
      <c r="I22" s="565"/>
      <c r="J22" s="565"/>
      <c r="K22" s="580">
        <f>K20-K21</f>
        <v>0</v>
      </c>
      <c r="L22" s="580">
        <f>L20-L21</f>
        <v>0</v>
      </c>
      <c r="M22" s="580">
        <f>M20-M21</f>
        <v>0</v>
      </c>
      <c r="N22" s="580">
        <f>N20-N21</f>
        <v>0</v>
      </c>
      <c r="O22" s="580">
        <f>O20-O21</f>
        <v>0</v>
      </c>
      <c r="P22" s="17"/>
    </row>
    <row r="23" spans="3:16" ht="6" customHeight="1">
      <c r="D23" s="352"/>
      <c r="E23" s="593"/>
      <c r="F23" s="593"/>
      <c r="G23" s="594"/>
      <c r="H23" s="565"/>
      <c r="I23" s="565"/>
      <c r="J23" s="565"/>
      <c r="K23" s="580"/>
      <c r="L23" s="580"/>
      <c r="M23" s="580"/>
      <c r="N23" s="580"/>
      <c r="O23" s="580"/>
      <c r="P23" s="17"/>
    </row>
    <row r="24" spans="3:16">
      <c r="D24" s="352" t="s">
        <v>200</v>
      </c>
      <c r="E24" s="593"/>
      <c r="F24" s="593"/>
      <c r="G24" s="594"/>
      <c r="H24" s="579"/>
      <c r="I24" s="579"/>
      <c r="J24" s="579"/>
      <c r="K24" s="595">
        <f>IF(K17&lt;0,K16,(K16-K17))</f>
        <v>0</v>
      </c>
      <c r="L24" s="595">
        <f>IF(L17&lt;0,L16,(L16-L17))</f>
        <v>0</v>
      </c>
      <c r="M24" s="595">
        <f>IF(M17&lt;0,M16,(M16-M17))</f>
        <v>0</v>
      </c>
      <c r="N24" s="595">
        <f>IF(N17&lt;0,N16,(N16-N17))</f>
        <v>0</v>
      </c>
      <c r="O24" s="595">
        <f>IF(O17&lt;0,O16,(O16-O17))</f>
        <v>0</v>
      </c>
      <c r="P24" s="17"/>
    </row>
    <row r="25" spans="3:16">
      <c r="D25" s="351" t="s">
        <v>201</v>
      </c>
      <c r="E25" s="596"/>
      <c r="F25" s="596"/>
      <c r="G25" s="597"/>
      <c r="H25" s="598"/>
      <c r="I25" s="598"/>
      <c r="J25" s="598"/>
      <c r="K25" s="599">
        <f>K24+K22</f>
        <v>0</v>
      </c>
      <c r="L25" s="599">
        <f>L24+L22</f>
        <v>0</v>
      </c>
      <c r="M25" s="599">
        <f>M24+M22</f>
        <v>0</v>
      </c>
      <c r="N25" s="599">
        <f>N24+N22</f>
        <v>0</v>
      </c>
      <c r="O25" s="599">
        <f>O24+O22</f>
        <v>0</v>
      </c>
      <c r="P25" s="17"/>
    </row>
    <row r="26" spans="3:16">
      <c r="E26" s="593"/>
      <c r="F26" s="593"/>
      <c r="G26" s="594"/>
      <c r="H26" s="594"/>
      <c r="I26" s="594"/>
      <c r="J26" s="594"/>
      <c r="K26" s="594"/>
      <c r="L26" s="594"/>
      <c r="M26" s="594"/>
      <c r="N26" s="594"/>
      <c r="O26" s="594"/>
      <c r="P26" s="17"/>
    </row>
    <row r="27" spans="3:16">
      <c r="D27" s="351" t="s">
        <v>308</v>
      </c>
      <c r="F27" s="593"/>
      <c r="G27" s="591" t="s">
        <v>46</v>
      </c>
      <c r="H27" s="598"/>
      <c r="I27" s="598"/>
      <c r="J27" s="598"/>
      <c r="K27" s="592">
        <f>K18-K21</f>
        <v>6.8089349999999627</v>
      </c>
      <c r="L27" s="592">
        <f>L18-L21</f>
        <v>21.603160247999966</v>
      </c>
      <c r="M27" s="592">
        <f>M18-M21</f>
        <v>68.825044071078366</v>
      </c>
      <c r="N27" s="592">
        <f>N18-N21</f>
        <v>60.210695018041086</v>
      </c>
      <c r="O27" s="592">
        <f>O18-O21</f>
        <v>35.548621957071887</v>
      </c>
      <c r="P27" s="17"/>
    </row>
    <row r="28" spans="3:16">
      <c r="E28" s="438"/>
      <c r="F28" s="15"/>
      <c r="G28" s="129"/>
      <c r="H28" s="579"/>
      <c r="I28" s="579"/>
      <c r="J28" s="579"/>
      <c r="K28" s="579"/>
      <c r="L28" s="579"/>
      <c r="M28" s="579"/>
      <c r="N28" s="579"/>
      <c r="O28" s="579"/>
      <c r="P28" s="17"/>
    </row>
    <row r="29" spans="3:16">
      <c r="D29" s="16" t="str">
        <f>CONCATENATE("Accounting Taxes (",$E$7*100,"% of A)")</f>
        <v>Accounting Taxes (35% of A)</v>
      </c>
      <c r="E29" s="321"/>
      <c r="F29" s="446"/>
      <c r="G29" s="446"/>
      <c r="H29" s="579"/>
      <c r="I29" s="579"/>
      <c r="J29" s="579"/>
      <c r="K29" s="601">
        <f>$E$7*K9</f>
        <v>14.165993916666654</v>
      </c>
      <c r="L29" s="601">
        <f>$E$7*L9</f>
        <v>9.8176727534666526</v>
      </c>
      <c r="M29" s="601">
        <f>$E$7*M9</f>
        <v>25.724875424877425</v>
      </c>
      <c r="N29" s="601">
        <f>$E$7*N9</f>
        <v>22.19598500631438</v>
      </c>
      <c r="O29" s="601">
        <f>$E$7*O9</f>
        <v>13.137802678725162</v>
      </c>
      <c r="P29" s="17"/>
    </row>
    <row r="30" spans="3:16">
      <c r="D30" s="129"/>
      <c r="E30" s="129"/>
      <c r="F30" s="602"/>
      <c r="G30" s="129"/>
      <c r="H30" s="579"/>
      <c r="I30" s="579"/>
      <c r="J30" s="579"/>
      <c r="K30" s="579"/>
      <c r="L30" s="579"/>
      <c r="M30" s="579"/>
      <c r="N30" s="579"/>
      <c r="O30" s="579"/>
      <c r="P30" s="17"/>
    </row>
    <row r="31" spans="3:16">
      <c r="C31" s="129"/>
      <c r="D31" s="483" t="s">
        <v>163</v>
      </c>
      <c r="E31" s="603"/>
      <c r="F31" s="604"/>
      <c r="G31" s="604"/>
      <c r="H31" s="604"/>
      <c r="I31" s="604"/>
      <c r="J31" s="604"/>
      <c r="K31" s="604"/>
      <c r="L31" s="604"/>
      <c r="M31" s="604"/>
      <c r="N31" s="604"/>
      <c r="O31" s="605"/>
      <c r="P31" s="17"/>
    </row>
    <row r="32" spans="3:16">
      <c r="C32" s="129"/>
      <c r="D32" s="216" t="str">
        <f>CONCATENATE("Current Tax (",$E$7*100,"% of B)")</f>
        <v>Current Tax (35% of B)</v>
      </c>
      <c r="E32" s="321"/>
      <c r="F32" s="446"/>
      <c r="G32" s="606"/>
      <c r="H32" s="607"/>
      <c r="I32" s="607"/>
      <c r="J32" s="607"/>
      <c r="K32" s="601">
        <f>$E$7*K27</f>
        <v>2.3831272499999869</v>
      </c>
      <c r="L32" s="601">
        <f>$E$7*L27</f>
        <v>7.5611060867999873</v>
      </c>
      <c r="M32" s="601">
        <f>$E$7*M27</f>
        <v>24.088765424877426</v>
      </c>
      <c r="N32" s="601">
        <f>$E$7*N27</f>
        <v>21.07374325631438</v>
      </c>
      <c r="O32" s="608">
        <f>$E$7*O27</f>
        <v>12.442017684975159</v>
      </c>
      <c r="P32" s="17"/>
    </row>
    <row r="33" spans="2:16">
      <c r="C33" s="129"/>
      <c r="D33" s="875" t="s">
        <v>316</v>
      </c>
      <c r="E33" s="321"/>
      <c r="F33" s="446"/>
      <c r="G33" s="446"/>
      <c r="H33" s="579"/>
      <c r="I33" s="579"/>
      <c r="J33" s="579"/>
      <c r="K33" s="595">
        <f>K29-K32</f>
        <v>11.782866666666667</v>
      </c>
      <c r="L33" s="595">
        <f>L29-L32</f>
        <v>2.2565666666666653</v>
      </c>
      <c r="M33" s="595">
        <f>M29-M32</f>
        <v>1.6361099999999986</v>
      </c>
      <c r="N33" s="595">
        <f>N29-N32</f>
        <v>1.1222417500000006</v>
      </c>
      <c r="O33" s="609">
        <f>O29-O32</f>
        <v>0.69578499375000291</v>
      </c>
      <c r="P33" s="17"/>
    </row>
    <row r="34" spans="2:16">
      <c r="C34" s="129"/>
      <c r="D34" s="610" t="s">
        <v>164</v>
      </c>
      <c r="E34" s="611"/>
      <c r="F34" s="612"/>
      <c r="G34" s="612"/>
      <c r="H34" s="613"/>
      <c r="I34" s="613"/>
      <c r="J34" s="613"/>
      <c r="K34" s="614">
        <f>SUM(K32:K33)</f>
        <v>14.165993916666654</v>
      </c>
      <c r="L34" s="614">
        <f>SUM(L32:L33)</f>
        <v>9.8176727534666526</v>
      </c>
      <c r="M34" s="614">
        <f>SUM(M32:M33)</f>
        <v>25.724875424877425</v>
      </c>
      <c r="N34" s="614">
        <f>SUM(N32:N33)</f>
        <v>22.19598500631438</v>
      </c>
      <c r="O34" s="615">
        <f>SUM(O32:O33)</f>
        <v>13.137802678725162</v>
      </c>
      <c r="P34" s="17"/>
    </row>
    <row r="35" spans="2:16">
      <c r="E35" s="593"/>
      <c r="F35" s="594"/>
      <c r="G35" s="594"/>
      <c r="H35" s="594"/>
      <c r="I35" s="594"/>
      <c r="J35" s="594"/>
      <c r="K35" s="594"/>
      <c r="L35" s="594"/>
      <c r="M35" s="594"/>
      <c r="N35" s="594"/>
      <c r="O35" s="594"/>
      <c r="P35" s="17"/>
    </row>
    <row r="36" spans="2:16" ht="13.5">
      <c r="D36" s="616" t="s">
        <v>47</v>
      </c>
      <c r="F36" s="594"/>
      <c r="G36" s="594"/>
      <c r="H36" s="594"/>
      <c r="I36" s="594"/>
      <c r="J36" s="594"/>
      <c r="K36" s="594"/>
      <c r="L36" s="594"/>
      <c r="M36" s="594"/>
      <c r="N36" s="594"/>
      <c r="O36" s="594"/>
      <c r="P36" s="17"/>
    </row>
    <row r="37" spans="2:16">
      <c r="D37" s="565" t="s">
        <v>48</v>
      </c>
      <c r="F37" s="617">
        <f>Assumptions!N18</f>
        <v>0.2</v>
      </c>
      <c r="H37" s="404"/>
      <c r="I37" s="404"/>
      <c r="J37" s="404"/>
      <c r="K37" s="404">
        <f>K7</f>
        <v>2018</v>
      </c>
      <c r="L37" s="404">
        <f>L7</f>
        <v>2019</v>
      </c>
      <c r="M37" s="404">
        <f>M7</f>
        <v>2020</v>
      </c>
      <c r="N37" s="404">
        <f>N7</f>
        <v>2021</v>
      </c>
      <c r="O37" s="404">
        <f>O7</f>
        <v>2022</v>
      </c>
      <c r="P37" s="17"/>
    </row>
    <row r="38" spans="2:16" ht="6" customHeight="1">
      <c r="G38" s="594"/>
      <c r="H38" s="404"/>
      <c r="I38" s="404"/>
      <c r="J38" s="404"/>
      <c r="K38" s="404"/>
      <c r="L38" s="404"/>
      <c r="M38" s="404"/>
      <c r="N38" s="404"/>
      <c r="O38" s="404"/>
      <c r="P38" s="17"/>
    </row>
    <row r="39" spans="2:16">
      <c r="D39" s="565" t="s">
        <v>49</v>
      </c>
      <c r="F39" s="593"/>
      <c r="G39" s="591" t="s">
        <v>206</v>
      </c>
      <c r="H39" s="618"/>
      <c r="I39" s="618"/>
      <c r="J39" s="618"/>
      <c r="K39" s="619">
        <f>Assumptions!N20</f>
        <v>116.2</v>
      </c>
      <c r="L39" s="620">
        <f>K44</f>
        <v>107.35999999999999</v>
      </c>
      <c r="M39" s="620">
        <f>L44</f>
        <v>101.18799999999999</v>
      </c>
      <c r="N39" s="620">
        <f>M44</f>
        <v>96.556399999999996</v>
      </c>
      <c r="O39" s="620">
        <f>N44</f>
        <v>93.241269999999986</v>
      </c>
      <c r="P39" s="17"/>
    </row>
    <row r="40" spans="2:16">
      <c r="D40" s="565" t="s">
        <v>202</v>
      </c>
      <c r="F40" s="593"/>
      <c r="G40" s="591" t="s">
        <v>207</v>
      </c>
      <c r="H40" s="565"/>
      <c r="I40" s="565"/>
      <c r="J40" s="565"/>
      <c r="K40" s="580">
        <f>-Model!K149</f>
        <v>16</v>
      </c>
      <c r="L40" s="580">
        <f>-Model!L149</f>
        <v>17</v>
      </c>
      <c r="M40" s="580">
        <f>-Model!M149</f>
        <v>17.34</v>
      </c>
      <c r="N40" s="580">
        <f>-Model!N149</f>
        <v>17.773499999999999</v>
      </c>
      <c r="O40" s="580">
        <f>-Model!O149</f>
        <v>18.217837499999998</v>
      </c>
      <c r="P40" s="17"/>
    </row>
    <row r="41" spans="2:16">
      <c r="D41" s="565" t="s">
        <v>203</v>
      </c>
      <c r="F41" s="593"/>
      <c r="G41" s="594"/>
      <c r="H41" s="565"/>
      <c r="I41" s="565"/>
      <c r="J41" s="565"/>
      <c r="K41" s="580">
        <f>K40*0.5</f>
        <v>8</v>
      </c>
      <c r="L41" s="580">
        <f>L40*0.5</f>
        <v>8.5</v>
      </c>
      <c r="M41" s="580">
        <f>M40*0.5</f>
        <v>8.67</v>
      </c>
      <c r="N41" s="580">
        <f>N40*0.5</f>
        <v>8.8867499999999993</v>
      </c>
      <c r="O41" s="580">
        <f>O40*0.5</f>
        <v>9.1089187499999991</v>
      </c>
      <c r="P41" s="17"/>
    </row>
    <row r="42" spans="2:16">
      <c r="D42" s="565" t="s">
        <v>204</v>
      </c>
      <c r="F42" s="593"/>
      <c r="G42" s="594"/>
      <c r="H42" s="565"/>
      <c r="I42" s="565"/>
      <c r="J42" s="565"/>
      <c r="K42" s="580">
        <f>K41+K39</f>
        <v>124.2</v>
      </c>
      <c r="L42" s="580">
        <f>L41+L39</f>
        <v>115.85999999999999</v>
      </c>
      <c r="M42" s="580">
        <f>M41+M39</f>
        <v>109.85799999999999</v>
      </c>
      <c r="N42" s="580">
        <f>N41+N39</f>
        <v>105.44315</v>
      </c>
      <c r="O42" s="580">
        <f>O41+O39</f>
        <v>102.35018874999999</v>
      </c>
      <c r="P42" s="17"/>
    </row>
    <row r="43" spans="2:16">
      <c r="D43" s="621" t="s">
        <v>205</v>
      </c>
      <c r="F43" s="593"/>
      <c r="G43" s="591" t="s">
        <v>208</v>
      </c>
      <c r="H43" s="579"/>
      <c r="I43" s="579"/>
      <c r="J43" s="579"/>
      <c r="K43" s="595">
        <f>K42*$F$37</f>
        <v>24.840000000000003</v>
      </c>
      <c r="L43" s="595">
        <f>L42*$F$37</f>
        <v>23.171999999999997</v>
      </c>
      <c r="M43" s="595">
        <f>M42*$F$37</f>
        <v>21.971599999999999</v>
      </c>
      <c r="N43" s="595">
        <f>N42*$F$37</f>
        <v>21.088630000000002</v>
      </c>
      <c r="O43" s="595">
        <f>O42*$F$37</f>
        <v>20.470037749999999</v>
      </c>
      <c r="P43" s="17"/>
    </row>
    <row r="44" spans="2:16">
      <c r="D44" s="598" t="s">
        <v>209</v>
      </c>
      <c r="F44" s="596"/>
      <c r="G44" s="622"/>
      <c r="H44" s="623"/>
      <c r="I44" s="623"/>
      <c r="J44" s="623"/>
      <c r="K44" s="592">
        <f>K39+K40-K43</f>
        <v>107.35999999999999</v>
      </c>
      <c r="L44" s="592">
        <f>L39+L40-L43</f>
        <v>101.18799999999999</v>
      </c>
      <c r="M44" s="592">
        <f>M39+M40-M43</f>
        <v>96.556399999999996</v>
      </c>
      <c r="N44" s="592">
        <f>N39+N40-N43</f>
        <v>93.241269999999986</v>
      </c>
      <c r="O44" s="592">
        <f>O39+O40-O43</f>
        <v>90.989069749999985</v>
      </c>
      <c r="P44" s="17"/>
    </row>
    <row r="45" spans="2:16" ht="6" customHeight="1">
      <c r="B45" s="142"/>
      <c r="C45" s="142"/>
      <c r="D45" s="142"/>
      <c r="E45" s="624"/>
      <c r="F45" s="624"/>
      <c r="G45" s="625"/>
      <c r="H45" s="625"/>
      <c r="I45" s="625"/>
      <c r="J45" s="625"/>
      <c r="K45" s="625"/>
      <c r="L45" s="625"/>
      <c r="M45" s="625"/>
      <c r="N45" s="625"/>
      <c r="O45" s="142"/>
      <c r="P45" s="17"/>
    </row>
    <row r="48" spans="2:16" ht="12.75" customHeight="1">
      <c r="B48" s="1"/>
      <c r="C48" s="13"/>
      <c r="D48" s="13"/>
      <c r="E48" s="13"/>
      <c r="F48" s="13"/>
      <c r="G48" s="13"/>
      <c r="H48" s="13"/>
      <c r="I48" s="13"/>
      <c r="J48" s="13"/>
      <c r="K48" s="13"/>
      <c r="L48" s="13"/>
      <c r="M48" s="13"/>
      <c r="N48" s="13"/>
      <c r="O48" s="13"/>
      <c r="P48" s="401" t="str">
        <f>Model!P1</f>
        <v>CURRENTLY RUNNING: BASE CASE SCENARIO</v>
      </c>
    </row>
    <row r="49" spans="1:16" ht="22.5">
      <c r="B49" s="1" t="str">
        <f>B2</f>
        <v>Medallion Mouldings</v>
      </c>
      <c r="C49" s="13"/>
      <c r="D49" s="13"/>
      <c r="E49" s="13"/>
      <c r="F49" s="13"/>
      <c r="G49" s="13"/>
      <c r="H49" s="13"/>
      <c r="I49" s="13"/>
      <c r="J49" s="13"/>
      <c r="K49" s="13"/>
      <c r="L49" s="13"/>
      <c r="M49" s="13"/>
      <c r="N49" s="13"/>
      <c r="O49" s="13"/>
      <c r="P49" s="13"/>
    </row>
    <row r="50" spans="1:16" ht="17.5">
      <c r="B50" s="330" t="s">
        <v>211</v>
      </c>
      <c r="C50" s="121"/>
      <c r="D50" s="121"/>
      <c r="E50" s="121"/>
      <c r="F50" s="121"/>
      <c r="G50" s="121"/>
      <c r="H50" s="121"/>
      <c r="I50" s="121"/>
      <c r="J50" s="121"/>
      <c r="K50" s="121"/>
      <c r="L50" s="121"/>
      <c r="M50" s="121"/>
      <c r="N50" s="121"/>
      <c r="O50" s="121"/>
      <c r="P50" s="121"/>
    </row>
    <row r="51" spans="1:16" ht="6" customHeight="1" thickBot="1">
      <c r="B51" s="333"/>
      <c r="C51" s="499"/>
      <c r="D51" s="499"/>
      <c r="E51" s="499"/>
      <c r="F51" s="499"/>
      <c r="G51" s="499"/>
      <c r="H51" s="499"/>
      <c r="I51" s="499"/>
      <c r="J51" s="499"/>
      <c r="K51" s="499"/>
      <c r="L51" s="499"/>
      <c r="M51" s="499"/>
      <c r="N51" s="499"/>
      <c r="O51" s="499"/>
      <c r="P51" s="499"/>
    </row>
    <row r="52" spans="1:16">
      <c r="B52" s="500" t="s">
        <v>13</v>
      </c>
      <c r="F52" s="15"/>
    </row>
    <row r="53" spans="1:16" ht="13.5">
      <c r="F53" s="15"/>
      <c r="K53" s="338" t="s">
        <v>8</v>
      </c>
      <c r="L53" s="169"/>
      <c r="M53" s="169"/>
      <c r="N53" s="169"/>
      <c r="O53" s="169"/>
      <c r="P53" s="169"/>
    </row>
    <row r="54" spans="1:16">
      <c r="B54" s="501"/>
      <c r="F54" s="17"/>
      <c r="G54" s="502"/>
      <c r="H54" s="403"/>
      <c r="I54" s="403"/>
      <c r="J54" s="675"/>
      <c r="K54" s="503">
        <f>Model!K7</f>
        <v>2018</v>
      </c>
      <c r="L54" s="503">
        <f>Model!L7</f>
        <v>2019</v>
      </c>
      <c r="M54" s="503">
        <f>Model!M7</f>
        <v>2020</v>
      </c>
      <c r="N54" s="503">
        <f>Model!N7</f>
        <v>2021</v>
      </c>
      <c r="O54" s="503">
        <f>Model!O7</f>
        <v>2022</v>
      </c>
      <c r="P54" s="340" t="str">
        <f>Model!P7</f>
        <v>Term.</v>
      </c>
    </row>
    <row r="55" spans="1:16">
      <c r="B55" s="341" t="s">
        <v>213</v>
      </c>
      <c r="F55" s="15"/>
      <c r="H55" s="129"/>
      <c r="I55" s="129"/>
      <c r="J55" s="129"/>
      <c r="P55" s="343"/>
    </row>
    <row r="56" spans="1:16">
      <c r="C56" s="15" t="s">
        <v>16</v>
      </c>
      <c r="F56" s="15"/>
      <c r="G56" s="504"/>
      <c r="H56" s="418"/>
      <c r="I56" s="418"/>
      <c r="J56" s="418"/>
      <c r="K56" s="505">
        <f>Model!K109</f>
        <v>56.648934999999966</v>
      </c>
      <c r="L56" s="505">
        <f>Model!L109</f>
        <v>44.775160247999963</v>
      </c>
      <c r="M56" s="505">
        <f>Model!M109</f>
        <v>90.796644071078362</v>
      </c>
      <c r="N56" s="505">
        <f>Model!N109</f>
        <v>81.299325018041088</v>
      </c>
      <c r="O56" s="505">
        <f>Model!O109</f>
        <v>56.01865970707189</v>
      </c>
      <c r="P56" s="676">
        <f>Model!P109</f>
        <v>72.265590340172096</v>
      </c>
    </row>
    <row r="57" spans="1:16">
      <c r="C57" s="15" t="s">
        <v>300</v>
      </c>
      <c r="F57" s="15"/>
      <c r="G57" s="504"/>
      <c r="H57" s="418"/>
      <c r="I57" s="418"/>
      <c r="J57" s="418"/>
      <c r="K57" s="505">
        <f>-K32</f>
        <v>-2.3831272499999869</v>
      </c>
      <c r="L57" s="505">
        <f>-L32</f>
        <v>-7.5611060867999873</v>
      </c>
      <c r="M57" s="505">
        <f>-M32</f>
        <v>-24.088765424877426</v>
      </c>
      <c r="N57" s="505">
        <f>-N32</f>
        <v>-21.07374325631438</v>
      </c>
      <c r="O57" s="505">
        <f>-O32</f>
        <v>-12.442017684975159</v>
      </c>
      <c r="P57" s="677">
        <f>-Model!P117</f>
        <v>-18.757307415935234</v>
      </c>
    </row>
    <row r="58" spans="1:16">
      <c r="C58" s="15" t="s">
        <v>254</v>
      </c>
      <c r="F58" s="15"/>
      <c r="G58" s="510"/>
      <c r="H58" s="418"/>
      <c r="I58" s="418"/>
      <c r="J58" s="418"/>
      <c r="K58" s="411">
        <f>Model!K306</f>
        <v>1.7330768493150686</v>
      </c>
      <c r="L58" s="411">
        <f>Model!L306</f>
        <v>5.5259356684931618</v>
      </c>
      <c r="M58" s="411">
        <f>Model!M306</f>
        <v>-3.7884559393510457</v>
      </c>
      <c r="N58" s="411">
        <f>Model!N306</f>
        <v>-0.47556609949703699</v>
      </c>
      <c r="O58" s="411">
        <f>Model!O306</f>
        <v>4.1579399082047601</v>
      </c>
      <c r="P58" s="678">
        <v>0</v>
      </c>
    </row>
    <row r="59" spans="1:16">
      <c r="C59" s="15" t="s">
        <v>84</v>
      </c>
      <c r="H59" s="510"/>
      <c r="I59" s="510"/>
      <c r="J59" s="510"/>
      <c r="K59" s="414">
        <f>-Assumptions!G59</f>
        <v>-16</v>
      </c>
      <c r="L59" s="414">
        <f>-Assumptions!H59</f>
        <v>-17</v>
      </c>
      <c r="M59" s="414">
        <f>-Assumptions!I59</f>
        <v>-17.34</v>
      </c>
      <c r="N59" s="414">
        <f>-Assumptions!J59</f>
        <v>-17.773499999999999</v>
      </c>
      <c r="O59" s="414">
        <f>-Assumptions!K59</f>
        <v>-18.217837499999998</v>
      </c>
      <c r="P59" s="456">
        <f>-Assumptions!L59</f>
        <v>-18.673283437499997</v>
      </c>
    </row>
    <row r="60" spans="1:16" ht="13.5" thickBot="1">
      <c r="A60" s="341"/>
      <c r="C60" s="351" t="s">
        <v>111</v>
      </c>
      <c r="F60" s="15"/>
      <c r="G60" s="421"/>
      <c r="H60" s="544"/>
      <c r="I60" s="544"/>
      <c r="J60" s="544"/>
      <c r="K60" s="422">
        <f t="shared" ref="K60:P60" si="0">SUM(K56:K59)</f>
        <v>39.998884599315048</v>
      </c>
      <c r="L60" s="422">
        <f t="shared" si="0"/>
        <v>25.739989829693137</v>
      </c>
      <c r="M60" s="422">
        <f t="shared" si="0"/>
        <v>45.579422706849897</v>
      </c>
      <c r="N60" s="422">
        <f t="shared" si="0"/>
        <v>41.976515662229673</v>
      </c>
      <c r="O60" s="422">
        <f t="shared" si="0"/>
        <v>29.516744430301497</v>
      </c>
      <c r="P60" s="679">
        <f t="shared" si="0"/>
        <v>34.834999486736869</v>
      </c>
    </row>
    <row r="61" spans="1:16" ht="13.5" thickTop="1">
      <c r="A61" s="341"/>
      <c r="C61" s="351"/>
      <c r="F61" s="15"/>
      <c r="G61" s="421"/>
      <c r="H61" s="544"/>
      <c r="I61" s="544"/>
      <c r="J61" s="544"/>
      <c r="K61" s="634"/>
      <c r="L61" s="634"/>
      <c r="M61" s="634"/>
      <c r="N61" s="634"/>
      <c r="O61" s="634"/>
      <c r="P61" s="680"/>
    </row>
    <row r="62" spans="1:16">
      <c r="A62" s="341"/>
      <c r="C62" s="351"/>
      <c r="F62" s="15"/>
      <c r="G62" s="421"/>
      <c r="H62" s="544"/>
      <c r="I62" s="544"/>
      <c r="J62" s="853"/>
      <c r="K62" s="634"/>
      <c r="L62" s="634"/>
      <c r="M62" s="634"/>
      <c r="N62" s="634"/>
      <c r="O62" s="634"/>
      <c r="P62" s="681"/>
    </row>
    <row r="63" spans="1:16">
      <c r="A63" s="341"/>
      <c r="B63" s="202" t="s">
        <v>287</v>
      </c>
      <c r="F63" s="15"/>
      <c r="G63" s="421"/>
      <c r="H63" s="520"/>
      <c r="I63" s="520"/>
      <c r="J63" s="865"/>
      <c r="K63" s="520"/>
      <c r="L63" s="520"/>
      <c r="M63" s="520"/>
      <c r="N63" s="520"/>
      <c r="O63" s="520"/>
      <c r="P63" s="682"/>
    </row>
    <row r="64" spans="1:16" ht="6" customHeight="1">
      <c r="B64" s="129"/>
      <c r="C64" s="129"/>
      <c r="D64" s="129"/>
      <c r="E64" s="129"/>
      <c r="F64" s="129"/>
      <c r="G64" s="129"/>
      <c r="H64" s="129"/>
      <c r="I64" s="129"/>
      <c r="J64" s="129"/>
      <c r="K64" s="411"/>
      <c r="L64" s="409"/>
      <c r="M64" s="409"/>
      <c r="N64" s="409"/>
      <c r="O64" s="409"/>
      <c r="P64" s="682"/>
    </row>
    <row r="65" spans="1:16">
      <c r="B65" s="341" t="s">
        <v>213</v>
      </c>
      <c r="C65" s="129"/>
      <c r="D65" s="129"/>
      <c r="E65" s="129"/>
      <c r="F65" s="129"/>
      <c r="G65" s="129"/>
      <c r="H65" s="129"/>
      <c r="I65" s="129"/>
      <c r="J65" s="129"/>
      <c r="K65" s="411"/>
      <c r="L65" s="409"/>
      <c r="M65" s="409"/>
      <c r="N65" s="409"/>
      <c r="O65" s="409"/>
      <c r="P65" s="682"/>
    </row>
    <row r="66" spans="1:16">
      <c r="C66" s="15" t="s">
        <v>19</v>
      </c>
      <c r="K66" s="505">
        <f ca="1">Model!K121</f>
        <v>16.533232229674855</v>
      </c>
      <c r="L66" s="505">
        <f ca="1">Model!L121</f>
        <v>9.5514829759481579</v>
      </c>
      <c r="M66" s="505">
        <f ca="1">Model!M121</f>
        <v>40.34425890719406</v>
      </c>
      <c r="N66" s="505">
        <f ca="1">Model!N121</f>
        <v>35.304340091832273</v>
      </c>
      <c r="O66" s="505">
        <f ca="1">Model!O121</f>
        <v>19.780473185229077</v>
      </c>
      <c r="P66" s="676">
        <f>Model!P121</f>
        <v>34.834999486736862</v>
      </c>
    </row>
    <row r="67" spans="1:16">
      <c r="C67" s="15" t="s">
        <v>68</v>
      </c>
      <c r="K67" s="505">
        <f>Model!K111</f>
        <v>16.174666666666667</v>
      </c>
      <c r="L67" s="505">
        <f>Model!L111</f>
        <v>16.724666666666668</v>
      </c>
      <c r="M67" s="505">
        <f>Model!M111</f>
        <v>17.297000000000001</v>
      </c>
      <c r="N67" s="505">
        <f>Model!N111</f>
        <v>17.882224999999998</v>
      </c>
      <c r="O67" s="505">
        <f>Model!O111</f>
        <v>18.482080624999998</v>
      </c>
      <c r="P67" s="676">
        <f>Model!P111</f>
        <v>18.673283437499997</v>
      </c>
    </row>
    <row r="68" spans="1:16">
      <c r="C68" s="874" t="s">
        <v>315</v>
      </c>
      <c r="K68" s="505">
        <f ca="1">Model!K118</f>
        <v>8.9025096621326121</v>
      </c>
      <c r="L68" s="505">
        <f ca="1">Model!L118</f>
        <v>5.1369236712007194</v>
      </c>
      <c r="M68" s="505">
        <f ca="1">Model!M118</f>
        <v>1.6361099999999986</v>
      </c>
      <c r="N68" s="505">
        <f ca="1">Model!N118</f>
        <v>1.1222417500000041</v>
      </c>
      <c r="O68" s="505">
        <f ca="1">Model!O118</f>
        <v>0.69578499375000114</v>
      </c>
      <c r="P68" s="676">
        <f>Model!P118</f>
        <v>0</v>
      </c>
    </row>
    <row r="69" spans="1:16">
      <c r="C69" s="15" t="s">
        <v>108</v>
      </c>
      <c r="K69" s="505">
        <f ca="1">Model!K114</f>
        <v>15.03852644152583</v>
      </c>
      <c r="L69" s="505">
        <f ca="1">Model!L114</f>
        <v>13.355904387566898</v>
      </c>
      <c r="M69" s="505">
        <f ca="1">Model!M114</f>
        <v>11.431553444625967</v>
      </c>
      <c r="N69" s="505">
        <f ca="1">Model!N114</f>
        <v>9.1027306459914357</v>
      </c>
      <c r="O69" s="505">
        <f ca="1">Model!O114</f>
        <v>7.1050818740271637</v>
      </c>
      <c r="P69" s="676">
        <f>Model!P114</f>
        <v>0</v>
      </c>
    </row>
    <row r="70" spans="1:16">
      <c r="C70" s="15" t="s">
        <v>298</v>
      </c>
      <c r="K70" s="468">
        <f ca="1">Model!K266-UFCF!K32</f>
        <v>-2.3831272499999869</v>
      </c>
      <c r="L70" s="468">
        <f ca="1">Model!L266-UFCF!L32</f>
        <v>-7.5549235401824681</v>
      </c>
      <c r="M70" s="468">
        <f ca="1">Model!M266-UFCF!M32</f>
        <v>-4.001043705619086</v>
      </c>
      <c r="N70" s="468">
        <f ca="1">Model!N266-UFCF!N32</f>
        <v>-3.1859557260970064</v>
      </c>
      <c r="O70" s="468">
        <f ca="1">Model!O266-UFCF!O32</f>
        <v>-2.4867786559095055</v>
      </c>
      <c r="P70" s="678">
        <f>Model!P266-UFCF!P32</f>
        <v>0</v>
      </c>
    </row>
    <row r="71" spans="1:16">
      <c r="C71" s="15" t="s">
        <v>254</v>
      </c>
      <c r="K71" s="505">
        <f>Model!K144</f>
        <v>1.7330768493150686</v>
      </c>
      <c r="L71" s="505">
        <f>Model!L144</f>
        <v>5.5259356684931618</v>
      </c>
      <c r="M71" s="505">
        <f>Model!M144</f>
        <v>-3.7884559393510457</v>
      </c>
      <c r="N71" s="505">
        <f>Model!N144</f>
        <v>-0.47556609949703699</v>
      </c>
      <c r="O71" s="505">
        <f>Model!O144</f>
        <v>4.1579399082047601</v>
      </c>
      <c r="P71" s="678">
        <f>Model!P144</f>
        <v>0</v>
      </c>
    </row>
    <row r="72" spans="1:16">
      <c r="C72" s="15" t="s">
        <v>84</v>
      </c>
      <c r="K72" s="414">
        <f>-Assumptions!G59</f>
        <v>-16</v>
      </c>
      <c r="L72" s="414">
        <f>-Assumptions!H59</f>
        <v>-17</v>
      </c>
      <c r="M72" s="414">
        <f>-Assumptions!I59</f>
        <v>-17.34</v>
      </c>
      <c r="N72" s="414">
        <f>-Assumptions!J59</f>
        <v>-17.773499999999999</v>
      </c>
      <c r="O72" s="414">
        <f>-Assumptions!K59</f>
        <v>-18.217837499999998</v>
      </c>
      <c r="P72" s="456">
        <f>-Assumptions!L59</f>
        <v>-18.673283437499997</v>
      </c>
    </row>
    <row r="73" spans="1:16" ht="13.5" thickBot="1">
      <c r="C73" s="341" t="s">
        <v>213</v>
      </c>
      <c r="K73" s="683">
        <f t="shared" ref="K73:P73" ca="1" si="1">SUM(K66:K72)</f>
        <v>39.998884599315048</v>
      </c>
      <c r="L73" s="683">
        <f t="shared" ca="1" si="1"/>
        <v>25.73998982969313</v>
      </c>
      <c r="M73" s="683">
        <f t="shared" ca="1" si="1"/>
        <v>45.579422706849897</v>
      </c>
      <c r="N73" s="683">
        <f t="shared" ca="1" si="1"/>
        <v>41.976515662229673</v>
      </c>
      <c r="O73" s="683">
        <f t="shared" ca="1" si="1"/>
        <v>29.516744430301504</v>
      </c>
      <c r="P73" s="684">
        <f t="shared" si="1"/>
        <v>34.834999486736862</v>
      </c>
    </row>
    <row r="74" spans="1:16" ht="13.5" thickTop="1">
      <c r="P74" s="682"/>
    </row>
    <row r="75" spans="1:16">
      <c r="D75" s="547" t="s">
        <v>38</v>
      </c>
      <c r="K75" s="685">
        <f t="shared" ref="K75:P75" ca="1" si="2">K60-K73</f>
        <v>0</v>
      </c>
      <c r="L75" s="685">
        <f t="shared" ca="1" si="2"/>
        <v>0</v>
      </c>
      <c r="M75" s="685">
        <f t="shared" ca="1" si="2"/>
        <v>0</v>
      </c>
      <c r="N75" s="685">
        <f t="shared" ca="1" si="2"/>
        <v>0</v>
      </c>
      <c r="O75" s="685">
        <f t="shared" ca="1" si="2"/>
        <v>0</v>
      </c>
      <c r="P75" s="686">
        <f t="shared" si="2"/>
        <v>0</v>
      </c>
    </row>
    <row r="76" spans="1:16">
      <c r="A76" s="341"/>
      <c r="B76" s="687"/>
      <c r="C76" s="142"/>
      <c r="D76" s="142"/>
      <c r="E76" s="142"/>
      <c r="F76" s="142"/>
      <c r="G76" s="430"/>
      <c r="H76" s="688"/>
      <c r="I76" s="688"/>
      <c r="J76" s="688"/>
      <c r="K76" s="688"/>
      <c r="L76" s="688"/>
      <c r="M76" s="688"/>
      <c r="N76" s="688"/>
      <c r="O76" s="688"/>
      <c r="P76" s="689"/>
    </row>
    <row r="77" spans="1:16">
      <c r="A77" s="341"/>
      <c r="B77" s="202"/>
      <c r="F77" s="15"/>
      <c r="G77" s="421"/>
      <c r="H77" s="520"/>
      <c r="I77" s="520"/>
      <c r="J77" s="520"/>
      <c r="K77" s="520"/>
      <c r="L77" s="520"/>
      <c r="M77" s="520"/>
      <c r="N77" s="520"/>
      <c r="O77" s="520"/>
      <c r="P77" s="544"/>
    </row>
    <row r="78" spans="1:16">
      <c r="B78" s="129"/>
      <c r="C78" s="129"/>
      <c r="D78" s="129"/>
      <c r="E78" s="129"/>
      <c r="F78" s="129"/>
      <c r="G78" s="129"/>
      <c r="H78" s="129"/>
      <c r="I78" s="129"/>
      <c r="J78" s="129"/>
      <c r="K78" s="129"/>
      <c r="L78" s="129"/>
      <c r="M78" s="129"/>
      <c r="N78" s="129"/>
      <c r="O78" s="129"/>
      <c r="P78" s="129"/>
    </row>
  </sheetData>
  <sheetProtection formatCells="0" formatColumns="0" formatRows="0" insertColumns="0" insertRows="0"/>
  <phoneticPr fontId="0" type="noConversion"/>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IV503"/>
  <sheetViews>
    <sheetView showGridLines="0" topLeftCell="A16" zoomScaleNormal="100" workbookViewId="0"/>
  </sheetViews>
  <sheetFormatPr defaultColWidth="10.7265625" defaultRowHeight="13"/>
  <cols>
    <col min="1" max="1" width="10.7265625" style="25" customWidth="1"/>
    <col min="2" max="2" width="1.26953125" style="25" customWidth="1"/>
    <col min="3" max="3" width="9" style="25" customWidth="1"/>
    <col min="4" max="4" width="1.26953125" style="25" customWidth="1"/>
    <col min="5" max="5" width="20.7265625" style="25" customWidth="1"/>
    <col min="6" max="6" width="8.7265625" style="25" customWidth="1"/>
    <col min="7" max="8" width="6.7265625" style="25" customWidth="1"/>
    <col min="9" max="9" width="8.7265625" style="25" customWidth="1"/>
    <col min="10" max="11" width="6.7265625" style="25" customWidth="1"/>
    <col min="12" max="12" width="8.7265625" style="25" customWidth="1"/>
    <col min="13" max="14" width="6.7265625" style="25" customWidth="1"/>
    <col min="15" max="15" width="8.7265625" style="25" customWidth="1"/>
    <col min="16" max="17" width="6.7265625" style="25" customWidth="1"/>
    <col min="18" max="18" width="9" style="25" customWidth="1"/>
    <col min="19" max="16384" width="10.7265625" style="25"/>
  </cols>
  <sheetData>
    <row r="1" spans="2:19" ht="12.75" customHeight="1">
      <c r="B1" s="3"/>
      <c r="C1" s="22"/>
      <c r="D1" s="27"/>
      <c r="E1" s="22"/>
      <c r="F1" s="23"/>
      <c r="G1" s="23"/>
      <c r="H1" s="23"/>
      <c r="I1" s="23"/>
      <c r="J1" s="23"/>
      <c r="K1" s="23"/>
      <c r="L1" s="23"/>
      <c r="M1" s="23"/>
      <c r="N1" s="23"/>
      <c r="O1" s="23"/>
      <c r="P1" s="23"/>
      <c r="Q1" s="328" t="str">
        <f>Model!P1</f>
        <v>CURRENTLY RUNNING: BASE CASE SCENARIO</v>
      </c>
      <c r="R1" s="24"/>
      <c r="S1" s="24"/>
    </row>
    <row r="2" spans="2:19" ht="22.75" customHeight="1">
      <c r="B2" s="3" t="str">
        <f>UFCF!B2</f>
        <v>Medallion Mouldings</v>
      </c>
      <c r="C2" s="22"/>
      <c r="D2" s="27"/>
      <c r="E2" s="22"/>
      <c r="F2" s="23"/>
      <c r="G2" s="23"/>
      <c r="H2" s="23"/>
      <c r="I2" s="23"/>
      <c r="J2" s="23"/>
      <c r="K2" s="23"/>
      <c r="L2" s="23"/>
      <c r="M2" s="23"/>
      <c r="N2" s="23"/>
      <c r="O2" s="23"/>
      <c r="P2" s="23"/>
      <c r="Q2" s="23"/>
      <c r="R2" s="24"/>
      <c r="S2" s="24"/>
    </row>
    <row r="3" spans="2:19" ht="17.5">
      <c r="B3" s="44" t="s">
        <v>85</v>
      </c>
      <c r="C3" s="44"/>
      <c r="D3" s="690"/>
      <c r="E3" s="44"/>
      <c r="F3" s="44"/>
      <c r="G3" s="44"/>
      <c r="H3" s="44"/>
      <c r="I3" s="44"/>
      <c r="J3" s="44"/>
      <c r="K3" s="44"/>
      <c r="L3" s="44"/>
      <c r="M3" s="44"/>
      <c r="N3" s="44"/>
      <c r="O3" s="44"/>
      <c r="P3" s="44"/>
      <c r="Q3" s="44"/>
      <c r="R3" s="45"/>
      <c r="S3" s="45"/>
    </row>
    <row r="4" spans="2:19" ht="6" customHeight="1" thickBot="1">
      <c r="B4" s="46"/>
      <c r="C4" s="46"/>
      <c r="D4" s="691"/>
      <c r="E4" s="46"/>
      <c r="F4" s="46"/>
      <c r="G4" s="46"/>
      <c r="H4" s="46"/>
      <c r="I4" s="46"/>
      <c r="J4" s="46"/>
      <c r="K4" s="46"/>
      <c r="L4" s="46"/>
      <c r="M4" s="46"/>
      <c r="N4" s="46"/>
      <c r="O4" s="46"/>
      <c r="P4" s="46"/>
      <c r="Q4" s="46"/>
      <c r="R4" s="47"/>
      <c r="S4" s="47"/>
    </row>
    <row r="5" spans="2:19" s="57" customFormat="1">
      <c r="B5" s="692" t="s">
        <v>313</v>
      </c>
      <c r="C5" s="692"/>
      <c r="D5" s="693"/>
      <c r="F5" s="694"/>
      <c r="R5" s="47"/>
    </row>
    <row r="6" spans="2:19" s="57" customFormat="1" ht="6" customHeight="1">
      <c r="B6" s="692"/>
      <c r="C6" s="692"/>
      <c r="D6" s="693"/>
      <c r="F6" s="694"/>
      <c r="R6" s="47"/>
    </row>
    <row r="7" spans="2:19" s="57" customFormat="1">
      <c r="B7" s="78"/>
      <c r="C7" s="700" t="s">
        <v>10</v>
      </c>
      <c r="D7" s="695"/>
      <c r="E7" s="697"/>
      <c r="F7" s="697"/>
      <c r="G7" s="72" t="s">
        <v>11</v>
      </c>
      <c r="H7" s="701"/>
      <c r="I7" s="701"/>
      <c r="J7" s="701"/>
      <c r="K7" s="701"/>
      <c r="L7" s="701"/>
      <c r="M7" s="701"/>
      <c r="N7" s="701"/>
      <c r="O7" s="701"/>
      <c r="P7" s="701"/>
      <c r="Q7" s="701"/>
      <c r="R7" s="699"/>
    </row>
    <row r="8" spans="2:19" s="57" customFormat="1" ht="13.5">
      <c r="B8" s="78"/>
      <c r="D8" s="695"/>
      <c r="E8" s="702"/>
      <c r="F8" s="702"/>
      <c r="G8" s="703">
        <f>Assumptions!N26</f>
        <v>1.4999999999999999E-2</v>
      </c>
      <c r="H8" s="704"/>
      <c r="I8" s="704"/>
      <c r="J8" s="704">
        <f>G8+0.005</f>
        <v>0.02</v>
      </c>
      <c r="K8" s="704"/>
      <c r="L8" s="704"/>
      <c r="M8" s="704">
        <f>J8+0.005</f>
        <v>2.5000000000000001E-2</v>
      </c>
      <c r="N8" s="704"/>
      <c r="O8" s="704"/>
      <c r="P8" s="704">
        <f>M8+0.005</f>
        <v>3.0000000000000002E-2</v>
      </c>
      <c r="Q8" s="705"/>
      <c r="R8" s="706"/>
    </row>
    <row r="9" spans="2:19" s="57" customFormat="1" ht="6" customHeight="1">
      <c r="B9" s="78"/>
      <c r="C9" s="78"/>
      <c r="D9" s="695"/>
      <c r="E9" s="697"/>
      <c r="F9" s="697"/>
      <c r="G9" s="707"/>
      <c r="H9" s="708"/>
      <c r="I9" s="708"/>
      <c r="J9" s="708"/>
      <c r="K9" s="708"/>
      <c r="L9" s="708"/>
      <c r="M9" s="708"/>
      <c r="N9" s="708"/>
      <c r="O9" s="708"/>
      <c r="P9" s="708"/>
      <c r="Q9" s="708"/>
      <c r="R9" s="706"/>
    </row>
    <row r="10" spans="2:19" s="57" customFormat="1">
      <c r="C10" s="709">
        <f>Assumptions!N24</f>
        <v>0.1</v>
      </c>
      <c r="D10" s="693"/>
      <c r="E10" s="57" t="s">
        <v>12</v>
      </c>
      <c r="G10" s="710">
        <f>NPV($C10,UFCF!$K$60:$O$60)*(1+$C10)^0.5</f>
        <v>145.65640928536692</v>
      </c>
      <c r="H10" s="711">
        <f>G10/G12</f>
        <v>0.35306804010754361</v>
      </c>
      <c r="J10" s="710">
        <f>NPV($C10,UFCF!$K$60:$O$60)*(1+$C10)^0.5</f>
        <v>145.65640928536692</v>
      </c>
      <c r="K10" s="711">
        <f>J10/J12</f>
        <v>0.33934713347366818</v>
      </c>
      <c r="M10" s="710">
        <f>NPV($C10,UFCF!$K$60:$O$60)*(1+$C10)^0.5</f>
        <v>145.65640928536692</v>
      </c>
      <c r="N10" s="711">
        <f>M10/M12</f>
        <v>0.32503159641479717</v>
      </c>
      <c r="P10" s="710">
        <f>NPV($C10,UFCF!$K$60:$O$60)*(1+$C10)^0.5</f>
        <v>145.65640928536692</v>
      </c>
      <c r="Q10" s="711">
        <f>P10/P12</f>
        <v>0.31008191804320706</v>
      </c>
    </row>
    <row r="11" spans="2:19" s="57" customFormat="1">
      <c r="B11" s="75"/>
      <c r="C11" s="712"/>
      <c r="D11" s="693"/>
      <c r="E11" s="57" t="s">
        <v>120</v>
      </c>
      <c r="G11" s="713">
        <f>(UFCF!$P$60/($C10-G$8)/(1+$C10)^4.5)</f>
        <v>266.8884623518403</v>
      </c>
      <c r="H11" s="714">
        <f>G11/G12</f>
        <v>0.64693195989245633</v>
      </c>
      <c r="J11" s="713">
        <f>(UFCF!$P$60/($C10-J$8)/(1+$C10)^4.5)</f>
        <v>283.56899124883034</v>
      </c>
      <c r="K11" s="714">
        <f>J11/J12</f>
        <v>0.66065286652633182</v>
      </c>
      <c r="M11" s="713">
        <f>(UFCF!$P$60/($C10-M$8)/(1+$C10)^4.5)</f>
        <v>302.47359066541901</v>
      </c>
      <c r="N11" s="714">
        <f>M11/M12</f>
        <v>0.67496840358520283</v>
      </c>
      <c r="P11" s="713">
        <f>(UFCF!$P$60/($C10-P$8)/(1+$C10)^4.5)</f>
        <v>324.07884714152038</v>
      </c>
      <c r="Q11" s="714">
        <f>P11/P12</f>
        <v>0.68991808195679294</v>
      </c>
    </row>
    <row r="12" spans="2:19" s="57" customFormat="1">
      <c r="C12" s="712"/>
      <c r="D12" s="715"/>
      <c r="E12" s="716" t="s">
        <v>74</v>
      </c>
      <c r="F12" s="717"/>
      <c r="G12" s="718">
        <f>SUM(G10:G11)</f>
        <v>412.54487163720722</v>
      </c>
      <c r="H12" s="719">
        <f>SUM(H10:H11)</f>
        <v>1</v>
      </c>
      <c r="I12" s="720"/>
      <c r="J12" s="716">
        <f>SUM(J10:J11)</f>
        <v>429.22540053419726</v>
      </c>
      <c r="K12" s="719">
        <f>SUM(K10:K11)</f>
        <v>1</v>
      </c>
      <c r="L12" s="720"/>
      <c r="M12" s="716">
        <f>SUM(M10:M11)</f>
        <v>448.12999995078593</v>
      </c>
      <c r="N12" s="719">
        <f>SUM(N10:N11)</f>
        <v>1</v>
      </c>
      <c r="O12" s="720"/>
      <c r="P12" s="716">
        <f>SUM(P10:P11)</f>
        <v>469.7352564268873</v>
      </c>
      <c r="Q12" s="719">
        <f>SUM(Q10:Q11)</f>
        <v>1</v>
      </c>
      <c r="R12" s="720"/>
    </row>
    <row r="13" spans="2:19" s="57" customFormat="1" ht="6" customHeight="1">
      <c r="C13" s="712"/>
      <c r="D13" s="715"/>
      <c r="E13" s="716"/>
      <c r="F13" s="717"/>
      <c r="G13" s="718"/>
      <c r="H13" s="719"/>
      <c r="I13" s="720"/>
      <c r="J13" s="716"/>
      <c r="K13" s="719"/>
      <c r="L13" s="720"/>
      <c r="M13" s="716"/>
      <c r="N13" s="719"/>
      <c r="O13" s="720"/>
      <c r="P13" s="716"/>
      <c r="Q13" s="719"/>
      <c r="R13" s="720"/>
    </row>
    <row r="14" spans="2:19" s="57" customFormat="1">
      <c r="C14" s="712"/>
      <c r="D14" s="715"/>
      <c r="E14" s="722" t="str">
        <f>"Less Net Debt (12/31/"&amp;RIGHT(Model!J175,2)&amp;")"</f>
        <v>Less Net Debt (12/31/17)</v>
      </c>
      <c r="F14" s="723"/>
      <c r="G14" s="724">
        <f>(Model!$J$190+Model!$J$196-Model!$J$178)</f>
        <v>200</v>
      </c>
      <c r="H14" s="723"/>
      <c r="I14" s="723"/>
      <c r="J14" s="96">
        <f>G14</f>
        <v>200</v>
      </c>
      <c r="K14" s="723"/>
      <c r="L14" s="723"/>
      <c r="M14" s="96">
        <f>J14</f>
        <v>200</v>
      </c>
      <c r="N14" s="723"/>
      <c r="O14" s="723"/>
      <c r="P14" s="96">
        <f>M14</f>
        <v>200</v>
      </c>
      <c r="Q14" s="720"/>
      <c r="R14" s="720"/>
    </row>
    <row r="15" spans="2:19" s="57" customFormat="1">
      <c r="C15" s="725"/>
      <c r="D15" s="715"/>
      <c r="E15" s="720" t="s">
        <v>104</v>
      </c>
      <c r="F15" s="717"/>
      <c r="G15" s="726">
        <f>G12-G14</f>
        <v>212.54487163720722</v>
      </c>
      <c r="H15" s="720"/>
      <c r="I15" s="720"/>
      <c r="J15" s="726">
        <f>J12-J14</f>
        <v>229.22540053419726</v>
      </c>
      <c r="K15" s="720"/>
      <c r="L15" s="720"/>
      <c r="M15" s="726">
        <f>M12-M14</f>
        <v>248.12999995078593</v>
      </c>
      <c r="N15" s="720"/>
      <c r="O15" s="720"/>
      <c r="P15" s="726">
        <f>P12-P14</f>
        <v>269.7352564268873</v>
      </c>
      <c r="Q15" s="720"/>
      <c r="R15" s="720"/>
    </row>
    <row r="16" spans="2:19" s="57" customFormat="1" ht="6" customHeight="1">
      <c r="C16" s="725"/>
      <c r="D16" s="715"/>
      <c r="E16" s="720"/>
      <c r="F16" s="717"/>
      <c r="G16" s="726"/>
      <c r="H16" s="720"/>
      <c r="I16" s="720"/>
      <c r="J16" s="726"/>
      <c r="K16" s="720"/>
      <c r="L16" s="720"/>
      <c r="M16" s="726"/>
      <c r="N16" s="720"/>
      <c r="O16" s="720"/>
      <c r="P16" s="726"/>
      <c r="Q16" s="720"/>
      <c r="R16" s="720"/>
    </row>
    <row r="17" spans="2:18" s="57" customFormat="1">
      <c r="C17" s="725"/>
      <c r="D17" s="715"/>
      <c r="E17" s="720" t="str">
        <f>"Shares O/S (MM) - (12/31/"&amp;RIGHT(Model!J175,2)&amp;")"</f>
        <v>Shares O/S (MM) - (12/31/17)</v>
      </c>
      <c r="F17" s="717"/>
      <c r="G17" s="728">
        <f>Assumptions!$N$9</f>
        <v>14.8</v>
      </c>
      <c r="H17" s="729"/>
      <c r="I17" s="729"/>
      <c r="J17" s="728">
        <f>Assumptions!$N$9</f>
        <v>14.8</v>
      </c>
      <c r="K17" s="729"/>
      <c r="L17" s="729"/>
      <c r="M17" s="728">
        <f>Assumptions!$N$9</f>
        <v>14.8</v>
      </c>
      <c r="N17" s="729"/>
      <c r="O17" s="729"/>
      <c r="P17" s="728">
        <f>Assumptions!$N$9</f>
        <v>14.8</v>
      </c>
      <c r="Q17" s="720"/>
      <c r="R17" s="720"/>
    </row>
    <row r="18" spans="2:18" s="57" customFormat="1">
      <c r="C18" s="712"/>
      <c r="D18" s="715"/>
      <c r="E18" s="716" t="s">
        <v>253</v>
      </c>
      <c r="F18" s="716"/>
      <c r="G18" s="873">
        <f>G15/G17</f>
        <v>14.361139975486974</v>
      </c>
      <c r="H18" s="716"/>
      <c r="I18" s="716"/>
      <c r="J18" s="873">
        <f>J15/J17</f>
        <v>15.488202738797112</v>
      </c>
      <c r="K18" s="716"/>
      <c r="L18" s="716"/>
      <c r="M18" s="873">
        <f>M15/M17</f>
        <v>16.765540537215266</v>
      </c>
      <c r="N18" s="716"/>
      <c r="O18" s="716"/>
      <c r="P18" s="873">
        <f>P15/P17</f>
        <v>18.225355163978872</v>
      </c>
      <c r="Q18" s="727"/>
      <c r="R18" s="727"/>
    </row>
    <row r="19" spans="2:18" s="57" customFormat="1" ht="10.9" customHeight="1">
      <c r="C19" s="712"/>
      <c r="D19" s="731"/>
      <c r="E19" s="866"/>
      <c r="F19" s="866"/>
      <c r="G19" s="867"/>
      <c r="H19" s="866"/>
      <c r="I19" s="866"/>
      <c r="J19" s="867"/>
      <c r="K19" s="866"/>
      <c r="L19" s="866"/>
      <c r="M19" s="867"/>
      <c r="N19" s="866"/>
      <c r="O19" s="866"/>
      <c r="P19" s="867"/>
      <c r="Q19" s="717"/>
      <c r="R19" s="717"/>
    </row>
    <row r="20" spans="2:18" s="57" customFormat="1" ht="10.9" customHeight="1">
      <c r="C20" s="712"/>
      <c r="D20" s="731"/>
      <c r="E20" s="717"/>
      <c r="F20" s="717"/>
      <c r="G20" s="717"/>
      <c r="H20" s="717"/>
      <c r="I20" s="717"/>
      <c r="J20" s="717"/>
      <c r="K20" s="717"/>
      <c r="L20" s="717"/>
      <c r="M20" s="717"/>
      <c r="N20" s="717"/>
      <c r="O20" s="717"/>
      <c r="P20" s="717"/>
      <c r="Q20" s="717"/>
      <c r="R20" s="717"/>
    </row>
    <row r="21" spans="2:18" s="57" customFormat="1">
      <c r="B21" s="78"/>
      <c r="C21" s="732">
        <f>C10+0.005</f>
        <v>0.10500000000000001</v>
      </c>
      <c r="D21" s="693"/>
      <c r="E21" s="57" t="s">
        <v>12</v>
      </c>
      <c r="F21" s="717"/>
      <c r="G21" s="710">
        <f>NPV($C21,UFCF!$K$60:$O$60)*(1+$C21)^0.5</f>
        <v>144.15201010026581</v>
      </c>
      <c r="H21" s="711">
        <f>G21/G23</f>
        <v>0.36856082808367646</v>
      </c>
      <c r="I21" s="717"/>
      <c r="J21" s="710">
        <f>NPV($C21,UFCF!$K$60:$O$60)*(1+$C21)^0.5</f>
        <v>144.15201010026581</v>
      </c>
      <c r="K21" s="711">
        <f>J21/J23</f>
        <v>0.35536146631764221</v>
      </c>
      <c r="L21" s="717"/>
      <c r="M21" s="710">
        <f>NPV($C21,UFCF!$K$60:$O$60)*(1+$C21)^0.5</f>
        <v>144.15201010026581</v>
      </c>
      <c r="N21" s="711">
        <f>M21/M23</f>
        <v>0.3415984942885022</v>
      </c>
      <c r="O21" s="733"/>
      <c r="P21" s="710">
        <f>NPV($C21,UFCF!$K$60:$O$60)*(1+$C21)^0.5</f>
        <v>144.15201010026581</v>
      </c>
      <c r="Q21" s="711">
        <f>P21/P23</f>
        <v>0.32723502539250449</v>
      </c>
      <c r="R21" s="717"/>
    </row>
    <row r="22" spans="2:18" s="57" customFormat="1">
      <c r="C22" s="712"/>
      <c r="D22" s="693"/>
      <c r="E22" s="57" t="s">
        <v>120</v>
      </c>
      <c r="F22" s="717"/>
      <c r="G22" s="713">
        <f>(UFCF!$P$60/($C21-G$8)/(1+$C21)^4.5)</f>
        <v>246.96934386939193</v>
      </c>
      <c r="H22" s="714">
        <f>G22/G23</f>
        <v>0.63143917191632348</v>
      </c>
      <c r="I22" s="720"/>
      <c r="J22" s="713">
        <f>(UFCF!$P$60/($C21-J$8)/(1+$C21)^4.5)</f>
        <v>261.49695233229733</v>
      </c>
      <c r="K22" s="714">
        <f>J22/J23</f>
        <v>0.64463853368235768</v>
      </c>
      <c r="L22" s="720"/>
      <c r="M22" s="713">
        <f>(UFCF!$P$60/($C21-M$8)/(1+$C21)^4.5)</f>
        <v>277.84051185306589</v>
      </c>
      <c r="N22" s="714">
        <f>M22/M23</f>
        <v>0.65840150571149791</v>
      </c>
      <c r="O22" s="733"/>
      <c r="P22" s="713">
        <f>(UFCF!$P$60/($C21-P$8)/(1+$C21)^4.5)</f>
        <v>296.36321264327029</v>
      </c>
      <c r="Q22" s="714">
        <f>P22/P23</f>
        <v>0.6727649746074954</v>
      </c>
      <c r="R22" s="720"/>
    </row>
    <row r="23" spans="2:18" s="57" customFormat="1">
      <c r="C23" s="712"/>
      <c r="D23" s="715"/>
      <c r="E23" s="716" t="s">
        <v>74</v>
      </c>
      <c r="F23" s="715"/>
      <c r="G23" s="716">
        <f>SUM(G21:G22)</f>
        <v>391.12135396965778</v>
      </c>
      <c r="H23" s="719">
        <f>SUM(H21:H22)</f>
        <v>1</v>
      </c>
      <c r="I23" s="715"/>
      <c r="J23" s="716">
        <f>SUM(J21:J22)</f>
        <v>405.64896243256317</v>
      </c>
      <c r="K23" s="719">
        <f>SUM(K21:K22)</f>
        <v>0.99999999999999989</v>
      </c>
      <c r="L23" s="715"/>
      <c r="M23" s="716">
        <f>SUM(M21:M22)</f>
        <v>421.99252195333167</v>
      </c>
      <c r="N23" s="719">
        <f>SUM(N21:N22)</f>
        <v>1</v>
      </c>
      <c r="O23" s="721"/>
      <c r="P23" s="716">
        <f>SUM(P21:P22)</f>
        <v>440.51522274353613</v>
      </c>
      <c r="Q23" s="719">
        <f>SUM(Q21:Q22)</f>
        <v>0.99999999999999989</v>
      </c>
      <c r="R23" s="715"/>
    </row>
    <row r="24" spans="2:18" s="57" customFormat="1" ht="6" customHeight="1">
      <c r="C24" s="712"/>
      <c r="D24" s="715"/>
      <c r="E24" s="716"/>
      <c r="F24" s="715"/>
      <c r="G24" s="716"/>
      <c r="H24" s="719"/>
      <c r="I24" s="715"/>
      <c r="J24" s="716"/>
      <c r="K24" s="719"/>
      <c r="L24" s="715"/>
      <c r="M24" s="716"/>
      <c r="N24" s="719"/>
      <c r="O24" s="721"/>
      <c r="P24" s="716"/>
      <c r="Q24" s="719"/>
      <c r="R24" s="715"/>
    </row>
    <row r="25" spans="2:18" s="57" customFormat="1">
      <c r="C25" s="712"/>
      <c r="D25" s="715"/>
      <c r="E25" s="722" t="str">
        <f>E14</f>
        <v>Less Net Debt (12/31/17)</v>
      </c>
      <c r="F25" s="717"/>
      <c r="G25" s="96">
        <f>G14</f>
        <v>200</v>
      </c>
      <c r="H25" s="720"/>
      <c r="I25" s="717"/>
      <c r="J25" s="96">
        <f>J14</f>
        <v>200</v>
      </c>
      <c r="K25" s="720"/>
      <c r="L25" s="717"/>
      <c r="M25" s="96">
        <f>M14</f>
        <v>200</v>
      </c>
      <c r="N25" s="720"/>
      <c r="O25" s="717"/>
      <c r="P25" s="96">
        <f>P14</f>
        <v>200</v>
      </c>
      <c r="Q25" s="720"/>
      <c r="R25" s="717"/>
    </row>
    <row r="26" spans="2:18" s="57" customFormat="1">
      <c r="B26" s="734"/>
      <c r="C26" s="725"/>
      <c r="D26" s="715"/>
      <c r="E26" s="720" t="s">
        <v>104</v>
      </c>
      <c r="F26" s="720"/>
      <c r="G26" s="726">
        <f>G23-G25</f>
        <v>191.12135396965778</v>
      </c>
      <c r="H26" s="720"/>
      <c r="I26" s="720"/>
      <c r="J26" s="726">
        <f>J23-J25</f>
        <v>205.64896243256317</v>
      </c>
      <c r="K26" s="720"/>
      <c r="L26" s="720"/>
      <c r="M26" s="726">
        <f>M23-M25</f>
        <v>221.99252195333167</v>
      </c>
      <c r="N26" s="720"/>
      <c r="O26" s="720"/>
      <c r="P26" s="726">
        <f>P23-P25</f>
        <v>240.51522274353613</v>
      </c>
      <c r="Q26" s="720"/>
      <c r="R26" s="720"/>
    </row>
    <row r="27" spans="2:18" s="57" customFormat="1" ht="6" customHeight="1">
      <c r="B27" s="734"/>
      <c r="C27" s="725"/>
      <c r="D27" s="715"/>
      <c r="E27" s="720"/>
      <c r="F27" s="720"/>
      <c r="G27" s="726"/>
      <c r="H27" s="720"/>
      <c r="I27" s="720"/>
      <c r="J27" s="726"/>
      <c r="K27" s="720"/>
      <c r="L27" s="720"/>
      <c r="M27" s="726"/>
      <c r="N27" s="720"/>
      <c r="O27" s="720"/>
      <c r="P27" s="726"/>
      <c r="Q27" s="720"/>
      <c r="R27" s="720"/>
    </row>
    <row r="28" spans="2:18" s="57" customFormat="1">
      <c r="C28" s="725"/>
      <c r="D28" s="715"/>
      <c r="E28" s="720" t="str">
        <f>E17</f>
        <v>Shares O/S (MM) - (12/31/17)</v>
      </c>
      <c r="F28" s="717"/>
      <c r="G28" s="728">
        <f>Assumptions!$N$9</f>
        <v>14.8</v>
      </c>
      <c r="H28" s="729"/>
      <c r="I28" s="729"/>
      <c r="J28" s="728">
        <f>Assumptions!$N$9</f>
        <v>14.8</v>
      </c>
      <c r="K28" s="729"/>
      <c r="L28" s="729"/>
      <c r="M28" s="728">
        <f>Assumptions!$N$9</f>
        <v>14.8</v>
      </c>
      <c r="N28" s="729"/>
      <c r="O28" s="729"/>
      <c r="P28" s="728">
        <f>Assumptions!$N$9</f>
        <v>14.8</v>
      </c>
      <c r="Q28" s="720"/>
      <c r="R28" s="720"/>
    </row>
    <row r="29" spans="2:18" s="57" customFormat="1">
      <c r="C29" s="712"/>
      <c r="D29" s="715"/>
      <c r="E29" s="716" t="s">
        <v>253</v>
      </c>
      <c r="F29" s="716"/>
      <c r="G29" s="873">
        <f>G26/G28</f>
        <v>12.913604997949848</v>
      </c>
      <c r="H29" s="716"/>
      <c r="I29" s="716"/>
      <c r="J29" s="873">
        <f>J26/J28</f>
        <v>13.895200164362375</v>
      </c>
      <c r="K29" s="716"/>
      <c r="L29" s="716"/>
      <c r="M29" s="873">
        <f>M26/M28</f>
        <v>14.999494726576463</v>
      </c>
      <c r="N29" s="716"/>
      <c r="O29" s="716"/>
      <c r="P29" s="873">
        <f>P26/P28</f>
        <v>16.251028563752442</v>
      </c>
      <c r="Q29" s="720"/>
      <c r="R29" s="720"/>
    </row>
    <row r="30" spans="2:18" s="57" customFormat="1" ht="10.9" customHeight="1">
      <c r="C30" s="712"/>
      <c r="D30" s="731"/>
      <c r="E30" s="866"/>
      <c r="F30" s="866"/>
      <c r="G30" s="867"/>
      <c r="H30" s="866"/>
      <c r="I30" s="866"/>
      <c r="J30" s="867"/>
      <c r="K30" s="866"/>
      <c r="L30" s="866"/>
      <c r="M30" s="867"/>
      <c r="N30" s="866"/>
      <c r="O30" s="866"/>
      <c r="P30" s="867"/>
      <c r="Q30" s="720"/>
      <c r="R30" s="720"/>
    </row>
    <row r="31" spans="2:18" s="57" customFormat="1" ht="10.9" customHeight="1">
      <c r="C31" s="712"/>
      <c r="D31" s="731"/>
      <c r="E31" s="720"/>
      <c r="F31" s="720"/>
      <c r="G31" s="720"/>
      <c r="H31" s="720"/>
      <c r="I31" s="720"/>
      <c r="J31" s="720"/>
      <c r="K31" s="720"/>
      <c r="L31" s="720"/>
      <c r="M31" s="720"/>
      <c r="N31" s="720"/>
      <c r="O31" s="720"/>
      <c r="P31" s="720"/>
      <c r="Q31" s="720"/>
      <c r="R31" s="720"/>
    </row>
    <row r="32" spans="2:18" s="57" customFormat="1">
      <c r="C32" s="732">
        <f>C21+0.005</f>
        <v>0.11000000000000001</v>
      </c>
      <c r="D32" s="693"/>
      <c r="E32" s="57" t="s">
        <v>12</v>
      </c>
      <c r="F32" s="717"/>
      <c r="G32" s="710">
        <f>NPV($C32,UFCF!$K$60:$O$60)*(1+$C32)^0.5</f>
        <v>142.67534829529214</v>
      </c>
      <c r="H32" s="711">
        <f>G32/G34</f>
        <v>0.38359682821891228</v>
      </c>
      <c r="I32" s="717"/>
      <c r="J32" s="710">
        <f>NPV($C32,UFCF!$K$60:$O$60)*(1+$C32)^0.5</f>
        <v>142.67534829529214</v>
      </c>
      <c r="K32" s="711">
        <f>J32/J34</f>
        <v>0.37089564746893167</v>
      </c>
      <c r="L32" s="717"/>
      <c r="M32" s="710">
        <f>NPV($C32,UFCF!$K$60:$O$60)*(1+$C32)^0.5</f>
        <v>142.67534829529214</v>
      </c>
      <c r="N32" s="711">
        <f>M32/M34</f>
        <v>0.3576600308719925</v>
      </c>
      <c r="O32" s="717"/>
      <c r="P32" s="710">
        <f>NPV($C32,UFCF!$K$60:$O$60)*(1+$C32)^0.5</f>
        <v>142.67534829529214</v>
      </c>
      <c r="Q32" s="711">
        <f>P32/P34</f>
        <v>0.34385552179365314</v>
      </c>
      <c r="R32" s="717"/>
    </row>
    <row r="33" spans="2:18" s="57" customFormat="1">
      <c r="B33" s="73"/>
      <c r="C33" s="712"/>
      <c r="D33" s="693"/>
      <c r="E33" s="57" t="s">
        <v>120</v>
      </c>
      <c r="F33" s="717"/>
      <c r="G33" s="713">
        <f>(UFCF!$P$60/($C32-G$8)/(1+$C32)^4.5)</f>
        <v>229.26554849927084</v>
      </c>
      <c r="H33" s="714">
        <f>G33/G34</f>
        <v>0.61640317178108783</v>
      </c>
      <c r="I33" s="717"/>
      <c r="J33" s="713">
        <f>(UFCF!$P$60/($C32-J$8)/(1+$C32)^4.5)</f>
        <v>242.002523415897</v>
      </c>
      <c r="K33" s="714">
        <f>J33/J34</f>
        <v>0.62910435253106833</v>
      </c>
      <c r="L33" s="717"/>
      <c r="M33" s="713">
        <f>(UFCF!$P$60/($C32-M$8)/(1+$C32)^4.5)</f>
        <v>256.23796596977326</v>
      </c>
      <c r="N33" s="714">
        <f>M33/M34</f>
        <v>0.64233996912800739</v>
      </c>
      <c r="O33" s="717"/>
      <c r="P33" s="713">
        <f>(UFCF!$P$60/($C32-P$8)/(1+$C32)^4.5)</f>
        <v>272.2528388428841</v>
      </c>
      <c r="Q33" s="714">
        <f>P33/P34</f>
        <v>0.65614447820634691</v>
      </c>
      <c r="R33" s="717"/>
    </row>
    <row r="34" spans="2:18" s="57" customFormat="1">
      <c r="C34" s="712"/>
      <c r="D34" s="715"/>
      <c r="E34" s="716" t="s">
        <v>74</v>
      </c>
      <c r="F34" s="731"/>
      <c r="G34" s="716">
        <f>SUM(G32:G33)</f>
        <v>371.94089679456295</v>
      </c>
      <c r="H34" s="719">
        <f>SUM(H32:H33)</f>
        <v>1</v>
      </c>
      <c r="I34" s="715"/>
      <c r="J34" s="716">
        <f>SUM(J32:J33)</f>
        <v>384.67787171118914</v>
      </c>
      <c r="K34" s="719">
        <f>SUM(K32:K33)</f>
        <v>1</v>
      </c>
      <c r="L34" s="715"/>
      <c r="M34" s="716">
        <f>SUM(M32:M33)</f>
        <v>398.91331426506542</v>
      </c>
      <c r="N34" s="719">
        <f>SUM(N32:N33)</f>
        <v>0.99999999999999989</v>
      </c>
      <c r="O34" s="715"/>
      <c r="P34" s="716">
        <f>SUM(P32:P33)</f>
        <v>414.92818713817621</v>
      </c>
      <c r="Q34" s="719">
        <f>SUM(Q32:Q33)</f>
        <v>1</v>
      </c>
      <c r="R34" s="715"/>
    </row>
    <row r="35" spans="2:18" s="57" customFormat="1" ht="6" customHeight="1">
      <c r="C35" s="712"/>
      <c r="D35" s="715"/>
      <c r="E35" s="716"/>
      <c r="F35" s="731"/>
      <c r="G35" s="716"/>
      <c r="H35" s="719"/>
      <c r="I35" s="715"/>
      <c r="J35" s="716"/>
      <c r="K35" s="719"/>
      <c r="L35" s="715"/>
      <c r="M35" s="716"/>
      <c r="N35" s="719"/>
      <c r="O35" s="715"/>
      <c r="P35" s="716"/>
      <c r="Q35" s="719"/>
      <c r="R35" s="715"/>
    </row>
    <row r="36" spans="2:18" s="57" customFormat="1">
      <c r="C36" s="712"/>
      <c r="D36" s="715"/>
      <c r="E36" s="722" t="str">
        <f>E25</f>
        <v>Less Net Debt (12/31/17)</v>
      </c>
      <c r="F36" s="735"/>
      <c r="G36" s="96">
        <f>G25</f>
        <v>200</v>
      </c>
      <c r="H36" s="720"/>
      <c r="I36" s="735"/>
      <c r="J36" s="96">
        <f>J25</f>
        <v>200</v>
      </c>
      <c r="K36" s="720"/>
      <c r="L36" s="735"/>
      <c r="M36" s="96">
        <f>M25</f>
        <v>200</v>
      </c>
      <c r="N36" s="720"/>
      <c r="O36" s="735"/>
      <c r="P36" s="96">
        <f>P25</f>
        <v>200</v>
      </c>
      <c r="Q36" s="720"/>
      <c r="R36" s="735"/>
    </row>
    <row r="37" spans="2:18" s="57" customFormat="1">
      <c r="C37" s="725"/>
      <c r="D37" s="715"/>
      <c r="E37" s="720" t="s">
        <v>104</v>
      </c>
      <c r="F37" s="717"/>
      <c r="G37" s="726">
        <f>G34-G36</f>
        <v>171.94089679456295</v>
      </c>
      <c r="H37" s="720"/>
      <c r="I37" s="717"/>
      <c r="J37" s="726">
        <f>J34-J36</f>
        <v>184.67787171118914</v>
      </c>
      <c r="K37" s="720"/>
      <c r="L37" s="717"/>
      <c r="M37" s="726">
        <f>M34-M36</f>
        <v>198.91331426506542</v>
      </c>
      <c r="N37" s="720"/>
      <c r="O37" s="717"/>
      <c r="P37" s="726">
        <f>P34-P36</f>
        <v>214.92818713817621</v>
      </c>
      <c r="Q37" s="720"/>
      <c r="R37" s="717"/>
    </row>
    <row r="38" spans="2:18" s="57" customFormat="1" ht="6" customHeight="1">
      <c r="C38" s="725"/>
      <c r="D38" s="715"/>
      <c r="E38" s="720"/>
      <c r="F38" s="717"/>
      <c r="G38" s="726"/>
      <c r="H38" s="720"/>
      <c r="I38" s="717"/>
      <c r="J38" s="726"/>
      <c r="K38" s="720"/>
      <c r="L38" s="717"/>
      <c r="M38" s="726"/>
      <c r="N38" s="720"/>
      <c r="O38" s="717"/>
      <c r="P38" s="726"/>
      <c r="Q38" s="720"/>
      <c r="R38" s="717"/>
    </row>
    <row r="39" spans="2:18" s="57" customFormat="1">
      <c r="C39" s="725"/>
      <c r="D39" s="715"/>
      <c r="E39" s="720" t="str">
        <f>E28</f>
        <v>Shares O/S (MM) - (12/31/17)</v>
      </c>
      <c r="F39" s="717"/>
      <c r="G39" s="728">
        <f>Assumptions!$N$9</f>
        <v>14.8</v>
      </c>
      <c r="H39" s="729"/>
      <c r="I39" s="729"/>
      <c r="J39" s="728">
        <f>Assumptions!$N$9</f>
        <v>14.8</v>
      </c>
      <c r="K39" s="729"/>
      <c r="L39" s="729"/>
      <c r="M39" s="728">
        <f>Assumptions!$N$9</f>
        <v>14.8</v>
      </c>
      <c r="N39" s="729"/>
      <c r="O39" s="729"/>
      <c r="P39" s="728">
        <f>Assumptions!$N$9</f>
        <v>14.8</v>
      </c>
      <c r="Q39" s="720"/>
      <c r="R39" s="720"/>
    </row>
    <row r="40" spans="2:18" s="57" customFormat="1">
      <c r="C40" s="712"/>
      <c r="D40" s="715"/>
      <c r="E40" s="716" t="s">
        <v>253</v>
      </c>
      <c r="F40" s="716"/>
      <c r="G40" s="873">
        <f>G37/G39</f>
        <v>11.617628161794793</v>
      </c>
      <c r="H40" s="716"/>
      <c r="I40" s="716"/>
      <c r="J40" s="873">
        <f>J37/J39</f>
        <v>12.478234575080347</v>
      </c>
      <c r="K40" s="716"/>
      <c r="L40" s="716"/>
      <c r="M40" s="873">
        <f>M37/M39</f>
        <v>13.440088801693609</v>
      </c>
      <c r="N40" s="716"/>
      <c r="O40" s="716"/>
      <c r="P40" s="873">
        <f>P37/P39</f>
        <v>14.522174806633528</v>
      </c>
      <c r="Q40" s="720"/>
      <c r="R40" s="720"/>
    </row>
    <row r="41" spans="2:18" s="57" customFormat="1" ht="3" customHeight="1">
      <c r="C41" s="712"/>
      <c r="D41" s="715"/>
      <c r="E41" s="716"/>
      <c r="F41" s="716"/>
      <c r="G41" s="873"/>
      <c r="H41" s="716"/>
      <c r="I41" s="716"/>
      <c r="J41" s="873"/>
      <c r="K41" s="716"/>
      <c r="L41" s="716"/>
      <c r="M41" s="873"/>
      <c r="N41" s="716"/>
      <c r="O41" s="716"/>
      <c r="P41" s="873"/>
      <c r="Q41" s="720"/>
      <c r="R41" s="720"/>
    </row>
    <row r="42" spans="2:18" s="57" customFormat="1" ht="10.9" customHeight="1">
      <c r="C42" s="712"/>
      <c r="D42" s="731"/>
      <c r="E42" s="727"/>
      <c r="F42" s="717"/>
      <c r="G42" s="730"/>
      <c r="H42" s="717"/>
      <c r="I42" s="717"/>
      <c r="J42" s="730"/>
      <c r="K42" s="717"/>
      <c r="L42" s="717"/>
      <c r="M42" s="730"/>
      <c r="N42" s="717"/>
      <c r="O42" s="717"/>
      <c r="P42" s="730"/>
      <c r="Q42" s="717"/>
      <c r="R42" s="717"/>
    </row>
    <row r="43" spans="2:18" s="57" customFormat="1" ht="10.9" customHeight="1">
      <c r="B43" s="736"/>
      <c r="C43" s="712"/>
      <c r="D43" s="731"/>
      <c r="E43" s="717"/>
      <c r="F43" s="717"/>
      <c r="G43" s="717"/>
      <c r="H43" s="717"/>
      <c r="I43" s="717"/>
      <c r="J43" s="717"/>
      <c r="K43" s="717"/>
      <c r="L43" s="717"/>
      <c r="M43" s="717"/>
      <c r="N43" s="717"/>
      <c r="O43" s="717"/>
      <c r="P43" s="717"/>
      <c r="Q43" s="717"/>
      <c r="R43" s="717"/>
    </row>
    <row r="44" spans="2:18" s="57" customFormat="1">
      <c r="C44" s="732">
        <f>C32+0.005</f>
        <v>0.11500000000000002</v>
      </c>
      <c r="D44" s="693"/>
      <c r="E44" s="57" t="s">
        <v>12</v>
      </c>
      <c r="F44" s="720"/>
      <c r="G44" s="710">
        <f>NPV($C44,UFCF!$K$60:$O$60)*(1+$C44)^0.5</f>
        <v>141.22575256523157</v>
      </c>
      <c r="H44" s="711">
        <f>G44/G46</f>
        <v>0.39819223099324114</v>
      </c>
      <c r="I44" s="720"/>
      <c r="J44" s="710">
        <f>NPV($C44,UFCF!$K$60:$O$60)*(1+$C44)^0.5</f>
        <v>141.22575256523157</v>
      </c>
      <c r="K44" s="711">
        <f>J44/J46</f>
        <v>0.38596707395702312</v>
      </c>
      <c r="L44" s="720"/>
      <c r="M44" s="710">
        <f>NPV($C44,UFCF!$K$60:$O$60)*(1+$C44)^0.5</f>
        <v>141.22575256523157</v>
      </c>
      <c r="N44" s="711">
        <f>M44/M46</f>
        <v>0.37323493295782606</v>
      </c>
      <c r="O44" s="720"/>
      <c r="P44" s="710">
        <f>NPV($C44,UFCF!$K$60:$O$60)*(1+$C44)^0.5</f>
        <v>141.22575256523157</v>
      </c>
      <c r="Q44" s="711">
        <f>P44/P46</f>
        <v>0.35996360285907825</v>
      </c>
      <c r="R44" s="720"/>
    </row>
    <row r="45" spans="2:18" s="57" customFormat="1">
      <c r="C45" s="712"/>
      <c r="D45" s="693"/>
      <c r="E45" s="57" t="s">
        <v>120</v>
      </c>
      <c r="F45" s="720"/>
      <c r="G45" s="713">
        <f>(UFCF!$P$60/($C44-G$8)/(1+$C44)^4.5)</f>
        <v>213.44152010596403</v>
      </c>
      <c r="H45" s="714">
        <f>G45/G46</f>
        <v>0.60180776900675881</v>
      </c>
      <c r="I45" s="720"/>
      <c r="J45" s="713">
        <f>(UFCF!$P$60/($C44-J$8)/(1+$C44)^4.5)</f>
        <v>224.6752843220674</v>
      </c>
      <c r="K45" s="714">
        <f>J45/J46</f>
        <v>0.61403292604297688</v>
      </c>
      <c r="L45" s="720"/>
      <c r="M45" s="713">
        <f>(UFCF!$P$60/($C44-M$8)/(1+$C44)^4.5)</f>
        <v>237.15724456218223</v>
      </c>
      <c r="N45" s="714">
        <f>M45/M46</f>
        <v>0.62676506704217405</v>
      </c>
      <c r="O45" s="720"/>
      <c r="P45" s="713">
        <f>(UFCF!$P$60/($C44-P$8)/(1+$C44)^4.5)</f>
        <v>251.10767071289882</v>
      </c>
      <c r="Q45" s="714">
        <f>P45/P46</f>
        <v>0.64003639714092175</v>
      </c>
      <c r="R45" s="720"/>
    </row>
    <row r="46" spans="2:18" s="57" customFormat="1">
      <c r="C46" s="712"/>
      <c r="D46" s="715"/>
      <c r="E46" s="716" t="s">
        <v>74</v>
      </c>
      <c r="F46" s="717"/>
      <c r="G46" s="716">
        <f>SUM(G44:G45)</f>
        <v>354.66727267119563</v>
      </c>
      <c r="H46" s="719">
        <f>SUM(H44:H45)</f>
        <v>1</v>
      </c>
      <c r="I46" s="717"/>
      <c r="J46" s="716">
        <f>SUM(J44:J45)</f>
        <v>365.90103688729897</v>
      </c>
      <c r="K46" s="719">
        <f>SUM(K44:K45)</f>
        <v>1</v>
      </c>
      <c r="L46" s="717"/>
      <c r="M46" s="716">
        <f>SUM(M44:M45)</f>
        <v>378.38299712741377</v>
      </c>
      <c r="N46" s="719">
        <f>SUM(N44:N45)</f>
        <v>1</v>
      </c>
      <c r="O46" s="717"/>
      <c r="P46" s="716">
        <f>SUM(P44:P45)</f>
        <v>392.3334232781304</v>
      </c>
      <c r="Q46" s="719">
        <f>SUM(Q44:Q45)</f>
        <v>1</v>
      </c>
      <c r="R46" s="717"/>
    </row>
    <row r="47" spans="2:18" s="57" customFormat="1" ht="6" customHeight="1">
      <c r="C47" s="712"/>
      <c r="D47" s="715"/>
      <c r="E47" s="716"/>
      <c r="F47" s="717"/>
      <c r="G47" s="716"/>
      <c r="H47" s="719"/>
      <c r="I47" s="717"/>
      <c r="J47" s="716"/>
      <c r="K47" s="719"/>
      <c r="L47" s="717"/>
      <c r="M47" s="716"/>
      <c r="N47" s="719"/>
      <c r="O47" s="717"/>
      <c r="P47" s="716"/>
      <c r="Q47" s="719"/>
      <c r="R47" s="717"/>
    </row>
    <row r="48" spans="2:18" s="57" customFormat="1">
      <c r="C48" s="712"/>
      <c r="D48" s="715"/>
      <c r="E48" s="722" t="str">
        <f>E36</f>
        <v>Less Net Debt (12/31/17)</v>
      </c>
      <c r="F48" s="717"/>
      <c r="G48" s="96">
        <f>G36</f>
        <v>200</v>
      </c>
      <c r="H48" s="720"/>
      <c r="I48" s="717"/>
      <c r="J48" s="96">
        <f>J36</f>
        <v>200</v>
      </c>
      <c r="K48" s="720"/>
      <c r="L48" s="717"/>
      <c r="M48" s="96">
        <f>M36</f>
        <v>200</v>
      </c>
      <c r="N48" s="720"/>
      <c r="O48" s="717"/>
      <c r="P48" s="96">
        <f>P36</f>
        <v>200</v>
      </c>
      <c r="Q48" s="720"/>
      <c r="R48" s="717"/>
    </row>
    <row r="49" spans="2:19" s="57" customFormat="1">
      <c r="C49" s="725"/>
      <c r="D49" s="715"/>
      <c r="E49" s="720" t="s">
        <v>104</v>
      </c>
      <c r="G49" s="726">
        <f>G46-G48</f>
        <v>154.66727267119563</v>
      </c>
      <c r="H49" s="720"/>
      <c r="J49" s="726">
        <f>J46-J48</f>
        <v>165.90103688729897</v>
      </c>
      <c r="K49" s="720"/>
      <c r="M49" s="726">
        <f>M46-M48</f>
        <v>178.38299712741377</v>
      </c>
      <c r="N49" s="720"/>
      <c r="P49" s="726">
        <f>P46-P48</f>
        <v>192.3334232781304</v>
      </c>
      <c r="Q49" s="720"/>
    </row>
    <row r="50" spans="2:19" s="57" customFormat="1" ht="6" customHeight="1">
      <c r="C50" s="725"/>
      <c r="D50" s="715"/>
      <c r="E50" s="720"/>
      <c r="G50" s="726"/>
      <c r="H50" s="720"/>
      <c r="J50" s="726"/>
      <c r="K50" s="720"/>
      <c r="M50" s="726"/>
      <c r="N50" s="720"/>
      <c r="P50" s="726"/>
      <c r="Q50" s="720"/>
    </row>
    <row r="51" spans="2:19" s="57" customFormat="1">
      <c r="C51" s="725"/>
      <c r="D51" s="715"/>
      <c r="E51" s="720" t="str">
        <f>E39</f>
        <v>Shares O/S (MM) - (12/31/17)</v>
      </c>
      <c r="F51" s="717"/>
      <c r="G51" s="728">
        <f>Assumptions!$N$9</f>
        <v>14.8</v>
      </c>
      <c r="H51" s="729"/>
      <c r="I51" s="729"/>
      <c r="J51" s="728">
        <f>Assumptions!$N$9</f>
        <v>14.8</v>
      </c>
      <c r="K51" s="729"/>
      <c r="L51" s="729"/>
      <c r="M51" s="728">
        <f>Assumptions!$N$9</f>
        <v>14.8</v>
      </c>
      <c r="N51" s="729"/>
      <c r="O51" s="729"/>
      <c r="P51" s="728">
        <f>Assumptions!$N$9</f>
        <v>14.8</v>
      </c>
      <c r="Q51" s="720"/>
      <c r="R51" s="720"/>
    </row>
    <row r="52" spans="2:19" s="57" customFormat="1">
      <c r="C52" s="712"/>
      <c r="D52" s="715"/>
      <c r="E52" s="716" t="s">
        <v>253</v>
      </c>
      <c r="F52" s="716"/>
      <c r="G52" s="873">
        <f>G49/G51</f>
        <v>10.450491396702407</v>
      </c>
      <c r="H52" s="716"/>
      <c r="I52" s="716"/>
      <c r="J52" s="873">
        <f>J49/J51</f>
        <v>11.209529519412092</v>
      </c>
      <c r="K52" s="716"/>
      <c r="L52" s="716"/>
      <c r="M52" s="873">
        <f>M49/M51</f>
        <v>12.052905211311741</v>
      </c>
      <c r="N52" s="716"/>
      <c r="O52" s="716"/>
      <c r="P52" s="873">
        <f>P49/P51</f>
        <v>12.995501572846647</v>
      </c>
      <c r="Q52" s="720"/>
      <c r="R52" s="720"/>
    </row>
    <row r="53" spans="2:19" s="57" customFormat="1" ht="6" customHeight="1">
      <c r="B53" s="868"/>
      <c r="C53" s="869"/>
      <c r="D53" s="870"/>
      <c r="E53" s="871"/>
      <c r="F53" s="872"/>
      <c r="G53" s="872"/>
      <c r="H53" s="872"/>
      <c r="I53" s="872"/>
      <c r="J53" s="872"/>
      <c r="K53" s="872"/>
      <c r="L53" s="872"/>
      <c r="M53" s="872"/>
      <c r="N53" s="872"/>
      <c r="O53" s="872"/>
      <c r="P53" s="872"/>
      <c r="Q53" s="872"/>
      <c r="R53" s="24"/>
      <c r="S53" s="24"/>
    </row>
    <row r="54" spans="2:19" s="57" customFormat="1" ht="12.75" customHeight="1">
      <c r="B54" s="741"/>
      <c r="C54" s="742"/>
      <c r="D54" s="743"/>
      <c r="E54" s="741"/>
      <c r="F54" s="741"/>
      <c r="G54" s="741"/>
      <c r="H54" s="741"/>
      <c r="I54" s="741"/>
      <c r="J54" s="741"/>
      <c r="K54" s="741"/>
      <c r="L54" s="741"/>
      <c r="M54" s="741"/>
      <c r="N54" s="741"/>
      <c r="O54" s="741"/>
      <c r="P54" s="741"/>
      <c r="Q54" s="741"/>
      <c r="R54" s="45"/>
      <c r="S54" s="45"/>
    </row>
    <row r="55" spans="2:19" s="57" customFormat="1" ht="12.75" customHeight="1">
      <c r="C55" s="712"/>
      <c r="D55" s="693"/>
      <c r="J55" s="111"/>
      <c r="S55" s="47"/>
    </row>
    <row r="56" spans="2:19" s="57" customFormat="1" ht="12.75" customHeight="1">
      <c r="C56" s="712"/>
      <c r="D56" s="693"/>
      <c r="F56" s="694"/>
    </row>
    <row r="57" spans="2:19" s="57" customFormat="1" ht="12.75" customHeight="1">
      <c r="C57" s="712"/>
      <c r="D57" s="693"/>
      <c r="G57" s="68"/>
      <c r="H57" s="68"/>
      <c r="I57" s="68"/>
      <c r="J57" s="68"/>
      <c r="K57" s="68"/>
      <c r="L57" s="68"/>
      <c r="M57" s="68"/>
      <c r="N57" s="68"/>
      <c r="O57" s="68"/>
      <c r="P57" s="68"/>
      <c r="Q57" s="68"/>
      <c r="R57" s="700"/>
    </row>
    <row r="58" spans="2:19" s="57" customFormat="1" ht="12.75" customHeight="1">
      <c r="B58" s="78"/>
      <c r="C58" s="744"/>
      <c r="D58" s="695"/>
      <c r="E58" s="696"/>
      <c r="F58" s="696"/>
      <c r="G58" s="697"/>
      <c r="H58" s="698"/>
      <c r="I58" s="698"/>
      <c r="J58" s="698"/>
      <c r="K58" s="698"/>
      <c r="L58" s="698"/>
      <c r="M58" s="698"/>
      <c r="N58" s="698"/>
      <c r="O58" s="698"/>
      <c r="P58" s="698"/>
      <c r="Q58" s="698"/>
      <c r="R58" s="745"/>
    </row>
    <row r="59" spans="2:19" s="57" customFormat="1" ht="12.75" customHeight="1">
      <c r="B59" s="78"/>
      <c r="C59" s="744"/>
      <c r="D59" s="695"/>
      <c r="E59" s="697"/>
      <c r="F59" s="697"/>
      <c r="G59" s="697"/>
      <c r="H59" s="698"/>
      <c r="I59" s="698"/>
      <c r="J59" s="698"/>
      <c r="K59" s="698"/>
      <c r="L59" s="698"/>
      <c r="M59" s="698"/>
      <c r="N59" s="698"/>
      <c r="O59" s="698"/>
      <c r="P59" s="698"/>
      <c r="Q59" s="698"/>
      <c r="R59" s="696"/>
    </row>
    <row r="60" spans="2:19" s="57" customFormat="1" ht="12.75" customHeight="1">
      <c r="B60" s="78"/>
      <c r="C60" s="744"/>
      <c r="D60" s="695"/>
      <c r="E60" s="697"/>
      <c r="F60" s="697"/>
      <c r="G60" s="708"/>
      <c r="H60" s="708"/>
      <c r="I60" s="708"/>
      <c r="J60" s="708"/>
      <c r="K60" s="708"/>
      <c r="L60" s="708"/>
      <c r="M60" s="708"/>
      <c r="N60" s="708"/>
      <c r="O60" s="708"/>
      <c r="P60" s="708"/>
      <c r="Q60" s="708"/>
      <c r="R60" s="706"/>
    </row>
    <row r="61" spans="2:19" s="57" customFormat="1" ht="12.75" customHeight="1">
      <c r="C61" s="712"/>
      <c r="D61" s="731"/>
      <c r="E61" s="717"/>
      <c r="F61" s="717"/>
      <c r="G61" s="717"/>
      <c r="H61" s="717"/>
      <c r="I61" s="717"/>
      <c r="J61" s="717"/>
      <c r="K61" s="717"/>
      <c r="L61" s="717"/>
      <c r="M61" s="717"/>
      <c r="N61" s="717"/>
      <c r="O61" s="717"/>
      <c r="P61" s="717"/>
      <c r="Q61" s="717"/>
      <c r="R61" s="717"/>
    </row>
    <row r="62" spans="2:19" s="57" customFormat="1" ht="12.75" customHeight="1">
      <c r="B62" s="746"/>
      <c r="C62" s="712"/>
      <c r="D62" s="731"/>
      <c r="E62" s="717"/>
      <c r="F62" s="717"/>
      <c r="G62" s="717"/>
      <c r="H62" s="717"/>
      <c r="I62" s="717"/>
      <c r="J62" s="717"/>
      <c r="K62" s="717"/>
      <c r="L62" s="717"/>
      <c r="M62" s="717"/>
      <c r="N62" s="717"/>
      <c r="O62" s="717"/>
      <c r="P62" s="717"/>
      <c r="Q62" s="717"/>
      <c r="R62" s="717"/>
    </row>
    <row r="63" spans="2:19" s="57" customFormat="1" ht="12.75" customHeight="1">
      <c r="B63" s="746"/>
      <c r="C63" s="712"/>
      <c r="D63" s="731"/>
      <c r="E63" s="717"/>
      <c r="F63" s="717"/>
      <c r="G63" s="717"/>
      <c r="H63" s="717"/>
      <c r="I63" s="717"/>
      <c r="J63" s="717"/>
      <c r="K63" s="717"/>
      <c r="L63" s="717"/>
      <c r="M63" s="717"/>
      <c r="N63" s="717"/>
      <c r="O63" s="717"/>
      <c r="P63" s="717"/>
      <c r="Q63" s="717"/>
      <c r="R63" s="717"/>
    </row>
    <row r="64" spans="2:19" s="57" customFormat="1" ht="12.75" customHeight="1">
      <c r="B64" s="734"/>
      <c r="C64" s="712"/>
      <c r="D64" s="731"/>
      <c r="E64" s="717"/>
      <c r="F64" s="717"/>
      <c r="G64" s="717"/>
      <c r="H64" s="717"/>
      <c r="I64" s="717"/>
      <c r="J64" s="717"/>
      <c r="K64" s="717"/>
      <c r="L64" s="717"/>
      <c r="M64" s="717"/>
      <c r="N64" s="717"/>
      <c r="O64" s="717"/>
      <c r="P64" s="717"/>
      <c r="Q64" s="717"/>
      <c r="R64" s="717"/>
    </row>
    <row r="65" spans="2:18" s="57" customFormat="1" ht="12.75" customHeight="1">
      <c r="C65" s="725"/>
      <c r="D65" s="731"/>
      <c r="E65" s="720"/>
      <c r="F65" s="720"/>
      <c r="G65" s="720"/>
      <c r="H65" s="720"/>
      <c r="I65" s="720"/>
      <c r="J65" s="720"/>
      <c r="K65" s="720"/>
      <c r="L65" s="720"/>
      <c r="M65" s="720"/>
      <c r="N65" s="720"/>
      <c r="O65" s="720"/>
      <c r="P65" s="720"/>
      <c r="Q65" s="720"/>
      <c r="R65" s="720"/>
    </row>
    <row r="66" spans="2:18" s="57" customFormat="1" ht="12.75" customHeight="1">
      <c r="C66" s="725"/>
      <c r="D66" s="731"/>
      <c r="E66" s="720"/>
      <c r="F66" s="720"/>
      <c r="G66" s="720"/>
      <c r="H66" s="720"/>
      <c r="I66" s="720"/>
      <c r="J66" s="720"/>
      <c r="K66" s="720"/>
      <c r="L66" s="720"/>
      <c r="M66" s="720"/>
      <c r="N66" s="720"/>
      <c r="O66" s="720"/>
      <c r="P66" s="720"/>
      <c r="Q66" s="720"/>
      <c r="R66" s="720"/>
    </row>
    <row r="67" spans="2:18" s="57" customFormat="1" ht="12.75" customHeight="1">
      <c r="C67" s="712"/>
      <c r="D67" s="731"/>
      <c r="E67" s="720"/>
      <c r="F67" s="720"/>
      <c r="G67" s="720"/>
      <c r="H67" s="720"/>
      <c r="I67" s="720"/>
      <c r="J67" s="720"/>
      <c r="K67" s="720"/>
      <c r="L67" s="720"/>
      <c r="M67" s="720"/>
      <c r="N67" s="720"/>
      <c r="O67" s="720"/>
      <c r="P67" s="720"/>
      <c r="Q67" s="720"/>
      <c r="R67" s="720"/>
    </row>
    <row r="68" spans="2:18" s="57" customFormat="1" ht="12.75" customHeight="1">
      <c r="C68" s="712"/>
      <c r="D68" s="731"/>
      <c r="E68" s="720"/>
      <c r="F68" s="720"/>
      <c r="G68" s="720"/>
      <c r="H68" s="720"/>
      <c r="I68" s="720"/>
      <c r="J68" s="720"/>
      <c r="K68" s="720"/>
      <c r="L68" s="720"/>
      <c r="M68" s="720"/>
      <c r="N68" s="720"/>
      <c r="O68" s="720"/>
      <c r="P68" s="720"/>
      <c r="Q68" s="720"/>
      <c r="R68" s="720"/>
    </row>
    <row r="69" spans="2:18" s="57" customFormat="1" ht="12.75" customHeight="1">
      <c r="C69" s="712"/>
      <c r="D69" s="731"/>
      <c r="E69" s="720"/>
      <c r="F69" s="720"/>
      <c r="G69" s="720"/>
      <c r="H69" s="720"/>
      <c r="I69" s="720"/>
      <c r="J69" s="720"/>
      <c r="K69" s="720"/>
      <c r="L69" s="720"/>
      <c r="M69" s="720"/>
      <c r="N69" s="720"/>
      <c r="O69" s="720"/>
      <c r="P69" s="720"/>
      <c r="Q69" s="720"/>
      <c r="R69" s="720"/>
    </row>
    <row r="70" spans="2:18" s="57" customFormat="1" ht="12.75" customHeight="1">
      <c r="C70" s="712"/>
      <c r="D70" s="731"/>
      <c r="E70" s="720"/>
      <c r="F70" s="720"/>
      <c r="G70" s="720"/>
      <c r="H70" s="720"/>
      <c r="I70" s="720"/>
      <c r="J70" s="720"/>
      <c r="K70" s="720"/>
      <c r="L70" s="720"/>
      <c r="M70" s="720"/>
      <c r="N70" s="720"/>
      <c r="O70" s="720"/>
      <c r="P70" s="720"/>
      <c r="Q70" s="720"/>
      <c r="R70" s="720"/>
    </row>
    <row r="71" spans="2:18" s="57" customFormat="1" ht="12.75" customHeight="1">
      <c r="C71" s="747"/>
      <c r="D71" s="731"/>
      <c r="E71" s="720"/>
      <c r="F71" s="720"/>
      <c r="G71" s="720"/>
      <c r="H71" s="720"/>
      <c r="I71" s="720"/>
      <c r="J71" s="720"/>
      <c r="K71" s="720"/>
      <c r="L71" s="720"/>
      <c r="M71" s="720"/>
      <c r="N71" s="720"/>
      <c r="O71" s="720"/>
      <c r="P71" s="720"/>
      <c r="Q71" s="720"/>
      <c r="R71" s="720"/>
    </row>
    <row r="72" spans="2:18" s="57" customFormat="1" ht="12.75" customHeight="1">
      <c r="C72" s="712"/>
      <c r="D72" s="731"/>
      <c r="E72" s="717"/>
      <c r="F72" s="717"/>
      <c r="G72" s="717"/>
      <c r="H72" s="717"/>
      <c r="I72" s="717"/>
      <c r="J72" s="717"/>
      <c r="K72" s="717"/>
      <c r="L72" s="717"/>
      <c r="M72" s="717"/>
      <c r="N72" s="717"/>
      <c r="O72" s="717"/>
      <c r="P72" s="717"/>
      <c r="Q72" s="717"/>
      <c r="R72" s="717"/>
    </row>
    <row r="73" spans="2:18" s="57" customFormat="1" ht="12.75" customHeight="1">
      <c r="B73" s="734"/>
      <c r="C73" s="712"/>
      <c r="D73" s="731"/>
      <c r="E73" s="717"/>
      <c r="F73" s="717"/>
      <c r="G73" s="717"/>
      <c r="H73" s="717"/>
      <c r="I73" s="717"/>
      <c r="J73" s="717"/>
      <c r="K73" s="717"/>
      <c r="L73" s="717"/>
      <c r="M73" s="717"/>
      <c r="N73" s="717"/>
      <c r="O73" s="717"/>
      <c r="P73" s="717"/>
      <c r="Q73" s="717"/>
      <c r="R73" s="717"/>
    </row>
    <row r="74" spans="2:18" s="57" customFormat="1" ht="12.75" customHeight="1">
      <c r="C74" s="712"/>
      <c r="D74" s="731"/>
      <c r="E74" s="720"/>
      <c r="F74" s="720"/>
      <c r="G74" s="720"/>
      <c r="H74" s="720"/>
      <c r="I74" s="720"/>
      <c r="J74" s="720"/>
      <c r="K74" s="720"/>
      <c r="L74" s="720"/>
      <c r="M74" s="720"/>
      <c r="N74" s="720"/>
      <c r="O74" s="720"/>
      <c r="P74" s="720"/>
      <c r="Q74" s="720"/>
      <c r="R74" s="720"/>
    </row>
    <row r="75" spans="2:18" s="57" customFormat="1" ht="12.75" customHeight="1">
      <c r="C75" s="725"/>
      <c r="D75" s="731"/>
      <c r="E75" s="720"/>
      <c r="F75" s="720"/>
      <c r="G75" s="720"/>
      <c r="H75" s="720"/>
      <c r="I75" s="720"/>
      <c r="J75" s="720"/>
      <c r="K75" s="720"/>
      <c r="L75" s="720"/>
      <c r="M75" s="720"/>
      <c r="N75" s="720"/>
      <c r="O75" s="720"/>
      <c r="P75" s="720"/>
      <c r="Q75" s="720"/>
      <c r="R75" s="720"/>
    </row>
    <row r="76" spans="2:18" s="57" customFormat="1" ht="12.75" customHeight="1">
      <c r="C76" s="712"/>
      <c r="D76" s="731"/>
      <c r="E76" s="720"/>
      <c r="F76" s="720"/>
      <c r="G76" s="720"/>
      <c r="H76" s="720"/>
      <c r="I76" s="720"/>
      <c r="J76" s="720"/>
      <c r="K76" s="720"/>
      <c r="L76" s="720"/>
      <c r="M76" s="720"/>
      <c r="N76" s="720"/>
      <c r="O76" s="720"/>
      <c r="P76" s="720"/>
      <c r="Q76" s="720"/>
      <c r="R76" s="720"/>
    </row>
    <row r="77" spans="2:18" s="57" customFormat="1" ht="12.75" customHeight="1">
      <c r="C77" s="712"/>
      <c r="D77" s="731"/>
      <c r="E77" s="720"/>
      <c r="F77" s="720"/>
      <c r="G77" s="720"/>
      <c r="H77" s="720"/>
      <c r="I77" s="720"/>
      <c r="J77" s="720"/>
      <c r="K77" s="720"/>
      <c r="L77" s="720"/>
      <c r="M77" s="720"/>
      <c r="N77" s="720"/>
      <c r="O77" s="720"/>
      <c r="P77" s="720"/>
      <c r="Q77" s="720"/>
      <c r="R77" s="720"/>
    </row>
    <row r="78" spans="2:18" s="57" customFormat="1" ht="12.75" customHeight="1">
      <c r="C78" s="712"/>
      <c r="D78" s="731"/>
      <c r="E78" s="720"/>
      <c r="F78" s="720"/>
      <c r="G78" s="720"/>
      <c r="H78" s="720"/>
      <c r="I78" s="720"/>
      <c r="J78" s="720"/>
      <c r="K78" s="720"/>
      <c r="L78" s="720"/>
      <c r="M78" s="720"/>
      <c r="N78" s="720"/>
      <c r="O78" s="720"/>
      <c r="P78" s="720"/>
      <c r="Q78" s="720"/>
      <c r="R78" s="720"/>
    </row>
    <row r="79" spans="2:18" s="57" customFormat="1" ht="12.75" customHeight="1">
      <c r="C79" s="747"/>
      <c r="D79" s="731"/>
      <c r="E79" s="720"/>
      <c r="F79" s="720"/>
      <c r="G79" s="720"/>
      <c r="H79" s="720"/>
      <c r="I79" s="720"/>
      <c r="J79" s="720"/>
      <c r="K79" s="720"/>
      <c r="L79" s="720"/>
      <c r="M79" s="720"/>
      <c r="N79" s="720"/>
      <c r="O79" s="720"/>
      <c r="P79" s="720"/>
      <c r="Q79" s="720"/>
      <c r="R79" s="720"/>
    </row>
    <row r="80" spans="2:18" s="57" customFormat="1" ht="12.75" customHeight="1">
      <c r="C80" s="747"/>
      <c r="D80" s="731"/>
      <c r="E80" s="717"/>
      <c r="F80" s="717"/>
      <c r="G80" s="717"/>
      <c r="H80" s="717"/>
      <c r="I80" s="717"/>
      <c r="J80" s="717"/>
      <c r="K80" s="717"/>
      <c r="L80" s="717"/>
      <c r="M80" s="717"/>
      <c r="N80" s="717"/>
      <c r="O80" s="717"/>
      <c r="P80" s="717"/>
      <c r="Q80" s="717"/>
      <c r="R80" s="717"/>
    </row>
    <row r="81" spans="2:19" s="57" customFormat="1" ht="12.75" customHeight="1">
      <c r="B81" s="736"/>
      <c r="C81" s="747"/>
      <c r="D81" s="731"/>
      <c r="E81" s="727"/>
      <c r="F81" s="727"/>
      <c r="G81" s="727"/>
      <c r="H81" s="727"/>
      <c r="I81" s="727"/>
      <c r="J81" s="727"/>
      <c r="K81" s="727"/>
      <c r="L81" s="727"/>
      <c r="M81" s="727"/>
      <c r="N81" s="727"/>
      <c r="O81" s="727"/>
      <c r="P81" s="727"/>
      <c r="Q81" s="727"/>
      <c r="R81" s="727"/>
    </row>
    <row r="82" spans="2:19" s="57" customFormat="1" ht="12.75" customHeight="1">
      <c r="B82" s="736"/>
      <c r="C82" s="747"/>
      <c r="D82" s="731"/>
      <c r="E82" s="717"/>
      <c r="F82" s="717"/>
      <c r="G82" s="717"/>
      <c r="H82" s="717"/>
      <c r="I82" s="717"/>
      <c r="J82" s="717"/>
      <c r="K82" s="717"/>
      <c r="L82" s="717"/>
      <c r="M82" s="717"/>
      <c r="N82" s="717"/>
      <c r="O82" s="717"/>
      <c r="P82" s="717"/>
      <c r="Q82" s="717"/>
      <c r="R82" s="717"/>
    </row>
    <row r="83" spans="2:19" s="57" customFormat="1" ht="12.75" customHeight="1">
      <c r="C83" s="747"/>
      <c r="D83" s="731"/>
      <c r="E83" s="717"/>
      <c r="F83" s="717"/>
      <c r="G83" s="717"/>
      <c r="H83" s="717"/>
      <c r="I83" s="717"/>
      <c r="J83" s="717"/>
      <c r="K83" s="717"/>
      <c r="L83" s="717"/>
      <c r="M83" s="717"/>
      <c r="N83" s="717"/>
      <c r="O83" s="717"/>
      <c r="P83" s="717"/>
      <c r="Q83" s="717"/>
      <c r="R83" s="717"/>
    </row>
    <row r="84" spans="2:19" s="57" customFormat="1" ht="12.75" customHeight="1">
      <c r="B84" s="748"/>
      <c r="C84" s="737"/>
      <c r="D84" s="738"/>
      <c r="E84" s="739"/>
      <c r="F84" s="740"/>
      <c r="G84" s="740"/>
      <c r="H84" s="740"/>
      <c r="I84" s="740"/>
      <c r="J84" s="740"/>
      <c r="K84" s="740"/>
      <c r="L84" s="740"/>
      <c r="M84" s="740"/>
      <c r="N84" s="740"/>
      <c r="O84" s="740"/>
      <c r="P84" s="740"/>
      <c r="Q84" s="740"/>
      <c r="R84" s="740"/>
      <c r="S84" s="24"/>
    </row>
    <row r="85" spans="2:19" s="57" customFormat="1" ht="12.75" customHeight="1">
      <c r="B85" s="741"/>
      <c r="C85" s="742"/>
      <c r="D85" s="743"/>
      <c r="E85" s="741"/>
      <c r="F85" s="741"/>
      <c r="G85" s="741"/>
      <c r="H85" s="741"/>
      <c r="I85" s="741"/>
      <c r="J85" s="741"/>
      <c r="K85" s="741"/>
      <c r="L85" s="741"/>
      <c r="M85" s="741"/>
      <c r="N85" s="741"/>
      <c r="O85" s="741"/>
      <c r="P85" s="741"/>
      <c r="Q85" s="741"/>
      <c r="R85" s="741"/>
      <c r="S85" s="45"/>
    </row>
    <row r="86" spans="2:19" s="57" customFormat="1" ht="12.75" customHeight="1">
      <c r="C86" s="712"/>
      <c r="D86" s="693"/>
      <c r="S86" s="47"/>
    </row>
    <row r="87" spans="2:19" s="57" customFormat="1" ht="12.75" customHeight="1">
      <c r="C87" s="712"/>
      <c r="D87" s="693"/>
      <c r="F87" s="694"/>
    </row>
    <row r="88" spans="2:19" s="57" customFormat="1" ht="12.75" customHeight="1">
      <c r="C88" s="712"/>
      <c r="D88" s="693"/>
      <c r="G88" s="68"/>
      <c r="H88" s="68"/>
      <c r="I88" s="68"/>
      <c r="J88" s="68"/>
      <c r="K88" s="68"/>
      <c r="L88" s="68"/>
      <c r="M88" s="68"/>
      <c r="N88" s="68"/>
      <c r="O88" s="68"/>
      <c r="P88" s="68"/>
      <c r="Q88" s="68"/>
      <c r="R88" s="700"/>
    </row>
    <row r="89" spans="2:19" s="57" customFormat="1" ht="12.75" customHeight="1">
      <c r="B89" s="78"/>
      <c r="C89" s="744"/>
      <c r="D89" s="695"/>
      <c r="E89" s="696"/>
      <c r="F89" s="696"/>
      <c r="G89" s="697"/>
      <c r="H89" s="698"/>
      <c r="I89" s="698"/>
      <c r="J89" s="698"/>
      <c r="K89" s="698"/>
      <c r="L89" s="698"/>
      <c r="M89" s="698"/>
      <c r="N89" s="698"/>
      <c r="O89" s="698"/>
      <c r="P89" s="698"/>
      <c r="Q89" s="698"/>
      <c r="R89" s="745"/>
    </row>
    <row r="90" spans="2:19" s="57" customFormat="1" ht="12.75" customHeight="1">
      <c r="B90" s="78"/>
      <c r="C90" s="744"/>
      <c r="D90" s="695"/>
      <c r="E90" s="697"/>
      <c r="F90" s="697"/>
      <c r="G90" s="697"/>
      <c r="H90" s="698"/>
      <c r="I90" s="698"/>
      <c r="J90" s="698"/>
      <c r="K90" s="698"/>
      <c r="L90" s="698"/>
      <c r="M90" s="698"/>
      <c r="N90" s="698"/>
      <c r="O90" s="698"/>
      <c r="P90" s="698"/>
      <c r="Q90" s="698"/>
      <c r="R90" s="696"/>
    </row>
    <row r="91" spans="2:19" s="57" customFormat="1" ht="12.75" customHeight="1">
      <c r="B91" s="78"/>
      <c r="C91" s="744"/>
      <c r="D91" s="695"/>
      <c r="E91" s="697"/>
      <c r="F91" s="697"/>
      <c r="G91" s="708"/>
      <c r="H91" s="708"/>
      <c r="I91" s="708"/>
      <c r="J91" s="708"/>
      <c r="K91" s="708"/>
      <c r="L91" s="708"/>
      <c r="M91" s="708"/>
      <c r="N91" s="708"/>
      <c r="O91" s="708"/>
      <c r="P91" s="708"/>
      <c r="Q91" s="708"/>
      <c r="R91" s="706"/>
    </row>
    <row r="92" spans="2:19" s="57" customFormat="1" ht="12.75" customHeight="1">
      <c r="B92" s="78"/>
      <c r="C92" s="744"/>
      <c r="D92" s="695"/>
      <c r="E92" s="697"/>
      <c r="F92" s="697"/>
      <c r="G92" s="708"/>
      <c r="H92" s="708"/>
      <c r="I92" s="708"/>
      <c r="J92" s="708"/>
      <c r="K92" s="708"/>
      <c r="L92" s="708"/>
      <c r="M92" s="708"/>
      <c r="N92" s="708"/>
      <c r="O92" s="708"/>
      <c r="P92" s="708"/>
      <c r="Q92" s="708"/>
      <c r="R92" s="706"/>
    </row>
    <row r="93" spans="2:19" s="57" customFormat="1" ht="12.75" customHeight="1">
      <c r="B93" s="749"/>
      <c r="C93" s="712"/>
      <c r="D93" s="731"/>
      <c r="E93" s="717"/>
      <c r="F93" s="717"/>
      <c r="G93" s="717"/>
      <c r="H93" s="717"/>
      <c r="I93" s="717"/>
      <c r="J93" s="717"/>
      <c r="K93" s="717"/>
      <c r="L93" s="717"/>
      <c r="M93" s="717"/>
      <c r="N93" s="717"/>
      <c r="O93" s="717"/>
      <c r="P93" s="717"/>
      <c r="Q93" s="717"/>
      <c r="R93" s="717"/>
    </row>
    <row r="94" spans="2:19" s="57" customFormat="1" ht="12.75" customHeight="1">
      <c r="B94" s="746"/>
      <c r="C94" s="712"/>
      <c r="D94" s="731"/>
      <c r="E94" s="717"/>
      <c r="F94" s="717"/>
      <c r="G94" s="717"/>
      <c r="H94" s="717"/>
      <c r="I94" s="717"/>
      <c r="J94" s="717"/>
      <c r="K94" s="717"/>
      <c r="L94" s="717"/>
      <c r="M94" s="717"/>
      <c r="N94" s="717"/>
      <c r="O94" s="717"/>
      <c r="P94" s="717"/>
      <c r="Q94" s="717"/>
      <c r="R94" s="717"/>
    </row>
    <row r="95" spans="2:19" s="57" customFormat="1" ht="12.75" customHeight="1">
      <c r="B95" s="734"/>
      <c r="C95" s="712"/>
      <c r="D95" s="750"/>
      <c r="E95" s="717"/>
      <c r="F95" s="717"/>
      <c r="G95" s="717"/>
      <c r="H95" s="717"/>
      <c r="I95" s="717"/>
      <c r="J95" s="717"/>
      <c r="K95" s="717"/>
      <c r="L95" s="717"/>
      <c r="M95" s="717"/>
      <c r="N95" s="717"/>
      <c r="O95" s="717"/>
      <c r="P95" s="717"/>
      <c r="Q95" s="717"/>
      <c r="R95" s="717"/>
    </row>
    <row r="96" spans="2:19" s="57" customFormat="1" ht="12.75" customHeight="1">
      <c r="C96" s="725"/>
      <c r="D96" s="751"/>
      <c r="E96" s="717"/>
      <c r="F96" s="717"/>
      <c r="G96" s="717"/>
      <c r="H96" s="720"/>
      <c r="I96" s="720"/>
      <c r="J96" s="720"/>
      <c r="K96" s="720"/>
      <c r="L96" s="720"/>
      <c r="M96" s="720"/>
      <c r="N96" s="720"/>
      <c r="O96" s="720"/>
      <c r="P96" s="720"/>
      <c r="Q96" s="720"/>
      <c r="R96" s="720"/>
    </row>
    <row r="97" spans="2:18" s="57" customFormat="1" ht="12.75" customHeight="1">
      <c r="C97" s="725"/>
      <c r="D97" s="752"/>
      <c r="E97" s="717"/>
      <c r="F97" s="717"/>
      <c r="G97" s="717"/>
      <c r="H97" s="720"/>
      <c r="I97" s="720"/>
      <c r="J97" s="720"/>
      <c r="K97" s="720"/>
      <c r="L97" s="720"/>
      <c r="M97" s="720"/>
      <c r="N97" s="720"/>
      <c r="O97" s="720"/>
      <c r="P97" s="720"/>
      <c r="Q97" s="720"/>
      <c r="R97" s="720"/>
    </row>
    <row r="98" spans="2:18" s="57" customFormat="1" ht="12.75" customHeight="1">
      <c r="C98" s="712"/>
      <c r="D98" s="752"/>
      <c r="E98" s="717"/>
      <c r="F98" s="717"/>
      <c r="G98" s="717"/>
      <c r="H98" s="720"/>
      <c r="I98" s="720"/>
      <c r="J98" s="720"/>
      <c r="K98" s="720"/>
      <c r="L98" s="720"/>
      <c r="M98" s="720"/>
      <c r="N98" s="720"/>
      <c r="O98" s="720"/>
      <c r="P98" s="720"/>
      <c r="Q98" s="720"/>
      <c r="R98" s="720"/>
    </row>
    <row r="99" spans="2:18" s="57" customFormat="1" ht="12.75" customHeight="1">
      <c r="C99" s="712"/>
      <c r="D99" s="752"/>
      <c r="E99" s="717"/>
      <c r="F99" s="717"/>
      <c r="G99" s="717"/>
      <c r="H99" s="720"/>
      <c r="I99" s="720"/>
      <c r="J99" s="720"/>
      <c r="K99" s="720"/>
      <c r="L99" s="720"/>
      <c r="M99" s="720"/>
      <c r="N99" s="720"/>
      <c r="O99" s="720"/>
      <c r="P99" s="720"/>
      <c r="Q99" s="720"/>
      <c r="R99" s="720"/>
    </row>
    <row r="100" spans="2:18" s="57" customFormat="1" ht="12.75" customHeight="1">
      <c r="C100" s="712"/>
      <c r="D100" s="752"/>
      <c r="E100" s="717"/>
      <c r="F100" s="717"/>
      <c r="G100" s="717"/>
      <c r="H100" s="720"/>
      <c r="I100" s="720"/>
      <c r="J100" s="720"/>
      <c r="K100" s="720"/>
      <c r="L100" s="720"/>
      <c r="M100" s="720"/>
      <c r="N100" s="720"/>
      <c r="O100" s="720"/>
      <c r="P100" s="720"/>
      <c r="Q100" s="720"/>
      <c r="R100" s="720"/>
    </row>
    <row r="101" spans="2:18" s="57" customFormat="1" ht="12.75" customHeight="1">
      <c r="C101" s="712"/>
      <c r="D101" s="752"/>
      <c r="E101" s="717"/>
      <c r="F101" s="717"/>
      <c r="G101" s="717"/>
      <c r="H101" s="720"/>
      <c r="I101" s="720"/>
      <c r="J101" s="720"/>
      <c r="K101" s="720"/>
      <c r="L101" s="720"/>
      <c r="M101" s="720"/>
      <c r="N101" s="720"/>
      <c r="O101" s="720"/>
      <c r="P101" s="720"/>
      <c r="Q101" s="720"/>
      <c r="R101" s="720"/>
    </row>
    <row r="102" spans="2:18" s="57" customFormat="1" ht="12.75" customHeight="1">
      <c r="C102" s="747"/>
      <c r="D102" s="731"/>
      <c r="E102" s="720"/>
      <c r="F102" s="720"/>
      <c r="G102" s="720"/>
      <c r="H102" s="720"/>
      <c r="I102" s="720"/>
      <c r="J102" s="720"/>
      <c r="K102" s="720"/>
      <c r="L102" s="720"/>
      <c r="M102" s="720"/>
      <c r="N102" s="720"/>
      <c r="O102" s="720"/>
      <c r="P102" s="720"/>
      <c r="Q102" s="720"/>
      <c r="R102" s="720"/>
    </row>
    <row r="103" spans="2:18" s="57" customFormat="1" ht="12.75" customHeight="1">
      <c r="C103" s="712"/>
      <c r="D103" s="731"/>
      <c r="E103" s="717"/>
      <c r="F103" s="717"/>
      <c r="G103" s="717"/>
      <c r="H103" s="717"/>
      <c r="I103" s="717"/>
      <c r="J103" s="717"/>
      <c r="K103" s="717"/>
      <c r="L103" s="717"/>
      <c r="M103" s="717"/>
      <c r="N103" s="717"/>
      <c r="O103" s="717"/>
      <c r="P103" s="717"/>
      <c r="Q103" s="717"/>
      <c r="R103" s="717"/>
    </row>
    <row r="104" spans="2:18" s="57" customFormat="1" ht="12.75" customHeight="1">
      <c r="B104" s="734"/>
      <c r="C104" s="712"/>
      <c r="D104" s="731"/>
      <c r="E104" s="717"/>
      <c r="F104" s="717"/>
      <c r="G104" s="717"/>
      <c r="H104" s="717"/>
      <c r="I104" s="717"/>
      <c r="J104" s="717"/>
      <c r="K104" s="717"/>
      <c r="L104" s="717"/>
      <c r="M104" s="717"/>
      <c r="N104" s="717"/>
      <c r="O104" s="717"/>
      <c r="P104" s="717"/>
      <c r="Q104" s="717"/>
      <c r="R104" s="717"/>
    </row>
    <row r="105" spans="2:18" s="57" customFormat="1" ht="12.75" customHeight="1">
      <c r="C105" s="712"/>
      <c r="D105" s="752"/>
      <c r="E105" s="717"/>
      <c r="F105" s="717"/>
      <c r="G105" s="717"/>
      <c r="H105" s="720"/>
      <c r="I105" s="720"/>
      <c r="J105" s="720"/>
      <c r="K105" s="720"/>
      <c r="L105" s="720"/>
      <c r="M105" s="720"/>
      <c r="N105" s="720"/>
      <c r="O105" s="720"/>
      <c r="P105" s="720"/>
      <c r="Q105" s="720"/>
      <c r="R105" s="720"/>
    </row>
    <row r="106" spans="2:18" s="57" customFormat="1" ht="12.75" customHeight="1">
      <c r="C106" s="725"/>
      <c r="D106" s="752"/>
      <c r="E106" s="717"/>
      <c r="F106" s="717"/>
      <c r="G106" s="717"/>
      <c r="H106" s="720"/>
      <c r="I106" s="720"/>
      <c r="J106" s="720"/>
      <c r="K106" s="720"/>
      <c r="L106" s="720"/>
      <c r="M106" s="720"/>
      <c r="N106" s="720"/>
      <c r="O106" s="720"/>
      <c r="P106" s="720"/>
      <c r="Q106" s="720"/>
      <c r="R106" s="720"/>
    </row>
    <row r="107" spans="2:18" s="57" customFormat="1" ht="12.75" customHeight="1">
      <c r="C107" s="712"/>
      <c r="D107" s="752"/>
      <c r="E107" s="717"/>
      <c r="F107" s="717"/>
      <c r="G107" s="717"/>
      <c r="H107" s="717"/>
      <c r="I107" s="720"/>
      <c r="J107" s="720"/>
      <c r="K107" s="720"/>
      <c r="L107" s="720"/>
      <c r="M107" s="720"/>
      <c r="N107" s="720"/>
      <c r="O107" s="720"/>
      <c r="P107" s="720"/>
      <c r="Q107" s="720"/>
      <c r="R107" s="720"/>
    </row>
    <row r="108" spans="2:18" s="57" customFormat="1" ht="12.75" customHeight="1">
      <c r="C108" s="712"/>
      <c r="D108" s="752"/>
      <c r="E108" s="717"/>
      <c r="F108" s="717"/>
      <c r="G108" s="717"/>
      <c r="H108" s="720"/>
      <c r="I108" s="720"/>
      <c r="J108" s="720"/>
      <c r="K108" s="720"/>
      <c r="L108" s="720"/>
      <c r="M108" s="720"/>
      <c r="N108" s="720"/>
      <c r="O108" s="720"/>
      <c r="P108" s="720"/>
      <c r="Q108" s="720"/>
      <c r="R108" s="720"/>
    </row>
    <row r="109" spans="2:18" s="57" customFormat="1" ht="12.75" customHeight="1">
      <c r="C109" s="712"/>
      <c r="D109" s="752"/>
      <c r="E109" s="717"/>
      <c r="F109" s="717"/>
      <c r="G109" s="717"/>
      <c r="H109" s="720"/>
      <c r="I109" s="720"/>
      <c r="J109" s="720"/>
      <c r="K109" s="720"/>
      <c r="L109" s="720"/>
      <c r="M109" s="720"/>
      <c r="N109" s="720"/>
      <c r="O109" s="720"/>
      <c r="P109" s="720"/>
      <c r="Q109" s="720"/>
      <c r="R109" s="720"/>
    </row>
    <row r="110" spans="2:18" s="57" customFormat="1" ht="12.75" customHeight="1">
      <c r="C110" s="747"/>
      <c r="D110" s="731"/>
      <c r="E110" s="720"/>
      <c r="F110" s="720"/>
      <c r="G110" s="720"/>
      <c r="H110" s="720"/>
      <c r="I110" s="720"/>
      <c r="J110" s="720"/>
      <c r="K110" s="720"/>
      <c r="L110" s="720"/>
      <c r="M110" s="720"/>
      <c r="N110" s="720"/>
      <c r="O110" s="720"/>
      <c r="P110" s="720"/>
      <c r="Q110" s="720"/>
      <c r="R110" s="720"/>
    </row>
    <row r="111" spans="2:18" s="57" customFormat="1" ht="12.75" customHeight="1">
      <c r="C111" s="712"/>
      <c r="D111" s="731"/>
      <c r="E111" s="717"/>
      <c r="F111" s="717"/>
      <c r="G111" s="717"/>
      <c r="H111" s="717"/>
      <c r="I111" s="717"/>
      <c r="J111" s="717"/>
      <c r="K111" s="717"/>
      <c r="L111" s="717"/>
      <c r="M111" s="717"/>
      <c r="N111" s="717"/>
      <c r="O111" s="717"/>
      <c r="P111" s="717"/>
      <c r="Q111" s="717"/>
      <c r="R111" s="717"/>
    </row>
    <row r="112" spans="2:18" s="57" customFormat="1" ht="12.75" customHeight="1">
      <c r="B112" s="736"/>
      <c r="C112" s="712"/>
      <c r="D112" s="731"/>
      <c r="E112" s="727"/>
      <c r="F112" s="727"/>
      <c r="G112" s="727"/>
      <c r="H112" s="727"/>
      <c r="I112" s="727"/>
      <c r="J112" s="727"/>
      <c r="K112" s="727"/>
      <c r="L112" s="727"/>
      <c r="M112" s="727"/>
      <c r="N112" s="727"/>
      <c r="O112" s="727"/>
      <c r="P112" s="727"/>
      <c r="Q112" s="727"/>
      <c r="R112" s="727"/>
    </row>
    <row r="113" spans="2:19" s="57" customFormat="1" ht="12.75" customHeight="1">
      <c r="C113" s="712"/>
      <c r="D113" s="731"/>
      <c r="E113" s="717"/>
      <c r="F113" s="717"/>
      <c r="G113" s="717"/>
      <c r="H113" s="717"/>
      <c r="I113" s="717"/>
      <c r="J113" s="717"/>
      <c r="K113" s="717"/>
      <c r="L113" s="717"/>
      <c r="M113" s="717"/>
      <c r="N113" s="717"/>
      <c r="O113" s="717"/>
      <c r="P113" s="717"/>
      <c r="Q113" s="717"/>
      <c r="R113" s="717"/>
    </row>
    <row r="114" spans="2:19" s="57" customFormat="1" ht="12.75" customHeight="1">
      <c r="C114" s="712"/>
      <c r="D114" s="731"/>
      <c r="E114" s="717"/>
      <c r="F114" s="717"/>
      <c r="G114" s="717"/>
      <c r="H114" s="717"/>
      <c r="I114" s="717"/>
      <c r="J114" s="717"/>
      <c r="K114" s="717"/>
      <c r="L114" s="717"/>
      <c r="M114" s="717"/>
      <c r="N114" s="717"/>
      <c r="O114" s="717"/>
      <c r="P114" s="717"/>
      <c r="Q114" s="717"/>
      <c r="R114" s="717"/>
    </row>
    <row r="115" spans="2:19" s="57" customFormat="1" ht="12.75" customHeight="1">
      <c r="B115" s="748"/>
      <c r="C115" s="737"/>
      <c r="D115" s="738"/>
      <c r="E115" s="739"/>
      <c r="F115" s="740"/>
      <c r="G115" s="740"/>
      <c r="H115" s="740"/>
      <c r="I115" s="740"/>
      <c r="J115" s="740"/>
      <c r="K115" s="740"/>
      <c r="L115" s="740"/>
      <c r="M115" s="740"/>
      <c r="N115" s="740"/>
      <c r="O115" s="740"/>
      <c r="P115" s="740"/>
      <c r="Q115" s="740"/>
      <c r="R115" s="740"/>
      <c r="S115" s="24"/>
    </row>
    <row r="116" spans="2:19" s="57" customFormat="1" ht="12.75" customHeight="1">
      <c r="B116" s="741"/>
      <c r="C116" s="742"/>
      <c r="D116" s="743"/>
      <c r="E116" s="741"/>
      <c r="F116" s="741"/>
      <c r="G116" s="741"/>
      <c r="H116" s="741"/>
      <c r="I116" s="741"/>
      <c r="J116" s="741"/>
      <c r="K116" s="741"/>
      <c r="L116" s="741"/>
      <c r="M116" s="741"/>
      <c r="N116" s="741"/>
      <c r="O116" s="741"/>
      <c r="P116" s="741"/>
      <c r="Q116" s="741"/>
      <c r="R116" s="741"/>
      <c r="S116" s="45"/>
    </row>
    <row r="117" spans="2:19" s="57" customFormat="1" ht="12.75" customHeight="1">
      <c r="C117" s="712"/>
      <c r="D117" s="693"/>
      <c r="S117" s="47"/>
    </row>
    <row r="118" spans="2:19" s="57" customFormat="1" ht="12.75" customHeight="1">
      <c r="D118" s="693"/>
      <c r="F118" s="694"/>
    </row>
    <row r="119" spans="2:19" s="57" customFormat="1" ht="12.75" customHeight="1">
      <c r="D119" s="693"/>
      <c r="G119" s="68"/>
      <c r="H119" s="68"/>
      <c r="I119" s="68"/>
      <c r="J119" s="68"/>
      <c r="K119" s="68"/>
      <c r="L119" s="68"/>
      <c r="M119" s="68"/>
      <c r="N119" s="68"/>
      <c r="O119" s="68"/>
      <c r="P119" s="68"/>
      <c r="Q119" s="68"/>
      <c r="R119" s="700"/>
    </row>
    <row r="120" spans="2:19" s="57" customFormat="1" ht="12.75" customHeight="1">
      <c r="B120" s="78"/>
      <c r="C120" s="78"/>
      <c r="D120" s="695"/>
      <c r="E120" s="696"/>
      <c r="F120" s="696"/>
      <c r="G120" s="697"/>
      <c r="H120" s="698"/>
      <c r="I120" s="698"/>
      <c r="J120" s="698"/>
      <c r="K120" s="698"/>
      <c r="L120" s="698"/>
      <c r="M120" s="698"/>
      <c r="N120" s="698"/>
      <c r="O120" s="698"/>
      <c r="P120" s="698"/>
      <c r="Q120" s="698"/>
      <c r="R120" s="745"/>
    </row>
    <row r="121" spans="2:19" s="57" customFormat="1" ht="12.75" customHeight="1">
      <c r="B121" s="78"/>
      <c r="C121" s="78"/>
      <c r="D121" s="695"/>
      <c r="E121" s="697"/>
      <c r="F121" s="697"/>
      <c r="G121" s="697"/>
      <c r="H121" s="698"/>
      <c r="I121" s="698"/>
      <c r="J121" s="698"/>
      <c r="K121" s="698"/>
      <c r="L121" s="698"/>
      <c r="M121" s="698"/>
      <c r="N121" s="698"/>
      <c r="O121" s="698"/>
      <c r="P121" s="698"/>
      <c r="Q121" s="698"/>
      <c r="R121" s="696"/>
    </row>
    <row r="122" spans="2:19" s="57" customFormat="1" ht="12.75" customHeight="1">
      <c r="B122" s="78"/>
      <c r="C122" s="78"/>
      <c r="D122" s="695"/>
      <c r="E122" s="697"/>
      <c r="F122" s="697"/>
      <c r="G122" s="708"/>
      <c r="H122" s="708"/>
      <c r="I122" s="708"/>
      <c r="J122" s="708"/>
      <c r="K122" s="708"/>
      <c r="L122" s="708"/>
      <c r="M122" s="708"/>
      <c r="N122" s="708"/>
      <c r="O122" s="708"/>
      <c r="P122" s="708"/>
      <c r="Q122" s="708"/>
      <c r="R122" s="706"/>
    </row>
    <row r="123" spans="2:19" s="57" customFormat="1" ht="12.75" customHeight="1">
      <c r="D123" s="731"/>
      <c r="E123" s="717"/>
      <c r="F123" s="717"/>
      <c r="G123" s="717"/>
      <c r="H123" s="717"/>
      <c r="I123" s="717"/>
      <c r="J123" s="717"/>
      <c r="K123" s="717"/>
      <c r="L123" s="717"/>
      <c r="M123" s="717"/>
      <c r="N123" s="717"/>
      <c r="O123" s="717"/>
      <c r="P123" s="717"/>
      <c r="Q123" s="717"/>
      <c r="R123" s="717"/>
    </row>
    <row r="124" spans="2:19" s="57" customFormat="1" ht="12.75" customHeight="1">
      <c r="D124" s="731"/>
      <c r="E124" s="717"/>
      <c r="F124" s="717"/>
      <c r="G124" s="717"/>
      <c r="H124" s="717"/>
      <c r="I124" s="717"/>
      <c r="J124" s="717"/>
      <c r="K124" s="717"/>
      <c r="L124" s="717"/>
      <c r="M124" s="717"/>
      <c r="N124" s="717"/>
      <c r="O124" s="717"/>
      <c r="P124" s="717"/>
      <c r="Q124" s="717"/>
      <c r="R124" s="717"/>
    </row>
    <row r="125" spans="2:19" s="57" customFormat="1" ht="12.75" customHeight="1">
      <c r="B125" s="734"/>
      <c r="D125" s="731"/>
      <c r="E125" s="717"/>
      <c r="F125" s="717"/>
      <c r="G125" s="717"/>
      <c r="H125" s="717"/>
      <c r="I125" s="717"/>
      <c r="J125" s="717"/>
      <c r="K125" s="717"/>
      <c r="L125" s="717"/>
      <c r="M125" s="717"/>
      <c r="N125" s="717"/>
      <c r="O125" s="717"/>
      <c r="P125" s="717"/>
      <c r="Q125" s="717"/>
      <c r="R125" s="717"/>
    </row>
    <row r="126" spans="2:19" s="57" customFormat="1" ht="12.75" customHeight="1">
      <c r="C126" s="753"/>
      <c r="D126" s="731"/>
      <c r="E126" s="717"/>
      <c r="F126" s="754"/>
      <c r="G126" s="754"/>
      <c r="H126" s="754"/>
      <c r="I126" s="754"/>
      <c r="J126" s="754"/>
      <c r="K126" s="754"/>
      <c r="L126" s="754"/>
      <c r="M126" s="754"/>
      <c r="N126" s="754"/>
      <c r="O126" s="754"/>
      <c r="P126" s="754"/>
      <c r="Q126" s="754"/>
      <c r="R126" s="754"/>
    </row>
    <row r="127" spans="2:19" s="57" customFormat="1" ht="12.75" customHeight="1">
      <c r="C127" s="753"/>
      <c r="D127" s="731"/>
      <c r="E127" s="717"/>
      <c r="F127" s="754"/>
      <c r="G127" s="754"/>
      <c r="H127" s="754"/>
      <c r="I127" s="754"/>
      <c r="J127" s="754"/>
      <c r="K127" s="754"/>
      <c r="L127" s="754"/>
      <c r="M127" s="754"/>
      <c r="N127" s="754"/>
      <c r="O127" s="754"/>
      <c r="P127" s="754"/>
      <c r="Q127" s="754"/>
      <c r="R127" s="754"/>
    </row>
    <row r="128" spans="2:19" s="57" customFormat="1" ht="12.75" customHeight="1">
      <c r="D128" s="731"/>
      <c r="E128" s="717"/>
      <c r="F128" s="754"/>
      <c r="G128" s="754"/>
      <c r="H128" s="754"/>
      <c r="I128" s="754"/>
      <c r="J128" s="754"/>
      <c r="K128" s="754"/>
      <c r="L128" s="754"/>
      <c r="M128" s="754"/>
      <c r="N128" s="754"/>
      <c r="O128" s="754"/>
      <c r="P128" s="754"/>
      <c r="Q128" s="754"/>
      <c r="R128" s="754"/>
    </row>
    <row r="129" spans="2:18" s="57" customFormat="1" ht="12.75" customHeight="1">
      <c r="D129" s="731"/>
      <c r="E129" s="717"/>
      <c r="F129" s="754"/>
      <c r="G129" s="754"/>
      <c r="H129" s="754"/>
      <c r="I129" s="754"/>
      <c r="J129" s="754"/>
      <c r="K129" s="754"/>
      <c r="L129" s="754"/>
      <c r="M129" s="754"/>
      <c r="N129" s="754"/>
      <c r="O129" s="754"/>
      <c r="P129" s="754"/>
      <c r="Q129" s="754"/>
      <c r="R129" s="754"/>
    </row>
    <row r="130" spans="2:18" s="57" customFormat="1" ht="12.75" customHeight="1">
      <c r="D130" s="731"/>
      <c r="E130" s="717"/>
      <c r="F130" s="754"/>
      <c r="G130" s="754"/>
      <c r="H130" s="754"/>
      <c r="I130" s="754"/>
      <c r="J130" s="754"/>
      <c r="K130" s="754"/>
      <c r="L130" s="754"/>
      <c r="M130" s="754"/>
      <c r="N130" s="754"/>
      <c r="O130" s="754"/>
      <c r="P130" s="754"/>
      <c r="Q130" s="754"/>
      <c r="R130" s="754"/>
    </row>
    <row r="131" spans="2:18" s="57" customFormat="1" ht="12.75" customHeight="1">
      <c r="D131" s="731"/>
      <c r="E131" s="717"/>
      <c r="F131" s="754"/>
      <c r="G131" s="754"/>
      <c r="H131" s="754"/>
      <c r="I131" s="754"/>
      <c r="J131" s="754"/>
      <c r="K131" s="754"/>
      <c r="L131" s="754"/>
      <c r="M131" s="754"/>
      <c r="N131" s="754"/>
      <c r="O131" s="754"/>
      <c r="P131" s="754"/>
      <c r="Q131" s="754"/>
      <c r="R131" s="754"/>
    </row>
    <row r="132" spans="2:18" s="57" customFormat="1" ht="12.75" customHeight="1">
      <c r="C132" s="736"/>
      <c r="D132" s="731"/>
      <c r="E132" s="717"/>
      <c r="F132" s="754"/>
      <c r="G132" s="754"/>
      <c r="H132" s="754"/>
      <c r="I132" s="754"/>
      <c r="J132" s="754"/>
      <c r="K132" s="754"/>
      <c r="L132" s="754"/>
      <c r="M132" s="754"/>
      <c r="N132" s="754"/>
      <c r="O132" s="754"/>
      <c r="P132" s="754"/>
      <c r="Q132" s="754"/>
      <c r="R132" s="754"/>
    </row>
    <row r="133" spans="2:18" s="57" customFormat="1" ht="12.75" customHeight="1">
      <c r="D133" s="731"/>
      <c r="E133" s="717"/>
      <c r="F133" s="717"/>
      <c r="G133" s="717"/>
      <c r="H133" s="717"/>
      <c r="I133" s="717"/>
      <c r="J133" s="717"/>
      <c r="K133" s="717"/>
      <c r="L133" s="717"/>
      <c r="M133" s="717"/>
      <c r="N133" s="717"/>
      <c r="O133" s="717"/>
      <c r="P133" s="717"/>
      <c r="Q133" s="717"/>
      <c r="R133" s="717"/>
    </row>
    <row r="134" spans="2:18" s="57" customFormat="1" ht="12.75" customHeight="1">
      <c r="B134" s="734"/>
      <c r="D134" s="731"/>
      <c r="E134" s="717"/>
      <c r="F134" s="717"/>
      <c r="G134" s="717"/>
      <c r="H134" s="717"/>
      <c r="I134" s="717"/>
      <c r="J134" s="717"/>
      <c r="K134" s="717"/>
      <c r="L134" s="717"/>
      <c r="M134" s="717"/>
      <c r="N134" s="717"/>
      <c r="O134" s="717"/>
      <c r="P134" s="717"/>
      <c r="Q134" s="717"/>
      <c r="R134" s="717"/>
    </row>
    <row r="135" spans="2:18" s="57" customFormat="1" ht="12.75" customHeight="1">
      <c r="D135" s="731"/>
      <c r="E135" s="717"/>
      <c r="F135" s="754"/>
      <c r="G135" s="754"/>
      <c r="H135" s="754"/>
      <c r="I135" s="754"/>
      <c r="J135" s="754"/>
      <c r="K135" s="754"/>
      <c r="L135" s="754"/>
      <c r="M135" s="754"/>
      <c r="N135" s="754"/>
      <c r="O135" s="754"/>
      <c r="P135" s="754"/>
      <c r="Q135" s="754"/>
      <c r="R135" s="754"/>
    </row>
    <row r="136" spans="2:18" s="57" customFormat="1" ht="12.75" customHeight="1">
      <c r="C136" s="753"/>
      <c r="D136" s="731"/>
      <c r="E136" s="717"/>
      <c r="F136" s="754"/>
      <c r="G136" s="754"/>
      <c r="H136" s="754"/>
      <c r="I136" s="754"/>
      <c r="J136" s="754"/>
      <c r="K136" s="754"/>
      <c r="L136" s="754"/>
      <c r="M136" s="754"/>
      <c r="N136" s="754"/>
      <c r="O136" s="754"/>
      <c r="P136" s="754"/>
      <c r="Q136" s="754"/>
      <c r="R136" s="754"/>
    </row>
    <row r="137" spans="2:18" s="57" customFormat="1" ht="12.75" customHeight="1">
      <c r="D137" s="731"/>
      <c r="E137" s="717"/>
      <c r="F137" s="754"/>
      <c r="G137" s="754"/>
      <c r="H137" s="755"/>
      <c r="I137" s="754"/>
      <c r="J137" s="754"/>
      <c r="K137" s="754"/>
      <c r="L137" s="754"/>
      <c r="M137" s="754"/>
      <c r="N137" s="754"/>
      <c r="O137" s="754"/>
      <c r="P137" s="754"/>
      <c r="Q137" s="754"/>
      <c r="R137" s="754"/>
    </row>
    <row r="138" spans="2:18" s="57" customFormat="1" ht="12.75" customHeight="1">
      <c r="D138" s="731"/>
      <c r="E138" s="717"/>
      <c r="F138" s="754"/>
      <c r="G138" s="754"/>
      <c r="H138" s="754"/>
      <c r="I138" s="754"/>
      <c r="J138" s="754"/>
      <c r="K138" s="754"/>
      <c r="L138" s="754"/>
      <c r="M138" s="754"/>
      <c r="N138" s="754"/>
      <c r="O138" s="754"/>
      <c r="P138" s="754"/>
      <c r="Q138" s="754"/>
      <c r="R138" s="754"/>
    </row>
    <row r="139" spans="2:18" s="57" customFormat="1" ht="12.75" customHeight="1">
      <c r="D139" s="731"/>
      <c r="E139" s="717"/>
      <c r="F139" s="754"/>
      <c r="G139" s="754"/>
      <c r="H139" s="754"/>
      <c r="I139" s="754"/>
      <c r="J139" s="754"/>
      <c r="K139" s="754"/>
      <c r="L139" s="754"/>
      <c r="M139" s="754"/>
      <c r="N139" s="754"/>
      <c r="O139" s="754"/>
      <c r="P139" s="754"/>
      <c r="Q139" s="754"/>
      <c r="R139" s="754"/>
    </row>
    <row r="140" spans="2:18" s="57" customFormat="1" ht="12.75" customHeight="1">
      <c r="C140" s="736"/>
      <c r="D140" s="731"/>
      <c r="E140" s="717"/>
      <c r="F140" s="754"/>
      <c r="G140" s="754"/>
      <c r="H140" s="754"/>
      <c r="I140" s="754"/>
      <c r="J140" s="754"/>
      <c r="K140" s="754"/>
      <c r="L140" s="754"/>
      <c r="M140" s="754"/>
      <c r="N140" s="754"/>
      <c r="O140" s="754"/>
      <c r="P140" s="754"/>
      <c r="Q140" s="754"/>
      <c r="R140" s="754"/>
    </row>
    <row r="141" spans="2:18" s="57" customFormat="1" ht="12.75" customHeight="1">
      <c r="D141" s="731"/>
      <c r="E141" s="717"/>
      <c r="F141" s="717"/>
      <c r="G141" s="717"/>
      <c r="H141" s="717"/>
      <c r="I141" s="717"/>
      <c r="J141" s="717"/>
      <c r="K141" s="717"/>
      <c r="L141" s="717"/>
      <c r="M141" s="717"/>
      <c r="N141" s="717"/>
      <c r="O141" s="717"/>
      <c r="P141" s="717"/>
      <c r="Q141" s="717"/>
      <c r="R141" s="717"/>
    </row>
    <row r="142" spans="2:18" s="57" customFormat="1" ht="12.75" customHeight="1">
      <c r="B142" s="736"/>
      <c r="D142" s="731"/>
      <c r="E142" s="717"/>
      <c r="F142" s="756"/>
      <c r="G142" s="756"/>
      <c r="H142" s="756"/>
      <c r="I142" s="756"/>
      <c r="J142" s="756"/>
      <c r="K142" s="756"/>
      <c r="L142" s="756"/>
      <c r="M142" s="756"/>
      <c r="N142" s="756"/>
      <c r="O142" s="756"/>
      <c r="P142" s="756"/>
      <c r="Q142" s="756"/>
      <c r="R142" s="717"/>
    </row>
    <row r="143" spans="2:18" s="57" customFormat="1" ht="12.75" customHeight="1">
      <c r="D143" s="731"/>
      <c r="E143" s="717"/>
      <c r="F143" s="717"/>
      <c r="G143" s="717"/>
      <c r="H143" s="717"/>
      <c r="I143" s="717"/>
      <c r="J143" s="717"/>
      <c r="K143" s="717"/>
      <c r="L143" s="717"/>
      <c r="M143" s="717"/>
      <c r="N143" s="717"/>
      <c r="O143" s="717"/>
      <c r="P143" s="717"/>
      <c r="Q143" s="717"/>
      <c r="R143" s="717"/>
    </row>
    <row r="144" spans="2:18" s="57" customFormat="1" ht="12.75" customHeight="1"/>
    <row r="145" spans="2:19" s="57" customFormat="1" ht="12.75" customHeight="1"/>
    <row r="146" spans="2:19" s="57" customFormat="1" ht="12.75" customHeight="1">
      <c r="B146" s="748"/>
      <c r="C146" s="739"/>
      <c r="D146" s="738"/>
      <c r="E146" s="739"/>
      <c r="F146" s="740"/>
      <c r="G146" s="740"/>
      <c r="H146" s="740"/>
      <c r="I146" s="740"/>
      <c r="J146" s="740"/>
      <c r="K146" s="740"/>
      <c r="L146" s="740"/>
      <c r="M146" s="740"/>
      <c r="N146" s="740"/>
      <c r="O146" s="740"/>
      <c r="P146" s="740"/>
      <c r="Q146" s="740"/>
      <c r="R146" s="740"/>
      <c r="S146" s="24"/>
    </row>
    <row r="147" spans="2:19" s="57" customFormat="1" ht="12.75" customHeight="1">
      <c r="B147" s="741"/>
      <c r="C147" s="741"/>
      <c r="D147" s="743"/>
      <c r="E147" s="741"/>
      <c r="F147" s="741"/>
      <c r="G147" s="741"/>
      <c r="H147" s="741"/>
      <c r="I147" s="741"/>
      <c r="J147" s="741"/>
      <c r="K147" s="741"/>
      <c r="L147" s="741"/>
      <c r="M147" s="741"/>
      <c r="N147" s="741"/>
      <c r="O147" s="741"/>
      <c r="P147" s="741"/>
      <c r="Q147" s="741"/>
      <c r="R147" s="741"/>
      <c r="S147" s="45"/>
    </row>
    <row r="148" spans="2:19" s="57" customFormat="1" ht="12.75" customHeight="1">
      <c r="D148" s="693"/>
      <c r="S148" s="47"/>
    </row>
    <row r="149" spans="2:19" s="57" customFormat="1" ht="12.75" customHeight="1">
      <c r="C149" s="757"/>
      <c r="D149" s="693"/>
      <c r="F149" s="694"/>
    </row>
    <row r="150" spans="2:19" s="57" customFormat="1" ht="12.75" customHeight="1">
      <c r="D150" s="693"/>
      <c r="G150" s="68"/>
      <c r="H150" s="68"/>
      <c r="I150" s="68"/>
      <c r="J150" s="68"/>
      <c r="K150" s="68"/>
      <c r="L150" s="68"/>
      <c r="M150" s="68"/>
      <c r="N150" s="68"/>
      <c r="O150" s="68"/>
      <c r="P150" s="68"/>
      <c r="Q150" s="68"/>
      <c r="R150" s="700"/>
    </row>
    <row r="151" spans="2:19" s="57" customFormat="1" ht="12.75" customHeight="1">
      <c r="B151" s="78"/>
      <c r="C151" s="78"/>
      <c r="D151" s="695"/>
      <c r="E151" s="696"/>
      <c r="F151" s="696"/>
      <c r="G151" s="697"/>
      <c r="H151" s="698"/>
      <c r="I151" s="698"/>
      <c r="J151" s="698"/>
      <c r="K151" s="698"/>
      <c r="L151" s="698"/>
      <c r="M151" s="698"/>
      <c r="N151" s="698"/>
      <c r="O151" s="698"/>
      <c r="P151" s="698"/>
      <c r="Q151" s="698"/>
      <c r="R151" s="745"/>
    </row>
    <row r="152" spans="2:19" s="57" customFormat="1" ht="12.75" customHeight="1">
      <c r="D152" s="731"/>
      <c r="E152" s="717"/>
      <c r="F152" s="717"/>
      <c r="G152" s="717"/>
      <c r="H152" s="717"/>
      <c r="I152" s="717"/>
      <c r="J152" s="717"/>
      <c r="K152" s="717"/>
      <c r="L152" s="717"/>
      <c r="M152" s="717"/>
      <c r="N152" s="717"/>
      <c r="O152" s="717"/>
      <c r="P152" s="717"/>
      <c r="Q152" s="717"/>
      <c r="R152" s="717"/>
    </row>
    <row r="153" spans="2:19" s="57" customFormat="1" ht="12.75" customHeight="1">
      <c r="C153" s="736"/>
      <c r="D153" s="731"/>
      <c r="E153" s="715"/>
      <c r="F153" s="715"/>
      <c r="G153" s="715"/>
      <c r="H153" s="715"/>
      <c r="I153" s="715"/>
      <c r="J153" s="715"/>
      <c r="K153" s="715"/>
      <c r="L153" s="715"/>
      <c r="M153" s="715"/>
      <c r="N153" s="715"/>
      <c r="O153" s="715"/>
      <c r="P153" s="715"/>
      <c r="Q153" s="715"/>
      <c r="R153" s="715"/>
    </row>
    <row r="154" spans="2:19" s="57" customFormat="1" ht="12.75" customHeight="1">
      <c r="D154" s="731"/>
      <c r="E154" s="717"/>
      <c r="F154" s="717"/>
      <c r="G154" s="717"/>
      <c r="H154" s="717"/>
      <c r="I154" s="717"/>
      <c r="J154" s="717"/>
      <c r="K154" s="717"/>
      <c r="L154" s="717"/>
      <c r="M154" s="717"/>
      <c r="N154" s="717"/>
      <c r="O154" s="717"/>
      <c r="P154" s="717"/>
      <c r="Q154" s="717"/>
      <c r="R154" s="717"/>
    </row>
    <row r="155" spans="2:19" s="57" customFormat="1" ht="12.75" customHeight="1">
      <c r="D155" s="731"/>
      <c r="E155" s="717"/>
      <c r="F155" s="717"/>
      <c r="G155" s="717"/>
      <c r="H155" s="717"/>
      <c r="I155" s="717"/>
      <c r="J155" s="717"/>
      <c r="K155" s="717"/>
      <c r="L155" s="717"/>
      <c r="M155" s="717"/>
      <c r="N155" s="717"/>
      <c r="O155" s="717"/>
      <c r="P155" s="717"/>
      <c r="Q155" s="717"/>
      <c r="R155" s="717"/>
    </row>
    <row r="156" spans="2:19" s="57" customFormat="1" ht="12.75" customHeight="1">
      <c r="B156" s="736"/>
      <c r="D156" s="731"/>
      <c r="E156" s="717"/>
      <c r="F156" s="717"/>
      <c r="G156" s="717"/>
      <c r="H156" s="717"/>
      <c r="I156" s="717"/>
      <c r="J156" s="717"/>
      <c r="K156" s="717"/>
      <c r="L156" s="717"/>
      <c r="M156" s="717"/>
      <c r="N156" s="717"/>
      <c r="O156" s="717"/>
      <c r="P156" s="717"/>
      <c r="Q156" s="717"/>
      <c r="R156" s="717"/>
    </row>
    <row r="157" spans="2:19" s="57" customFormat="1" ht="12.75" customHeight="1">
      <c r="D157" s="731"/>
      <c r="E157" s="720"/>
      <c r="F157" s="720"/>
      <c r="G157" s="720"/>
      <c r="H157" s="720"/>
      <c r="I157" s="720"/>
      <c r="J157" s="720"/>
      <c r="K157" s="720"/>
      <c r="L157" s="720"/>
      <c r="M157" s="720"/>
      <c r="N157" s="720"/>
      <c r="O157" s="720"/>
      <c r="P157" s="720"/>
      <c r="Q157" s="720"/>
      <c r="R157" s="720"/>
    </row>
    <row r="158" spans="2:19" s="57" customFormat="1" ht="12.75" customHeight="1">
      <c r="D158" s="731"/>
      <c r="E158" s="720"/>
      <c r="F158" s="720"/>
      <c r="G158" s="720"/>
      <c r="H158" s="720"/>
      <c r="I158" s="720"/>
      <c r="J158" s="720"/>
      <c r="K158" s="720"/>
      <c r="L158" s="720"/>
      <c r="M158" s="720"/>
      <c r="N158" s="720"/>
      <c r="O158" s="720"/>
      <c r="P158" s="720"/>
      <c r="Q158" s="720"/>
      <c r="R158" s="720"/>
    </row>
    <row r="159" spans="2:19" s="57" customFormat="1" ht="12.75" customHeight="1">
      <c r="C159" s="736"/>
      <c r="D159" s="731"/>
      <c r="E159" s="720"/>
      <c r="F159" s="720"/>
      <c r="G159" s="720"/>
      <c r="H159" s="720"/>
      <c r="I159" s="720"/>
      <c r="J159" s="720"/>
      <c r="K159" s="720"/>
      <c r="L159" s="720"/>
      <c r="M159" s="720"/>
      <c r="N159" s="720"/>
      <c r="O159" s="720"/>
      <c r="P159" s="720"/>
      <c r="Q159" s="720"/>
      <c r="R159" s="720"/>
    </row>
    <row r="160" spans="2:19" s="57" customFormat="1" ht="12.75" customHeight="1">
      <c r="D160" s="731"/>
      <c r="E160" s="717"/>
      <c r="F160" s="717"/>
      <c r="G160" s="717"/>
      <c r="H160" s="717"/>
      <c r="I160" s="717"/>
      <c r="J160" s="717"/>
      <c r="K160" s="717"/>
      <c r="L160" s="717"/>
      <c r="M160" s="717"/>
      <c r="N160" s="717"/>
      <c r="O160" s="717"/>
      <c r="P160" s="717"/>
      <c r="Q160" s="717"/>
      <c r="R160" s="717"/>
    </row>
    <row r="161" spans="2:18" s="57" customFormat="1" ht="12.75" customHeight="1">
      <c r="D161" s="731"/>
      <c r="E161" s="717"/>
      <c r="F161" s="717"/>
      <c r="G161" s="717"/>
      <c r="H161" s="717"/>
      <c r="I161" s="717"/>
      <c r="J161" s="717"/>
      <c r="K161" s="717"/>
      <c r="L161" s="717"/>
      <c r="M161" s="717"/>
      <c r="N161" s="717"/>
      <c r="O161" s="717"/>
      <c r="P161" s="717"/>
      <c r="Q161" s="717"/>
      <c r="R161" s="717"/>
    </row>
    <row r="162" spans="2:18" s="57" customFormat="1" ht="12.75" customHeight="1">
      <c r="D162" s="731"/>
      <c r="E162" s="720"/>
      <c r="F162" s="720"/>
      <c r="G162" s="720"/>
      <c r="H162" s="720"/>
      <c r="I162" s="720"/>
      <c r="J162" s="720"/>
      <c r="K162" s="720"/>
      <c r="L162" s="720"/>
      <c r="M162" s="720"/>
      <c r="N162" s="720"/>
      <c r="O162" s="720"/>
      <c r="P162" s="720"/>
      <c r="Q162" s="720"/>
      <c r="R162" s="720"/>
    </row>
    <row r="163" spans="2:18" s="57" customFormat="1" ht="12.75" customHeight="1">
      <c r="C163" s="753"/>
      <c r="D163" s="731"/>
      <c r="E163" s="717"/>
      <c r="F163" s="717"/>
      <c r="G163" s="717"/>
      <c r="H163" s="720"/>
      <c r="I163" s="720"/>
      <c r="J163" s="720"/>
      <c r="K163" s="720"/>
      <c r="L163" s="720"/>
      <c r="M163" s="720"/>
      <c r="N163" s="720"/>
      <c r="O163" s="720"/>
      <c r="P163" s="720"/>
      <c r="Q163" s="720"/>
      <c r="R163" s="720"/>
    </row>
    <row r="164" spans="2:18" s="57" customFormat="1" ht="12.75" customHeight="1">
      <c r="C164" s="734"/>
      <c r="D164" s="731"/>
      <c r="E164" s="727"/>
      <c r="F164" s="727"/>
      <c r="G164" s="727"/>
      <c r="H164" s="727"/>
      <c r="I164" s="727"/>
      <c r="J164" s="727"/>
      <c r="K164" s="727"/>
      <c r="L164" s="727"/>
      <c r="M164" s="727"/>
      <c r="N164" s="727"/>
      <c r="O164" s="727"/>
      <c r="P164" s="727"/>
      <c r="Q164" s="727"/>
      <c r="R164" s="727"/>
    </row>
    <row r="165" spans="2:18" s="57" customFormat="1" ht="12.75" customHeight="1">
      <c r="D165" s="731"/>
      <c r="E165" s="717"/>
      <c r="F165" s="717"/>
      <c r="G165" s="717"/>
      <c r="H165" s="717"/>
      <c r="I165" s="717"/>
      <c r="J165" s="717"/>
      <c r="K165" s="717"/>
      <c r="L165" s="717"/>
      <c r="M165" s="717"/>
      <c r="N165" s="717"/>
      <c r="O165" s="717"/>
      <c r="P165" s="717"/>
      <c r="Q165" s="717"/>
      <c r="R165" s="717"/>
    </row>
    <row r="166" spans="2:18" s="57" customFormat="1" ht="12.75" customHeight="1">
      <c r="D166" s="731"/>
      <c r="E166" s="717"/>
      <c r="F166" s="717"/>
      <c r="G166" s="720"/>
      <c r="H166" s="720"/>
      <c r="I166" s="720"/>
      <c r="J166" s="720"/>
      <c r="K166" s="720"/>
      <c r="L166" s="720"/>
      <c r="M166" s="720"/>
      <c r="N166" s="720"/>
      <c r="O166" s="720"/>
      <c r="P166" s="720"/>
      <c r="Q166" s="720"/>
      <c r="R166" s="720"/>
    </row>
    <row r="167" spans="2:18" s="57" customFormat="1" ht="12.75" customHeight="1">
      <c r="C167" s="734"/>
      <c r="D167" s="731"/>
      <c r="E167" s="720"/>
      <c r="F167" s="720"/>
      <c r="G167" s="720"/>
      <c r="H167" s="720"/>
      <c r="I167" s="720"/>
      <c r="J167" s="720"/>
      <c r="K167" s="720"/>
      <c r="L167" s="720"/>
      <c r="M167" s="720"/>
      <c r="N167" s="720"/>
      <c r="O167" s="720"/>
      <c r="P167" s="720"/>
      <c r="Q167" s="720"/>
      <c r="R167" s="720"/>
    </row>
    <row r="168" spans="2:18" s="57" customFormat="1" ht="12.75" customHeight="1">
      <c r="D168" s="731"/>
      <c r="E168" s="717"/>
      <c r="F168" s="717"/>
      <c r="G168" s="717"/>
      <c r="H168" s="717"/>
      <c r="I168" s="717"/>
      <c r="J168" s="717"/>
      <c r="K168" s="717"/>
      <c r="L168" s="717"/>
      <c r="M168" s="717"/>
      <c r="N168" s="717"/>
      <c r="O168" s="717"/>
      <c r="P168" s="717"/>
      <c r="Q168" s="717"/>
      <c r="R168" s="717"/>
    </row>
    <row r="169" spans="2:18" s="57" customFormat="1" ht="12.75" customHeight="1">
      <c r="B169" s="736"/>
      <c r="D169" s="731"/>
      <c r="E169" s="717"/>
      <c r="F169" s="717"/>
      <c r="G169" s="720"/>
      <c r="H169" s="720"/>
      <c r="I169" s="720"/>
      <c r="J169" s="720"/>
      <c r="K169" s="720"/>
      <c r="L169" s="720"/>
      <c r="M169" s="720"/>
      <c r="N169" s="720"/>
      <c r="O169" s="720"/>
      <c r="P169" s="720"/>
      <c r="Q169" s="720"/>
      <c r="R169" s="717"/>
    </row>
    <row r="170" spans="2:18" s="57" customFormat="1" ht="12.75" customHeight="1">
      <c r="B170" s="736"/>
      <c r="C170" s="753"/>
      <c r="D170" s="731"/>
      <c r="E170" s="717"/>
      <c r="F170" s="717"/>
      <c r="G170" s="720"/>
      <c r="H170" s="720"/>
      <c r="I170" s="720"/>
      <c r="J170" s="720"/>
      <c r="K170" s="720"/>
      <c r="L170" s="720"/>
      <c r="M170" s="720"/>
      <c r="N170" s="720"/>
      <c r="O170" s="720"/>
      <c r="P170" s="720"/>
      <c r="Q170" s="720"/>
      <c r="R170" s="720"/>
    </row>
    <row r="171" spans="2:18" s="57" customFormat="1" ht="12.75" customHeight="1">
      <c r="B171" s="736"/>
      <c r="D171" s="731"/>
      <c r="E171" s="717"/>
      <c r="F171" s="717"/>
      <c r="G171" s="720"/>
      <c r="H171" s="720"/>
      <c r="I171" s="720"/>
      <c r="J171" s="720"/>
      <c r="K171" s="720"/>
      <c r="L171" s="720"/>
      <c r="M171" s="720"/>
      <c r="N171" s="720"/>
      <c r="O171" s="720"/>
      <c r="P171" s="720"/>
      <c r="Q171" s="720"/>
      <c r="R171" s="717"/>
    </row>
    <row r="172" spans="2:18" s="57" customFormat="1" ht="12.75" customHeight="1">
      <c r="B172" s="736"/>
      <c r="C172" s="736"/>
      <c r="D172" s="731"/>
      <c r="E172" s="717"/>
      <c r="F172" s="717"/>
      <c r="G172" s="720"/>
      <c r="H172" s="720"/>
      <c r="I172" s="720"/>
      <c r="J172" s="720"/>
      <c r="K172" s="720"/>
      <c r="L172" s="720"/>
      <c r="M172" s="720"/>
      <c r="N172" s="720"/>
      <c r="O172" s="720"/>
      <c r="P172" s="720"/>
      <c r="Q172" s="720"/>
      <c r="R172" s="720"/>
    </row>
    <row r="173" spans="2:18" s="57" customFormat="1" ht="12.75" customHeight="1">
      <c r="D173" s="731"/>
      <c r="E173" s="717"/>
      <c r="F173" s="717"/>
      <c r="G173" s="717"/>
      <c r="H173" s="717"/>
      <c r="I173" s="717"/>
      <c r="J173" s="717"/>
      <c r="K173" s="717"/>
      <c r="L173" s="717"/>
      <c r="M173" s="717"/>
      <c r="N173" s="717"/>
      <c r="O173" s="717"/>
      <c r="P173" s="717"/>
      <c r="Q173" s="717"/>
      <c r="R173" s="717"/>
    </row>
    <row r="174" spans="2:18" s="736" customFormat="1" ht="12.75" customHeight="1">
      <c r="D174" s="758"/>
      <c r="E174" s="759"/>
      <c r="F174" s="759"/>
      <c r="G174" s="716"/>
      <c r="H174" s="716"/>
      <c r="I174" s="716"/>
      <c r="J174" s="716"/>
      <c r="K174" s="716"/>
      <c r="L174" s="716"/>
      <c r="M174" s="716"/>
      <c r="N174" s="716"/>
      <c r="O174" s="716"/>
      <c r="P174" s="716"/>
      <c r="Q174" s="716"/>
      <c r="R174" s="716"/>
    </row>
    <row r="175" spans="2:18" s="736" customFormat="1" ht="12.75" customHeight="1">
      <c r="D175" s="758"/>
      <c r="E175" s="759"/>
      <c r="F175" s="759"/>
      <c r="G175" s="716"/>
      <c r="H175" s="716"/>
      <c r="I175" s="716"/>
      <c r="J175" s="716"/>
      <c r="K175" s="716"/>
      <c r="L175" s="716"/>
      <c r="M175" s="716"/>
      <c r="N175" s="716"/>
      <c r="O175" s="716"/>
      <c r="P175" s="716"/>
      <c r="Q175" s="716"/>
      <c r="R175" s="759"/>
    </row>
    <row r="176" spans="2:18" s="736" customFormat="1" ht="12.75" customHeight="1">
      <c r="D176" s="758"/>
      <c r="E176" s="759"/>
      <c r="F176" s="759"/>
      <c r="G176" s="716"/>
      <c r="H176" s="716"/>
      <c r="I176" s="716"/>
      <c r="J176" s="716"/>
      <c r="K176" s="716"/>
      <c r="L176" s="716"/>
      <c r="M176" s="716"/>
      <c r="N176" s="716"/>
      <c r="O176" s="716"/>
      <c r="P176" s="716"/>
      <c r="Q176" s="716"/>
      <c r="R176" s="759"/>
    </row>
    <row r="177" spans="2:19" s="736" customFormat="1" ht="12.75" customHeight="1">
      <c r="D177" s="758"/>
      <c r="E177" s="759"/>
      <c r="F177" s="759"/>
      <c r="G177" s="716"/>
      <c r="H177" s="716"/>
      <c r="I177" s="716"/>
      <c r="J177" s="716"/>
      <c r="K177" s="716"/>
      <c r="L177" s="716"/>
      <c r="M177" s="716"/>
      <c r="N177" s="716"/>
      <c r="O177" s="716"/>
      <c r="P177" s="716"/>
      <c r="Q177" s="716"/>
      <c r="R177" s="759"/>
    </row>
    <row r="178" spans="2:19" s="736" customFormat="1" ht="12.75" customHeight="1">
      <c r="B178" s="746"/>
      <c r="D178" s="758"/>
      <c r="E178" s="759"/>
      <c r="F178" s="759"/>
      <c r="G178" s="716"/>
      <c r="H178" s="716"/>
      <c r="I178" s="716"/>
      <c r="J178" s="716"/>
      <c r="K178" s="716"/>
      <c r="L178" s="716"/>
      <c r="M178" s="716"/>
      <c r="N178" s="716"/>
      <c r="O178" s="716"/>
      <c r="P178" s="716"/>
      <c r="Q178" s="716"/>
      <c r="R178" s="759"/>
    </row>
    <row r="179" spans="2:19" s="736" customFormat="1" ht="12.75" customHeight="1">
      <c r="C179" s="760"/>
      <c r="D179" s="758"/>
      <c r="E179" s="761"/>
      <c r="F179" s="761"/>
      <c r="G179" s="761"/>
      <c r="H179" s="761"/>
      <c r="I179" s="761"/>
      <c r="J179" s="761"/>
      <c r="K179" s="761"/>
      <c r="L179" s="761"/>
      <c r="M179" s="761"/>
      <c r="N179" s="761"/>
      <c r="O179" s="761"/>
      <c r="P179" s="761"/>
      <c r="Q179" s="761"/>
      <c r="R179" s="762"/>
    </row>
    <row r="180" spans="2:19" s="736" customFormat="1" ht="12.75" customHeight="1">
      <c r="C180" s="760"/>
      <c r="D180" s="758"/>
      <c r="E180" s="761"/>
      <c r="F180" s="761"/>
      <c r="G180" s="761"/>
      <c r="H180" s="761"/>
      <c r="I180" s="761"/>
      <c r="J180" s="761"/>
      <c r="K180" s="761"/>
      <c r="L180" s="761"/>
      <c r="M180" s="761"/>
      <c r="N180" s="761"/>
      <c r="O180" s="761"/>
      <c r="P180" s="761"/>
      <c r="Q180" s="761"/>
      <c r="R180" s="759"/>
    </row>
    <row r="181" spans="2:19" s="57" customFormat="1" ht="12.75" customHeight="1">
      <c r="D181" s="731"/>
      <c r="E181" s="717"/>
      <c r="F181" s="717"/>
      <c r="G181" s="717"/>
      <c r="H181" s="717"/>
      <c r="I181" s="717"/>
      <c r="J181" s="717"/>
      <c r="K181" s="717"/>
      <c r="L181" s="717"/>
      <c r="M181" s="717"/>
      <c r="N181" s="717"/>
      <c r="O181" s="717"/>
      <c r="P181" s="717"/>
      <c r="Q181" s="717"/>
      <c r="R181" s="717"/>
    </row>
    <row r="182" spans="2:19" s="57" customFormat="1" ht="12.75" customHeight="1">
      <c r="D182" s="731"/>
      <c r="E182" s="717"/>
      <c r="F182" s="717"/>
      <c r="G182" s="717"/>
      <c r="H182" s="717"/>
      <c r="I182" s="717"/>
      <c r="J182" s="717"/>
      <c r="K182" s="717"/>
      <c r="L182" s="717"/>
      <c r="M182" s="717"/>
      <c r="N182" s="717"/>
      <c r="O182" s="717"/>
      <c r="P182" s="717"/>
      <c r="Q182" s="717"/>
      <c r="R182" s="717"/>
    </row>
    <row r="183" spans="2:19" s="57" customFormat="1" ht="12.75" customHeight="1">
      <c r="B183" s="748"/>
      <c r="C183" s="739"/>
      <c r="D183" s="738"/>
      <c r="E183" s="739"/>
      <c r="F183" s="740"/>
      <c r="G183" s="740"/>
      <c r="H183" s="740"/>
      <c r="I183" s="740"/>
      <c r="J183" s="740"/>
      <c r="K183" s="740"/>
      <c r="L183" s="740"/>
      <c r="M183" s="740"/>
      <c r="N183" s="740"/>
      <c r="O183" s="740"/>
      <c r="P183" s="740"/>
      <c r="Q183" s="740"/>
      <c r="R183" s="740"/>
      <c r="S183" s="24"/>
    </row>
    <row r="184" spans="2:19" s="57" customFormat="1" ht="12.75" customHeight="1">
      <c r="B184" s="741"/>
      <c r="C184" s="741"/>
      <c r="D184" s="743"/>
      <c r="E184" s="741"/>
      <c r="F184" s="741"/>
      <c r="G184" s="741"/>
      <c r="H184" s="741"/>
      <c r="I184" s="741"/>
      <c r="J184" s="741"/>
      <c r="K184" s="741"/>
      <c r="L184" s="741"/>
      <c r="M184" s="741"/>
      <c r="N184" s="741"/>
      <c r="O184" s="741"/>
      <c r="P184" s="741"/>
      <c r="Q184" s="741"/>
      <c r="R184" s="741"/>
      <c r="S184" s="45"/>
    </row>
    <row r="185" spans="2:19" s="57" customFormat="1" ht="12.75" customHeight="1">
      <c r="D185" s="693"/>
      <c r="S185" s="47"/>
    </row>
    <row r="186" spans="2:19" s="57" customFormat="1" ht="12.75" customHeight="1">
      <c r="C186" s="757"/>
      <c r="D186" s="693"/>
      <c r="F186" s="694"/>
    </row>
    <row r="187" spans="2:19" s="57" customFormat="1" ht="12.75" customHeight="1">
      <c r="D187" s="693"/>
      <c r="G187" s="68"/>
      <c r="H187" s="68"/>
      <c r="I187" s="68"/>
      <c r="J187" s="68"/>
      <c r="K187" s="68"/>
      <c r="L187" s="68"/>
      <c r="M187" s="68"/>
      <c r="N187" s="68"/>
      <c r="O187" s="68"/>
      <c r="P187" s="68"/>
      <c r="Q187" s="68"/>
      <c r="R187" s="700"/>
    </row>
    <row r="188" spans="2:19" s="57" customFormat="1" ht="12.75" customHeight="1">
      <c r="B188" s="78"/>
      <c r="C188" s="78"/>
      <c r="D188" s="695"/>
      <c r="E188" s="696"/>
      <c r="F188" s="696"/>
      <c r="G188" s="697"/>
      <c r="H188" s="698"/>
      <c r="I188" s="698"/>
      <c r="J188" s="698"/>
      <c r="K188" s="698"/>
      <c r="L188" s="698"/>
      <c r="M188" s="698"/>
      <c r="N188" s="698"/>
      <c r="O188" s="698"/>
      <c r="P188" s="698"/>
      <c r="Q188" s="698"/>
      <c r="R188" s="745"/>
    </row>
    <row r="189" spans="2:19" s="57" customFormat="1" ht="12.75" customHeight="1">
      <c r="D189" s="731"/>
      <c r="E189" s="717"/>
      <c r="F189" s="717"/>
      <c r="G189" s="717"/>
      <c r="H189" s="717"/>
      <c r="I189" s="717"/>
      <c r="J189" s="717"/>
      <c r="K189" s="717"/>
      <c r="L189" s="717"/>
      <c r="M189" s="717"/>
      <c r="N189" s="717"/>
      <c r="O189" s="717"/>
      <c r="P189" s="717"/>
      <c r="Q189" s="717"/>
      <c r="R189" s="717"/>
    </row>
    <row r="190" spans="2:19" s="57" customFormat="1" ht="12.75" customHeight="1">
      <c r="D190" s="731"/>
      <c r="E190" s="720"/>
      <c r="F190" s="720"/>
      <c r="G190" s="720"/>
      <c r="H190" s="720"/>
      <c r="I190" s="720"/>
      <c r="J190" s="720"/>
      <c r="K190" s="720"/>
      <c r="L190" s="720"/>
      <c r="M190" s="720"/>
      <c r="N190" s="720"/>
      <c r="O190" s="720"/>
      <c r="P190" s="720"/>
      <c r="Q190" s="720"/>
      <c r="R190" s="720"/>
    </row>
    <row r="191" spans="2:19" s="57" customFormat="1" ht="12.75" customHeight="1">
      <c r="D191" s="731"/>
      <c r="E191" s="717"/>
      <c r="F191" s="717"/>
      <c r="G191" s="720"/>
      <c r="H191" s="720"/>
      <c r="I191" s="720"/>
      <c r="J191" s="720"/>
      <c r="K191" s="720"/>
      <c r="L191" s="720"/>
      <c r="M191" s="720"/>
      <c r="N191" s="720"/>
      <c r="O191" s="720"/>
      <c r="P191" s="720"/>
      <c r="Q191" s="720"/>
      <c r="R191" s="720"/>
    </row>
    <row r="192" spans="2:19" s="57" customFormat="1" ht="12.75" customHeight="1">
      <c r="D192" s="731"/>
      <c r="E192" s="717"/>
      <c r="F192" s="717"/>
      <c r="G192" s="720"/>
      <c r="H192" s="720"/>
      <c r="I192" s="720"/>
      <c r="J192" s="720"/>
      <c r="K192" s="720"/>
      <c r="L192" s="720"/>
      <c r="M192" s="720"/>
      <c r="N192" s="720"/>
      <c r="O192" s="720"/>
      <c r="P192" s="720"/>
      <c r="Q192" s="720"/>
      <c r="R192" s="717"/>
    </row>
    <row r="193" spans="1:19" s="736" customFormat="1" ht="12.75" customHeight="1">
      <c r="A193" s="57"/>
      <c r="B193" s="57"/>
      <c r="D193" s="731"/>
      <c r="E193" s="717"/>
      <c r="F193" s="717"/>
      <c r="G193" s="727"/>
      <c r="H193" s="727"/>
      <c r="I193" s="727"/>
      <c r="J193" s="727"/>
      <c r="K193" s="727"/>
      <c r="L193" s="727"/>
      <c r="M193" s="727"/>
      <c r="N193" s="727"/>
      <c r="O193" s="727"/>
      <c r="P193" s="727"/>
      <c r="Q193" s="727"/>
      <c r="R193" s="727"/>
    </row>
    <row r="194" spans="1:19" s="736" customFormat="1" ht="12.75" customHeight="1">
      <c r="A194" s="57"/>
      <c r="B194" s="57"/>
      <c r="D194" s="731"/>
      <c r="E194" s="717"/>
      <c r="F194" s="717"/>
      <c r="G194" s="727"/>
      <c r="H194" s="727"/>
      <c r="I194" s="727"/>
      <c r="J194" s="727"/>
      <c r="K194" s="727"/>
      <c r="L194" s="727"/>
      <c r="M194" s="727"/>
      <c r="N194" s="727"/>
      <c r="O194" s="727"/>
      <c r="P194" s="727"/>
      <c r="Q194" s="727"/>
      <c r="R194" s="727"/>
    </row>
    <row r="195" spans="1:19" s="57" customFormat="1" ht="12.75" customHeight="1">
      <c r="D195" s="731"/>
      <c r="E195" s="717"/>
      <c r="F195" s="717"/>
      <c r="G195" s="720"/>
      <c r="H195" s="720"/>
      <c r="I195" s="720"/>
      <c r="J195" s="720"/>
      <c r="K195" s="720"/>
      <c r="L195" s="720"/>
      <c r="M195" s="720"/>
      <c r="N195" s="720"/>
      <c r="O195" s="720"/>
      <c r="P195" s="720"/>
      <c r="Q195" s="720"/>
      <c r="R195" s="720"/>
    </row>
    <row r="196" spans="1:19" s="57" customFormat="1" ht="12.75" customHeight="1">
      <c r="D196" s="731"/>
      <c r="E196" s="717"/>
      <c r="F196" s="717"/>
      <c r="G196" s="720"/>
      <c r="H196" s="720"/>
      <c r="I196" s="720"/>
      <c r="J196" s="720"/>
      <c r="K196" s="720"/>
      <c r="L196" s="720"/>
      <c r="M196" s="720"/>
      <c r="N196" s="720"/>
      <c r="O196" s="720"/>
      <c r="P196" s="720"/>
      <c r="Q196" s="720"/>
      <c r="R196" s="720"/>
    </row>
    <row r="197" spans="1:19" s="57" customFormat="1" ht="12.75" customHeight="1">
      <c r="C197" s="736"/>
      <c r="D197" s="731"/>
      <c r="E197" s="717"/>
      <c r="F197" s="717"/>
      <c r="G197" s="727"/>
      <c r="H197" s="727"/>
      <c r="I197" s="727"/>
      <c r="J197" s="727"/>
      <c r="K197" s="727"/>
      <c r="L197" s="727"/>
      <c r="M197" s="727"/>
      <c r="N197" s="727"/>
      <c r="O197" s="727"/>
      <c r="P197" s="727"/>
      <c r="Q197" s="727"/>
      <c r="R197" s="727"/>
    </row>
    <row r="198" spans="1:19" s="57" customFormat="1" ht="12.75" customHeight="1">
      <c r="D198" s="731"/>
      <c r="E198" s="717"/>
      <c r="F198" s="717"/>
      <c r="G198" s="717"/>
      <c r="H198" s="717"/>
      <c r="I198" s="717"/>
      <c r="J198" s="717"/>
      <c r="K198" s="717"/>
      <c r="L198" s="717"/>
      <c r="M198" s="717"/>
      <c r="N198" s="717"/>
      <c r="O198" s="717"/>
      <c r="P198" s="717"/>
      <c r="Q198" s="717"/>
      <c r="R198" s="720"/>
    </row>
    <row r="199" spans="1:19" s="57" customFormat="1" ht="12.75" customHeight="1">
      <c r="C199" s="736"/>
      <c r="D199" s="731"/>
      <c r="E199" s="717"/>
      <c r="F199" s="717"/>
      <c r="G199" s="717"/>
      <c r="H199" s="717"/>
      <c r="I199" s="717"/>
      <c r="J199" s="717"/>
      <c r="K199" s="717"/>
      <c r="L199" s="717"/>
      <c r="M199" s="717"/>
      <c r="N199" s="717"/>
      <c r="O199" s="717"/>
      <c r="P199" s="717"/>
      <c r="Q199" s="717"/>
      <c r="R199" s="717"/>
    </row>
    <row r="200" spans="1:19" s="57" customFormat="1" ht="12.75" customHeight="1"/>
    <row r="201" spans="1:19" s="57" customFormat="1" ht="12.75" customHeight="1"/>
    <row r="202" spans="1:19" s="57" customFormat="1" ht="12.75" customHeight="1">
      <c r="B202" s="748"/>
      <c r="C202" s="739"/>
      <c r="D202" s="738"/>
      <c r="E202" s="739"/>
      <c r="F202" s="740"/>
      <c r="G202" s="740"/>
      <c r="H202" s="740"/>
      <c r="I202" s="740"/>
      <c r="J202" s="740"/>
      <c r="K202" s="740"/>
      <c r="L202" s="740"/>
      <c r="M202" s="740"/>
      <c r="N202" s="740"/>
      <c r="O202" s="740"/>
      <c r="P202" s="740"/>
      <c r="Q202" s="740"/>
      <c r="R202" s="24"/>
      <c r="S202" s="24"/>
    </row>
    <row r="203" spans="1:19" s="57" customFormat="1" ht="12.75" customHeight="1">
      <c r="B203" s="741"/>
      <c r="C203" s="741"/>
      <c r="D203" s="743"/>
      <c r="E203" s="741"/>
      <c r="F203" s="741"/>
      <c r="G203" s="741"/>
      <c r="H203" s="741"/>
      <c r="I203" s="741"/>
      <c r="J203" s="741"/>
      <c r="K203" s="741"/>
      <c r="L203" s="741"/>
      <c r="M203" s="741"/>
      <c r="N203" s="741"/>
      <c r="O203" s="741"/>
      <c r="P203" s="741"/>
      <c r="Q203" s="741"/>
      <c r="R203" s="45"/>
      <c r="S203" s="45"/>
    </row>
    <row r="204" spans="1:19" s="57" customFormat="1" ht="12.75" customHeight="1">
      <c r="D204" s="693"/>
      <c r="R204" s="47"/>
      <c r="S204" s="47"/>
    </row>
    <row r="205" spans="1:19" s="57" customFormat="1" ht="12.75" customHeight="1">
      <c r="C205" s="757"/>
      <c r="D205" s="693"/>
      <c r="F205" s="694"/>
    </row>
    <row r="206" spans="1:19" s="57" customFormat="1" ht="12.75" customHeight="1">
      <c r="D206" s="693"/>
      <c r="G206" s="68"/>
      <c r="H206" s="68"/>
      <c r="I206" s="68"/>
      <c r="J206" s="68"/>
      <c r="K206" s="68"/>
      <c r="L206" s="68"/>
      <c r="M206" s="68"/>
      <c r="N206" s="68"/>
      <c r="O206" s="68"/>
      <c r="P206" s="68"/>
      <c r="Q206" s="68"/>
      <c r="R206" s="700"/>
    </row>
    <row r="207" spans="1:19" s="57" customFormat="1" ht="12.75" customHeight="1">
      <c r="B207" s="78"/>
      <c r="C207" s="78"/>
      <c r="D207" s="695"/>
      <c r="E207" s="696"/>
      <c r="F207" s="696"/>
      <c r="G207" s="697"/>
      <c r="H207" s="698"/>
      <c r="I207" s="698"/>
      <c r="J207" s="698"/>
      <c r="K207" s="698"/>
      <c r="L207" s="698"/>
      <c r="M207" s="698"/>
      <c r="N207" s="698"/>
      <c r="O207" s="698"/>
      <c r="P207" s="698"/>
      <c r="Q207" s="698"/>
      <c r="R207" s="745"/>
    </row>
    <row r="208" spans="1:19" s="57" customFormat="1" ht="12.75" customHeight="1">
      <c r="D208" s="731"/>
      <c r="E208" s="717"/>
      <c r="F208" s="717"/>
      <c r="G208" s="717"/>
      <c r="H208" s="717"/>
      <c r="I208" s="717"/>
      <c r="J208" s="717"/>
      <c r="K208" s="717"/>
      <c r="L208" s="717"/>
      <c r="M208" s="717"/>
      <c r="N208" s="717"/>
      <c r="O208" s="717"/>
      <c r="P208" s="717"/>
      <c r="Q208" s="717"/>
      <c r="R208" s="717"/>
    </row>
    <row r="209" spans="2:18" s="57" customFormat="1" ht="12.75" customHeight="1">
      <c r="C209" s="753"/>
      <c r="D209" s="763"/>
      <c r="E209" s="717"/>
      <c r="F209" s="717"/>
      <c r="G209" s="720"/>
      <c r="H209" s="720"/>
      <c r="I209" s="720"/>
      <c r="J209" s="720"/>
      <c r="K209" s="720"/>
      <c r="L209" s="720"/>
      <c r="M209" s="720"/>
      <c r="N209" s="720"/>
      <c r="O209" s="720"/>
      <c r="P209" s="720"/>
      <c r="Q209" s="720"/>
      <c r="R209" s="717"/>
    </row>
    <row r="210" spans="2:18" s="57" customFormat="1" ht="12.75" customHeight="1">
      <c r="D210" s="731"/>
      <c r="E210" s="717"/>
      <c r="F210" s="717"/>
      <c r="G210" s="717"/>
      <c r="H210" s="717"/>
      <c r="I210" s="717"/>
      <c r="J210" s="717"/>
      <c r="K210" s="717"/>
      <c r="L210" s="717"/>
      <c r="M210" s="717"/>
      <c r="N210" s="717"/>
      <c r="O210" s="717"/>
      <c r="P210" s="717"/>
      <c r="Q210" s="717"/>
      <c r="R210" s="717"/>
    </row>
    <row r="211" spans="2:18" s="57" customFormat="1" ht="12.75" customHeight="1">
      <c r="D211" s="731"/>
      <c r="E211" s="717"/>
      <c r="F211" s="717"/>
      <c r="G211" s="720"/>
      <c r="H211" s="720"/>
      <c r="I211" s="720"/>
      <c r="J211" s="720"/>
      <c r="K211" s="720"/>
      <c r="L211" s="720"/>
      <c r="M211" s="720"/>
      <c r="N211" s="720"/>
      <c r="O211" s="720"/>
      <c r="P211" s="720"/>
      <c r="Q211" s="720"/>
      <c r="R211" s="717"/>
    </row>
    <row r="212" spans="2:18" s="57" customFormat="1" ht="12.75" customHeight="1">
      <c r="D212" s="731"/>
      <c r="E212" s="717"/>
      <c r="F212" s="717"/>
      <c r="G212" s="720"/>
      <c r="H212" s="720"/>
      <c r="I212" s="720"/>
      <c r="J212" s="720"/>
      <c r="K212" s="720"/>
      <c r="L212" s="720"/>
      <c r="M212" s="720"/>
      <c r="N212" s="720"/>
      <c r="O212" s="720"/>
      <c r="P212" s="720"/>
      <c r="Q212" s="720"/>
      <c r="R212" s="717"/>
    </row>
    <row r="213" spans="2:18" s="57" customFormat="1" ht="12.75" customHeight="1">
      <c r="D213" s="731"/>
      <c r="E213" s="717"/>
      <c r="F213" s="717"/>
      <c r="G213" s="720"/>
      <c r="H213" s="720"/>
      <c r="I213" s="720"/>
      <c r="J213" s="720"/>
      <c r="K213" s="720"/>
      <c r="L213" s="720"/>
      <c r="M213" s="720"/>
      <c r="N213" s="720"/>
      <c r="O213" s="720"/>
      <c r="P213" s="720"/>
      <c r="Q213" s="720"/>
      <c r="R213" s="717"/>
    </row>
    <row r="214" spans="2:18" s="57" customFormat="1" ht="12.75" customHeight="1">
      <c r="D214" s="731"/>
      <c r="E214" s="717"/>
      <c r="F214" s="717"/>
      <c r="G214" s="717"/>
      <c r="H214" s="717"/>
      <c r="I214" s="717"/>
      <c r="J214" s="717"/>
      <c r="K214" s="717"/>
      <c r="L214" s="717"/>
      <c r="M214" s="717"/>
      <c r="N214" s="717"/>
      <c r="O214" s="717"/>
      <c r="P214" s="717"/>
      <c r="Q214" s="717"/>
      <c r="R214" s="717"/>
    </row>
    <row r="215" spans="2:18" s="57" customFormat="1" ht="12.75" customHeight="1">
      <c r="B215" s="736"/>
      <c r="D215" s="731"/>
      <c r="E215" s="717"/>
      <c r="F215" s="717"/>
      <c r="G215" s="717"/>
      <c r="H215" s="717"/>
      <c r="I215" s="717"/>
      <c r="J215" s="717"/>
      <c r="K215" s="717"/>
      <c r="L215" s="717"/>
      <c r="M215" s="717"/>
      <c r="N215" s="717"/>
      <c r="O215" s="717"/>
      <c r="P215" s="717"/>
      <c r="Q215" s="717"/>
      <c r="R215" s="717"/>
    </row>
    <row r="216" spans="2:18" s="57" customFormat="1" ht="12.75" customHeight="1">
      <c r="C216" s="753"/>
      <c r="D216" s="731"/>
      <c r="E216" s="717"/>
      <c r="F216" s="717"/>
      <c r="G216" s="717"/>
      <c r="H216" s="720"/>
      <c r="I216" s="720"/>
      <c r="J216" s="720"/>
      <c r="K216" s="720"/>
      <c r="L216" s="720"/>
      <c r="M216" s="720"/>
      <c r="N216" s="720"/>
      <c r="O216" s="720"/>
      <c r="P216" s="720"/>
      <c r="Q216" s="720"/>
      <c r="R216" s="717"/>
    </row>
    <row r="217" spans="2:18" s="57" customFormat="1" ht="12.75" customHeight="1">
      <c r="C217" s="753"/>
      <c r="D217" s="731"/>
      <c r="E217" s="717"/>
      <c r="F217" s="717"/>
      <c r="G217" s="720"/>
      <c r="H217" s="720"/>
      <c r="I217" s="720"/>
      <c r="J217" s="720"/>
      <c r="K217" s="720"/>
      <c r="L217" s="720"/>
      <c r="M217" s="720"/>
      <c r="N217" s="720"/>
      <c r="O217" s="720"/>
      <c r="P217" s="720"/>
      <c r="Q217" s="720"/>
      <c r="R217" s="717"/>
    </row>
    <row r="218" spans="2:18" s="57" customFormat="1" ht="12.75" customHeight="1">
      <c r="C218" s="753"/>
      <c r="D218" s="731"/>
      <c r="E218" s="717"/>
      <c r="F218" s="717"/>
      <c r="G218" s="720"/>
      <c r="H218" s="720"/>
      <c r="I218" s="720"/>
      <c r="J218" s="720"/>
      <c r="K218" s="720"/>
      <c r="L218" s="720"/>
      <c r="M218" s="720"/>
      <c r="N218" s="720"/>
      <c r="O218" s="720"/>
      <c r="P218" s="720"/>
      <c r="Q218" s="720"/>
      <c r="R218" s="717"/>
    </row>
    <row r="219" spans="2:18" s="57" customFormat="1" ht="12.75" customHeight="1">
      <c r="D219" s="731"/>
      <c r="E219" s="717"/>
      <c r="F219" s="717"/>
      <c r="G219" s="717"/>
      <c r="H219" s="717"/>
      <c r="I219" s="717"/>
      <c r="J219" s="717"/>
      <c r="K219" s="717"/>
      <c r="L219" s="717"/>
      <c r="M219" s="717"/>
      <c r="N219" s="717"/>
      <c r="O219" s="717"/>
      <c r="P219" s="717"/>
      <c r="Q219" s="717"/>
      <c r="R219" s="717"/>
    </row>
    <row r="220" spans="2:18" s="57" customFormat="1" ht="12.75" customHeight="1">
      <c r="C220" s="753"/>
      <c r="D220" s="731"/>
      <c r="E220" s="717"/>
      <c r="F220" s="717"/>
      <c r="G220" s="717"/>
      <c r="H220" s="720"/>
      <c r="I220" s="720"/>
      <c r="J220" s="720"/>
      <c r="K220" s="720"/>
      <c r="L220" s="720"/>
      <c r="M220" s="720"/>
      <c r="N220" s="720"/>
      <c r="O220" s="720"/>
      <c r="P220" s="720"/>
      <c r="Q220" s="720"/>
      <c r="R220" s="717"/>
    </row>
    <row r="221" spans="2:18" s="57" customFormat="1" ht="12.75" customHeight="1">
      <c r="C221" s="753"/>
      <c r="D221" s="731"/>
      <c r="E221" s="717"/>
      <c r="F221" s="717"/>
      <c r="G221" s="720"/>
      <c r="H221" s="720"/>
      <c r="I221" s="720"/>
      <c r="J221" s="720"/>
      <c r="K221" s="720"/>
      <c r="L221" s="720"/>
      <c r="M221" s="720"/>
      <c r="N221" s="720"/>
      <c r="O221" s="720"/>
      <c r="P221" s="720"/>
      <c r="Q221" s="720"/>
      <c r="R221" s="717"/>
    </row>
    <row r="222" spans="2:18" s="57" customFormat="1" ht="12.75" customHeight="1">
      <c r="C222" s="753"/>
      <c r="D222" s="731"/>
      <c r="E222" s="717"/>
      <c r="F222" s="717"/>
      <c r="G222" s="720"/>
      <c r="H222" s="720"/>
      <c r="I222" s="720"/>
      <c r="J222" s="720"/>
      <c r="K222" s="720"/>
      <c r="L222" s="720"/>
      <c r="M222" s="720"/>
      <c r="N222" s="720"/>
      <c r="O222" s="720"/>
      <c r="P222" s="720"/>
      <c r="Q222" s="720"/>
      <c r="R222" s="717"/>
    </row>
    <row r="223" spans="2:18" s="57" customFormat="1" ht="12.75" customHeight="1">
      <c r="C223" s="753"/>
      <c r="D223" s="731"/>
      <c r="E223" s="717"/>
      <c r="F223" s="717"/>
      <c r="G223" s="720"/>
      <c r="H223" s="720"/>
      <c r="I223" s="720"/>
      <c r="J223" s="720"/>
      <c r="K223" s="720"/>
      <c r="L223" s="720"/>
      <c r="M223" s="720"/>
      <c r="N223" s="720"/>
      <c r="O223" s="720"/>
      <c r="P223" s="720"/>
      <c r="Q223" s="720"/>
      <c r="R223" s="717"/>
    </row>
    <row r="224" spans="2:18" s="57" customFormat="1" ht="12.75" customHeight="1">
      <c r="C224" s="753"/>
      <c r="D224" s="731"/>
      <c r="E224" s="717"/>
      <c r="F224" s="717"/>
      <c r="G224" s="720"/>
      <c r="H224" s="720"/>
      <c r="I224" s="720"/>
      <c r="J224" s="720"/>
      <c r="K224" s="720"/>
      <c r="L224" s="720"/>
      <c r="M224" s="720"/>
      <c r="N224" s="720"/>
      <c r="O224" s="720"/>
      <c r="P224" s="720"/>
      <c r="Q224" s="720"/>
      <c r="R224" s="717"/>
    </row>
    <row r="225" spans="2:18" s="57" customFormat="1" ht="12.75" customHeight="1">
      <c r="D225" s="731"/>
      <c r="E225" s="717"/>
      <c r="F225" s="717"/>
      <c r="G225" s="717"/>
      <c r="H225" s="717"/>
      <c r="I225" s="717"/>
      <c r="J225" s="717"/>
      <c r="K225" s="717"/>
      <c r="L225" s="717"/>
      <c r="M225" s="717"/>
      <c r="N225" s="717"/>
      <c r="O225" s="717"/>
      <c r="P225" s="717"/>
      <c r="Q225" s="717"/>
      <c r="R225" s="717"/>
    </row>
    <row r="226" spans="2:18" s="57" customFormat="1" ht="12.75" customHeight="1">
      <c r="D226" s="731"/>
      <c r="E226" s="717"/>
      <c r="F226" s="717"/>
      <c r="G226" s="717"/>
      <c r="H226" s="717"/>
      <c r="I226" s="717"/>
      <c r="J226" s="717"/>
      <c r="K226" s="717"/>
      <c r="L226" s="717"/>
      <c r="M226" s="717"/>
      <c r="N226" s="717"/>
      <c r="O226" s="717"/>
      <c r="P226" s="717"/>
      <c r="Q226" s="717"/>
      <c r="R226" s="717"/>
    </row>
    <row r="227" spans="2:18" s="57" customFormat="1" ht="12.75" customHeight="1">
      <c r="B227" s="734"/>
      <c r="D227" s="763"/>
      <c r="E227" s="717"/>
      <c r="F227" s="717"/>
      <c r="G227" s="727"/>
      <c r="H227" s="727"/>
      <c r="I227" s="727"/>
      <c r="J227" s="727"/>
      <c r="K227" s="727"/>
      <c r="L227" s="727"/>
      <c r="M227" s="727"/>
      <c r="N227" s="727"/>
      <c r="O227" s="727"/>
      <c r="P227" s="727"/>
      <c r="Q227" s="727"/>
      <c r="R227" s="717"/>
    </row>
    <row r="228" spans="2:18" s="57" customFormat="1" ht="12.75" customHeight="1">
      <c r="D228" s="731"/>
      <c r="E228" s="717"/>
      <c r="F228" s="717"/>
      <c r="G228" s="717"/>
      <c r="H228" s="717"/>
      <c r="I228" s="717"/>
      <c r="J228" s="717"/>
      <c r="K228" s="717"/>
      <c r="L228" s="717"/>
      <c r="M228" s="717"/>
      <c r="N228" s="717"/>
      <c r="O228" s="717"/>
      <c r="P228" s="717"/>
      <c r="Q228" s="717"/>
      <c r="R228" s="717"/>
    </row>
    <row r="229" spans="2:18" s="57" customFormat="1" ht="12.75" customHeight="1">
      <c r="D229" s="183"/>
      <c r="E229" s="183"/>
      <c r="F229" s="717"/>
      <c r="G229" s="720"/>
      <c r="H229" s="720"/>
      <c r="I229" s="720"/>
      <c r="J229" s="720"/>
      <c r="K229" s="720"/>
      <c r="L229" s="720"/>
      <c r="M229" s="720"/>
      <c r="N229" s="720"/>
      <c r="O229" s="720"/>
      <c r="P229" s="720"/>
      <c r="Q229" s="720"/>
      <c r="R229" s="717"/>
    </row>
    <row r="230" spans="2:18" s="57" customFormat="1" ht="12.75" customHeight="1">
      <c r="D230" s="731"/>
      <c r="E230" s="717"/>
      <c r="F230" s="717"/>
      <c r="G230" s="717"/>
      <c r="H230" s="717"/>
      <c r="I230" s="717"/>
      <c r="J230" s="717"/>
      <c r="K230" s="717"/>
      <c r="L230" s="717"/>
      <c r="M230" s="717"/>
      <c r="N230" s="717"/>
      <c r="O230" s="717"/>
      <c r="P230" s="717"/>
      <c r="Q230" s="717"/>
      <c r="R230" s="717"/>
    </row>
    <row r="231" spans="2:18" s="57" customFormat="1" ht="12.75" customHeight="1">
      <c r="C231" s="753"/>
      <c r="D231" s="731"/>
      <c r="E231" s="717"/>
      <c r="F231" s="717"/>
      <c r="G231" s="720"/>
      <c r="H231" s="720"/>
      <c r="I231" s="720"/>
      <c r="J231" s="720"/>
      <c r="K231" s="720"/>
      <c r="L231" s="720"/>
      <c r="M231" s="720"/>
      <c r="N231" s="720"/>
      <c r="O231" s="720"/>
      <c r="P231" s="720"/>
      <c r="Q231" s="720"/>
      <c r="R231" s="717"/>
    </row>
    <row r="232" spans="2:18" s="57" customFormat="1" ht="12.75" customHeight="1">
      <c r="C232" s="753"/>
      <c r="D232" s="731"/>
      <c r="E232" s="717"/>
      <c r="F232" s="717"/>
      <c r="G232" s="720"/>
      <c r="H232" s="720"/>
      <c r="I232" s="720"/>
      <c r="J232" s="720"/>
      <c r="K232" s="720"/>
      <c r="L232" s="720"/>
      <c r="M232" s="720"/>
      <c r="N232" s="720"/>
      <c r="O232" s="720"/>
      <c r="P232" s="720"/>
      <c r="Q232" s="720"/>
      <c r="R232" s="717"/>
    </row>
    <row r="233" spans="2:18" s="57" customFormat="1" ht="12.75" customHeight="1">
      <c r="D233" s="731"/>
      <c r="E233" s="717"/>
      <c r="F233" s="717"/>
      <c r="G233" s="720"/>
      <c r="H233" s="720"/>
      <c r="I233" s="720"/>
      <c r="J233" s="720"/>
      <c r="K233" s="720"/>
      <c r="L233" s="720"/>
      <c r="M233" s="720"/>
      <c r="N233" s="720"/>
      <c r="O233" s="720"/>
      <c r="P233" s="720"/>
      <c r="Q233" s="720"/>
      <c r="R233" s="717"/>
    </row>
    <row r="234" spans="2:18" s="57" customFormat="1" ht="12.75" customHeight="1">
      <c r="D234" s="731"/>
      <c r="E234" s="717"/>
      <c r="F234" s="717"/>
      <c r="G234" s="717"/>
      <c r="H234" s="717"/>
      <c r="I234" s="717"/>
      <c r="J234" s="717"/>
      <c r="K234" s="717"/>
      <c r="L234" s="717"/>
      <c r="M234" s="717"/>
      <c r="N234" s="717"/>
      <c r="O234" s="717"/>
      <c r="P234" s="717"/>
      <c r="Q234" s="717"/>
      <c r="R234" s="717"/>
    </row>
    <row r="235" spans="2:18" s="57" customFormat="1" ht="12.75" customHeight="1">
      <c r="D235" s="764"/>
      <c r="E235" s="717"/>
      <c r="F235" s="717"/>
      <c r="G235" s="717"/>
      <c r="H235" s="717"/>
      <c r="I235" s="717"/>
      <c r="J235" s="717"/>
      <c r="K235" s="717"/>
      <c r="L235" s="717"/>
      <c r="M235" s="717"/>
      <c r="N235" s="717"/>
      <c r="O235" s="717"/>
      <c r="P235" s="717"/>
      <c r="Q235" s="717"/>
      <c r="R235" s="717"/>
    </row>
    <row r="236" spans="2:18" s="57" customFormat="1" ht="12.75" customHeight="1">
      <c r="D236" s="720"/>
      <c r="E236" s="717"/>
      <c r="F236" s="717"/>
      <c r="G236" s="697"/>
      <c r="H236" s="698"/>
      <c r="I236" s="698"/>
      <c r="J236" s="698"/>
      <c r="K236" s="698"/>
      <c r="L236" s="698"/>
      <c r="M236" s="698"/>
      <c r="N236" s="698"/>
      <c r="O236" s="698"/>
      <c r="P236" s="698"/>
      <c r="Q236" s="698"/>
      <c r="R236" s="717"/>
    </row>
    <row r="237" spans="2:18" s="57" customFormat="1" ht="12.75" customHeight="1">
      <c r="D237" s="266"/>
      <c r="E237" s="717"/>
      <c r="F237" s="717"/>
      <c r="G237" s="697"/>
      <c r="H237" s="698"/>
      <c r="I237" s="698"/>
      <c r="J237" s="698"/>
      <c r="K237" s="698"/>
      <c r="L237" s="698"/>
      <c r="M237" s="698"/>
      <c r="N237" s="698"/>
      <c r="O237" s="698"/>
      <c r="P237" s="698"/>
      <c r="Q237" s="698"/>
      <c r="R237" s="717"/>
    </row>
    <row r="238" spans="2:18" s="57" customFormat="1" ht="12.75" customHeight="1">
      <c r="D238" s="720"/>
      <c r="E238" s="717"/>
      <c r="F238" s="717"/>
      <c r="G238" s="717"/>
      <c r="H238" s="765"/>
      <c r="I238" s="765"/>
      <c r="J238" s="765"/>
      <c r="K238" s="765"/>
      <c r="L238" s="765"/>
      <c r="M238" s="765"/>
      <c r="N238" s="765"/>
      <c r="O238" s="765"/>
      <c r="P238" s="765"/>
      <c r="Q238" s="765"/>
      <c r="R238" s="717"/>
    </row>
    <row r="239" spans="2:18" s="57" customFormat="1" ht="12.75" customHeight="1">
      <c r="D239" s="720"/>
      <c r="E239" s="717"/>
      <c r="F239" s="717"/>
      <c r="G239" s="720"/>
      <c r="H239" s="720"/>
      <c r="I239" s="720"/>
      <c r="J239" s="720"/>
      <c r="K239" s="720"/>
      <c r="L239" s="720"/>
      <c r="M239" s="720"/>
      <c r="N239" s="720"/>
      <c r="O239" s="720"/>
      <c r="P239" s="720"/>
      <c r="Q239" s="720"/>
      <c r="R239" s="717"/>
    </row>
    <row r="240" spans="2:18" s="57" customFormat="1" ht="12.75" customHeight="1">
      <c r="D240" s="720"/>
      <c r="E240" s="717"/>
      <c r="F240" s="717"/>
      <c r="G240" s="720"/>
      <c r="H240" s="720"/>
      <c r="I240" s="720"/>
      <c r="J240" s="720"/>
      <c r="K240" s="720"/>
      <c r="L240" s="720"/>
      <c r="M240" s="720"/>
      <c r="N240" s="720"/>
      <c r="O240" s="720"/>
      <c r="P240" s="720"/>
      <c r="Q240" s="720"/>
      <c r="R240" s="717"/>
    </row>
    <row r="241" spans="1:256" s="57" customFormat="1" ht="12.75" customHeight="1">
      <c r="D241" s="720"/>
      <c r="E241" s="717"/>
      <c r="F241" s="717"/>
      <c r="G241" s="720"/>
      <c r="H241" s="720"/>
      <c r="I241" s="720"/>
      <c r="J241" s="720"/>
      <c r="K241" s="720"/>
      <c r="L241" s="720"/>
      <c r="M241" s="720"/>
      <c r="N241" s="720"/>
      <c r="O241" s="720"/>
      <c r="P241" s="720"/>
      <c r="Q241" s="720"/>
      <c r="R241" s="717"/>
    </row>
    <row r="242" spans="1:256" s="57" customFormat="1" ht="12.75" customHeight="1">
      <c r="D242" s="766"/>
      <c r="E242" s="717"/>
      <c r="F242" s="717"/>
      <c r="G242" s="720"/>
      <c r="H242" s="720"/>
      <c r="I242" s="720"/>
      <c r="J242" s="720"/>
      <c r="K242" s="720"/>
      <c r="L242" s="720"/>
      <c r="M242" s="720"/>
      <c r="N242" s="720"/>
      <c r="O242" s="720"/>
      <c r="P242" s="720"/>
      <c r="Q242" s="720"/>
      <c r="R242" s="717"/>
    </row>
    <row r="243" spans="1:256" s="57" customFormat="1" ht="12.75" customHeight="1">
      <c r="D243" s="727"/>
      <c r="E243" s="759"/>
      <c r="F243" s="759"/>
      <c r="G243" s="767"/>
      <c r="H243" s="727"/>
      <c r="I243" s="727"/>
      <c r="J243" s="727"/>
      <c r="K243" s="727"/>
      <c r="L243" s="727"/>
      <c r="M243" s="727"/>
      <c r="N243" s="727"/>
      <c r="O243" s="727"/>
      <c r="P243" s="727"/>
      <c r="Q243" s="727"/>
      <c r="R243" s="717"/>
    </row>
    <row r="244" spans="1:256" s="57" customFormat="1" ht="12.75" customHeight="1">
      <c r="D244" s="731"/>
      <c r="E244" s="717"/>
      <c r="F244" s="717"/>
      <c r="G244" s="717"/>
      <c r="H244" s="717"/>
      <c r="I244" s="717"/>
      <c r="J244" s="717"/>
      <c r="K244" s="717"/>
      <c r="L244" s="717"/>
      <c r="M244" s="717"/>
      <c r="N244" s="717"/>
      <c r="O244" s="717"/>
      <c r="P244" s="717"/>
      <c r="Q244" s="717"/>
      <c r="R244" s="717"/>
    </row>
    <row r="245" spans="1:256" s="57" customFormat="1" ht="12.75" customHeight="1"/>
    <row r="246" spans="1:256" s="57" customFormat="1" ht="12.75" customHeight="1"/>
    <row r="247" spans="1:256" s="57" customFormat="1" ht="12.75" customHeight="1">
      <c r="B247" s="748"/>
      <c r="C247" s="739"/>
      <c r="D247" s="738"/>
      <c r="E247" s="739"/>
      <c r="F247" s="740"/>
      <c r="G247" s="740"/>
      <c r="H247" s="740"/>
      <c r="I247" s="740"/>
      <c r="J247" s="740"/>
      <c r="K247" s="740"/>
      <c r="L247" s="740"/>
      <c r="M247" s="740"/>
      <c r="N247" s="740"/>
      <c r="O247" s="740"/>
      <c r="P247" s="740"/>
      <c r="Q247" s="740"/>
      <c r="R247" s="740"/>
      <c r="S247" s="24"/>
    </row>
    <row r="248" spans="1:256" s="57" customFormat="1" ht="12.75" customHeight="1">
      <c r="B248" s="741"/>
      <c r="C248" s="741"/>
      <c r="D248" s="743"/>
      <c r="E248" s="741"/>
      <c r="F248" s="741"/>
      <c r="G248" s="741"/>
      <c r="H248" s="741"/>
      <c r="I248" s="741"/>
      <c r="J248" s="741"/>
      <c r="K248" s="741"/>
      <c r="L248" s="741"/>
      <c r="M248" s="741"/>
      <c r="N248" s="741"/>
      <c r="O248" s="741"/>
      <c r="P248" s="741"/>
      <c r="Q248" s="741"/>
      <c r="R248" s="741"/>
      <c r="S248" s="45"/>
    </row>
    <row r="249" spans="1:256" s="57" customFormat="1" ht="12.75" customHeight="1">
      <c r="D249" s="693"/>
      <c r="S249" s="47"/>
    </row>
    <row r="250" spans="1:256" s="57" customFormat="1" ht="12.75" customHeight="1">
      <c r="C250" s="757"/>
      <c r="D250" s="693"/>
      <c r="F250" s="694"/>
    </row>
    <row r="251" spans="1:256" s="57" customFormat="1" ht="12.75" customHeight="1">
      <c r="D251" s="693"/>
      <c r="G251" s="68"/>
      <c r="H251" s="68"/>
      <c r="I251" s="68"/>
      <c r="J251" s="68"/>
      <c r="K251" s="68"/>
      <c r="L251" s="68"/>
      <c r="M251" s="68"/>
      <c r="N251" s="68"/>
      <c r="O251" s="68"/>
      <c r="P251" s="68"/>
      <c r="Q251" s="68"/>
      <c r="R251" s="700"/>
    </row>
    <row r="252" spans="1:256" s="57" customFormat="1" ht="12.75" customHeight="1">
      <c r="B252" s="78"/>
      <c r="C252" s="78"/>
      <c r="D252" s="695"/>
      <c r="E252" s="696"/>
      <c r="F252" s="696"/>
      <c r="G252" s="697"/>
      <c r="H252" s="698"/>
      <c r="I252" s="698"/>
      <c r="J252" s="698"/>
      <c r="K252" s="698"/>
      <c r="L252" s="698"/>
      <c r="M252" s="698"/>
      <c r="N252" s="698"/>
      <c r="O252" s="698"/>
      <c r="P252" s="698"/>
      <c r="Q252" s="698"/>
      <c r="R252" s="745"/>
    </row>
    <row r="253" spans="1:256" s="57" customFormat="1" ht="12.75" customHeight="1"/>
    <row r="254" spans="1:256" s="771" customFormat="1" ht="12.75" customHeight="1">
      <c r="A254" s="768"/>
      <c r="B254" s="78"/>
      <c r="C254" s="78"/>
      <c r="D254" s="695"/>
      <c r="E254" s="697"/>
      <c r="F254" s="697"/>
      <c r="G254" s="708"/>
      <c r="H254" s="708"/>
      <c r="I254" s="708"/>
      <c r="J254" s="708"/>
      <c r="K254" s="708"/>
      <c r="L254" s="708"/>
      <c r="M254" s="708"/>
      <c r="N254" s="708"/>
      <c r="O254" s="708"/>
      <c r="P254" s="708"/>
      <c r="Q254" s="708"/>
      <c r="R254" s="769"/>
      <c r="S254" s="768"/>
      <c r="T254" s="768"/>
      <c r="U254" s="770"/>
      <c r="V254" s="770"/>
      <c r="W254" s="770"/>
      <c r="X254" s="770"/>
      <c r="Y254" s="770"/>
      <c r="Z254" s="770"/>
      <c r="AA254" s="770"/>
      <c r="AB254" s="770"/>
      <c r="AC254" s="770"/>
      <c r="AD254" s="770"/>
      <c r="AE254" s="770"/>
      <c r="AF254" s="770"/>
      <c r="AG254" s="770"/>
      <c r="AH254" s="770"/>
      <c r="AI254" s="770"/>
      <c r="AJ254" s="770"/>
      <c r="AK254" s="770"/>
      <c r="AL254" s="770"/>
      <c r="AM254" s="770"/>
      <c r="AN254" s="770"/>
      <c r="AO254" s="770"/>
      <c r="AP254" s="770"/>
      <c r="AQ254" s="770"/>
      <c r="AR254" s="770"/>
      <c r="AS254" s="770"/>
      <c r="AT254" s="770"/>
      <c r="AU254" s="770"/>
      <c r="AV254" s="770"/>
      <c r="AW254" s="770"/>
      <c r="AX254" s="770"/>
      <c r="AY254" s="770"/>
      <c r="AZ254" s="770"/>
      <c r="BA254" s="770"/>
      <c r="BB254" s="770"/>
      <c r="BC254" s="770"/>
      <c r="BD254" s="770"/>
      <c r="BE254" s="770"/>
      <c r="BF254" s="770"/>
      <c r="BG254" s="770"/>
      <c r="BH254" s="770"/>
      <c r="BI254" s="770"/>
      <c r="BJ254" s="770"/>
      <c r="BK254" s="770"/>
      <c r="BL254" s="770"/>
      <c r="BM254" s="770"/>
      <c r="BN254" s="770"/>
      <c r="BO254" s="770"/>
      <c r="BP254" s="770"/>
      <c r="BQ254" s="770"/>
      <c r="BR254" s="770"/>
      <c r="BS254" s="770"/>
      <c r="BT254" s="770"/>
      <c r="BU254" s="770"/>
      <c r="BV254" s="770"/>
      <c r="BW254" s="770"/>
      <c r="BX254" s="770"/>
      <c r="BY254" s="770"/>
      <c r="BZ254" s="770"/>
      <c r="CA254" s="770"/>
      <c r="CB254" s="770"/>
      <c r="CC254" s="770"/>
      <c r="CD254" s="770"/>
      <c r="CE254" s="770"/>
      <c r="CF254" s="770"/>
      <c r="CG254" s="770"/>
      <c r="CH254" s="770"/>
      <c r="CI254" s="770"/>
      <c r="CJ254" s="770"/>
      <c r="CK254" s="770"/>
      <c r="CL254" s="770"/>
      <c r="CM254" s="770"/>
      <c r="CN254" s="770"/>
      <c r="CO254" s="770"/>
      <c r="CP254" s="770"/>
      <c r="CQ254" s="770"/>
      <c r="CR254" s="770"/>
      <c r="CS254" s="770"/>
      <c r="CT254" s="770"/>
      <c r="CU254" s="770"/>
      <c r="CV254" s="770"/>
      <c r="CW254" s="770"/>
      <c r="CX254" s="770"/>
      <c r="CY254" s="770"/>
      <c r="CZ254" s="770"/>
      <c r="DA254" s="770"/>
      <c r="DB254" s="770"/>
      <c r="DC254" s="770"/>
      <c r="DD254" s="770"/>
      <c r="DE254" s="770"/>
      <c r="DF254" s="770"/>
      <c r="DG254" s="770"/>
      <c r="DH254" s="770"/>
      <c r="DI254" s="770"/>
      <c r="DJ254" s="770"/>
      <c r="DK254" s="770"/>
      <c r="DL254" s="770"/>
      <c r="DM254" s="770"/>
      <c r="DN254" s="770"/>
      <c r="DO254" s="770"/>
      <c r="DP254" s="770"/>
      <c r="DQ254" s="770"/>
      <c r="DR254" s="770"/>
      <c r="DS254" s="770"/>
      <c r="DT254" s="770"/>
      <c r="DU254" s="770"/>
      <c r="DV254" s="770"/>
      <c r="DW254" s="770"/>
      <c r="DX254" s="770"/>
      <c r="DY254" s="770"/>
      <c r="DZ254" s="770"/>
      <c r="EA254" s="770"/>
      <c r="EB254" s="770"/>
      <c r="EC254" s="770"/>
      <c r="ED254" s="770"/>
      <c r="EE254" s="770"/>
      <c r="EF254" s="770"/>
      <c r="EG254" s="770"/>
      <c r="EH254" s="770"/>
      <c r="EI254" s="770"/>
      <c r="EJ254" s="770"/>
      <c r="EK254" s="770"/>
      <c r="EL254" s="770"/>
      <c r="EM254" s="770"/>
      <c r="EN254" s="770"/>
      <c r="EO254" s="770"/>
      <c r="EP254" s="770"/>
      <c r="EQ254" s="770"/>
      <c r="ER254" s="770"/>
      <c r="ES254" s="770"/>
      <c r="ET254" s="770"/>
      <c r="EU254" s="770"/>
      <c r="EV254" s="770"/>
      <c r="EW254" s="770"/>
      <c r="EX254" s="770"/>
      <c r="EY254" s="770"/>
      <c r="EZ254" s="770"/>
      <c r="FA254" s="770"/>
      <c r="FB254" s="770"/>
      <c r="FC254" s="770"/>
      <c r="FD254" s="770"/>
      <c r="FE254" s="770"/>
      <c r="FF254" s="770"/>
      <c r="FG254" s="770"/>
      <c r="FH254" s="770"/>
      <c r="FI254" s="770"/>
      <c r="FJ254" s="770"/>
      <c r="FK254" s="770"/>
      <c r="FL254" s="770"/>
      <c r="FM254" s="770"/>
      <c r="FN254" s="770"/>
      <c r="FO254" s="770"/>
      <c r="FP254" s="770"/>
      <c r="FQ254" s="770"/>
      <c r="FR254" s="770"/>
      <c r="FS254" s="770"/>
      <c r="FT254" s="770"/>
      <c r="FU254" s="770"/>
      <c r="FV254" s="770"/>
      <c r="FW254" s="770"/>
      <c r="FX254" s="770"/>
      <c r="FY254" s="770"/>
      <c r="FZ254" s="770"/>
      <c r="GA254" s="770"/>
      <c r="GB254" s="770"/>
      <c r="GC254" s="770"/>
      <c r="GD254" s="770"/>
      <c r="GE254" s="770"/>
      <c r="GF254" s="770"/>
      <c r="GG254" s="770"/>
      <c r="GH254" s="770"/>
      <c r="GI254" s="770"/>
      <c r="GJ254" s="770"/>
      <c r="GK254" s="770"/>
      <c r="GL254" s="770"/>
      <c r="GM254" s="770"/>
      <c r="GN254" s="770"/>
      <c r="GO254" s="770"/>
      <c r="GP254" s="770"/>
      <c r="GQ254" s="770"/>
      <c r="GR254" s="770"/>
      <c r="GS254" s="770"/>
      <c r="GT254" s="770"/>
      <c r="GU254" s="770"/>
      <c r="GV254" s="770"/>
      <c r="GW254" s="770"/>
      <c r="GX254" s="770"/>
      <c r="GY254" s="770"/>
      <c r="GZ254" s="770"/>
      <c r="HA254" s="770"/>
      <c r="HB254" s="770"/>
      <c r="HC254" s="770"/>
      <c r="HD254" s="770"/>
      <c r="HE254" s="770"/>
      <c r="HF254" s="770"/>
      <c r="HG254" s="770"/>
      <c r="HH254" s="770"/>
      <c r="HI254" s="770"/>
      <c r="HJ254" s="770"/>
      <c r="HK254" s="770"/>
      <c r="HL254" s="770"/>
      <c r="HM254" s="770"/>
      <c r="HN254" s="770"/>
      <c r="HO254" s="770"/>
      <c r="HP254" s="770"/>
      <c r="HQ254" s="770"/>
      <c r="HR254" s="770"/>
      <c r="HS254" s="770"/>
      <c r="HT254" s="770"/>
      <c r="HU254" s="770"/>
      <c r="HV254" s="770"/>
      <c r="HW254" s="770"/>
      <c r="HX254" s="770"/>
      <c r="HY254" s="770"/>
      <c r="HZ254" s="770"/>
      <c r="IA254" s="770"/>
      <c r="IB254" s="770"/>
      <c r="IC254" s="770"/>
      <c r="ID254" s="770"/>
      <c r="IE254" s="770"/>
      <c r="IF254" s="770"/>
      <c r="IG254" s="770"/>
      <c r="IH254" s="770"/>
      <c r="II254" s="770"/>
      <c r="IJ254" s="770"/>
      <c r="IK254" s="770"/>
      <c r="IL254" s="770"/>
      <c r="IM254" s="770"/>
      <c r="IN254" s="770"/>
      <c r="IO254" s="770"/>
      <c r="IP254" s="770"/>
      <c r="IQ254" s="770"/>
      <c r="IR254" s="770"/>
      <c r="IS254" s="770"/>
      <c r="IT254" s="770"/>
      <c r="IU254" s="770"/>
      <c r="IV254" s="770"/>
    </row>
    <row r="255" spans="1:256" s="57" customFormat="1" ht="12.75" customHeight="1"/>
    <row r="256" spans="1:256" s="771" customFormat="1" ht="12.75" customHeight="1">
      <c r="A256" s="768"/>
      <c r="B256" s="772"/>
      <c r="C256" s="768"/>
      <c r="D256" s="768"/>
      <c r="E256" s="768"/>
      <c r="F256" s="717"/>
      <c r="G256" s="768"/>
      <c r="H256" s="768"/>
      <c r="I256" s="768"/>
      <c r="J256" s="768"/>
      <c r="K256" s="768"/>
      <c r="L256" s="768"/>
      <c r="M256" s="768"/>
      <c r="N256" s="768"/>
      <c r="O256" s="768"/>
      <c r="P256" s="768"/>
      <c r="Q256" s="768"/>
      <c r="R256" s="769"/>
      <c r="S256" s="57"/>
      <c r="T256" s="57"/>
      <c r="U256" s="770"/>
      <c r="V256" s="770"/>
      <c r="W256" s="770"/>
      <c r="X256" s="770"/>
      <c r="Y256" s="770"/>
      <c r="Z256" s="770"/>
      <c r="AA256" s="770"/>
      <c r="AB256" s="770"/>
      <c r="AC256" s="770"/>
      <c r="AD256" s="770"/>
      <c r="AE256" s="770"/>
      <c r="AF256" s="770"/>
      <c r="AG256" s="770"/>
      <c r="AH256" s="770"/>
      <c r="AI256" s="770"/>
      <c r="AJ256" s="770"/>
      <c r="AK256" s="770"/>
      <c r="AL256" s="770"/>
      <c r="AM256" s="770"/>
      <c r="AN256" s="770"/>
      <c r="AO256" s="770"/>
      <c r="AP256" s="770"/>
      <c r="AQ256" s="770"/>
      <c r="AR256" s="770"/>
      <c r="AS256" s="770"/>
      <c r="AT256" s="770"/>
      <c r="AU256" s="770"/>
      <c r="AV256" s="770"/>
      <c r="AW256" s="770"/>
      <c r="AX256" s="770"/>
      <c r="AY256" s="770"/>
      <c r="AZ256" s="770"/>
      <c r="BA256" s="770"/>
      <c r="BB256" s="770"/>
      <c r="BC256" s="770"/>
      <c r="BD256" s="770"/>
      <c r="BE256" s="770"/>
      <c r="BF256" s="770"/>
      <c r="BG256" s="770"/>
      <c r="BH256" s="770"/>
      <c r="BI256" s="770"/>
      <c r="BJ256" s="770"/>
      <c r="BK256" s="770"/>
      <c r="BL256" s="770"/>
      <c r="BM256" s="770"/>
      <c r="BN256" s="770"/>
      <c r="BO256" s="770"/>
      <c r="BP256" s="770"/>
      <c r="BQ256" s="770"/>
      <c r="BR256" s="770"/>
      <c r="BS256" s="770"/>
      <c r="BT256" s="770"/>
      <c r="BU256" s="770"/>
      <c r="BV256" s="770"/>
      <c r="BW256" s="770"/>
      <c r="BX256" s="770"/>
      <c r="BY256" s="770"/>
      <c r="BZ256" s="770"/>
      <c r="CA256" s="770"/>
      <c r="CB256" s="770"/>
      <c r="CC256" s="770"/>
      <c r="CD256" s="770"/>
      <c r="CE256" s="770"/>
      <c r="CF256" s="770"/>
      <c r="CG256" s="770"/>
      <c r="CH256" s="770"/>
      <c r="CI256" s="770"/>
      <c r="CJ256" s="770"/>
      <c r="CK256" s="770"/>
      <c r="CL256" s="770"/>
      <c r="CM256" s="770"/>
      <c r="CN256" s="770"/>
      <c r="CO256" s="770"/>
      <c r="CP256" s="770"/>
      <c r="CQ256" s="770"/>
      <c r="CR256" s="770"/>
      <c r="CS256" s="770"/>
      <c r="CT256" s="770"/>
      <c r="CU256" s="770"/>
      <c r="CV256" s="770"/>
      <c r="CW256" s="770"/>
      <c r="CX256" s="770"/>
      <c r="CY256" s="770"/>
      <c r="CZ256" s="770"/>
      <c r="DA256" s="770"/>
      <c r="DB256" s="770"/>
      <c r="DC256" s="770"/>
      <c r="DD256" s="770"/>
      <c r="DE256" s="770"/>
      <c r="DF256" s="770"/>
      <c r="DG256" s="770"/>
      <c r="DH256" s="770"/>
      <c r="DI256" s="770"/>
      <c r="DJ256" s="770"/>
      <c r="DK256" s="770"/>
      <c r="DL256" s="770"/>
      <c r="DM256" s="770"/>
      <c r="DN256" s="770"/>
      <c r="DO256" s="770"/>
      <c r="DP256" s="770"/>
      <c r="DQ256" s="770"/>
      <c r="DR256" s="770"/>
      <c r="DS256" s="770"/>
      <c r="DT256" s="770"/>
      <c r="DU256" s="770"/>
      <c r="DV256" s="770"/>
      <c r="DW256" s="770"/>
      <c r="DX256" s="770"/>
      <c r="DY256" s="770"/>
      <c r="DZ256" s="770"/>
      <c r="EA256" s="770"/>
      <c r="EB256" s="770"/>
      <c r="EC256" s="770"/>
      <c r="ED256" s="770"/>
      <c r="EE256" s="770"/>
      <c r="EF256" s="770"/>
      <c r="EG256" s="770"/>
      <c r="EH256" s="770"/>
      <c r="EI256" s="770"/>
      <c r="EJ256" s="770"/>
      <c r="EK256" s="770"/>
      <c r="EL256" s="770"/>
      <c r="EM256" s="770"/>
      <c r="EN256" s="770"/>
      <c r="EO256" s="770"/>
      <c r="EP256" s="770"/>
      <c r="EQ256" s="770"/>
      <c r="ER256" s="770"/>
      <c r="ES256" s="770"/>
      <c r="ET256" s="770"/>
      <c r="EU256" s="770"/>
      <c r="EV256" s="770"/>
      <c r="EW256" s="770"/>
      <c r="EX256" s="770"/>
      <c r="EY256" s="770"/>
      <c r="EZ256" s="770"/>
      <c r="FA256" s="770"/>
      <c r="FB256" s="770"/>
      <c r="FC256" s="770"/>
      <c r="FD256" s="770"/>
      <c r="FE256" s="770"/>
      <c r="FF256" s="770"/>
      <c r="FG256" s="770"/>
      <c r="FH256" s="770"/>
      <c r="FI256" s="770"/>
      <c r="FJ256" s="770"/>
      <c r="FK256" s="770"/>
      <c r="FL256" s="770"/>
      <c r="FM256" s="770"/>
      <c r="FN256" s="770"/>
      <c r="FO256" s="770"/>
      <c r="FP256" s="770"/>
      <c r="FQ256" s="770"/>
      <c r="FR256" s="770"/>
      <c r="FS256" s="770"/>
      <c r="FT256" s="770"/>
      <c r="FU256" s="770"/>
      <c r="FV256" s="770"/>
      <c r="FW256" s="770"/>
      <c r="FX256" s="770"/>
      <c r="FY256" s="770"/>
      <c r="FZ256" s="770"/>
      <c r="GA256" s="770"/>
      <c r="GB256" s="770"/>
      <c r="GC256" s="770"/>
      <c r="GD256" s="770"/>
      <c r="GE256" s="770"/>
      <c r="GF256" s="770"/>
      <c r="GG256" s="770"/>
      <c r="GH256" s="770"/>
      <c r="GI256" s="770"/>
      <c r="GJ256" s="770"/>
      <c r="GK256" s="770"/>
      <c r="GL256" s="770"/>
      <c r="GM256" s="770"/>
      <c r="GN256" s="770"/>
      <c r="GO256" s="770"/>
      <c r="GP256" s="770"/>
      <c r="GQ256" s="770"/>
      <c r="GR256" s="770"/>
      <c r="GS256" s="770"/>
      <c r="GT256" s="770"/>
      <c r="GU256" s="770"/>
      <c r="GV256" s="770"/>
      <c r="GW256" s="770"/>
      <c r="GX256" s="770"/>
      <c r="GY256" s="770"/>
      <c r="GZ256" s="770"/>
      <c r="HA256" s="770"/>
      <c r="HB256" s="770"/>
      <c r="HC256" s="770"/>
      <c r="HD256" s="770"/>
      <c r="HE256" s="770"/>
      <c r="HF256" s="770"/>
      <c r="HG256" s="770"/>
      <c r="HH256" s="770"/>
      <c r="HI256" s="770"/>
      <c r="HJ256" s="770"/>
      <c r="HK256" s="770"/>
      <c r="HL256" s="770"/>
      <c r="HM256" s="770"/>
      <c r="HN256" s="770"/>
      <c r="HO256" s="770"/>
      <c r="HP256" s="770"/>
      <c r="HQ256" s="770"/>
      <c r="HR256" s="770"/>
      <c r="HS256" s="770"/>
      <c r="HT256" s="770"/>
      <c r="HU256" s="770"/>
      <c r="HV256" s="770"/>
      <c r="HW256" s="770"/>
      <c r="HX256" s="770"/>
      <c r="HY256" s="770"/>
      <c r="HZ256" s="770"/>
      <c r="IA256" s="770"/>
      <c r="IB256" s="770"/>
      <c r="IC256" s="770"/>
      <c r="ID256" s="770"/>
      <c r="IE256" s="770"/>
      <c r="IF256" s="770"/>
      <c r="IG256" s="770"/>
      <c r="IH256" s="770"/>
      <c r="II256" s="770"/>
      <c r="IJ256" s="770"/>
      <c r="IK256" s="770"/>
      <c r="IL256" s="770"/>
      <c r="IM256" s="770"/>
      <c r="IN256" s="770"/>
      <c r="IO256" s="770"/>
      <c r="IP256" s="770"/>
      <c r="IQ256" s="770"/>
      <c r="IR256" s="770"/>
      <c r="IS256" s="770"/>
      <c r="IT256" s="770"/>
      <c r="IU256" s="770"/>
      <c r="IV256" s="770"/>
    </row>
    <row r="257" spans="1:256" s="771" customFormat="1" ht="12.75" customHeight="1">
      <c r="A257" s="768"/>
      <c r="B257" s="768"/>
      <c r="C257" s="768"/>
      <c r="D257" s="768"/>
      <c r="E257" s="768"/>
      <c r="F257" s="717"/>
      <c r="G257" s="720"/>
      <c r="H257" s="720"/>
      <c r="I257" s="720"/>
      <c r="J257" s="720"/>
      <c r="K257" s="720"/>
      <c r="L257" s="720"/>
      <c r="M257" s="720"/>
      <c r="N257" s="720"/>
      <c r="O257" s="720"/>
      <c r="P257" s="720"/>
      <c r="Q257" s="720"/>
      <c r="R257" s="769"/>
      <c r="S257" s="57"/>
      <c r="T257" s="57"/>
      <c r="U257" s="770"/>
      <c r="V257" s="770"/>
      <c r="W257" s="770"/>
      <c r="X257" s="770"/>
      <c r="Y257" s="770"/>
      <c r="Z257" s="770"/>
      <c r="AA257" s="770"/>
      <c r="AB257" s="770"/>
      <c r="AC257" s="770"/>
      <c r="AD257" s="770"/>
      <c r="AE257" s="770"/>
      <c r="AF257" s="770"/>
      <c r="AG257" s="770"/>
      <c r="AH257" s="770"/>
      <c r="AI257" s="770"/>
      <c r="AJ257" s="770"/>
      <c r="AK257" s="770"/>
      <c r="AL257" s="770"/>
      <c r="AM257" s="770"/>
      <c r="AN257" s="770"/>
      <c r="AO257" s="770"/>
      <c r="AP257" s="770"/>
      <c r="AQ257" s="770"/>
      <c r="AR257" s="770"/>
      <c r="AS257" s="770"/>
      <c r="AT257" s="770"/>
      <c r="AU257" s="770"/>
      <c r="AV257" s="770"/>
      <c r="AW257" s="770"/>
      <c r="AX257" s="770"/>
      <c r="AY257" s="770"/>
      <c r="AZ257" s="770"/>
      <c r="BA257" s="770"/>
      <c r="BB257" s="770"/>
      <c r="BC257" s="770"/>
      <c r="BD257" s="770"/>
      <c r="BE257" s="770"/>
      <c r="BF257" s="770"/>
      <c r="BG257" s="770"/>
      <c r="BH257" s="770"/>
      <c r="BI257" s="770"/>
      <c r="BJ257" s="770"/>
      <c r="BK257" s="770"/>
      <c r="BL257" s="770"/>
      <c r="BM257" s="770"/>
      <c r="BN257" s="770"/>
      <c r="BO257" s="770"/>
      <c r="BP257" s="770"/>
      <c r="BQ257" s="770"/>
      <c r="BR257" s="770"/>
      <c r="BS257" s="770"/>
      <c r="BT257" s="770"/>
      <c r="BU257" s="770"/>
      <c r="BV257" s="770"/>
      <c r="BW257" s="770"/>
      <c r="BX257" s="770"/>
      <c r="BY257" s="770"/>
      <c r="BZ257" s="770"/>
      <c r="CA257" s="770"/>
      <c r="CB257" s="770"/>
      <c r="CC257" s="770"/>
      <c r="CD257" s="770"/>
      <c r="CE257" s="770"/>
      <c r="CF257" s="770"/>
      <c r="CG257" s="770"/>
      <c r="CH257" s="770"/>
      <c r="CI257" s="770"/>
      <c r="CJ257" s="770"/>
      <c r="CK257" s="770"/>
      <c r="CL257" s="770"/>
      <c r="CM257" s="770"/>
      <c r="CN257" s="770"/>
      <c r="CO257" s="770"/>
      <c r="CP257" s="770"/>
      <c r="CQ257" s="770"/>
      <c r="CR257" s="770"/>
      <c r="CS257" s="770"/>
      <c r="CT257" s="770"/>
      <c r="CU257" s="770"/>
      <c r="CV257" s="770"/>
      <c r="CW257" s="770"/>
      <c r="CX257" s="770"/>
      <c r="CY257" s="770"/>
      <c r="CZ257" s="770"/>
      <c r="DA257" s="770"/>
      <c r="DB257" s="770"/>
      <c r="DC257" s="770"/>
      <c r="DD257" s="770"/>
      <c r="DE257" s="770"/>
      <c r="DF257" s="770"/>
      <c r="DG257" s="770"/>
      <c r="DH257" s="770"/>
      <c r="DI257" s="770"/>
      <c r="DJ257" s="770"/>
      <c r="DK257" s="770"/>
      <c r="DL257" s="770"/>
      <c r="DM257" s="770"/>
      <c r="DN257" s="770"/>
      <c r="DO257" s="770"/>
      <c r="DP257" s="770"/>
      <c r="DQ257" s="770"/>
      <c r="DR257" s="770"/>
      <c r="DS257" s="770"/>
      <c r="DT257" s="770"/>
      <c r="DU257" s="770"/>
      <c r="DV257" s="770"/>
      <c r="DW257" s="770"/>
      <c r="DX257" s="770"/>
      <c r="DY257" s="770"/>
      <c r="DZ257" s="770"/>
      <c r="EA257" s="770"/>
      <c r="EB257" s="770"/>
      <c r="EC257" s="770"/>
      <c r="ED257" s="770"/>
      <c r="EE257" s="770"/>
      <c r="EF257" s="770"/>
      <c r="EG257" s="770"/>
      <c r="EH257" s="770"/>
      <c r="EI257" s="770"/>
      <c r="EJ257" s="770"/>
      <c r="EK257" s="770"/>
      <c r="EL257" s="770"/>
      <c r="EM257" s="770"/>
      <c r="EN257" s="770"/>
      <c r="EO257" s="770"/>
      <c r="EP257" s="770"/>
      <c r="EQ257" s="770"/>
      <c r="ER257" s="770"/>
      <c r="ES257" s="770"/>
      <c r="ET257" s="770"/>
      <c r="EU257" s="770"/>
      <c r="EV257" s="770"/>
      <c r="EW257" s="770"/>
      <c r="EX257" s="770"/>
      <c r="EY257" s="770"/>
      <c r="EZ257" s="770"/>
      <c r="FA257" s="770"/>
      <c r="FB257" s="770"/>
      <c r="FC257" s="770"/>
      <c r="FD257" s="770"/>
      <c r="FE257" s="770"/>
      <c r="FF257" s="770"/>
      <c r="FG257" s="770"/>
      <c r="FH257" s="770"/>
      <c r="FI257" s="770"/>
      <c r="FJ257" s="770"/>
      <c r="FK257" s="770"/>
      <c r="FL257" s="770"/>
      <c r="FM257" s="770"/>
      <c r="FN257" s="770"/>
      <c r="FO257" s="770"/>
      <c r="FP257" s="770"/>
      <c r="FQ257" s="770"/>
      <c r="FR257" s="770"/>
      <c r="FS257" s="770"/>
      <c r="FT257" s="770"/>
      <c r="FU257" s="770"/>
      <c r="FV257" s="770"/>
      <c r="FW257" s="770"/>
      <c r="FX257" s="770"/>
      <c r="FY257" s="770"/>
      <c r="FZ257" s="770"/>
      <c r="GA257" s="770"/>
      <c r="GB257" s="770"/>
      <c r="GC257" s="770"/>
      <c r="GD257" s="770"/>
      <c r="GE257" s="770"/>
      <c r="GF257" s="770"/>
      <c r="GG257" s="770"/>
      <c r="GH257" s="770"/>
      <c r="GI257" s="770"/>
      <c r="GJ257" s="770"/>
      <c r="GK257" s="770"/>
      <c r="GL257" s="770"/>
      <c r="GM257" s="770"/>
      <c r="GN257" s="770"/>
      <c r="GO257" s="770"/>
      <c r="GP257" s="770"/>
      <c r="GQ257" s="770"/>
      <c r="GR257" s="770"/>
      <c r="GS257" s="770"/>
      <c r="GT257" s="770"/>
      <c r="GU257" s="770"/>
      <c r="GV257" s="770"/>
      <c r="GW257" s="770"/>
      <c r="GX257" s="770"/>
      <c r="GY257" s="770"/>
      <c r="GZ257" s="770"/>
      <c r="HA257" s="770"/>
      <c r="HB257" s="770"/>
      <c r="HC257" s="770"/>
      <c r="HD257" s="770"/>
      <c r="HE257" s="770"/>
      <c r="HF257" s="770"/>
      <c r="HG257" s="770"/>
      <c r="HH257" s="770"/>
      <c r="HI257" s="770"/>
      <c r="HJ257" s="770"/>
      <c r="HK257" s="770"/>
      <c r="HL257" s="770"/>
      <c r="HM257" s="770"/>
      <c r="HN257" s="770"/>
      <c r="HO257" s="770"/>
      <c r="HP257" s="770"/>
      <c r="HQ257" s="770"/>
      <c r="HR257" s="770"/>
      <c r="HS257" s="770"/>
      <c r="HT257" s="770"/>
      <c r="HU257" s="770"/>
      <c r="HV257" s="770"/>
      <c r="HW257" s="770"/>
      <c r="HX257" s="770"/>
      <c r="HY257" s="770"/>
      <c r="HZ257" s="770"/>
      <c r="IA257" s="770"/>
      <c r="IB257" s="770"/>
      <c r="IC257" s="770"/>
      <c r="ID257" s="770"/>
      <c r="IE257" s="770"/>
      <c r="IF257" s="770"/>
      <c r="IG257" s="770"/>
      <c r="IH257" s="770"/>
      <c r="II257" s="770"/>
      <c r="IJ257" s="770"/>
      <c r="IK257" s="770"/>
      <c r="IL257" s="770"/>
      <c r="IM257" s="770"/>
      <c r="IN257" s="770"/>
      <c r="IO257" s="770"/>
      <c r="IP257" s="770"/>
      <c r="IQ257" s="770"/>
      <c r="IR257" s="770"/>
      <c r="IS257" s="770"/>
      <c r="IT257" s="770"/>
      <c r="IU257" s="770"/>
      <c r="IV257" s="770"/>
    </row>
    <row r="258" spans="1:256" s="771" customFormat="1" ht="12.75" customHeight="1">
      <c r="A258" s="768"/>
      <c r="B258" s="768"/>
      <c r="C258" s="768"/>
      <c r="D258" s="768"/>
      <c r="E258" s="768"/>
      <c r="F258" s="183"/>
      <c r="G258" s="720"/>
      <c r="H258" s="720"/>
      <c r="I258" s="720"/>
      <c r="J258" s="720"/>
      <c r="K258" s="720"/>
      <c r="L258" s="720"/>
      <c r="M258" s="720"/>
      <c r="N258" s="720"/>
      <c r="O258" s="720"/>
      <c r="P258" s="720"/>
      <c r="Q258" s="720"/>
      <c r="R258" s="769"/>
      <c r="S258" s="57"/>
      <c r="T258" s="57"/>
      <c r="U258" s="770"/>
      <c r="V258" s="770"/>
      <c r="W258" s="770"/>
      <c r="X258" s="770"/>
      <c r="Y258" s="770"/>
      <c r="Z258" s="770"/>
      <c r="AA258" s="770"/>
      <c r="AB258" s="770"/>
      <c r="AC258" s="770"/>
      <c r="AD258" s="770"/>
      <c r="AE258" s="770"/>
      <c r="AF258" s="770"/>
      <c r="AG258" s="770"/>
      <c r="AH258" s="770"/>
      <c r="AI258" s="770"/>
      <c r="AJ258" s="770"/>
      <c r="AK258" s="770"/>
      <c r="AL258" s="770"/>
      <c r="AM258" s="770"/>
      <c r="AN258" s="770"/>
      <c r="AO258" s="770"/>
      <c r="AP258" s="770"/>
      <c r="AQ258" s="770"/>
      <c r="AR258" s="770"/>
      <c r="AS258" s="770"/>
      <c r="AT258" s="770"/>
      <c r="AU258" s="770"/>
      <c r="AV258" s="770"/>
      <c r="AW258" s="770"/>
      <c r="AX258" s="770"/>
      <c r="AY258" s="770"/>
      <c r="AZ258" s="770"/>
      <c r="BA258" s="770"/>
      <c r="BB258" s="770"/>
      <c r="BC258" s="770"/>
      <c r="BD258" s="770"/>
      <c r="BE258" s="770"/>
      <c r="BF258" s="770"/>
      <c r="BG258" s="770"/>
      <c r="BH258" s="770"/>
      <c r="BI258" s="770"/>
      <c r="BJ258" s="770"/>
      <c r="BK258" s="770"/>
      <c r="BL258" s="770"/>
      <c r="BM258" s="770"/>
      <c r="BN258" s="770"/>
      <c r="BO258" s="770"/>
      <c r="BP258" s="770"/>
      <c r="BQ258" s="770"/>
      <c r="BR258" s="770"/>
      <c r="BS258" s="770"/>
      <c r="BT258" s="770"/>
      <c r="BU258" s="770"/>
      <c r="BV258" s="770"/>
      <c r="BW258" s="770"/>
      <c r="BX258" s="770"/>
      <c r="BY258" s="770"/>
      <c r="BZ258" s="770"/>
      <c r="CA258" s="770"/>
      <c r="CB258" s="770"/>
      <c r="CC258" s="770"/>
      <c r="CD258" s="770"/>
      <c r="CE258" s="770"/>
      <c r="CF258" s="770"/>
      <c r="CG258" s="770"/>
      <c r="CH258" s="770"/>
      <c r="CI258" s="770"/>
      <c r="CJ258" s="770"/>
      <c r="CK258" s="770"/>
      <c r="CL258" s="770"/>
      <c r="CM258" s="770"/>
      <c r="CN258" s="770"/>
      <c r="CO258" s="770"/>
      <c r="CP258" s="770"/>
      <c r="CQ258" s="770"/>
      <c r="CR258" s="770"/>
      <c r="CS258" s="770"/>
      <c r="CT258" s="770"/>
      <c r="CU258" s="770"/>
      <c r="CV258" s="770"/>
      <c r="CW258" s="770"/>
      <c r="CX258" s="770"/>
      <c r="CY258" s="770"/>
      <c r="CZ258" s="770"/>
      <c r="DA258" s="770"/>
      <c r="DB258" s="770"/>
      <c r="DC258" s="770"/>
      <c r="DD258" s="770"/>
      <c r="DE258" s="770"/>
      <c r="DF258" s="770"/>
      <c r="DG258" s="770"/>
      <c r="DH258" s="770"/>
      <c r="DI258" s="770"/>
      <c r="DJ258" s="770"/>
      <c r="DK258" s="770"/>
      <c r="DL258" s="770"/>
      <c r="DM258" s="770"/>
      <c r="DN258" s="770"/>
      <c r="DO258" s="770"/>
      <c r="DP258" s="770"/>
      <c r="DQ258" s="770"/>
      <c r="DR258" s="770"/>
      <c r="DS258" s="770"/>
      <c r="DT258" s="770"/>
      <c r="DU258" s="770"/>
      <c r="DV258" s="770"/>
      <c r="DW258" s="770"/>
      <c r="DX258" s="770"/>
      <c r="DY258" s="770"/>
      <c r="DZ258" s="770"/>
      <c r="EA258" s="770"/>
      <c r="EB258" s="770"/>
      <c r="EC258" s="770"/>
      <c r="ED258" s="770"/>
      <c r="EE258" s="770"/>
      <c r="EF258" s="770"/>
      <c r="EG258" s="770"/>
      <c r="EH258" s="770"/>
      <c r="EI258" s="770"/>
      <c r="EJ258" s="770"/>
      <c r="EK258" s="770"/>
      <c r="EL258" s="770"/>
      <c r="EM258" s="770"/>
      <c r="EN258" s="770"/>
      <c r="EO258" s="770"/>
      <c r="EP258" s="770"/>
      <c r="EQ258" s="770"/>
      <c r="ER258" s="770"/>
      <c r="ES258" s="770"/>
      <c r="ET258" s="770"/>
      <c r="EU258" s="770"/>
      <c r="EV258" s="770"/>
      <c r="EW258" s="770"/>
      <c r="EX258" s="770"/>
      <c r="EY258" s="770"/>
      <c r="EZ258" s="770"/>
      <c r="FA258" s="770"/>
      <c r="FB258" s="770"/>
      <c r="FC258" s="770"/>
      <c r="FD258" s="770"/>
      <c r="FE258" s="770"/>
      <c r="FF258" s="770"/>
      <c r="FG258" s="770"/>
      <c r="FH258" s="770"/>
      <c r="FI258" s="770"/>
      <c r="FJ258" s="770"/>
      <c r="FK258" s="770"/>
      <c r="FL258" s="770"/>
      <c r="FM258" s="770"/>
      <c r="FN258" s="770"/>
      <c r="FO258" s="770"/>
      <c r="FP258" s="770"/>
      <c r="FQ258" s="770"/>
      <c r="FR258" s="770"/>
      <c r="FS258" s="770"/>
      <c r="FT258" s="770"/>
      <c r="FU258" s="770"/>
      <c r="FV258" s="770"/>
      <c r="FW258" s="770"/>
      <c r="FX258" s="770"/>
      <c r="FY258" s="770"/>
      <c r="FZ258" s="770"/>
      <c r="GA258" s="770"/>
      <c r="GB258" s="770"/>
      <c r="GC258" s="770"/>
      <c r="GD258" s="770"/>
      <c r="GE258" s="770"/>
      <c r="GF258" s="770"/>
      <c r="GG258" s="770"/>
      <c r="GH258" s="770"/>
      <c r="GI258" s="770"/>
      <c r="GJ258" s="770"/>
      <c r="GK258" s="770"/>
      <c r="GL258" s="770"/>
      <c r="GM258" s="770"/>
      <c r="GN258" s="770"/>
      <c r="GO258" s="770"/>
      <c r="GP258" s="770"/>
      <c r="GQ258" s="770"/>
      <c r="GR258" s="770"/>
      <c r="GS258" s="770"/>
      <c r="GT258" s="770"/>
      <c r="GU258" s="770"/>
      <c r="GV258" s="770"/>
      <c r="GW258" s="770"/>
      <c r="GX258" s="770"/>
      <c r="GY258" s="770"/>
      <c r="GZ258" s="770"/>
      <c r="HA258" s="770"/>
      <c r="HB258" s="770"/>
      <c r="HC258" s="770"/>
      <c r="HD258" s="770"/>
      <c r="HE258" s="770"/>
      <c r="HF258" s="770"/>
      <c r="HG258" s="770"/>
      <c r="HH258" s="770"/>
      <c r="HI258" s="770"/>
      <c r="HJ258" s="770"/>
      <c r="HK258" s="770"/>
      <c r="HL258" s="770"/>
      <c r="HM258" s="770"/>
      <c r="HN258" s="770"/>
      <c r="HO258" s="770"/>
      <c r="HP258" s="770"/>
      <c r="HQ258" s="770"/>
      <c r="HR258" s="770"/>
      <c r="HS258" s="770"/>
      <c r="HT258" s="770"/>
      <c r="HU258" s="770"/>
      <c r="HV258" s="770"/>
      <c r="HW258" s="770"/>
      <c r="HX258" s="770"/>
      <c r="HY258" s="770"/>
      <c r="HZ258" s="770"/>
      <c r="IA258" s="770"/>
      <c r="IB258" s="770"/>
      <c r="IC258" s="770"/>
      <c r="ID258" s="770"/>
      <c r="IE258" s="770"/>
      <c r="IF258" s="770"/>
      <c r="IG258" s="770"/>
      <c r="IH258" s="770"/>
      <c r="II258" s="770"/>
      <c r="IJ258" s="770"/>
      <c r="IK258" s="770"/>
      <c r="IL258" s="770"/>
      <c r="IM258" s="770"/>
      <c r="IN258" s="770"/>
      <c r="IO258" s="770"/>
      <c r="IP258" s="770"/>
      <c r="IQ258" s="770"/>
      <c r="IR258" s="770"/>
      <c r="IS258" s="770"/>
      <c r="IT258" s="770"/>
      <c r="IU258" s="770"/>
      <c r="IV258" s="770"/>
    </row>
    <row r="259" spans="1:256" s="771" customFormat="1" ht="12.75" customHeight="1">
      <c r="A259" s="768"/>
      <c r="B259" s="768"/>
      <c r="C259" s="768"/>
      <c r="D259" s="768"/>
      <c r="E259" s="768"/>
      <c r="F259" s="735"/>
      <c r="G259" s="720"/>
      <c r="H259" s="720"/>
      <c r="I259" s="720"/>
      <c r="J259" s="720"/>
      <c r="K259" s="720"/>
      <c r="L259" s="720"/>
      <c r="M259" s="720"/>
      <c r="N259" s="720"/>
      <c r="O259" s="720"/>
      <c r="P259" s="720"/>
      <c r="Q259" s="720"/>
      <c r="R259" s="769"/>
      <c r="S259" s="57"/>
      <c r="T259" s="57"/>
      <c r="U259" s="770"/>
      <c r="V259" s="770"/>
      <c r="W259" s="770"/>
      <c r="X259" s="770"/>
      <c r="Y259" s="770"/>
      <c r="Z259" s="770"/>
      <c r="AA259" s="770"/>
      <c r="AB259" s="770"/>
      <c r="AC259" s="770"/>
      <c r="AD259" s="770"/>
      <c r="AE259" s="770"/>
      <c r="AF259" s="770"/>
      <c r="AG259" s="770"/>
      <c r="AH259" s="770"/>
      <c r="AI259" s="770"/>
      <c r="AJ259" s="770"/>
      <c r="AK259" s="770"/>
      <c r="AL259" s="770"/>
      <c r="AM259" s="770"/>
      <c r="AN259" s="770"/>
      <c r="AO259" s="770"/>
      <c r="AP259" s="770"/>
      <c r="AQ259" s="770"/>
      <c r="AR259" s="770"/>
      <c r="AS259" s="770"/>
      <c r="AT259" s="770"/>
      <c r="AU259" s="770"/>
      <c r="AV259" s="770"/>
      <c r="AW259" s="770"/>
      <c r="AX259" s="770"/>
      <c r="AY259" s="770"/>
      <c r="AZ259" s="770"/>
      <c r="BA259" s="770"/>
      <c r="BB259" s="770"/>
      <c r="BC259" s="770"/>
      <c r="BD259" s="770"/>
      <c r="BE259" s="770"/>
      <c r="BF259" s="770"/>
      <c r="BG259" s="770"/>
      <c r="BH259" s="770"/>
      <c r="BI259" s="770"/>
      <c r="BJ259" s="770"/>
      <c r="BK259" s="770"/>
      <c r="BL259" s="770"/>
      <c r="BM259" s="770"/>
      <c r="BN259" s="770"/>
      <c r="BO259" s="770"/>
      <c r="BP259" s="770"/>
      <c r="BQ259" s="770"/>
      <c r="BR259" s="770"/>
      <c r="BS259" s="770"/>
      <c r="BT259" s="770"/>
      <c r="BU259" s="770"/>
      <c r="BV259" s="770"/>
      <c r="BW259" s="770"/>
      <c r="BX259" s="770"/>
      <c r="BY259" s="770"/>
      <c r="BZ259" s="770"/>
      <c r="CA259" s="770"/>
      <c r="CB259" s="770"/>
      <c r="CC259" s="770"/>
      <c r="CD259" s="770"/>
      <c r="CE259" s="770"/>
      <c r="CF259" s="770"/>
      <c r="CG259" s="770"/>
      <c r="CH259" s="770"/>
      <c r="CI259" s="770"/>
      <c r="CJ259" s="770"/>
      <c r="CK259" s="770"/>
      <c r="CL259" s="770"/>
      <c r="CM259" s="770"/>
      <c r="CN259" s="770"/>
      <c r="CO259" s="770"/>
      <c r="CP259" s="770"/>
      <c r="CQ259" s="770"/>
      <c r="CR259" s="770"/>
      <c r="CS259" s="770"/>
      <c r="CT259" s="770"/>
      <c r="CU259" s="770"/>
      <c r="CV259" s="770"/>
      <c r="CW259" s="770"/>
      <c r="CX259" s="770"/>
      <c r="CY259" s="770"/>
      <c r="CZ259" s="770"/>
      <c r="DA259" s="770"/>
      <c r="DB259" s="770"/>
      <c r="DC259" s="770"/>
      <c r="DD259" s="770"/>
      <c r="DE259" s="770"/>
      <c r="DF259" s="770"/>
      <c r="DG259" s="770"/>
      <c r="DH259" s="770"/>
      <c r="DI259" s="770"/>
      <c r="DJ259" s="770"/>
      <c r="DK259" s="770"/>
      <c r="DL259" s="770"/>
      <c r="DM259" s="770"/>
      <c r="DN259" s="770"/>
      <c r="DO259" s="770"/>
      <c r="DP259" s="770"/>
      <c r="DQ259" s="770"/>
      <c r="DR259" s="770"/>
      <c r="DS259" s="770"/>
      <c r="DT259" s="770"/>
      <c r="DU259" s="770"/>
      <c r="DV259" s="770"/>
      <c r="DW259" s="770"/>
      <c r="DX259" s="770"/>
      <c r="DY259" s="770"/>
      <c r="DZ259" s="770"/>
      <c r="EA259" s="770"/>
      <c r="EB259" s="770"/>
      <c r="EC259" s="770"/>
      <c r="ED259" s="770"/>
      <c r="EE259" s="770"/>
      <c r="EF259" s="770"/>
      <c r="EG259" s="770"/>
      <c r="EH259" s="770"/>
      <c r="EI259" s="770"/>
      <c r="EJ259" s="770"/>
      <c r="EK259" s="770"/>
      <c r="EL259" s="770"/>
      <c r="EM259" s="770"/>
      <c r="EN259" s="770"/>
      <c r="EO259" s="770"/>
      <c r="EP259" s="770"/>
      <c r="EQ259" s="770"/>
      <c r="ER259" s="770"/>
      <c r="ES259" s="770"/>
      <c r="ET259" s="770"/>
      <c r="EU259" s="770"/>
      <c r="EV259" s="770"/>
      <c r="EW259" s="770"/>
      <c r="EX259" s="770"/>
      <c r="EY259" s="770"/>
      <c r="EZ259" s="770"/>
      <c r="FA259" s="770"/>
      <c r="FB259" s="770"/>
      <c r="FC259" s="770"/>
      <c r="FD259" s="770"/>
      <c r="FE259" s="770"/>
      <c r="FF259" s="770"/>
      <c r="FG259" s="770"/>
      <c r="FH259" s="770"/>
      <c r="FI259" s="770"/>
      <c r="FJ259" s="770"/>
      <c r="FK259" s="770"/>
      <c r="FL259" s="770"/>
      <c r="FM259" s="770"/>
      <c r="FN259" s="770"/>
      <c r="FO259" s="770"/>
      <c r="FP259" s="770"/>
      <c r="FQ259" s="770"/>
      <c r="FR259" s="770"/>
      <c r="FS259" s="770"/>
      <c r="FT259" s="770"/>
      <c r="FU259" s="770"/>
      <c r="FV259" s="770"/>
      <c r="FW259" s="770"/>
      <c r="FX259" s="770"/>
      <c r="FY259" s="770"/>
      <c r="FZ259" s="770"/>
      <c r="GA259" s="770"/>
      <c r="GB259" s="770"/>
      <c r="GC259" s="770"/>
      <c r="GD259" s="770"/>
      <c r="GE259" s="770"/>
      <c r="GF259" s="770"/>
      <c r="GG259" s="770"/>
      <c r="GH259" s="770"/>
      <c r="GI259" s="770"/>
      <c r="GJ259" s="770"/>
      <c r="GK259" s="770"/>
      <c r="GL259" s="770"/>
      <c r="GM259" s="770"/>
      <c r="GN259" s="770"/>
      <c r="GO259" s="770"/>
      <c r="GP259" s="770"/>
      <c r="GQ259" s="770"/>
      <c r="GR259" s="770"/>
      <c r="GS259" s="770"/>
      <c r="GT259" s="770"/>
      <c r="GU259" s="770"/>
      <c r="GV259" s="770"/>
      <c r="GW259" s="770"/>
      <c r="GX259" s="770"/>
      <c r="GY259" s="770"/>
      <c r="GZ259" s="770"/>
      <c r="HA259" s="770"/>
      <c r="HB259" s="770"/>
      <c r="HC259" s="770"/>
      <c r="HD259" s="770"/>
      <c r="HE259" s="770"/>
      <c r="HF259" s="770"/>
      <c r="HG259" s="770"/>
      <c r="HH259" s="770"/>
      <c r="HI259" s="770"/>
      <c r="HJ259" s="770"/>
      <c r="HK259" s="770"/>
      <c r="HL259" s="770"/>
      <c r="HM259" s="770"/>
      <c r="HN259" s="770"/>
      <c r="HO259" s="770"/>
      <c r="HP259" s="770"/>
      <c r="HQ259" s="770"/>
      <c r="HR259" s="770"/>
      <c r="HS259" s="770"/>
      <c r="HT259" s="770"/>
      <c r="HU259" s="770"/>
      <c r="HV259" s="770"/>
      <c r="HW259" s="770"/>
      <c r="HX259" s="770"/>
      <c r="HY259" s="770"/>
      <c r="HZ259" s="770"/>
      <c r="IA259" s="770"/>
      <c r="IB259" s="770"/>
      <c r="IC259" s="770"/>
      <c r="ID259" s="770"/>
      <c r="IE259" s="770"/>
      <c r="IF259" s="770"/>
      <c r="IG259" s="770"/>
      <c r="IH259" s="770"/>
      <c r="II259" s="770"/>
      <c r="IJ259" s="770"/>
      <c r="IK259" s="770"/>
      <c r="IL259" s="770"/>
      <c r="IM259" s="770"/>
      <c r="IN259" s="770"/>
      <c r="IO259" s="770"/>
      <c r="IP259" s="770"/>
      <c r="IQ259" s="770"/>
      <c r="IR259" s="770"/>
      <c r="IS259" s="770"/>
      <c r="IT259" s="770"/>
      <c r="IU259" s="770"/>
      <c r="IV259" s="770"/>
    </row>
    <row r="260" spans="1:256" s="57" customFormat="1" ht="12.75" customHeight="1"/>
    <row r="261" spans="1:256" s="57" customFormat="1" ht="12.75" customHeight="1">
      <c r="G261" s="726"/>
      <c r="H261" s="773"/>
      <c r="I261" s="773"/>
      <c r="J261" s="773"/>
      <c r="K261" s="773"/>
      <c r="L261" s="773"/>
      <c r="M261" s="773"/>
      <c r="N261" s="773"/>
      <c r="O261" s="773"/>
      <c r="P261" s="773"/>
      <c r="Q261" s="773"/>
    </row>
    <row r="262" spans="1:256" s="57" customFormat="1" ht="12.75" customHeight="1"/>
    <row r="263" spans="1:256" s="57" customFormat="1" ht="12.75" customHeight="1">
      <c r="C263" s="774"/>
      <c r="D263" s="775"/>
    </row>
    <row r="264" spans="1:256" s="57" customFormat="1" ht="12.75" customHeight="1">
      <c r="C264" s="776"/>
    </row>
    <row r="265" spans="1:256" s="57" customFormat="1" ht="12.75" customHeight="1">
      <c r="C265" s="777"/>
      <c r="D265" s="778"/>
      <c r="G265" s="779"/>
      <c r="H265" s="779"/>
      <c r="I265" s="779"/>
      <c r="J265" s="779"/>
      <c r="K265" s="779"/>
      <c r="L265" s="779"/>
      <c r="M265" s="779"/>
      <c r="N265" s="779"/>
      <c r="O265" s="779"/>
      <c r="P265" s="779"/>
      <c r="Q265" s="779"/>
    </row>
    <row r="266" spans="1:256" s="57" customFormat="1" ht="12.75" customHeight="1">
      <c r="D266" s="778"/>
      <c r="H266" s="779"/>
      <c r="I266" s="779"/>
      <c r="J266" s="779"/>
      <c r="K266" s="779"/>
      <c r="L266" s="779"/>
      <c r="M266" s="779"/>
      <c r="N266" s="779"/>
      <c r="O266" s="779"/>
      <c r="P266" s="779"/>
      <c r="Q266" s="779"/>
    </row>
    <row r="267" spans="1:256" s="57" customFormat="1" ht="12.75" customHeight="1">
      <c r="D267" s="778"/>
      <c r="I267" s="779"/>
      <c r="J267" s="779"/>
      <c r="K267" s="779"/>
      <c r="L267" s="779"/>
      <c r="M267" s="779"/>
      <c r="N267" s="779"/>
      <c r="O267" s="779"/>
      <c r="P267" s="779"/>
      <c r="Q267" s="779"/>
    </row>
    <row r="268" spans="1:256" s="57" customFormat="1" ht="12.75" customHeight="1">
      <c r="C268" s="777"/>
      <c r="D268" s="778"/>
      <c r="J268" s="779"/>
      <c r="K268" s="779"/>
      <c r="L268" s="779"/>
      <c r="M268" s="779"/>
      <c r="N268" s="779"/>
      <c r="O268" s="779"/>
      <c r="P268" s="779"/>
      <c r="Q268" s="779"/>
    </row>
    <row r="269" spans="1:256" s="57" customFormat="1" ht="12.75" customHeight="1">
      <c r="D269" s="778"/>
      <c r="K269" s="779"/>
      <c r="L269" s="779"/>
      <c r="M269" s="779"/>
      <c r="N269" s="779"/>
      <c r="O269" s="779"/>
      <c r="P269" s="779"/>
      <c r="Q269" s="779"/>
    </row>
    <row r="270" spans="1:256" s="57" customFormat="1" ht="12.75" customHeight="1">
      <c r="D270" s="778"/>
      <c r="L270" s="779"/>
      <c r="M270" s="779"/>
      <c r="N270" s="779"/>
      <c r="O270" s="779"/>
      <c r="P270" s="779"/>
      <c r="Q270" s="779"/>
    </row>
    <row r="271" spans="1:256" s="57" customFormat="1" ht="12.75" customHeight="1">
      <c r="C271" s="777"/>
      <c r="D271" s="778"/>
      <c r="M271" s="779"/>
      <c r="N271" s="779"/>
      <c r="O271" s="779"/>
      <c r="P271" s="779"/>
      <c r="Q271" s="779"/>
    </row>
    <row r="272" spans="1:256" s="57" customFormat="1" ht="12.75" customHeight="1">
      <c r="D272" s="778"/>
      <c r="N272" s="779"/>
      <c r="O272" s="779"/>
      <c r="P272" s="779"/>
      <c r="Q272" s="779"/>
    </row>
    <row r="273" spans="2:19" s="57" customFormat="1" ht="12.75" customHeight="1">
      <c r="D273" s="778"/>
      <c r="O273" s="779"/>
      <c r="P273" s="779"/>
      <c r="Q273" s="779"/>
    </row>
    <row r="274" spans="2:19" s="57" customFormat="1" ht="12.75" customHeight="1">
      <c r="C274" s="777"/>
      <c r="D274" s="778"/>
      <c r="P274" s="779"/>
      <c r="Q274" s="779"/>
    </row>
    <row r="275" spans="2:19" s="57" customFormat="1" ht="12.75" customHeight="1">
      <c r="D275" s="778"/>
      <c r="Q275" s="779"/>
    </row>
    <row r="276" spans="2:19" s="57" customFormat="1" ht="12.75" customHeight="1"/>
    <row r="277" spans="2:19" s="57" customFormat="1" ht="12.75" customHeight="1">
      <c r="C277" s="780"/>
      <c r="G277" s="781"/>
      <c r="H277" s="781"/>
      <c r="I277" s="781"/>
      <c r="J277" s="781"/>
      <c r="K277" s="781"/>
      <c r="L277" s="781"/>
      <c r="M277" s="781"/>
      <c r="N277" s="781"/>
      <c r="O277" s="781"/>
      <c r="P277" s="781"/>
      <c r="Q277" s="781"/>
    </row>
    <row r="278" spans="2:19" s="57" customFormat="1" ht="12.75" customHeight="1"/>
    <row r="279" spans="2:19" s="57" customFormat="1" ht="12.75" customHeight="1"/>
    <row r="280" spans="2:19" s="57" customFormat="1" ht="12.75" customHeight="1"/>
    <row r="281" spans="2:19" s="57" customFormat="1" ht="12.75" customHeight="1"/>
    <row r="282" spans="2:19" s="57" customFormat="1" ht="12.75" customHeight="1">
      <c r="B282" s="748"/>
      <c r="C282" s="739"/>
      <c r="D282" s="738"/>
      <c r="E282" s="739"/>
      <c r="F282" s="740"/>
      <c r="G282" s="740"/>
      <c r="H282" s="740"/>
      <c r="I282" s="740"/>
      <c r="J282" s="740"/>
      <c r="K282" s="740"/>
      <c r="L282" s="740"/>
      <c r="M282" s="740"/>
      <c r="N282" s="740"/>
      <c r="O282" s="740"/>
      <c r="P282" s="740"/>
      <c r="Q282" s="740"/>
      <c r="R282" s="740"/>
      <c r="S282" s="24"/>
    </row>
    <row r="283" spans="2:19" s="57" customFormat="1" ht="12.75" customHeight="1">
      <c r="B283" s="741"/>
      <c r="C283" s="741"/>
      <c r="D283" s="743"/>
      <c r="E283" s="741"/>
      <c r="F283" s="741"/>
      <c r="G283" s="741"/>
      <c r="H283" s="741"/>
      <c r="I283" s="741"/>
      <c r="J283" s="741"/>
      <c r="K283" s="741"/>
      <c r="L283" s="741"/>
      <c r="M283" s="741"/>
      <c r="N283" s="741"/>
      <c r="O283" s="741"/>
      <c r="P283" s="741"/>
      <c r="Q283" s="741"/>
      <c r="R283" s="741"/>
      <c r="S283" s="45"/>
    </row>
    <row r="284" spans="2:19" s="57" customFormat="1" ht="12.75" customHeight="1">
      <c r="D284" s="693"/>
      <c r="S284" s="47"/>
    </row>
    <row r="285" spans="2:19" s="57" customFormat="1" ht="12.75" customHeight="1">
      <c r="C285" s="757"/>
      <c r="D285" s="693"/>
      <c r="F285" s="694"/>
    </row>
    <row r="286" spans="2:19" s="57" customFormat="1" ht="12.75" customHeight="1">
      <c r="D286" s="693"/>
      <c r="G286" s="68"/>
      <c r="H286" s="68"/>
      <c r="I286" s="68"/>
      <c r="J286" s="68"/>
      <c r="K286" s="68"/>
      <c r="L286" s="68"/>
      <c r="M286" s="68"/>
      <c r="N286" s="68"/>
      <c r="O286" s="68"/>
      <c r="P286" s="68"/>
      <c r="Q286" s="68"/>
      <c r="R286" s="700"/>
    </row>
    <row r="287" spans="2:19" s="57" customFormat="1" ht="12.75" customHeight="1">
      <c r="B287" s="78"/>
      <c r="C287" s="78"/>
      <c r="D287" s="695"/>
      <c r="E287" s="696"/>
      <c r="F287" s="696"/>
      <c r="G287" s="697"/>
      <c r="H287" s="698"/>
      <c r="I287" s="698"/>
      <c r="J287" s="698"/>
      <c r="K287" s="698"/>
      <c r="L287" s="698"/>
      <c r="M287" s="698"/>
      <c r="N287" s="698"/>
      <c r="O287" s="698"/>
      <c r="P287" s="698"/>
      <c r="Q287" s="698"/>
      <c r="R287" s="745"/>
    </row>
    <row r="288" spans="2:19" s="57" customFormat="1" ht="12.75" customHeight="1"/>
    <row r="289" spans="2:21" s="57" customFormat="1" ht="12.75" customHeight="1">
      <c r="B289" s="736"/>
      <c r="D289" s="782"/>
      <c r="E289" s="783"/>
    </row>
    <row r="290" spans="2:21" s="57" customFormat="1" ht="12.75" customHeight="1">
      <c r="D290" s="784"/>
      <c r="E290" s="784"/>
      <c r="F290" s="785"/>
      <c r="G290" s="779"/>
      <c r="H290" s="779"/>
      <c r="I290" s="779"/>
      <c r="J290" s="779"/>
      <c r="K290" s="779"/>
      <c r="L290" s="779"/>
      <c r="M290" s="779"/>
      <c r="N290" s="779"/>
      <c r="O290" s="779"/>
      <c r="P290" s="779"/>
      <c r="Q290" s="779"/>
      <c r="R290" s="717"/>
      <c r="S290" s="717"/>
      <c r="T290" s="717"/>
      <c r="U290" s="717"/>
    </row>
    <row r="291" spans="2:21" s="57" customFormat="1" ht="12.75" customHeight="1">
      <c r="D291" s="784"/>
      <c r="E291" s="784"/>
      <c r="F291" s="785"/>
      <c r="G291" s="779"/>
      <c r="H291" s="779"/>
      <c r="I291" s="779"/>
      <c r="J291" s="779"/>
      <c r="K291" s="779"/>
      <c r="L291" s="779"/>
      <c r="M291" s="779"/>
      <c r="N291" s="779"/>
      <c r="O291" s="779"/>
      <c r="P291" s="779"/>
      <c r="Q291" s="779"/>
      <c r="R291" s="717"/>
      <c r="S291" s="717"/>
      <c r="T291" s="717"/>
      <c r="U291" s="717"/>
    </row>
    <row r="292" spans="2:21" s="57" customFormat="1" ht="12.75" customHeight="1">
      <c r="D292" s="784"/>
      <c r="E292" s="784"/>
      <c r="F292" s="785"/>
      <c r="G292" s="779"/>
      <c r="H292" s="779"/>
      <c r="I292" s="779"/>
      <c r="J292" s="779"/>
      <c r="K292" s="779"/>
      <c r="L292" s="779"/>
      <c r="M292" s="779"/>
      <c r="N292" s="779"/>
      <c r="O292" s="779"/>
      <c r="P292" s="779"/>
      <c r="Q292" s="779"/>
      <c r="R292" s="717"/>
      <c r="S292" s="717"/>
      <c r="T292" s="717"/>
      <c r="U292" s="717"/>
    </row>
    <row r="293" spans="2:21" s="57" customFormat="1" ht="12.75" customHeight="1">
      <c r="C293" s="47"/>
      <c r="F293" s="779"/>
      <c r="G293" s="779"/>
      <c r="H293" s="779"/>
      <c r="I293" s="779"/>
      <c r="J293" s="779"/>
      <c r="K293" s="779"/>
      <c r="L293" s="779"/>
      <c r="M293" s="779"/>
      <c r="N293" s="779"/>
      <c r="O293" s="779"/>
      <c r="P293" s="779"/>
      <c r="Q293" s="779"/>
      <c r="R293" s="717"/>
      <c r="S293" s="717"/>
      <c r="T293" s="717"/>
      <c r="U293" s="717"/>
    </row>
    <row r="294" spans="2:21" s="57" customFormat="1" ht="12.75" customHeight="1">
      <c r="F294" s="717"/>
      <c r="G294" s="717"/>
      <c r="H294" s="717"/>
      <c r="I294" s="717"/>
      <c r="J294" s="717"/>
      <c r="K294" s="717"/>
      <c r="L294" s="717"/>
      <c r="M294" s="717"/>
      <c r="N294" s="717"/>
      <c r="O294" s="717"/>
      <c r="P294" s="717"/>
      <c r="Q294" s="717"/>
      <c r="R294" s="717"/>
      <c r="S294" s="717"/>
      <c r="T294" s="717"/>
      <c r="U294" s="717"/>
    </row>
    <row r="295" spans="2:21" s="57" customFormat="1" ht="12.75" customHeight="1">
      <c r="B295" s="736"/>
      <c r="F295" s="717"/>
      <c r="G295" s="717"/>
      <c r="H295" s="717"/>
      <c r="I295" s="717"/>
      <c r="J295" s="717"/>
      <c r="K295" s="717"/>
      <c r="L295" s="717"/>
      <c r="M295" s="717"/>
      <c r="N295" s="717"/>
      <c r="O295" s="717"/>
      <c r="P295" s="717"/>
      <c r="Q295" s="717"/>
      <c r="R295" s="717"/>
      <c r="S295" s="717"/>
      <c r="T295" s="717"/>
      <c r="U295" s="717"/>
    </row>
    <row r="296" spans="2:21" s="57" customFormat="1" ht="12.75" customHeight="1">
      <c r="F296" s="720"/>
      <c r="G296" s="720"/>
      <c r="H296" s="720"/>
      <c r="I296" s="720"/>
      <c r="J296" s="720"/>
      <c r="K296" s="720"/>
      <c r="L296" s="720"/>
      <c r="M296" s="720"/>
      <c r="N296" s="720"/>
      <c r="O296" s="720"/>
      <c r="P296" s="720"/>
      <c r="Q296" s="720"/>
      <c r="R296" s="717"/>
      <c r="S296" s="717"/>
      <c r="T296" s="717"/>
      <c r="U296" s="717"/>
    </row>
    <row r="297" spans="2:21" s="57" customFormat="1" ht="12.75" customHeight="1">
      <c r="F297" s="720"/>
      <c r="G297" s="720"/>
      <c r="H297" s="720"/>
      <c r="I297" s="720"/>
      <c r="J297" s="720"/>
      <c r="K297" s="720"/>
      <c r="L297" s="720"/>
      <c r="M297" s="720"/>
      <c r="N297" s="720"/>
      <c r="O297" s="720"/>
      <c r="P297" s="720"/>
      <c r="Q297" s="720"/>
      <c r="R297" s="717"/>
      <c r="S297" s="717"/>
      <c r="T297" s="717"/>
      <c r="U297" s="717"/>
    </row>
    <row r="298" spans="2:21" s="57" customFormat="1" ht="12.75" customHeight="1">
      <c r="F298" s="720"/>
      <c r="G298" s="720"/>
      <c r="H298" s="720"/>
      <c r="I298" s="720"/>
      <c r="J298" s="720"/>
      <c r="K298" s="720"/>
      <c r="L298" s="720"/>
      <c r="M298" s="720"/>
      <c r="N298" s="720"/>
      <c r="O298" s="720"/>
      <c r="P298" s="720"/>
      <c r="Q298" s="720"/>
      <c r="R298" s="717"/>
      <c r="S298" s="717"/>
      <c r="T298" s="717"/>
      <c r="U298" s="717"/>
    </row>
    <row r="299" spans="2:21" s="57" customFormat="1" ht="12.75" customHeight="1">
      <c r="F299" s="717"/>
      <c r="G299" s="717"/>
      <c r="H299" s="717"/>
      <c r="I299" s="717"/>
      <c r="J299" s="717"/>
      <c r="K299" s="717"/>
      <c r="L299" s="717"/>
      <c r="M299" s="717"/>
      <c r="N299" s="717"/>
      <c r="O299" s="717"/>
      <c r="P299" s="717"/>
      <c r="Q299" s="717"/>
      <c r="R299" s="717"/>
      <c r="S299" s="717"/>
      <c r="T299" s="717"/>
      <c r="U299" s="717"/>
    </row>
    <row r="300" spans="2:21" s="57" customFormat="1" ht="12.75" customHeight="1">
      <c r="F300" s="717"/>
      <c r="G300" s="717"/>
      <c r="H300" s="717"/>
      <c r="I300" s="717"/>
      <c r="J300" s="717"/>
      <c r="K300" s="717"/>
      <c r="L300" s="717"/>
      <c r="M300" s="717"/>
      <c r="N300" s="717"/>
      <c r="O300" s="717"/>
      <c r="P300" s="717"/>
      <c r="Q300" s="717"/>
      <c r="R300" s="717"/>
      <c r="S300" s="717"/>
      <c r="T300" s="717"/>
      <c r="U300" s="717"/>
    </row>
    <row r="301" spans="2:21" s="57" customFormat="1" ht="12.75" customHeight="1">
      <c r="B301" s="736"/>
      <c r="F301" s="717"/>
      <c r="G301" s="717"/>
      <c r="H301" s="717"/>
      <c r="I301" s="717"/>
      <c r="J301" s="717"/>
      <c r="K301" s="717"/>
      <c r="L301" s="717"/>
      <c r="M301" s="717"/>
      <c r="N301" s="717"/>
      <c r="O301" s="717"/>
      <c r="P301" s="717"/>
      <c r="Q301" s="717"/>
      <c r="R301" s="717"/>
      <c r="S301" s="717"/>
      <c r="T301" s="717"/>
      <c r="U301" s="717"/>
    </row>
    <row r="302" spans="2:21" s="57" customFormat="1" ht="12.75" customHeight="1">
      <c r="F302" s="717"/>
      <c r="G302" s="779"/>
      <c r="H302" s="779"/>
      <c r="I302" s="779"/>
      <c r="J302" s="779"/>
      <c r="K302" s="779"/>
      <c r="L302" s="779"/>
      <c r="M302" s="779"/>
      <c r="N302" s="779"/>
      <c r="O302" s="779"/>
      <c r="P302" s="779"/>
      <c r="Q302" s="779"/>
      <c r="R302" s="717"/>
      <c r="S302" s="717"/>
      <c r="T302" s="717"/>
      <c r="U302" s="717"/>
    </row>
    <row r="303" spans="2:21" s="57" customFormat="1" ht="12.75" customHeight="1">
      <c r="F303" s="717"/>
      <c r="G303" s="779"/>
      <c r="H303" s="779"/>
      <c r="I303" s="779"/>
      <c r="J303" s="779"/>
      <c r="K303" s="779"/>
      <c r="L303" s="779"/>
      <c r="M303" s="779"/>
      <c r="N303" s="779"/>
      <c r="O303" s="779"/>
      <c r="P303" s="779"/>
      <c r="Q303" s="779"/>
      <c r="R303" s="717"/>
      <c r="S303" s="717"/>
      <c r="T303" s="717"/>
      <c r="U303" s="717"/>
    </row>
    <row r="304" spans="2:21" s="57" customFormat="1" ht="12.75" customHeight="1">
      <c r="F304" s="717"/>
      <c r="G304" s="779"/>
      <c r="H304" s="779"/>
      <c r="I304" s="779"/>
      <c r="J304" s="779"/>
      <c r="K304" s="779"/>
      <c r="L304" s="779"/>
      <c r="M304" s="779"/>
      <c r="N304" s="779"/>
      <c r="O304" s="779"/>
      <c r="P304" s="779"/>
      <c r="Q304" s="779"/>
      <c r="R304" s="717"/>
      <c r="S304" s="717"/>
      <c r="T304" s="717"/>
      <c r="U304" s="717"/>
    </row>
    <row r="305" spans="2:21" s="736" customFormat="1" ht="12.75" customHeight="1">
      <c r="F305" s="759"/>
      <c r="G305" s="786"/>
      <c r="H305" s="786"/>
      <c r="I305" s="786"/>
      <c r="J305" s="786"/>
      <c r="K305" s="786"/>
      <c r="L305" s="786"/>
      <c r="M305" s="786"/>
      <c r="N305" s="786"/>
      <c r="O305" s="786"/>
      <c r="P305" s="786"/>
      <c r="Q305" s="786"/>
      <c r="R305" s="759"/>
      <c r="S305" s="759"/>
      <c r="T305" s="759"/>
      <c r="U305" s="759"/>
    </row>
    <row r="306" spans="2:21" s="57" customFormat="1" ht="12.75" customHeight="1">
      <c r="F306" s="717"/>
      <c r="G306" s="717"/>
      <c r="H306" s="717"/>
      <c r="I306" s="717"/>
      <c r="J306" s="717"/>
      <c r="K306" s="717"/>
      <c r="L306" s="717"/>
      <c r="M306" s="717"/>
      <c r="N306" s="717"/>
      <c r="O306" s="717"/>
      <c r="P306" s="717"/>
      <c r="Q306" s="717"/>
      <c r="R306" s="717"/>
      <c r="S306" s="717"/>
      <c r="T306" s="717"/>
      <c r="U306" s="717"/>
    </row>
    <row r="307" spans="2:21" s="57" customFormat="1" ht="12.75" customHeight="1">
      <c r="F307" s="717"/>
      <c r="G307" s="717"/>
      <c r="H307" s="717"/>
      <c r="I307" s="717"/>
      <c r="J307" s="717"/>
      <c r="K307" s="717"/>
      <c r="L307" s="717"/>
      <c r="M307" s="717"/>
      <c r="N307" s="717"/>
      <c r="O307" s="717"/>
      <c r="P307" s="717"/>
      <c r="Q307" s="717"/>
      <c r="R307" s="717"/>
      <c r="S307" s="717"/>
      <c r="T307" s="717"/>
      <c r="U307" s="717"/>
    </row>
    <row r="308" spans="2:21" s="57" customFormat="1" ht="12.75" customHeight="1">
      <c r="F308" s="717"/>
      <c r="G308" s="717"/>
      <c r="H308" s="717"/>
      <c r="I308" s="717"/>
      <c r="J308" s="717"/>
      <c r="K308" s="717"/>
      <c r="L308" s="717"/>
      <c r="M308" s="717"/>
      <c r="N308" s="717"/>
      <c r="O308" s="717"/>
      <c r="P308" s="717"/>
      <c r="Q308" s="717"/>
      <c r="R308" s="717"/>
      <c r="S308" s="717"/>
      <c r="T308" s="717"/>
      <c r="U308" s="717"/>
    </row>
    <row r="309" spans="2:21" s="57" customFormat="1" ht="12.75" customHeight="1">
      <c r="F309" s="717"/>
      <c r="G309" s="717"/>
      <c r="H309" s="717"/>
      <c r="I309" s="717"/>
      <c r="J309" s="717"/>
      <c r="K309" s="717"/>
      <c r="L309" s="717"/>
      <c r="M309" s="717"/>
      <c r="N309" s="717"/>
      <c r="O309" s="717"/>
      <c r="P309" s="717"/>
      <c r="Q309" s="717"/>
      <c r="R309" s="717"/>
      <c r="S309" s="717"/>
      <c r="T309" s="717"/>
      <c r="U309" s="717"/>
    </row>
    <row r="310" spans="2:21" s="57" customFormat="1" ht="12.75" customHeight="1">
      <c r="B310" s="748"/>
      <c r="C310" s="739"/>
      <c r="D310" s="738"/>
      <c r="E310" s="739"/>
      <c r="F310" s="740"/>
      <c r="G310" s="740"/>
      <c r="H310" s="740"/>
      <c r="I310" s="740"/>
      <c r="J310" s="740"/>
      <c r="K310" s="740"/>
      <c r="L310" s="740"/>
      <c r="M310" s="740"/>
      <c r="N310" s="740"/>
      <c r="O310" s="740"/>
      <c r="P310" s="740"/>
      <c r="Q310" s="740"/>
      <c r="R310" s="740"/>
      <c r="S310" s="24"/>
    </row>
    <row r="311" spans="2:21" s="57" customFormat="1" ht="12.75" customHeight="1">
      <c r="B311" s="741"/>
      <c r="C311" s="741"/>
      <c r="D311" s="743"/>
      <c r="E311" s="741"/>
      <c r="F311" s="741"/>
      <c r="G311" s="741"/>
      <c r="H311" s="741"/>
      <c r="I311" s="741"/>
      <c r="J311" s="741"/>
      <c r="K311" s="741"/>
      <c r="L311" s="741"/>
      <c r="M311" s="741"/>
      <c r="N311" s="741"/>
      <c r="O311" s="741"/>
      <c r="P311" s="741"/>
      <c r="Q311" s="741"/>
      <c r="R311" s="741"/>
      <c r="S311" s="45"/>
    </row>
    <row r="312" spans="2:21" s="57" customFormat="1" ht="12.75" customHeight="1">
      <c r="D312" s="693"/>
      <c r="S312" s="47"/>
    </row>
    <row r="313" spans="2:21" s="57" customFormat="1" ht="12.75" customHeight="1">
      <c r="C313" s="757"/>
      <c r="D313" s="693"/>
      <c r="F313" s="694"/>
    </row>
    <row r="314" spans="2:21" s="57" customFormat="1" ht="12.75" customHeight="1">
      <c r="F314" s="717"/>
      <c r="G314" s="717"/>
      <c r="H314" s="717"/>
      <c r="I314" s="717"/>
      <c r="J314" s="717"/>
      <c r="K314" s="717"/>
      <c r="L314" s="717"/>
      <c r="M314" s="717"/>
      <c r="N314" s="717"/>
      <c r="O314" s="717"/>
      <c r="P314" s="717"/>
      <c r="Q314" s="717"/>
      <c r="R314" s="717"/>
      <c r="S314" s="717"/>
      <c r="T314" s="717"/>
      <c r="U314" s="717"/>
    </row>
    <row r="315" spans="2:21" s="57" customFormat="1" ht="12.75" customHeight="1">
      <c r="F315" s="717"/>
      <c r="G315" s="717"/>
      <c r="H315" s="717"/>
      <c r="I315" s="717"/>
      <c r="J315" s="717"/>
      <c r="K315" s="717"/>
      <c r="L315" s="717"/>
      <c r="M315" s="717"/>
      <c r="N315" s="717"/>
      <c r="O315" s="717"/>
      <c r="P315" s="717"/>
      <c r="Q315" s="717"/>
      <c r="R315" s="717"/>
      <c r="S315" s="717"/>
      <c r="T315" s="717"/>
      <c r="U315" s="717"/>
    </row>
    <row r="316" spans="2:21" s="57" customFormat="1" ht="12.75" customHeight="1">
      <c r="F316" s="717"/>
      <c r="G316" s="717"/>
      <c r="H316" s="717"/>
      <c r="I316" s="717"/>
      <c r="J316" s="717"/>
      <c r="K316" s="717"/>
      <c r="L316" s="717"/>
      <c r="M316" s="717"/>
      <c r="N316" s="717"/>
      <c r="O316" s="717"/>
      <c r="P316" s="717"/>
      <c r="Q316" s="717"/>
      <c r="R316" s="717"/>
      <c r="S316" s="717"/>
      <c r="T316" s="717"/>
      <c r="U316" s="717"/>
    </row>
    <row r="317" spans="2:21" s="57" customFormat="1" ht="12.75" customHeight="1">
      <c r="F317" s="717"/>
      <c r="G317" s="717"/>
      <c r="H317" s="717"/>
      <c r="I317" s="717"/>
      <c r="J317" s="717"/>
      <c r="K317" s="717"/>
      <c r="L317" s="717"/>
      <c r="M317" s="717"/>
      <c r="N317" s="717"/>
      <c r="O317" s="717"/>
      <c r="P317" s="717"/>
      <c r="Q317" s="717"/>
      <c r="R317" s="717"/>
      <c r="S317" s="717"/>
      <c r="T317" s="717"/>
      <c r="U317" s="717"/>
    </row>
    <row r="318" spans="2:21" s="57" customFormat="1" ht="12.75" customHeight="1">
      <c r="F318" s="717"/>
      <c r="G318" s="717"/>
      <c r="H318" s="717"/>
      <c r="I318" s="717"/>
      <c r="J318" s="717"/>
      <c r="K318" s="717"/>
      <c r="L318" s="717"/>
      <c r="M318" s="717"/>
      <c r="N318" s="717"/>
      <c r="O318" s="717"/>
      <c r="P318" s="717"/>
      <c r="Q318" s="717"/>
      <c r="R318" s="717"/>
      <c r="S318" s="717"/>
      <c r="T318" s="717"/>
      <c r="U318" s="717"/>
    </row>
    <row r="319" spans="2:21" s="57" customFormat="1" ht="12.75" customHeight="1">
      <c r="F319" s="717"/>
      <c r="G319" s="717"/>
      <c r="H319" s="717"/>
      <c r="I319" s="717"/>
      <c r="J319" s="717"/>
      <c r="K319" s="717"/>
      <c r="L319" s="717"/>
      <c r="M319" s="717"/>
      <c r="N319" s="717"/>
      <c r="O319" s="717"/>
      <c r="P319" s="717"/>
      <c r="Q319" s="717"/>
      <c r="R319" s="717"/>
      <c r="S319" s="717"/>
      <c r="T319" s="717"/>
      <c r="U319" s="717"/>
    </row>
    <row r="320" spans="2:21" s="57" customFormat="1" ht="12.75" customHeight="1">
      <c r="F320" s="717"/>
      <c r="G320" s="717"/>
      <c r="H320" s="717"/>
      <c r="I320" s="717"/>
      <c r="J320" s="717"/>
      <c r="K320" s="717"/>
      <c r="L320" s="717"/>
      <c r="M320" s="717"/>
      <c r="N320" s="717"/>
      <c r="O320" s="717"/>
      <c r="P320" s="717"/>
      <c r="Q320" s="717"/>
      <c r="R320" s="717"/>
      <c r="S320" s="717"/>
      <c r="T320" s="717"/>
      <c r="U320" s="717"/>
    </row>
    <row r="321" spans="6:21" s="57" customFormat="1" ht="12.75" customHeight="1">
      <c r="F321" s="717"/>
      <c r="G321" s="717"/>
      <c r="H321" s="717"/>
      <c r="I321" s="717"/>
      <c r="J321" s="717"/>
      <c r="K321" s="717"/>
      <c r="L321" s="717"/>
      <c r="M321" s="717"/>
      <c r="N321" s="717"/>
      <c r="O321" s="717"/>
      <c r="P321" s="717"/>
      <c r="Q321" s="717"/>
      <c r="R321" s="717"/>
      <c r="S321" s="717"/>
      <c r="T321" s="717"/>
      <c r="U321" s="717"/>
    </row>
    <row r="322" spans="6:21" s="57" customFormat="1" ht="12.75" customHeight="1">
      <c r="F322" s="717"/>
      <c r="G322" s="717"/>
      <c r="H322" s="717"/>
      <c r="I322" s="717"/>
      <c r="J322" s="717"/>
      <c r="K322" s="717"/>
      <c r="L322" s="717"/>
      <c r="M322" s="717"/>
      <c r="N322" s="717"/>
      <c r="O322" s="717"/>
      <c r="P322" s="717"/>
      <c r="Q322" s="717"/>
      <c r="R322" s="717"/>
      <c r="S322" s="717"/>
      <c r="T322" s="717"/>
      <c r="U322" s="717"/>
    </row>
    <row r="323" spans="6:21" s="57" customFormat="1" ht="12.75" customHeight="1">
      <c r="F323" s="717"/>
      <c r="G323" s="717"/>
      <c r="H323" s="717"/>
      <c r="I323" s="717"/>
      <c r="J323" s="717"/>
      <c r="K323" s="717"/>
      <c r="L323" s="717"/>
      <c r="M323" s="717"/>
      <c r="N323" s="717"/>
      <c r="O323" s="717"/>
      <c r="P323" s="717"/>
      <c r="Q323" s="717"/>
      <c r="R323" s="717"/>
      <c r="S323" s="717"/>
      <c r="T323" s="717"/>
      <c r="U323" s="717"/>
    </row>
    <row r="324" spans="6:21" s="57" customFormat="1" ht="12.75" customHeight="1"/>
    <row r="325" spans="6:21" s="57" customFormat="1" ht="12.75" customHeight="1"/>
    <row r="326" spans="6:21" s="57" customFormat="1" ht="12.75" customHeight="1"/>
    <row r="327" spans="6:21" s="57" customFormat="1" ht="12.75" customHeight="1"/>
    <row r="328" spans="6:21" s="57" customFormat="1" ht="12.75" customHeight="1"/>
    <row r="329" spans="6:21" s="57" customFormat="1" ht="12.75" customHeight="1"/>
    <row r="330" spans="6:21" s="57" customFormat="1" ht="12.75" customHeight="1"/>
    <row r="331" spans="6:21" s="57" customFormat="1" ht="12.75" customHeight="1"/>
    <row r="332" spans="6:21" s="57" customFormat="1" ht="12.75" customHeight="1"/>
    <row r="333" spans="6:21" s="57" customFormat="1" ht="12.75" customHeight="1"/>
    <row r="334" spans="6:21" s="57" customFormat="1" ht="12.75" customHeight="1"/>
    <row r="335" spans="6:21" s="57" customFormat="1" ht="12.75" customHeight="1"/>
    <row r="336" spans="6:21" s="57" customFormat="1" ht="12.75" customHeight="1"/>
    <row r="337" s="57" customFormat="1" ht="12.75" customHeight="1"/>
    <row r="338" s="57" customFormat="1" ht="12.75" customHeight="1"/>
    <row r="339" s="57" customFormat="1" ht="12.75" customHeight="1"/>
    <row r="340" s="57" customFormat="1" ht="12.75" customHeight="1"/>
    <row r="341" s="57" customFormat="1" ht="12.75" customHeight="1"/>
    <row r="342" s="57" customFormat="1" ht="12.75" customHeight="1"/>
    <row r="343" s="57" customFormat="1" ht="12.75" customHeight="1"/>
    <row r="344" s="57" customFormat="1" ht="12.75" customHeight="1"/>
    <row r="345" s="57" customFormat="1" ht="12.75" customHeight="1"/>
    <row r="346" s="57" customFormat="1" ht="12.75" customHeight="1"/>
    <row r="347" s="57" customFormat="1" ht="12.75" customHeight="1"/>
    <row r="348" s="57" customFormat="1" ht="12.75" customHeight="1"/>
    <row r="349" s="57" customFormat="1" ht="12.75" customHeight="1"/>
    <row r="350" s="57" customFormat="1" ht="12.75" customHeight="1"/>
    <row r="351" s="57" customFormat="1" ht="12.75" customHeight="1"/>
    <row r="352" s="57" customFormat="1" ht="12.75" customHeight="1"/>
    <row r="353" s="57" customFormat="1" ht="12.75" customHeight="1"/>
    <row r="354" s="57" customFormat="1" ht="12.75" customHeight="1"/>
    <row r="355" s="57" customFormat="1" ht="12.75" customHeight="1"/>
    <row r="356" s="57" customFormat="1" ht="12.75" customHeight="1"/>
    <row r="357" s="57" customFormat="1" ht="12.75" customHeight="1"/>
    <row r="358" s="57" customFormat="1" ht="12.75" customHeight="1"/>
    <row r="359" s="57" customFormat="1" ht="12.75" customHeight="1"/>
    <row r="360" s="57" customFormat="1" ht="12.75" customHeight="1"/>
    <row r="361" s="57" customFormat="1" ht="12.75" customHeight="1"/>
    <row r="362" s="57" customFormat="1" ht="12.75" customHeight="1"/>
    <row r="363" s="57" customFormat="1" ht="12.75" customHeight="1"/>
    <row r="364" s="57" customFormat="1" ht="12.75" customHeight="1"/>
    <row r="365" s="57" customFormat="1" ht="12.75" customHeight="1"/>
    <row r="366" s="57" customFormat="1" ht="12.75" customHeight="1"/>
    <row r="367" s="57" customFormat="1" ht="12.75" customHeight="1"/>
    <row r="368" s="57" customFormat="1" ht="12.75" customHeight="1"/>
    <row r="369" s="57" customFormat="1" ht="12.75" customHeight="1"/>
    <row r="370" s="57" customFormat="1" ht="12.75" customHeight="1"/>
    <row r="371" s="57" customFormat="1" ht="12.75" customHeight="1"/>
    <row r="372" s="57" customFormat="1" ht="12.75" customHeight="1"/>
    <row r="373" s="57" customFormat="1" ht="12.75" customHeight="1"/>
    <row r="374" s="57" customFormat="1" ht="12.75" customHeight="1"/>
    <row r="375" s="57" customFormat="1" ht="12.75" customHeight="1"/>
    <row r="376" s="57" customFormat="1" ht="12.75" customHeight="1"/>
    <row r="377" s="57" customFormat="1" ht="12.75" customHeight="1"/>
    <row r="378" s="57" customFormat="1" ht="12.75" customHeight="1"/>
    <row r="379" s="57" customFormat="1" ht="12.75" customHeight="1"/>
    <row r="380" s="57" customFormat="1" ht="12.75" customHeight="1"/>
    <row r="381" s="57" customFormat="1" ht="12.75" customHeight="1"/>
    <row r="382" s="57" customFormat="1" ht="12.75" customHeight="1"/>
    <row r="383" s="57" customFormat="1" ht="12.75" customHeight="1"/>
    <row r="384" s="57" customFormat="1" ht="12.75" customHeight="1"/>
    <row r="385" s="57" customFormat="1" ht="12.75" customHeight="1"/>
    <row r="386" s="57" customFormat="1" ht="12.75" customHeight="1"/>
    <row r="387" s="57" customFormat="1" ht="12.75" customHeight="1"/>
    <row r="388" s="57" customFormat="1" ht="12.75" customHeight="1"/>
    <row r="389" s="57" customFormat="1" ht="12.75" customHeight="1"/>
    <row r="390" s="57" customFormat="1" ht="12.75" customHeight="1"/>
    <row r="391" s="57" customFormat="1" ht="12.75" customHeight="1"/>
    <row r="392" s="57" customFormat="1" ht="12.75" customHeight="1"/>
    <row r="393" s="57" customFormat="1" ht="12.75" customHeight="1"/>
    <row r="394" s="57" customFormat="1" ht="12.75" customHeight="1"/>
    <row r="395" s="57" customFormat="1" ht="12.75" customHeight="1"/>
    <row r="396" s="57" customFormat="1" ht="12.75" customHeight="1"/>
    <row r="397" s="57" customFormat="1" ht="12.75" customHeight="1"/>
    <row r="398" s="57" customFormat="1" ht="12.75" customHeight="1"/>
    <row r="399" s="57" customFormat="1" ht="12.75" customHeight="1"/>
    <row r="400" s="57" customFormat="1" ht="12.75" customHeight="1"/>
    <row r="401" s="57" customFormat="1" ht="12.75" customHeight="1"/>
    <row r="402" s="57" customFormat="1" ht="12.75" customHeight="1"/>
    <row r="403" s="57" customFormat="1" ht="12.75" customHeight="1"/>
    <row r="404" s="57" customFormat="1" ht="12.75" customHeight="1"/>
    <row r="405" s="57" customFormat="1" ht="12.75" customHeight="1"/>
    <row r="406" s="57" customFormat="1" ht="12.75" customHeight="1"/>
    <row r="407" s="57" customFormat="1"/>
    <row r="408" s="57" customFormat="1"/>
    <row r="409" s="57" customFormat="1"/>
    <row r="410" s="57" customFormat="1"/>
    <row r="411" s="57" customFormat="1"/>
    <row r="412" s="57" customFormat="1"/>
    <row r="413" s="57" customFormat="1"/>
    <row r="414" s="57" customFormat="1"/>
    <row r="415" s="57" customFormat="1"/>
    <row r="416" s="57" customFormat="1"/>
    <row r="417" s="57" customFormat="1"/>
    <row r="418" s="57" customFormat="1"/>
    <row r="419" s="57" customFormat="1"/>
    <row r="420" s="57" customFormat="1"/>
    <row r="421" s="57" customFormat="1"/>
    <row r="422" s="57" customFormat="1"/>
    <row r="423" s="57" customFormat="1"/>
    <row r="424" s="57" customFormat="1"/>
    <row r="425" s="57" customFormat="1"/>
    <row r="426" s="57" customFormat="1"/>
    <row r="427" s="57" customFormat="1"/>
    <row r="428" s="57" customFormat="1"/>
    <row r="429" s="57" customFormat="1"/>
    <row r="430" s="57" customFormat="1"/>
    <row r="431" s="57" customFormat="1"/>
    <row r="432" s="57" customFormat="1"/>
    <row r="433" s="57" customFormat="1"/>
    <row r="434" s="57" customFormat="1"/>
    <row r="435" s="57" customFormat="1"/>
    <row r="436" s="57" customFormat="1"/>
    <row r="437" s="57" customFormat="1"/>
    <row r="438" s="57" customFormat="1"/>
    <row r="439" s="57" customFormat="1"/>
    <row r="440" s="57" customFormat="1"/>
    <row r="441" s="57" customFormat="1"/>
    <row r="442" s="57" customFormat="1"/>
    <row r="443" s="57" customFormat="1"/>
    <row r="444" s="57" customFormat="1"/>
    <row r="445" s="57" customFormat="1"/>
    <row r="446" s="57" customFormat="1"/>
    <row r="447" s="57" customFormat="1"/>
    <row r="448" s="57" customFormat="1"/>
    <row r="449" s="57" customFormat="1"/>
    <row r="450" s="57" customFormat="1"/>
    <row r="451" s="57" customFormat="1"/>
    <row r="452" s="57" customFormat="1"/>
    <row r="453" s="57" customFormat="1"/>
    <row r="454" s="57" customFormat="1"/>
    <row r="455" s="57" customFormat="1"/>
    <row r="456" s="57" customFormat="1"/>
    <row r="457" s="57" customFormat="1"/>
    <row r="458" s="57" customFormat="1"/>
    <row r="459" s="57" customFormat="1"/>
    <row r="460" s="57" customFormat="1"/>
    <row r="461" s="57" customFormat="1"/>
    <row r="462" s="57" customFormat="1"/>
    <row r="463" s="57" customFormat="1"/>
    <row r="464" s="57" customFormat="1"/>
    <row r="465" s="57" customFormat="1"/>
    <row r="466" s="57" customFormat="1"/>
    <row r="467" s="57" customFormat="1"/>
    <row r="468" s="57" customFormat="1"/>
    <row r="469" s="57" customFormat="1"/>
    <row r="470" s="57" customFormat="1"/>
    <row r="471" s="57" customFormat="1"/>
    <row r="472" s="57" customFormat="1"/>
    <row r="473" s="57" customFormat="1"/>
    <row r="474" s="57" customFormat="1"/>
    <row r="475" s="57" customFormat="1"/>
    <row r="476" s="57" customFormat="1"/>
    <row r="477" s="57" customFormat="1"/>
    <row r="478" s="57" customFormat="1"/>
    <row r="479" s="57" customFormat="1"/>
    <row r="480" s="57" customFormat="1"/>
    <row r="481" s="57" customFormat="1"/>
    <row r="482" s="57" customFormat="1"/>
    <row r="483" s="57" customFormat="1"/>
    <row r="484" s="57" customFormat="1"/>
    <row r="485" s="57" customFormat="1"/>
    <row r="486" s="57" customFormat="1"/>
    <row r="487" s="57" customFormat="1"/>
    <row r="488" s="57" customFormat="1"/>
    <row r="489" s="57" customFormat="1"/>
    <row r="490" s="57" customFormat="1"/>
    <row r="491" s="57" customFormat="1"/>
    <row r="492" s="57" customFormat="1"/>
    <row r="493" s="57" customFormat="1"/>
    <row r="494" s="57" customFormat="1"/>
    <row r="495" s="57" customFormat="1"/>
    <row r="496" s="57" customFormat="1"/>
    <row r="497" s="57" customFormat="1"/>
    <row r="498" s="57" customFormat="1"/>
    <row r="499" s="57" customFormat="1"/>
    <row r="500" s="57" customFormat="1"/>
    <row r="501" s="57" customFormat="1"/>
    <row r="502" s="57" customFormat="1"/>
    <row r="503" s="57" customFormat="1"/>
  </sheetData>
  <sheetProtection formatCells="0" formatColumns="0" formatRows="0" insertColumns="0" insertRows="0"/>
  <phoneticPr fontId="0" type="noConversion"/>
  <conditionalFormatting sqref="J358:N362">
    <cfRule type="cellIs" dxfId="2" priority="1" stopIfTrue="1" operator="greaterThan">
      <formula>330</formula>
    </cfRule>
  </conditionalFormatting>
  <printOptions horizontalCentered="1"/>
  <pageMargins left="0.5" right="0.5" top="0.25" bottom="0.5" header="0.25" footer="0.25"/>
  <pageSetup scale="92"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P34"/>
  <sheetViews>
    <sheetView showGridLines="0" topLeftCell="A11" zoomScaleNormal="90" zoomScaleSheetLayoutView="80" workbookViewId="0"/>
  </sheetViews>
  <sheetFormatPr defaultColWidth="9.26953125" defaultRowHeight="13"/>
  <cols>
    <col min="1" max="1" width="7.7265625" style="15" customWidth="1"/>
    <col min="2" max="2" width="1.81640625" style="15" customWidth="1"/>
    <col min="3" max="3" width="2.26953125" style="15" customWidth="1"/>
    <col min="4" max="4" width="9.26953125" style="15" customWidth="1"/>
    <col min="5" max="5" width="15" style="15" customWidth="1"/>
    <col min="6" max="6" width="10.26953125" style="336" customWidth="1"/>
    <col min="7" max="7" width="1.81640625" style="15" customWidth="1"/>
    <col min="8" max="16" width="9.7265625" style="15" customWidth="1"/>
    <col min="17" max="16384" width="9.26953125" style="15"/>
  </cols>
  <sheetData>
    <row r="1" spans="1:16" ht="12.75" customHeight="1">
      <c r="A1" s="787"/>
      <c r="B1" s="1"/>
      <c r="C1" s="13"/>
      <c r="D1" s="13"/>
      <c r="E1" s="13"/>
      <c r="F1" s="13"/>
      <c r="G1" s="13"/>
      <c r="H1" s="13"/>
      <c r="I1" s="13"/>
      <c r="J1" s="13"/>
      <c r="K1" s="13"/>
      <c r="L1" s="13"/>
      <c r="M1" s="13"/>
      <c r="N1" s="13"/>
      <c r="O1" s="401" t="str">
        <f>'DCF Schedule'!Q1</f>
        <v>CURRENTLY RUNNING: BASE CASE SCENARIO</v>
      </c>
      <c r="P1" s="17"/>
    </row>
    <row r="2" spans="1:16" ht="22.5">
      <c r="B2" s="1" t="str">
        <f>UFCF!B2</f>
        <v>Medallion Mouldings</v>
      </c>
      <c r="C2" s="13"/>
      <c r="D2" s="13"/>
      <c r="E2" s="13"/>
      <c r="F2" s="13"/>
      <c r="G2" s="13"/>
      <c r="H2" s="13"/>
      <c r="I2" s="13"/>
      <c r="J2" s="13"/>
      <c r="K2" s="13"/>
      <c r="L2" s="13"/>
      <c r="M2" s="13"/>
      <c r="N2" s="13"/>
      <c r="O2" s="13"/>
      <c r="P2" s="17"/>
    </row>
    <row r="3" spans="1:16" ht="17.5">
      <c r="B3" s="330" t="s">
        <v>166</v>
      </c>
      <c r="C3" s="121"/>
      <c r="D3" s="121"/>
      <c r="E3" s="121"/>
      <c r="F3" s="121"/>
      <c r="G3" s="121"/>
      <c r="H3" s="121"/>
      <c r="I3" s="121"/>
      <c r="J3" s="121"/>
      <c r="K3" s="121"/>
      <c r="L3" s="121"/>
      <c r="M3" s="121"/>
      <c r="N3" s="121"/>
      <c r="O3" s="121"/>
      <c r="P3" s="17"/>
    </row>
    <row r="4" spans="1:16" ht="6" customHeight="1" thickBot="1">
      <c r="B4" s="334"/>
      <c r="C4" s="499"/>
      <c r="D4" s="499"/>
      <c r="E4" s="499"/>
      <c r="F4" s="499"/>
      <c r="G4" s="499"/>
      <c r="H4" s="499"/>
      <c r="I4" s="499"/>
      <c r="J4" s="499"/>
      <c r="K4" s="499"/>
      <c r="L4" s="499"/>
      <c r="M4" s="499"/>
      <c r="N4" s="499"/>
      <c r="O4" s="499"/>
      <c r="P4" s="17"/>
    </row>
    <row r="5" spans="1:16">
      <c r="B5" s="500" t="s">
        <v>13</v>
      </c>
      <c r="F5" s="15"/>
      <c r="O5" s="16"/>
      <c r="P5" s="17"/>
    </row>
    <row r="6" spans="1:16">
      <c r="B6" s="500"/>
      <c r="F6" s="383"/>
      <c r="O6" s="16"/>
      <c r="P6" s="17"/>
    </row>
    <row r="7" spans="1:16">
      <c r="E7" s="383"/>
      <c r="F7" s="15"/>
    </row>
    <row r="8" spans="1:16" ht="15.65" customHeight="1">
      <c r="B8" s="460"/>
      <c r="C8" s="460"/>
      <c r="D8" s="788" t="s">
        <v>10</v>
      </c>
      <c r="E8" s="789"/>
      <c r="F8" s="790">
        <v>0.11</v>
      </c>
      <c r="G8" s="791"/>
      <c r="H8" s="792" t="s">
        <v>168</v>
      </c>
      <c r="I8" s="793"/>
      <c r="J8" s="793"/>
      <c r="K8" s="794"/>
      <c r="L8" s="794"/>
      <c r="M8" s="794"/>
      <c r="N8" s="794"/>
      <c r="O8" s="795"/>
    </row>
    <row r="9" spans="1:16" ht="15.65" customHeight="1">
      <c r="B9" s="460"/>
      <c r="C9" s="460"/>
      <c r="D9" s="796" t="s">
        <v>165</v>
      </c>
      <c r="E9" s="797"/>
      <c r="F9" s="798">
        <v>6</v>
      </c>
      <c r="G9" s="791"/>
      <c r="H9" s="799"/>
      <c r="I9" s="800"/>
      <c r="J9" s="800"/>
      <c r="K9" s="800"/>
      <c r="L9" s="800"/>
      <c r="M9" s="800"/>
      <c r="N9" s="800"/>
      <c r="O9" s="131"/>
    </row>
    <row r="10" spans="1:16" s="147" customFormat="1" ht="18" customHeight="1">
      <c r="B10" s="801"/>
      <c r="C10" s="801"/>
      <c r="D10" s="802"/>
      <c r="E10" s="797"/>
      <c r="F10" s="803" t="s">
        <v>119</v>
      </c>
      <c r="G10" s="804"/>
      <c r="H10" s="805"/>
      <c r="I10" s="806"/>
      <c r="J10" s="807" t="s">
        <v>167</v>
      </c>
      <c r="K10" s="808"/>
      <c r="L10" s="808"/>
      <c r="M10" s="809"/>
      <c r="N10" s="809"/>
      <c r="O10" s="810"/>
    </row>
    <row r="11" spans="1:16" s="147" customFormat="1" ht="18" customHeight="1">
      <c r="B11" s="801"/>
      <c r="C11" s="801"/>
      <c r="D11" s="805" t="s">
        <v>176</v>
      </c>
      <c r="E11" s="800"/>
      <c r="F11" s="811">
        <f>NPV(F8,UFCF!K60:O60)*(1+F8)^0.5</f>
        <v>142.67534829529214</v>
      </c>
      <c r="G11" s="804"/>
      <c r="H11" s="805"/>
      <c r="I11" s="812">
        <f>F13</f>
        <v>386.90951676556062</v>
      </c>
      <c r="J11" s="813">
        <v>5</v>
      </c>
      <c r="K11" s="814">
        <f>J11+0.5</f>
        <v>5.5</v>
      </c>
      <c r="L11" s="814">
        <f>K11+0.5</f>
        <v>6</v>
      </c>
      <c r="M11" s="814">
        <f>L11+0.5</f>
        <v>6.5</v>
      </c>
      <c r="N11" s="814">
        <f>M11+0.5</f>
        <v>7</v>
      </c>
      <c r="O11" s="810"/>
    </row>
    <row r="12" spans="1:16" s="147" customFormat="1" ht="22.15" customHeight="1">
      <c r="B12" s="801"/>
      <c r="C12" s="801"/>
      <c r="D12" s="805" t="s">
        <v>120</v>
      </c>
      <c r="E12" s="800"/>
      <c r="F12" s="815">
        <f>(F9*UFCF!P56)/((1+F8)^5.5)</f>
        <v>244.23416847026851</v>
      </c>
      <c r="G12" s="804"/>
      <c r="H12" s="883" t="s">
        <v>10</v>
      </c>
      <c r="I12" s="816">
        <v>0.1</v>
      </c>
      <c r="J12" s="817">
        <f t="dataTable" ref="J12:N16" dt2D="1" dtr="0" r1="F9" r2="F8" ca="1"/>
        <v>359.5716810908873</v>
      </c>
      <c r="K12" s="818">
        <v>380.96320827143938</v>
      </c>
      <c r="L12" s="818">
        <v>402.35473545199142</v>
      </c>
      <c r="M12" s="818">
        <v>423.74626263254345</v>
      </c>
      <c r="N12" s="819">
        <v>445.13778981309548</v>
      </c>
      <c r="O12" s="810"/>
    </row>
    <row r="13" spans="1:16" s="147" customFormat="1" ht="22.15" customHeight="1">
      <c r="B13" s="801"/>
      <c r="C13" s="801"/>
      <c r="D13" s="820" t="s">
        <v>74</v>
      </c>
      <c r="E13" s="821"/>
      <c r="F13" s="822">
        <f>SUM(F11:F12)</f>
        <v>386.90951676556062</v>
      </c>
      <c r="G13" s="804"/>
      <c r="H13" s="884"/>
      <c r="I13" s="823">
        <f>I12+0.005</f>
        <v>0.10500000000000001</v>
      </c>
      <c r="J13" s="824">
        <v>352.7975137480496</v>
      </c>
      <c r="K13" s="825">
        <v>373.66206411282803</v>
      </c>
      <c r="L13" s="825">
        <v>394.52661447760642</v>
      </c>
      <c r="M13" s="825">
        <v>415.3911648423848</v>
      </c>
      <c r="N13" s="826">
        <v>436.25571520716323</v>
      </c>
      <c r="O13" s="810"/>
    </row>
    <row r="14" spans="1:16" s="147" customFormat="1" ht="22.15" customHeight="1">
      <c r="B14" s="801"/>
      <c r="C14" s="801"/>
      <c r="D14" s="827" t="str">
        <f>'DCF Schedule'!E14</f>
        <v>Less Net Debt (12/31/17)</v>
      </c>
      <c r="E14" s="189"/>
      <c r="F14" s="828">
        <f>'DCF Schedule'!G14</f>
        <v>200</v>
      </c>
      <c r="G14" s="804"/>
      <c r="H14" s="884"/>
      <c r="I14" s="823">
        <f>I13+0.005</f>
        <v>0.11000000000000001</v>
      </c>
      <c r="J14" s="824">
        <v>346.20382202051587</v>
      </c>
      <c r="K14" s="825">
        <v>366.55666939303825</v>
      </c>
      <c r="L14" s="825">
        <v>386.90951676556062</v>
      </c>
      <c r="M14" s="825">
        <v>407.26236413808306</v>
      </c>
      <c r="N14" s="826">
        <v>427.61521151060538</v>
      </c>
      <c r="O14" s="810"/>
    </row>
    <row r="15" spans="1:16" s="147" customFormat="1" ht="22.15" customHeight="1">
      <c r="B15" s="801"/>
      <c r="C15" s="801"/>
      <c r="D15" s="805" t="s">
        <v>104</v>
      </c>
      <c r="E15" s="806"/>
      <c r="F15" s="811">
        <f>F13-F14</f>
        <v>186.90951676556062</v>
      </c>
      <c r="G15" s="804"/>
      <c r="H15" s="884"/>
      <c r="I15" s="823">
        <f>I14+0.005</f>
        <v>0.11500000000000002</v>
      </c>
      <c r="J15" s="824">
        <v>339.78484930414794</v>
      </c>
      <c r="K15" s="825">
        <v>359.64075897803957</v>
      </c>
      <c r="L15" s="825">
        <v>379.49666865193126</v>
      </c>
      <c r="M15" s="825">
        <v>399.35257832582283</v>
      </c>
      <c r="N15" s="826">
        <v>419.20848799971446</v>
      </c>
      <c r="O15" s="810"/>
    </row>
    <row r="16" spans="1:16" s="147" customFormat="1" ht="22.15" customHeight="1">
      <c r="B16" s="801"/>
      <c r="C16" s="801"/>
      <c r="D16" s="827" t="str">
        <f>'DCF Schedule'!E17</f>
        <v>Shares O/S (MM) - (12/31/17)</v>
      </c>
      <c r="E16" s="189"/>
      <c r="F16" s="829">
        <f>'DCF Schedule'!G17</f>
        <v>14.8</v>
      </c>
      <c r="G16" s="804"/>
      <c r="H16" s="884"/>
      <c r="I16" s="823">
        <f>I15+0.005</f>
        <v>0.12000000000000002</v>
      </c>
      <c r="J16" s="830">
        <v>333.535049725048</v>
      </c>
      <c r="K16" s="831">
        <v>352.9082975676771</v>
      </c>
      <c r="L16" s="831">
        <v>372.28154541030625</v>
      </c>
      <c r="M16" s="831">
        <v>391.65479325293541</v>
      </c>
      <c r="N16" s="832">
        <v>411.0280410955645</v>
      </c>
      <c r="O16" s="810"/>
    </row>
    <row r="17" spans="1:15" ht="22.15" customHeight="1">
      <c r="B17" s="460"/>
      <c r="C17" s="460"/>
      <c r="D17" s="833" t="s">
        <v>253</v>
      </c>
      <c r="E17" s="821"/>
      <c r="F17" s="834">
        <f>F15/F16</f>
        <v>12.62902140307842</v>
      </c>
      <c r="G17" s="791"/>
      <c r="H17" s="132"/>
      <c r="I17" s="800"/>
      <c r="J17" s="800"/>
      <c r="K17" s="800"/>
      <c r="L17" s="800"/>
      <c r="M17" s="129"/>
      <c r="N17" s="129"/>
      <c r="O17" s="131"/>
    </row>
    <row r="18" spans="1:15" ht="22.15" customHeight="1">
      <c r="B18" s="212"/>
      <c r="C18" s="212"/>
      <c r="D18" s="658" t="e">
        <f ca="1">Assumptions!J6</f>
        <v>#VALUE!</v>
      </c>
      <c r="E18" s="189"/>
      <c r="F18" s="835">
        <f>Assumptions!N6</f>
        <v>11.5</v>
      </c>
      <c r="G18" s="800"/>
      <c r="H18" s="799"/>
      <c r="I18" s="800"/>
      <c r="J18" s="800"/>
      <c r="K18" s="800"/>
      <c r="L18" s="800"/>
      <c r="M18" s="800"/>
      <c r="N18" s="800"/>
      <c r="O18" s="131"/>
    </row>
    <row r="19" spans="1:15" ht="6" customHeight="1">
      <c r="D19" s="132"/>
      <c r="E19" s="129"/>
      <c r="F19" s="836"/>
      <c r="H19" s="132"/>
      <c r="I19" s="129"/>
      <c r="J19" s="129"/>
      <c r="K19" s="129"/>
      <c r="L19" s="129"/>
      <c r="M19" s="129"/>
      <c r="N19" s="129"/>
      <c r="O19" s="131"/>
    </row>
    <row r="20" spans="1:15">
      <c r="A20" s="837"/>
      <c r="D20" s="838" t="s">
        <v>297</v>
      </c>
      <c r="E20" s="142"/>
      <c r="F20" s="839">
        <f>-(UFCF!P60/((F9*UFCF!P56)/((1+F8)^5.5)*((1+F8)^4.5))-F8)</f>
        <v>2.0822358542833805E-2</v>
      </c>
      <c r="H20" s="144"/>
      <c r="I20" s="142"/>
      <c r="J20" s="142"/>
      <c r="K20" s="142"/>
      <c r="L20" s="142"/>
      <c r="M20" s="142"/>
      <c r="N20" s="142"/>
      <c r="O20" s="143"/>
    </row>
    <row r="21" spans="1:15">
      <c r="D21" s="821"/>
      <c r="E21" s="129"/>
      <c r="F21" s="840"/>
      <c r="H21" s="129"/>
      <c r="I21" s="129"/>
      <c r="J21" s="129"/>
      <c r="K21" s="129"/>
      <c r="L21" s="129"/>
      <c r="M21" s="129"/>
      <c r="N21" s="129"/>
      <c r="O21" s="129"/>
    </row>
    <row r="22" spans="1:15" ht="9" customHeight="1">
      <c r="D22" s="821"/>
      <c r="F22" s="841"/>
    </row>
    <row r="23" spans="1:15" ht="15.65" customHeight="1">
      <c r="H23" s="792" t="s">
        <v>283</v>
      </c>
      <c r="I23" s="793"/>
      <c r="J23" s="793"/>
      <c r="K23" s="794"/>
      <c r="L23" s="794"/>
      <c r="M23" s="794"/>
      <c r="N23" s="794"/>
      <c r="O23" s="795"/>
    </row>
    <row r="24" spans="1:15" ht="15.65" customHeight="1">
      <c r="H24" s="799"/>
      <c r="I24" s="800"/>
      <c r="J24" s="800"/>
      <c r="K24" s="800"/>
      <c r="L24" s="800"/>
      <c r="M24" s="800"/>
      <c r="N24" s="800"/>
      <c r="O24" s="131"/>
    </row>
    <row r="25" spans="1:15" ht="18" customHeight="1">
      <c r="H25" s="805"/>
      <c r="I25" s="806"/>
      <c r="J25" s="807" t="s">
        <v>167</v>
      </c>
      <c r="K25" s="808"/>
      <c r="L25" s="808"/>
      <c r="M25" s="169"/>
      <c r="N25" s="169"/>
      <c r="O25" s="131"/>
    </row>
    <row r="26" spans="1:15" ht="18" customHeight="1">
      <c r="H26" s="805"/>
      <c r="I26" s="882">
        <f>F17</f>
        <v>12.62902140307842</v>
      </c>
      <c r="J26" s="814">
        <f>J11</f>
        <v>5</v>
      </c>
      <c r="K26" s="814">
        <f>J26+0.5</f>
        <v>5.5</v>
      </c>
      <c r="L26" s="814">
        <f>K26+0.5</f>
        <v>6</v>
      </c>
      <c r="M26" s="814">
        <f>L26+0.5</f>
        <v>6.5</v>
      </c>
      <c r="N26" s="814">
        <f>M26+0.5</f>
        <v>7</v>
      </c>
      <c r="O26" s="131"/>
    </row>
    <row r="27" spans="1:15" ht="22.15" customHeight="1">
      <c r="H27" s="883" t="s">
        <v>10</v>
      </c>
      <c r="I27" s="823">
        <f>I12</f>
        <v>0.1</v>
      </c>
      <c r="J27" s="842">
        <f t="dataTable" ref="J27:N31" dt2D="1" dtr="0" r1="F9" r2="F8"/>
        <v>10.781870343978872</v>
      </c>
      <c r="K27" s="843">
        <v>12.227243802124281</v>
      </c>
      <c r="L27" s="843">
        <v>13.672617260269689</v>
      </c>
      <c r="M27" s="843">
        <v>15.117990718415097</v>
      </c>
      <c r="N27" s="844">
        <v>16.563364176560505</v>
      </c>
      <c r="O27" s="131"/>
    </row>
    <row r="28" spans="1:15" ht="22.15" customHeight="1">
      <c r="H28" s="884"/>
      <c r="I28" s="823">
        <f>I27+0.005</f>
        <v>0.10500000000000001</v>
      </c>
      <c r="J28" s="845">
        <v>10.324156334327675</v>
      </c>
      <c r="K28" s="846">
        <v>11.733923250866759</v>
      </c>
      <c r="L28" s="846">
        <v>13.143690167405838</v>
      </c>
      <c r="M28" s="846">
        <v>14.553457083944918</v>
      </c>
      <c r="N28" s="847">
        <v>15.963224000484001</v>
      </c>
      <c r="O28" s="131"/>
    </row>
    <row r="29" spans="1:15" ht="22.15" customHeight="1">
      <c r="H29" s="884"/>
      <c r="I29" s="823">
        <f>I28+0.005</f>
        <v>0.11000000000000001</v>
      </c>
      <c r="J29" s="845">
        <v>9.8786366230078286</v>
      </c>
      <c r="K29" s="846">
        <v>11.253829013043124</v>
      </c>
      <c r="L29" s="846">
        <v>12.62902140307842</v>
      </c>
      <c r="M29" s="846">
        <v>14.004213793113719</v>
      </c>
      <c r="N29" s="847">
        <v>15.379406183149012</v>
      </c>
      <c r="O29" s="131"/>
    </row>
    <row r="30" spans="1:15" ht="22.15" customHeight="1">
      <c r="H30" s="884"/>
      <c r="I30" s="823">
        <f>I29+0.005</f>
        <v>0.11500000000000002</v>
      </c>
      <c r="J30" s="845">
        <v>9.4449222502802659</v>
      </c>
      <c r="K30" s="846">
        <v>10.786537768786458</v>
      </c>
      <c r="L30" s="846">
        <v>12.128153287292651</v>
      </c>
      <c r="M30" s="846">
        <v>13.469768805798839</v>
      </c>
      <c r="N30" s="847">
        <v>14.811384324305031</v>
      </c>
      <c r="O30" s="131"/>
    </row>
    <row r="31" spans="1:15" ht="22.15" customHeight="1">
      <c r="H31" s="884"/>
      <c r="I31" s="823">
        <f>I30+0.005</f>
        <v>0.12000000000000002</v>
      </c>
      <c r="J31" s="848">
        <v>9.0226384949356753</v>
      </c>
      <c r="K31" s="849">
        <v>10.331641727545749</v>
      </c>
      <c r="L31" s="849">
        <v>11.640644960155827</v>
      </c>
      <c r="M31" s="849">
        <v>12.949648192765904</v>
      </c>
      <c r="N31" s="850">
        <v>14.25865142537598</v>
      </c>
      <c r="O31" s="131"/>
    </row>
    <row r="32" spans="1:15">
      <c r="H32" s="132"/>
      <c r="I32" s="800"/>
      <c r="J32" s="800"/>
      <c r="K32" s="800"/>
      <c r="L32" s="800"/>
      <c r="M32" s="129"/>
      <c r="N32" s="129"/>
      <c r="O32" s="131"/>
    </row>
    <row r="33" spans="2:15" ht="9" customHeight="1">
      <c r="H33" s="851"/>
      <c r="I33" s="852"/>
      <c r="J33" s="852"/>
      <c r="K33" s="852"/>
      <c r="L33" s="852"/>
      <c r="M33" s="852"/>
      <c r="N33" s="852"/>
      <c r="O33" s="143"/>
    </row>
    <row r="34" spans="2:15">
      <c r="B34" s="142"/>
      <c r="C34" s="142"/>
      <c r="D34" s="142"/>
      <c r="E34" s="142"/>
      <c r="F34" s="396"/>
      <c r="G34" s="142"/>
      <c r="H34" s="142"/>
      <c r="I34" s="142"/>
      <c r="J34" s="142"/>
      <c r="K34" s="142"/>
      <c r="L34" s="142"/>
      <c r="M34" s="142"/>
      <c r="N34" s="142"/>
      <c r="O34" s="142"/>
    </row>
  </sheetData>
  <sheetProtection formatCells="0" formatColumns="0" formatRows="0" insertColumns="0" insertRows="0"/>
  <mergeCells count="2">
    <mergeCell ref="H12:H16"/>
    <mergeCell ref="H27:H31"/>
  </mergeCells>
  <phoneticPr fontId="0" type="noConversion"/>
  <conditionalFormatting sqref="J27:N31">
    <cfRule type="cellIs" dxfId="1" priority="1" stopIfTrue="1" operator="greaterThanOrEqual">
      <formula>$F$18</formula>
    </cfRule>
  </conditionalFormatting>
  <conditionalFormatting sqref="J12:N16">
    <cfRule type="cellIs" dxfId="0" priority="2" stopIfTrue="1" operator="greaterThan">
      <formula>374.5</formula>
    </cfRule>
  </conditionalFormatting>
  <printOptions horizontalCentered="1"/>
  <pageMargins left="0.25" right="0.25" top="0.25" bottom="0.5" header="0.25" footer="0.25"/>
  <pageSetup scale="95" orientation="landscape" r:id="rId1"/>
  <headerFooter alignWithMargins="0">
    <oddFooter>&amp;L&amp;"Times New Roman,Bold"&amp;9The Marquee Group
&amp;"Times New Roman,Regular"C:\My Documents\Medallion Model.xls&amp;C&amp;"Times New Roman,Regular"&amp;9Page &amp;P of &amp;N&amp;R&amp;"Times New Roman,Regular"&amp;9&amp;D  &amp;T</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Cover</vt:lpstr>
      <vt:lpstr>Summary</vt:lpstr>
      <vt:lpstr>Assumptions</vt:lpstr>
      <vt:lpstr>Scenarios</vt:lpstr>
      <vt:lpstr>Model</vt:lpstr>
      <vt:lpstr>UFCF</vt:lpstr>
      <vt:lpstr>DCF Schedule</vt:lpstr>
      <vt:lpstr>Alt DCF Sched</vt:lpstr>
      <vt:lpstr>'Alt DCF Sched'!Print_Area</vt:lpstr>
      <vt:lpstr>Assumptions!Print_Area</vt:lpstr>
      <vt:lpstr>Cover!Print_Area</vt:lpstr>
      <vt:lpstr>'DCF Schedule'!Print_Area</vt:lpstr>
      <vt:lpstr>Model!Print_Area</vt:lpstr>
      <vt:lpstr>Scenarios!Print_Area</vt:lpstr>
      <vt:lpstr>Summary!Print_Area</vt:lpstr>
      <vt:lpstr>UFCF!Print_Area</vt:lpstr>
    </vt:vector>
  </TitlesOfParts>
  <Company>The Marquee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Schnoor</dc:creator>
  <cp:lastModifiedBy>Nikita Naychukov</cp:lastModifiedBy>
  <cp:lastPrinted>2013-07-07T22:56:23Z</cp:lastPrinted>
  <dcterms:created xsi:type="dcterms:W3CDTF">1998-11-25T15:33:31Z</dcterms:created>
  <dcterms:modified xsi:type="dcterms:W3CDTF">2018-11-11T15:32:22Z</dcterms:modified>
</cp:coreProperties>
</file>