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rojects\EMM\labs\2-3\"/>
    </mc:Choice>
  </mc:AlternateContent>
  <xr:revisionPtr revIDLastSave="0" documentId="13_ncr:1_{CA9842AF-DE45-43D4-96C8-F0788256AC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3" i="1" l="1"/>
  <c r="O36" i="1"/>
  <c r="O35" i="1"/>
  <c r="I32" i="1"/>
  <c r="I35" i="1"/>
  <c r="S33" i="1"/>
  <c r="S32" i="1"/>
  <c r="R33" i="1"/>
  <c r="J33" i="1"/>
  <c r="K33" i="1"/>
  <c r="L33" i="1"/>
  <c r="M33" i="1"/>
  <c r="N33" i="1"/>
  <c r="O33" i="1"/>
  <c r="P33" i="1"/>
  <c r="Q33" i="1"/>
  <c r="J32" i="1"/>
  <c r="K32" i="1"/>
  <c r="L32" i="1"/>
  <c r="M32" i="1"/>
  <c r="N32" i="1"/>
  <c r="O32" i="1"/>
  <c r="P32" i="1"/>
  <c r="Q32" i="1"/>
  <c r="N30" i="1"/>
  <c r="J25" i="1"/>
  <c r="K25" i="1"/>
  <c r="L25" i="1"/>
  <c r="M25" i="1"/>
  <c r="N25" i="1"/>
  <c r="O25" i="1"/>
  <c r="P25" i="1"/>
  <c r="Q25" i="1"/>
  <c r="R25" i="1"/>
  <c r="I25" i="1"/>
  <c r="I19" i="1"/>
  <c r="S25" i="1" l="1"/>
  <c r="I28" i="1" s="1"/>
  <c r="S52" i="1"/>
  <c r="T52" i="1" s="1"/>
  <c r="S53" i="1"/>
  <c r="S54" i="1" s="1"/>
  <c r="O52" i="1"/>
  <c r="O53" i="1" s="1"/>
  <c r="O54" i="1" s="1"/>
  <c r="K52" i="1"/>
  <c r="K53" i="1" s="1"/>
  <c r="K54" i="1" s="1"/>
  <c r="J53" i="1"/>
  <c r="J54" i="1" s="1"/>
  <c r="J52" i="1"/>
  <c r="I54" i="1"/>
  <c r="I53" i="1"/>
  <c r="I48" i="1"/>
  <c r="I47" i="1"/>
  <c r="S45" i="1"/>
  <c r="S44" i="1"/>
  <c r="J44" i="1"/>
  <c r="K44" i="1"/>
  <c r="L44" i="1"/>
  <c r="M44" i="1"/>
  <c r="N44" i="1"/>
  <c r="O44" i="1"/>
  <c r="P44" i="1"/>
  <c r="Q44" i="1"/>
  <c r="R44" i="1"/>
  <c r="I44" i="1"/>
  <c r="J45" i="1"/>
  <c r="K45" i="1"/>
  <c r="L45" i="1"/>
  <c r="M45" i="1"/>
  <c r="N45" i="1"/>
  <c r="O45" i="1"/>
  <c r="P45" i="1"/>
  <c r="Q45" i="1"/>
  <c r="R45" i="1"/>
  <c r="I45" i="1"/>
  <c r="I42" i="1"/>
  <c r="I41" i="1"/>
  <c r="I27" i="1"/>
  <c r="S24" i="1"/>
  <c r="J24" i="1"/>
  <c r="K24" i="1"/>
  <c r="L24" i="1"/>
  <c r="M24" i="1"/>
  <c r="N24" i="1"/>
  <c r="O24" i="1"/>
  <c r="P24" i="1"/>
  <c r="Q24" i="1"/>
  <c r="R24" i="1"/>
  <c r="I24" i="1"/>
  <c r="K20" i="1"/>
  <c r="L20" i="1" s="1"/>
  <c r="M20" i="1" s="1"/>
  <c r="N20" i="1" s="1"/>
  <c r="O20" i="1" s="1"/>
  <c r="P20" i="1" s="1"/>
  <c r="Q20" i="1" s="1"/>
  <c r="R20" i="1" s="1"/>
  <c r="J20" i="1"/>
  <c r="R22" i="1"/>
  <c r="J22" i="1"/>
  <c r="K22" i="1"/>
  <c r="L22" i="1"/>
  <c r="M22" i="1"/>
  <c r="N22" i="1"/>
  <c r="O22" i="1"/>
  <c r="P22" i="1"/>
  <c r="Q22" i="1"/>
  <c r="I22" i="1"/>
  <c r="J9" i="1"/>
  <c r="K9" i="1"/>
  <c r="L9" i="1"/>
  <c r="M9" i="1"/>
  <c r="N9" i="1"/>
  <c r="R9" i="1"/>
  <c r="I9" i="1"/>
  <c r="N3" i="1"/>
  <c r="K10" i="1" s="1"/>
  <c r="N2" i="1"/>
  <c r="O9" i="1" s="1"/>
  <c r="T53" i="1" l="1"/>
  <c r="T54" i="1" s="1"/>
  <c r="U52" i="1"/>
  <c r="P52" i="1"/>
  <c r="L52" i="1"/>
  <c r="I10" i="1"/>
  <c r="O10" i="1"/>
  <c r="Q9" i="1"/>
  <c r="S9" i="1" s="1"/>
  <c r="N10" i="1"/>
  <c r="P9" i="1"/>
  <c r="L10" i="1"/>
  <c r="R10" i="1"/>
  <c r="Q10" i="1"/>
  <c r="P10" i="1"/>
  <c r="M10" i="1"/>
  <c r="J10" i="1"/>
  <c r="U53" i="1" l="1"/>
  <c r="U54" i="1" s="1"/>
  <c r="V52" i="1"/>
  <c r="P53" i="1"/>
  <c r="P54" i="1" s="1"/>
  <c r="Q52" i="1"/>
  <c r="L53" i="1"/>
  <c r="L54" i="1" s="1"/>
  <c r="M52" i="1"/>
  <c r="S10" i="1"/>
  <c r="I12" i="1" s="1"/>
  <c r="V53" i="1" l="1"/>
  <c r="V54" i="1" s="1"/>
  <c r="R52" i="1"/>
  <c r="R53" i="1" s="1"/>
  <c r="R54" i="1" s="1"/>
  <c r="Q53" i="1"/>
  <c r="Q54" i="1" s="1"/>
  <c r="N52" i="1"/>
  <c r="N53" i="1" s="1"/>
  <c r="N54" i="1" s="1"/>
  <c r="M53" i="1"/>
  <c r="M54" i="1" s="1"/>
  <c r="K15" i="1"/>
  <c r="I13" i="1"/>
  <c r="J21" i="1" l="1"/>
  <c r="K21" i="1"/>
  <c r="I21" i="1"/>
  <c r="N21" i="1"/>
  <c r="O21" i="1"/>
  <c r="Q21" i="1"/>
  <c r="R21" i="1"/>
  <c r="L21" i="1"/>
  <c r="M21" i="1"/>
  <c r="P21" i="1"/>
  <c r="I15" i="1"/>
  <c r="M17" i="1" s="1"/>
</calcChain>
</file>

<file path=xl/sharedStrings.xml><?xml version="1.0" encoding="utf-8"?>
<sst xmlns="http://schemas.openxmlformats.org/spreadsheetml/2006/main" count="57" uniqueCount="47">
  <si>
    <t>Показатели</t>
  </si>
  <si>
    <t>Наблюдаемые значения</t>
  </si>
  <si>
    <t>годы</t>
  </si>
  <si>
    <t>Потребление воды (тыс. м^3 / год)</t>
  </si>
  <si>
    <t>Уровень воды (см)</t>
  </si>
  <si>
    <t>График демонстрирует линейную зависимость</t>
  </si>
  <si>
    <t>ŷ = a + bx</t>
  </si>
  <si>
    <t>x ср. =</t>
  </si>
  <si>
    <t>y ср. =</t>
  </si>
  <si>
    <t>(x - x ср.)*(y - y ср.)</t>
  </si>
  <si>
    <t>(x - x ср.)^2</t>
  </si>
  <si>
    <t>∑</t>
  </si>
  <si>
    <t>Коэфф. b =</t>
  </si>
  <si>
    <t>Коэфф. a =</t>
  </si>
  <si>
    <t xml:space="preserve">ŷ = </t>
  </si>
  <si>
    <t>+</t>
  </si>
  <si>
    <t>x</t>
  </si>
  <si>
    <t xml:space="preserve">Река прекратит существование при потреблении воды = </t>
  </si>
  <si>
    <t>Э =</t>
  </si>
  <si>
    <t xml:space="preserve">ŷ </t>
  </si>
  <si>
    <t>год</t>
  </si>
  <si>
    <t>ē =</t>
  </si>
  <si>
    <r>
      <t xml:space="preserve"> </t>
    </r>
    <r>
      <rPr>
        <sz val="11"/>
        <color theme="1"/>
        <rFont val="Calibri"/>
        <family val="2"/>
        <charset val="204"/>
      </rPr>
      <t>≈</t>
    </r>
    <r>
      <rPr>
        <sz val="11"/>
        <color theme="1"/>
        <rFont val="Calibri"/>
        <family val="2"/>
      </rPr>
      <t xml:space="preserve"> 0 - модель адекватна</t>
    </r>
  </si>
  <si>
    <t>годы (x)</t>
  </si>
  <si>
    <t>Потребление воды (тыс. м^3 / год) (y)</t>
  </si>
  <si>
    <t xml:space="preserve">y ср. = </t>
  </si>
  <si>
    <t>Продолжение модели потребления воды</t>
  </si>
  <si>
    <t>потребление</t>
  </si>
  <si>
    <t>уровень воды</t>
  </si>
  <si>
    <t>Река пересохнет в промежутке между 2060-2065 годами</t>
  </si>
  <si>
    <t>%</t>
  </si>
  <si>
    <t>ср. отн. Ошибка =</t>
  </si>
  <si>
    <t>ошибка</t>
  </si>
  <si>
    <t xml:space="preserve">p = </t>
  </si>
  <si>
    <t>=</t>
  </si>
  <si>
    <t>ряд остатков случаен</t>
  </si>
  <si>
    <t>d =</t>
  </si>
  <si>
    <t>d1 = 1, 08</t>
  </si>
  <si>
    <t>d2 = 1,36</t>
  </si>
  <si>
    <t xml:space="preserve">y - ŷ </t>
  </si>
  <si>
    <t>d &lt; d1 =&gt; Имеется автокорреляция</t>
  </si>
  <si>
    <t xml:space="preserve">S = </t>
  </si>
  <si>
    <t xml:space="preserve">RS = </t>
  </si>
  <si>
    <t>R1 = 2,67</t>
  </si>
  <si>
    <t>R2 = 3,685</t>
  </si>
  <si>
    <t>R1 &lt; RS &lt; R2</t>
  </si>
  <si>
    <t>Отсаточный ряд подчинен нормальному закону распределения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</si>
</sst>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7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уровня воды от потребления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Лист1!$B$3:$K$3</c:f>
              <c:numCache>
                <c:formatCode>General</c:formatCode>
                <c:ptCount val="10"/>
                <c:pt idx="0">
                  <c:v>1200</c:v>
                </c:pt>
                <c:pt idx="1">
                  <c:v>1900</c:v>
                </c:pt>
                <c:pt idx="2">
                  <c:v>2500</c:v>
                </c:pt>
                <c:pt idx="3">
                  <c:v>4500</c:v>
                </c:pt>
                <c:pt idx="4">
                  <c:v>7800</c:v>
                </c:pt>
                <c:pt idx="5">
                  <c:v>12400</c:v>
                </c:pt>
                <c:pt idx="6">
                  <c:v>24000</c:v>
                </c:pt>
                <c:pt idx="7">
                  <c:v>32000</c:v>
                </c:pt>
                <c:pt idx="8">
                  <c:v>39000</c:v>
                </c:pt>
                <c:pt idx="9">
                  <c:v>50000</c:v>
                </c:pt>
              </c:numCache>
            </c:numRef>
          </c:cat>
          <c:val>
            <c:numRef>
              <c:f>Лист1!$B$4:$K$4</c:f>
              <c:numCache>
                <c:formatCode>General</c:formatCode>
                <c:ptCount val="10"/>
                <c:pt idx="0">
                  <c:v>315</c:v>
                </c:pt>
                <c:pt idx="1">
                  <c:v>302</c:v>
                </c:pt>
                <c:pt idx="2">
                  <c:v>290</c:v>
                </c:pt>
                <c:pt idx="3">
                  <c:v>284</c:v>
                </c:pt>
                <c:pt idx="4">
                  <c:v>271</c:v>
                </c:pt>
                <c:pt idx="5">
                  <c:v>258</c:v>
                </c:pt>
                <c:pt idx="6">
                  <c:v>237</c:v>
                </c:pt>
                <c:pt idx="7">
                  <c:v>211</c:v>
                </c:pt>
                <c:pt idx="8">
                  <c:v>202</c:v>
                </c:pt>
                <c:pt idx="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E-411D-8CC1-054C535F4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691824"/>
        <c:axId val="1909867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1200</c:v>
                      </c:pt>
                      <c:pt idx="1">
                        <c:v>1900</c:v>
                      </c:pt>
                      <c:pt idx="2">
                        <c:v>2500</c:v>
                      </c:pt>
                      <c:pt idx="3">
                        <c:v>4500</c:v>
                      </c:pt>
                      <c:pt idx="4">
                        <c:v>7800</c:v>
                      </c:pt>
                      <c:pt idx="5">
                        <c:v>12400</c:v>
                      </c:pt>
                      <c:pt idx="6">
                        <c:v>24000</c:v>
                      </c:pt>
                      <c:pt idx="7">
                        <c:v>32000</c:v>
                      </c:pt>
                      <c:pt idx="8">
                        <c:v>39000</c:v>
                      </c:pt>
                      <c:pt idx="9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1200</c:v>
                      </c:pt>
                      <c:pt idx="1">
                        <c:v>1900</c:v>
                      </c:pt>
                      <c:pt idx="2">
                        <c:v>2500</c:v>
                      </c:pt>
                      <c:pt idx="3">
                        <c:v>4500</c:v>
                      </c:pt>
                      <c:pt idx="4">
                        <c:v>7800</c:v>
                      </c:pt>
                      <c:pt idx="5">
                        <c:v>12400</c:v>
                      </c:pt>
                      <c:pt idx="6">
                        <c:v>24000</c:v>
                      </c:pt>
                      <c:pt idx="7">
                        <c:v>32000</c:v>
                      </c:pt>
                      <c:pt idx="8">
                        <c:v>39000</c:v>
                      </c:pt>
                      <c:pt idx="9">
                        <c:v>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7E-411D-8CC1-054C535F4D61}"/>
                  </c:ext>
                </c:extLst>
              </c15:ser>
            </c15:filteredLineSeries>
          </c:ext>
        </c:extLst>
      </c:lineChart>
      <c:catAx>
        <c:axId val="191969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9867152"/>
        <c:crosses val="autoZero"/>
        <c:auto val="1"/>
        <c:lblAlgn val="ctr"/>
        <c:lblOffset val="100"/>
        <c:noMultiLvlLbl val="0"/>
      </c:catAx>
      <c:valAx>
        <c:axId val="19098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969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Лист1!$A$4</c:f>
              <c:strCache>
                <c:ptCount val="1"/>
                <c:pt idx="0">
                  <c:v>Уровень воды (см)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Лист1!$B$3:$K$3</c:f>
              <c:numCache>
                <c:formatCode>General</c:formatCode>
                <c:ptCount val="10"/>
                <c:pt idx="0">
                  <c:v>1200</c:v>
                </c:pt>
                <c:pt idx="1">
                  <c:v>1900</c:v>
                </c:pt>
                <c:pt idx="2">
                  <c:v>2500</c:v>
                </c:pt>
                <c:pt idx="3">
                  <c:v>4500</c:v>
                </c:pt>
                <c:pt idx="4">
                  <c:v>7800</c:v>
                </c:pt>
                <c:pt idx="5">
                  <c:v>12400</c:v>
                </c:pt>
                <c:pt idx="6">
                  <c:v>24000</c:v>
                </c:pt>
                <c:pt idx="7">
                  <c:v>32000</c:v>
                </c:pt>
                <c:pt idx="8">
                  <c:v>39000</c:v>
                </c:pt>
                <c:pt idx="9">
                  <c:v>50000</c:v>
                </c:pt>
              </c:numCache>
            </c:numRef>
          </c:cat>
          <c:val>
            <c:numRef>
              <c:f>Лист1!$B$4:$K$4</c:f>
              <c:numCache>
                <c:formatCode>General</c:formatCode>
                <c:ptCount val="10"/>
                <c:pt idx="0">
                  <c:v>315</c:v>
                </c:pt>
                <c:pt idx="1">
                  <c:v>302</c:v>
                </c:pt>
                <c:pt idx="2">
                  <c:v>290</c:v>
                </c:pt>
                <c:pt idx="3">
                  <c:v>284</c:v>
                </c:pt>
                <c:pt idx="4">
                  <c:v>271</c:v>
                </c:pt>
                <c:pt idx="5">
                  <c:v>258</c:v>
                </c:pt>
                <c:pt idx="6">
                  <c:v>237</c:v>
                </c:pt>
                <c:pt idx="7">
                  <c:v>211</c:v>
                </c:pt>
                <c:pt idx="8">
                  <c:v>202</c:v>
                </c:pt>
                <c:pt idx="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B-4C8C-9AAE-1E209FCE18B1}"/>
            </c:ext>
          </c:extLst>
        </c:ser>
        <c:ser>
          <c:idx val="2"/>
          <c:order val="2"/>
          <c:tx>
            <c:v>Уровень воды предсказанный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Лист1!$B$3:$K$3</c:f>
              <c:numCache>
                <c:formatCode>General</c:formatCode>
                <c:ptCount val="10"/>
                <c:pt idx="0">
                  <c:v>1200</c:v>
                </c:pt>
                <c:pt idx="1">
                  <c:v>1900</c:v>
                </c:pt>
                <c:pt idx="2">
                  <c:v>2500</c:v>
                </c:pt>
                <c:pt idx="3">
                  <c:v>4500</c:v>
                </c:pt>
                <c:pt idx="4">
                  <c:v>7800</c:v>
                </c:pt>
                <c:pt idx="5">
                  <c:v>12400</c:v>
                </c:pt>
                <c:pt idx="6">
                  <c:v>24000</c:v>
                </c:pt>
                <c:pt idx="7">
                  <c:v>32000</c:v>
                </c:pt>
                <c:pt idx="8">
                  <c:v>39000</c:v>
                </c:pt>
                <c:pt idx="9">
                  <c:v>50000</c:v>
                </c:pt>
              </c:numCache>
            </c:numRef>
          </c:cat>
          <c:val>
            <c:numRef>
              <c:f>Лист1!$I$21:$R$21</c:f>
              <c:numCache>
                <c:formatCode>General</c:formatCode>
                <c:ptCount val="10"/>
                <c:pt idx="0">
                  <c:v>297.12539989928922</c:v>
                </c:pt>
                <c:pt idx="1">
                  <c:v>295.29393756435337</c:v>
                </c:pt>
                <c:pt idx="2">
                  <c:v>293.72411270583694</c:v>
                </c:pt>
                <c:pt idx="3">
                  <c:v>288.49136317744876</c:v>
                </c:pt>
                <c:pt idx="4">
                  <c:v>279.85732645560836</c:v>
                </c:pt>
                <c:pt idx="5">
                  <c:v>267.82200254031557</c:v>
                </c:pt>
                <c:pt idx="6">
                  <c:v>237.4720552756643</c:v>
                </c:pt>
                <c:pt idx="7">
                  <c:v>216.54105716211171</c:v>
                </c:pt>
                <c:pt idx="8">
                  <c:v>198.22643381275316</c:v>
                </c:pt>
                <c:pt idx="9">
                  <c:v>169.44631140661832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CB-4C8C-9AAE-1E209FCE1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153440"/>
        <c:axId val="1911005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Потребление воды (тыс. м^3 / год)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1200</c:v>
                      </c:pt>
                      <c:pt idx="1">
                        <c:v>1900</c:v>
                      </c:pt>
                      <c:pt idx="2">
                        <c:v>2500</c:v>
                      </c:pt>
                      <c:pt idx="3">
                        <c:v>4500</c:v>
                      </c:pt>
                      <c:pt idx="4">
                        <c:v>7800</c:v>
                      </c:pt>
                      <c:pt idx="5">
                        <c:v>12400</c:v>
                      </c:pt>
                      <c:pt idx="6">
                        <c:v>24000</c:v>
                      </c:pt>
                      <c:pt idx="7">
                        <c:v>32000</c:v>
                      </c:pt>
                      <c:pt idx="8">
                        <c:v>39000</c:v>
                      </c:pt>
                      <c:pt idx="9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1200</c:v>
                      </c:pt>
                      <c:pt idx="1">
                        <c:v>1900</c:v>
                      </c:pt>
                      <c:pt idx="2">
                        <c:v>2500</c:v>
                      </c:pt>
                      <c:pt idx="3">
                        <c:v>4500</c:v>
                      </c:pt>
                      <c:pt idx="4">
                        <c:v>7800</c:v>
                      </c:pt>
                      <c:pt idx="5">
                        <c:v>12400</c:v>
                      </c:pt>
                      <c:pt idx="6">
                        <c:v>24000</c:v>
                      </c:pt>
                      <c:pt idx="7">
                        <c:v>32000</c:v>
                      </c:pt>
                      <c:pt idx="8">
                        <c:v>39000</c:v>
                      </c:pt>
                      <c:pt idx="9">
                        <c:v>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CB-4C8C-9AAE-1E209FCE18B1}"/>
                  </c:ext>
                </c:extLst>
              </c15:ser>
            </c15:filteredLineSeries>
          </c:ext>
        </c:extLst>
      </c:lineChart>
      <c:catAx>
        <c:axId val="14931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1005744"/>
        <c:crosses val="autoZero"/>
        <c:auto val="1"/>
        <c:lblAlgn val="ctr"/>
        <c:lblOffset val="100"/>
        <c:noMultiLvlLbl val="0"/>
      </c:catAx>
      <c:valAx>
        <c:axId val="19110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1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потребления</a:t>
            </a:r>
            <a:r>
              <a:rPr lang="ru-RU" baseline="0"/>
              <a:t> воды от года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Лист1!$B$2:$K$2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Лист1!$B$3:$K$3</c:f>
              <c:numCache>
                <c:formatCode>General</c:formatCode>
                <c:ptCount val="10"/>
                <c:pt idx="0">
                  <c:v>1200</c:v>
                </c:pt>
                <c:pt idx="1">
                  <c:v>1900</c:v>
                </c:pt>
                <c:pt idx="2">
                  <c:v>2500</c:v>
                </c:pt>
                <c:pt idx="3">
                  <c:v>4500</c:v>
                </c:pt>
                <c:pt idx="4">
                  <c:v>7800</c:v>
                </c:pt>
                <c:pt idx="5">
                  <c:v>12400</c:v>
                </c:pt>
                <c:pt idx="6">
                  <c:v>24000</c:v>
                </c:pt>
                <c:pt idx="7">
                  <c:v>32000</c:v>
                </c:pt>
                <c:pt idx="8">
                  <c:v>39000</c:v>
                </c:pt>
                <c:pt idx="9">
                  <c:v>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7-4884-8D9A-65BDC3AF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94816"/>
        <c:axId val="19110099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Лист1!$I$38:$R$38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1950</c:v>
                      </c:pt>
                      <c:pt idx="1">
                        <c:v>1955</c:v>
                      </c:pt>
                      <c:pt idx="2">
                        <c:v>1960</c:v>
                      </c:pt>
                      <c:pt idx="3">
                        <c:v>1965</c:v>
                      </c:pt>
                      <c:pt idx="4">
                        <c:v>1970</c:v>
                      </c:pt>
                      <c:pt idx="5">
                        <c:v>1975</c:v>
                      </c:pt>
                      <c:pt idx="6">
                        <c:v>1980</c:v>
                      </c:pt>
                      <c:pt idx="7">
                        <c:v>1985</c:v>
                      </c:pt>
                      <c:pt idx="8">
                        <c:v>1990</c:v>
                      </c:pt>
                      <c:pt idx="9">
                        <c:v>1995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Лист1!$H$50:$Q$50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D97-4884-8D9A-65BDC3AF0EE7}"/>
                  </c:ext>
                </c:extLst>
              </c15:ser>
            </c15:filteredScatterSeries>
          </c:ext>
        </c:extLst>
      </c:scatterChart>
      <c:valAx>
        <c:axId val="191469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1009904"/>
        <c:crosses val="autoZero"/>
        <c:crossBetween val="midCat"/>
      </c:valAx>
      <c:valAx>
        <c:axId val="19110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69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Лист1!$I$24:$R$24</c:f>
              <c:numCache>
                <c:formatCode>General</c:formatCode>
                <c:ptCount val="10"/>
                <c:pt idx="0">
                  <c:v>17.874600100710779</c:v>
                </c:pt>
                <c:pt idx="1">
                  <c:v>6.7060624356466292</c:v>
                </c:pt>
                <c:pt idx="2">
                  <c:v>-3.7241127058369443</c:v>
                </c:pt>
                <c:pt idx="3">
                  <c:v>-4.4913631774487612</c:v>
                </c:pt>
                <c:pt idx="4">
                  <c:v>-8.8573264556083586</c:v>
                </c:pt>
                <c:pt idx="5">
                  <c:v>-9.822002540315566</c:v>
                </c:pt>
                <c:pt idx="6">
                  <c:v>-0.47205527566430305</c:v>
                </c:pt>
                <c:pt idx="7">
                  <c:v>-5.5410571621117128</c:v>
                </c:pt>
                <c:pt idx="8">
                  <c:v>3.7735661872468427</c:v>
                </c:pt>
                <c:pt idx="9">
                  <c:v>4.5536885933816791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F-48D5-9A25-148E04BD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9567"/>
        <c:axId val="292219615"/>
      </c:scatterChart>
      <c:valAx>
        <c:axId val="29611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219615"/>
        <c:crosses val="autoZero"/>
        <c:crossBetween val="midCat"/>
      </c:valAx>
      <c:valAx>
        <c:axId val="29221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11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4</xdr:row>
      <xdr:rowOff>156210</xdr:rowOff>
    </xdr:from>
    <xdr:to>
      <xdr:col>6</xdr:col>
      <xdr:colOff>251460</xdr:colOff>
      <xdr:row>19</xdr:row>
      <xdr:rowOff>156210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1B58D49-750C-4B9D-8984-2FB7A13E5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21</xdr:row>
      <xdr:rowOff>11430</xdr:rowOff>
    </xdr:from>
    <xdr:to>
      <xdr:col>6</xdr:col>
      <xdr:colOff>350520</xdr:colOff>
      <xdr:row>36</xdr:row>
      <xdr:rowOff>11430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DDE6BE9-1F9D-46D8-A9E5-31263F5C9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198120</xdr:colOff>
      <xdr:row>36</xdr:row>
      <xdr:rowOff>110490</xdr:rowOff>
    </xdr:from>
    <xdr:to>
      <xdr:col>6</xdr:col>
      <xdr:colOff>358140</xdr:colOff>
      <xdr:row>51</xdr:row>
      <xdr:rowOff>110490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E30B300-630B-445D-8546-AC3421A72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381000</xdr:colOff>
      <xdr:row>57</xdr:row>
      <xdr:rowOff>169333</xdr:rowOff>
    </xdr:from>
    <xdr:to>
      <xdr:col>6</xdr:col>
      <xdr:colOff>541867</xdr:colOff>
      <xdr:row>72</xdr:row>
      <xdr:rowOff>118533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9799149-AAC7-49C3-84C3-BF7736FC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728133</xdr:colOff>
      <xdr:row>28</xdr:row>
      <xdr:rowOff>143934</xdr:rowOff>
    </xdr:from>
    <xdr:to>
      <xdr:col>11</xdr:col>
      <xdr:colOff>615693</xdr:colOff>
      <xdr:row>30</xdr:row>
      <xdr:rowOff>106710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21CFC79-5BF4-4941-A7D8-AE089E261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6533" y="5808134"/>
          <a:ext cx="1928027" cy="3353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"/>
  <sheetViews>
    <sheetView tabSelected="1" topLeftCell="E5" zoomScale="90" zoomScaleNormal="90" workbookViewId="0">
      <selection activeCell="I30" sqref="I30"/>
    </sheetView>
  </sheetViews>
  <sheetFormatPr defaultRowHeight="14.4" x14ac:dyDescent="0.3"/>
  <cols>
    <col min="1" max="1" width="19.88671875" customWidth="1"/>
    <col min="8" max="8" width="17.88671875" customWidth="1"/>
    <col min="9" max="9" width="12" bestFit="1" customWidth="1"/>
    <col min="10" max="10" width="8.88671875" customWidth="1"/>
    <col min="12" max="12" width="17" customWidth="1"/>
    <col min="13" max="13" width="9.44140625" customWidth="1"/>
    <col min="19" max="19" width="13.109375" customWidth="1"/>
  </cols>
  <sheetData>
    <row r="1" spans="1:19" x14ac:dyDescent="0.3">
      <c r="A1" s="3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</row>
    <row r="2" spans="1:19" ht="21" customHeight="1" x14ac:dyDescent="0.3">
      <c r="A2" s="4" t="s">
        <v>2</v>
      </c>
      <c r="B2" s="3">
        <v>1950</v>
      </c>
      <c r="C2" s="3">
        <v>1955</v>
      </c>
      <c r="D2" s="3">
        <v>1960</v>
      </c>
      <c r="E2" s="3">
        <v>1965</v>
      </c>
      <c r="F2" s="3">
        <v>1970</v>
      </c>
      <c r="G2" s="3">
        <v>1975</v>
      </c>
      <c r="H2" s="3">
        <v>1980</v>
      </c>
      <c r="I2" s="3">
        <v>1985</v>
      </c>
      <c r="J2" s="3">
        <v>1990</v>
      </c>
      <c r="K2" s="3">
        <v>1995</v>
      </c>
      <c r="M2" s="7" t="s">
        <v>7</v>
      </c>
      <c r="N2" s="8">
        <f>AVERAGE(B3:K3)</f>
        <v>17530</v>
      </c>
    </row>
    <row r="3" spans="1:19" ht="39" customHeight="1" x14ac:dyDescent="0.3">
      <c r="A3" s="5" t="s">
        <v>3</v>
      </c>
      <c r="B3" s="3">
        <v>1200</v>
      </c>
      <c r="C3" s="3">
        <v>1900</v>
      </c>
      <c r="D3" s="3">
        <v>2500</v>
      </c>
      <c r="E3" s="3">
        <v>4500</v>
      </c>
      <c r="F3" s="3">
        <v>7800</v>
      </c>
      <c r="G3" s="3">
        <v>12400</v>
      </c>
      <c r="H3" s="3">
        <v>24000</v>
      </c>
      <c r="I3" s="3">
        <v>32000</v>
      </c>
      <c r="J3" s="3">
        <v>39000</v>
      </c>
      <c r="K3" s="3">
        <v>50000</v>
      </c>
      <c r="M3" s="7" t="s">
        <v>8</v>
      </c>
      <c r="N3" s="8">
        <f>AVERAGE(B4:K4)</f>
        <v>254.4</v>
      </c>
    </row>
    <row r="4" spans="1:19" ht="18.600000000000001" customHeight="1" x14ac:dyDescent="0.3">
      <c r="A4" s="4" t="s">
        <v>4</v>
      </c>
      <c r="B4" s="3">
        <v>315</v>
      </c>
      <c r="C4" s="3">
        <v>302</v>
      </c>
      <c r="D4" s="3">
        <v>290</v>
      </c>
      <c r="E4" s="3">
        <v>284</v>
      </c>
      <c r="F4" s="3">
        <v>271</v>
      </c>
      <c r="G4" s="3">
        <v>258</v>
      </c>
      <c r="H4" s="3">
        <v>237</v>
      </c>
      <c r="I4" s="3">
        <v>211</v>
      </c>
      <c r="J4" s="3">
        <v>202</v>
      </c>
      <c r="K4" s="3">
        <v>174</v>
      </c>
    </row>
    <row r="6" spans="1:19" x14ac:dyDescent="0.3">
      <c r="H6" t="s">
        <v>5</v>
      </c>
    </row>
    <row r="7" spans="1:19" x14ac:dyDescent="0.3">
      <c r="H7" t="s">
        <v>6</v>
      </c>
    </row>
    <row r="8" spans="1:19" x14ac:dyDescent="0.3">
      <c r="S8" s="16" t="s">
        <v>11</v>
      </c>
    </row>
    <row r="9" spans="1:19" x14ac:dyDescent="0.3">
      <c r="H9" s="11" t="s">
        <v>10</v>
      </c>
      <c r="I9" s="2">
        <f>(B3-$N$2)^2</f>
        <v>266668900</v>
      </c>
      <c r="J9" s="2">
        <f t="shared" ref="J9:R9" si="0">(C3-$N$2)^2</f>
        <v>244296900</v>
      </c>
      <c r="K9" s="2">
        <f t="shared" si="0"/>
        <v>225900900</v>
      </c>
      <c r="L9" s="2">
        <f t="shared" si="0"/>
        <v>169780900</v>
      </c>
      <c r="M9" s="2">
        <f t="shared" si="0"/>
        <v>94672900</v>
      </c>
      <c r="N9" s="2">
        <f t="shared" si="0"/>
        <v>26316900</v>
      </c>
      <c r="O9" s="2">
        <f t="shared" si="0"/>
        <v>41860900</v>
      </c>
      <c r="P9" s="2">
        <f t="shared" si="0"/>
        <v>209380900</v>
      </c>
      <c r="Q9" s="2">
        <f t="shared" si="0"/>
        <v>460960900</v>
      </c>
      <c r="R9" s="13">
        <f t="shared" si="0"/>
        <v>1054300900</v>
      </c>
      <c r="S9" s="17">
        <f>SUM(I9:R9)</f>
        <v>2794141000</v>
      </c>
    </row>
    <row r="10" spans="1:19" x14ac:dyDescent="0.3">
      <c r="H10" s="12" t="s">
        <v>9</v>
      </c>
      <c r="I10" s="12">
        <f>(B3-$N$2)*(B4-$N3)</f>
        <v>-989597.99999999988</v>
      </c>
      <c r="J10" s="12">
        <f t="shared" ref="J10:R10" si="1">(C3-$N$2)*(C4-$N3)</f>
        <v>-743987.99999999988</v>
      </c>
      <c r="K10" s="12">
        <f t="shared" si="1"/>
        <v>-535067.99999999988</v>
      </c>
      <c r="L10" s="12">
        <f t="shared" si="1"/>
        <v>-385687.99999999994</v>
      </c>
      <c r="M10" s="12">
        <f t="shared" si="1"/>
        <v>-161517.99999999994</v>
      </c>
      <c r="N10" s="12">
        <f t="shared" si="1"/>
        <v>-18467.999999999971</v>
      </c>
      <c r="O10" s="12">
        <f t="shared" si="1"/>
        <v>-112578.00000000004</v>
      </c>
      <c r="P10" s="12">
        <f t="shared" si="1"/>
        <v>-627998.00000000012</v>
      </c>
      <c r="Q10" s="12">
        <f t="shared" si="1"/>
        <v>-1125028.0000000002</v>
      </c>
      <c r="R10" s="9">
        <f t="shared" si="1"/>
        <v>-2610588</v>
      </c>
      <c r="S10" s="17">
        <f>SUM(I10:R10)</f>
        <v>-7310520</v>
      </c>
    </row>
    <row r="11" spans="1:19" x14ac:dyDescent="0.3"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9" x14ac:dyDescent="0.3">
      <c r="H12" s="15" t="s">
        <v>12</v>
      </c>
      <c r="I12" s="8">
        <f>S10 / S9</f>
        <v>-2.6163747641940759E-3</v>
      </c>
    </row>
    <row r="13" spans="1:19" x14ac:dyDescent="0.3">
      <c r="H13" s="15" t="s">
        <v>13</v>
      </c>
      <c r="I13" s="8">
        <f>N3 - I12*N2</f>
        <v>300.26504961632213</v>
      </c>
    </row>
    <row r="15" spans="1:19" x14ac:dyDescent="0.3">
      <c r="H15" s="7" t="s">
        <v>14</v>
      </c>
      <c r="I15">
        <f>I13</f>
        <v>300.26504961632213</v>
      </c>
      <c r="J15" s="1" t="s">
        <v>15</v>
      </c>
      <c r="K15">
        <f>I12</f>
        <v>-2.6163747641940759E-3</v>
      </c>
      <c r="L15" t="s">
        <v>16</v>
      </c>
    </row>
    <row r="17" spans="8:19" x14ac:dyDescent="0.3">
      <c r="H17" s="22" t="s">
        <v>17</v>
      </c>
      <c r="I17" s="22"/>
      <c r="J17" s="22"/>
      <c r="K17" s="22"/>
      <c r="L17" s="22"/>
      <c r="M17">
        <f>(-I15)/K15</f>
        <v>114763.77685855451</v>
      </c>
    </row>
    <row r="19" spans="8:19" x14ac:dyDescent="0.3">
      <c r="H19" s="7" t="s">
        <v>18</v>
      </c>
      <c r="I19">
        <f>I12*(N2/N3)</f>
        <v>-0.18028714471824744</v>
      </c>
    </row>
    <row r="20" spans="8:19" x14ac:dyDescent="0.3">
      <c r="H20" t="s">
        <v>20</v>
      </c>
      <c r="I20">
        <v>1950</v>
      </c>
      <c r="J20">
        <f>I20+5</f>
        <v>1955</v>
      </c>
      <c r="K20">
        <f t="shared" ref="K20:R20" si="2">J20+5</f>
        <v>1960</v>
      </c>
      <c r="L20">
        <f t="shared" si="2"/>
        <v>1965</v>
      </c>
      <c r="M20">
        <f t="shared" si="2"/>
        <v>1970</v>
      </c>
      <c r="N20">
        <f t="shared" si="2"/>
        <v>1975</v>
      </c>
      <c r="O20">
        <f t="shared" si="2"/>
        <v>1980</v>
      </c>
      <c r="P20">
        <f t="shared" si="2"/>
        <v>1985</v>
      </c>
      <c r="Q20">
        <f t="shared" si="2"/>
        <v>1990</v>
      </c>
      <c r="R20">
        <f t="shared" si="2"/>
        <v>1995</v>
      </c>
    </row>
    <row r="21" spans="8:19" x14ac:dyDescent="0.3">
      <c r="H21" s="6" t="s">
        <v>19</v>
      </c>
      <c r="I21" s="6">
        <f>$I$13 + $I$12*I22</f>
        <v>297.12539989928922</v>
      </c>
      <c r="J21" s="6">
        <f t="shared" ref="J21:R21" si="3">$I$13 + $I$12*J22</f>
        <v>295.29393756435337</v>
      </c>
      <c r="K21" s="6">
        <f t="shared" si="3"/>
        <v>293.72411270583694</v>
      </c>
      <c r="L21" s="6">
        <f t="shared" si="3"/>
        <v>288.49136317744876</v>
      </c>
      <c r="M21" s="6">
        <f t="shared" si="3"/>
        <v>279.85732645560836</v>
      </c>
      <c r="N21" s="6">
        <f t="shared" si="3"/>
        <v>267.82200254031557</v>
      </c>
      <c r="O21" s="6">
        <f t="shared" si="3"/>
        <v>237.4720552756643</v>
      </c>
      <c r="P21" s="6">
        <f t="shared" si="3"/>
        <v>216.54105716211171</v>
      </c>
      <c r="Q21" s="6">
        <f t="shared" si="3"/>
        <v>198.22643381275316</v>
      </c>
      <c r="R21" s="6">
        <f t="shared" si="3"/>
        <v>169.44631140661832</v>
      </c>
    </row>
    <row r="22" spans="8:19" x14ac:dyDescent="0.3">
      <c r="H22" s="6" t="s">
        <v>16</v>
      </c>
      <c r="I22" s="6">
        <f>B3</f>
        <v>1200</v>
      </c>
      <c r="J22" s="6">
        <f t="shared" ref="J22:Q22" si="4">C3</f>
        <v>1900</v>
      </c>
      <c r="K22" s="6">
        <f t="shared" si="4"/>
        <v>2500</v>
      </c>
      <c r="L22" s="6">
        <f t="shared" si="4"/>
        <v>4500</v>
      </c>
      <c r="M22" s="6">
        <f t="shared" si="4"/>
        <v>7800</v>
      </c>
      <c r="N22" s="6">
        <f t="shared" si="4"/>
        <v>12400</v>
      </c>
      <c r="O22" s="6">
        <f t="shared" si="4"/>
        <v>24000</v>
      </c>
      <c r="P22" s="6">
        <f t="shared" si="4"/>
        <v>32000</v>
      </c>
      <c r="Q22" s="6">
        <f t="shared" si="4"/>
        <v>39000</v>
      </c>
      <c r="R22" s="6">
        <f>K3</f>
        <v>50000</v>
      </c>
    </row>
    <row r="23" spans="8:19" x14ac:dyDescent="0.3">
      <c r="S23" s="16" t="s">
        <v>11</v>
      </c>
    </row>
    <row r="24" spans="8:19" x14ac:dyDescent="0.3">
      <c r="H24" s="6" t="s">
        <v>39</v>
      </c>
      <c r="I24" s="2">
        <f>B4-I21</f>
        <v>17.874600100710779</v>
      </c>
      <c r="J24" s="2">
        <f t="shared" ref="J24:R24" si="5">C4-J21</f>
        <v>6.7060624356466292</v>
      </c>
      <c r="K24" s="2">
        <f t="shared" si="5"/>
        <v>-3.7241127058369443</v>
      </c>
      <c r="L24" s="2">
        <f t="shared" si="5"/>
        <v>-4.4913631774487612</v>
      </c>
      <c r="M24" s="2">
        <f t="shared" si="5"/>
        <v>-8.8573264556083586</v>
      </c>
      <c r="N24" s="2">
        <f t="shared" si="5"/>
        <v>-9.822002540315566</v>
      </c>
      <c r="O24" s="2">
        <f t="shared" si="5"/>
        <v>-0.47205527566430305</v>
      </c>
      <c r="P24" s="2">
        <f t="shared" si="5"/>
        <v>-5.5410571621117128</v>
      </c>
      <c r="Q24" s="2">
        <f t="shared" si="5"/>
        <v>3.7735661872468427</v>
      </c>
      <c r="R24" s="13">
        <f t="shared" si="5"/>
        <v>4.5536885933816791</v>
      </c>
      <c r="S24" s="14">
        <f>SUM(I24:R24)</f>
        <v>2.8421709430404007E-13</v>
      </c>
    </row>
    <row r="25" spans="8:19" x14ac:dyDescent="0.3">
      <c r="H25" s="6" t="s">
        <v>32</v>
      </c>
      <c r="I25" s="2">
        <f>ABS(I24)/B4</f>
        <v>5.6744762224478662E-2</v>
      </c>
      <c r="J25" s="2">
        <f t="shared" ref="J25:R25" si="6">ABS(J24)/C4</f>
        <v>2.2205504753796786E-2</v>
      </c>
      <c r="K25" s="2">
        <f t="shared" si="6"/>
        <v>1.2841767951161877E-2</v>
      </c>
      <c r="L25" s="2">
        <f t="shared" si="6"/>
        <v>1.5814659075523808E-2</v>
      </c>
      <c r="M25" s="2">
        <f t="shared" si="6"/>
        <v>3.2683861459809442E-2</v>
      </c>
      <c r="N25" s="2">
        <f t="shared" si="6"/>
        <v>3.806977728804483E-2</v>
      </c>
      <c r="O25" s="2">
        <f t="shared" si="6"/>
        <v>1.9917944120856671E-3</v>
      </c>
      <c r="P25" s="2">
        <f t="shared" si="6"/>
        <v>2.6260934417591055E-2</v>
      </c>
      <c r="Q25" s="2">
        <f t="shared" si="6"/>
        <v>1.8681020728944765E-2</v>
      </c>
      <c r="R25" s="2">
        <f t="shared" si="6"/>
        <v>2.6170624099894707E-2</v>
      </c>
      <c r="S25" s="20">
        <f>SUM(I25:R25)</f>
        <v>0.25146470641133156</v>
      </c>
    </row>
    <row r="27" spans="8:19" x14ac:dyDescent="0.3">
      <c r="H27" s="18" t="s">
        <v>21</v>
      </c>
      <c r="I27">
        <f>S24/COUNT(I24:R24)</f>
        <v>2.8421709430404007E-14</v>
      </c>
      <c r="J27" t="s">
        <v>22</v>
      </c>
    </row>
    <row r="28" spans="8:19" x14ac:dyDescent="0.3">
      <c r="H28" s="7" t="s">
        <v>31</v>
      </c>
      <c r="I28">
        <f>S25/COUNT(I25:R25) * 100</f>
        <v>2.5146470641133156</v>
      </c>
      <c r="J28" t="s">
        <v>30</v>
      </c>
    </row>
    <row r="30" spans="8:19" x14ac:dyDescent="0.3">
      <c r="H30" s="7" t="s">
        <v>33</v>
      </c>
      <c r="I30" s="8">
        <v>3</v>
      </c>
      <c r="M30" s="19" t="s">
        <v>34</v>
      </c>
      <c r="N30" s="8">
        <f>INT(2*(COUNT(I25:R25)-2)/3 - 2*SQRT((16*COUNT(I25:R25)-29)/90))</f>
        <v>2</v>
      </c>
      <c r="O30" t="s">
        <v>35</v>
      </c>
    </row>
    <row r="31" spans="8:19" x14ac:dyDescent="0.3">
      <c r="S31" s="16" t="s">
        <v>11</v>
      </c>
    </row>
    <row r="32" spans="8:19" x14ac:dyDescent="0.3">
      <c r="I32">
        <f>(J24-I24)^2</f>
        <v>124.73623357595658</v>
      </c>
      <c r="J32">
        <f t="shared" ref="J32:Q32" si="7">(K24-J24)^2</f>
        <v>108.78855348202188</v>
      </c>
      <c r="K32">
        <f t="shared" si="7"/>
        <v>0.58867328618855552</v>
      </c>
      <c r="L32">
        <f t="shared" si="7"/>
        <v>19.061635346238099</v>
      </c>
      <c r="M32">
        <f t="shared" si="7"/>
        <v>0.93059994840602711</v>
      </c>
      <c r="N32">
        <f t="shared" si="7"/>
        <v>87.421513851759627</v>
      </c>
      <c r="O32">
        <f t="shared" si="7"/>
        <v>25.694780124807398</v>
      </c>
      <c r="P32">
        <f t="shared" si="7"/>
        <v>86.762208140415595</v>
      </c>
      <c r="Q32">
        <f t="shared" si="7"/>
        <v>0.60859096855360661</v>
      </c>
      <c r="S32">
        <f>SUM(I32:Q32)</f>
        <v>454.59278872434732</v>
      </c>
    </row>
    <row r="33" spans="8:19" x14ac:dyDescent="0.3">
      <c r="I33">
        <f>I24^2</f>
        <v>319.50132876032978</v>
      </c>
      <c r="J33">
        <f t="shared" ref="J33:Q33" si="8">J24^2</f>
        <v>44.971273390790799</v>
      </c>
      <c r="K33">
        <f t="shared" si="8"/>
        <v>13.869015445776167</v>
      </c>
      <c r="L33">
        <f t="shared" si="8"/>
        <v>20.172343191742634</v>
      </c>
      <c r="M33">
        <f t="shared" si="8"/>
        <v>78.452231941219722</v>
      </c>
      <c r="N33">
        <f t="shared" si="8"/>
        <v>96.471733901965436</v>
      </c>
      <c r="O33">
        <f t="shared" si="8"/>
        <v>0.22283618328250115</v>
      </c>
      <c r="P33">
        <f t="shared" si="8"/>
        <v>30.703314473789508</v>
      </c>
      <c r="Q33">
        <f t="shared" si="8"/>
        <v>14.239801769532674</v>
      </c>
      <c r="R33">
        <f>R24^2</f>
        <v>20.736079805494416</v>
      </c>
      <c r="S33">
        <f>SUM(I33:R33)</f>
        <v>639.3399588639237</v>
      </c>
    </row>
    <row r="35" spans="8:19" x14ac:dyDescent="0.3">
      <c r="H35" s="7" t="s">
        <v>36</v>
      </c>
      <c r="I35" s="8">
        <f>S32/S33</f>
        <v>0.71103453244520609</v>
      </c>
      <c r="J35" t="s">
        <v>37</v>
      </c>
      <c r="L35" s="23" t="s">
        <v>40</v>
      </c>
      <c r="N35" s="7" t="s">
        <v>41</v>
      </c>
      <c r="O35" s="8">
        <f>SQRT(S33 / (COUNT(I33:R33) - 1))</f>
        <v>8.4283909026042831</v>
      </c>
      <c r="P35" t="s">
        <v>43</v>
      </c>
      <c r="R35" t="s">
        <v>45</v>
      </c>
    </row>
    <row r="36" spans="8:19" x14ac:dyDescent="0.3">
      <c r="J36" t="s">
        <v>38</v>
      </c>
      <c r="L36" s="23"/>
      <c r="N36" s="7" t="s">
        <v>42</v>
      </c>
      <c r="O36" s="8">
        <f>(MAX(I24:R24) - MIN(I24:R24))/O35</f>
        <v>3.2861079844396386</v>
      </c>
      <c r="P36" t="s">
        <v>44</v>
      </c>
      <c r="R36" t="s">
        <v>46</v>
      </c>
    </row>
    <row r="38" spans="8:19" x14ac:dyDescent="0.3">
      <c r="H38" s="4" t="s">
        <v>23</v>
      </c>
      <c r="I38" s="3">
        <v>1950</v>
      </c>
      <c r="J38" s="3">
        <v>1955</v>
      </c>
      <c r="K38" s="3">
        <v>1960</v>
      </c>
      <c r="L38" s="3">
        <v>1965</v>
      </c>
      <c r="M38" s="3">
        <v>1970</v>
      </c>
      <c r="N38" s="3">
        <v>1975</v>
      </c>
      <c r="O38" s="3">
        <v>1980</v>
      </c>
      <c r="P38" s="3">
        <v>1985</v>
      </c>
      <c r="Q38" s="3">
        <v>1990</v>
      </c>
      <c r="R38" s="3">
        <v>1995</v>
      </c>
    </row>
    <row r="39" spans="8:19" ht="28.8" x14ac:dyDescent="0.3">
      <c r="H39" s="5" t="s">
        <v>24</v>
      </c>
      <c r="I39" s="3">
        <v>1200</v>
      </c>
      <c r="J39" s="3">
        <v>1900</v>
      </c>
      <c r="K39" s="3">
        <v>2500</v>
      </c>
      <c r="L39" s="3">
        <v>4500</v>
      </c>
      <c r="M39" s="3">
        <v>7800</v>
      </c>
      <c r="N39" s="3">
        <v>12400</v>
      </c>
      <c r="O39" s="3">
        <v>24000</v>
      </c>
      <c r="P39" s="3">
        <v>32000</v>
      </c>
      <c r="Q39" s="3">
        <v>39000</v>
      </c>
      <c r="R39" s="3">
        <v>50000</v>
      </c>
    </row>
    <row r="41" spans="8:19" x14ac:dyDescent="0.3">
      <c r="H41" s="7" t="s">
        <v>7</v>
      </c>
      <c r="I41" s="8">
        <f>AVERAGE(I38:R38)</f>
        <v>1972.5</v>
      </c>
    </row>
    <row r="42" spans="8:19" x14ac:dyDescent="0.3">
      <c r="H42" s="7" t="s">
        <v>25</v>
      </c>
      <c r="I42" s="8">
        <f>AVERAGE(I39:R39)</f>
        <v>17530</v>
      </c>
    </row>
    <row r="43" spans="8:19" x14ac:dyDescent="0.3">
      <c r="S43" s="16" t="s">
        <v>11</v>
      </c>
    </row>
    <row r="44" spans="8:19" x14ac:dyDescent="0.3">
      <c r="H44" s="11" t="s">
        <v>10</v>
      </c>
      <c r="I44" s="2">
        <f>(I38-$I41)^2</f>
        <v>506.25</v>
      </c>
      <c r="J44" s="2">
        <f t="shared" ref="J44:R44" si="9">(J38-$I41)^2</f>
        <v>306.25</v>
      </c>
      <c r="K44" s="2">
        <f t="shared" si="9"/>
        <v>156.25</v>
      </c>
      <c r="L44" s="2">
        <f t="shared" si="9"/>
        <v>56.25</v>
      </c>
      <c r="M44" s="2">
        <f t="shared" si="9"/>
        <v>6.25</v>
      </c>
      <c r="N44" s="2">
        <f t="shared" si="9"/>
        <v>6.25</v>
      </c>
      <c r="O44" s="2">
        <f t="shared" si="9"/>
        <v>56.25</v>
      </c>
      <c r="P44" s="2">
        <f t="shared" si="9"/>
        <v>156.25</v>
      </c>
      <c r="Q44" s="2">
        <f t="shared" si="9"/>
        <v>306.25</v>
      </c>
      <c r="R44" s="13">
        <f t="shared" si="9"/>
        <v>506.25</v>
      </c>
      <c r="S44" s="14">
        <f>SUM(I44:R44)</f>
        <v>2062.5</v>
      </c>
    </row>
    <row r="45" spans="8:19" x14ac:dyDescent="0.3">
      <c r="H45" s="2" t="s">
        <v>9</v>
      </c>
      <c r="I45" s="2">
        <f>(I38-$I41)*(I39-$I42)</f>
        <v>367425</v>
      </c>
      <c r="J45" s="2">
        <f t="shared" ref="J45:R45" si="10">(J38-$I41)*(J39-$I42)</f>
        <v>273525</v>
      </c>
      <c r="K45" s="2">
        <f t="shared" si="10"/>
        <v>187875</v>
      </c>
      <c r="L45" s="2">
        <f t="shared" si="10"/>
        <v>97725</v>
      </c>
      <c r="M45" s="2">
        <f t="shared" si="10"/>
        <v>24325</v>
      </c>
      <c r="N45" s="2">
        <f t="shared" si="10"/>
        <v>-12825</v>
      </c>
      <c r="O45" s="2">
        <f t="shared" si="10"/>
        <v>48525</v>
      </c>
      <c r="P45" s="2">
        <f t="shared" si="10"/>
        <v>180875</v>
      </c>
      <c r="Q45" s="2">
        <f t="shared" si="10"/>
        <v>375725</v>
      </c>
      <c r="R45" s="13">
        <f t="shared" si="10"/>
        <v>730575</v>
      </c>
      <c r="S45" s="14">
        <f>SUM(I45:R45)</f>
        <v>2273750</v>
      </c>
    </row>
    <row r="47" spans="8:19" x14ac:dyDescent="0.3">
      <c r="H47" s="15" t="s">
        <v>12</v>
      </c>
      <c r="I47">
        <f>S45/S44</f>
        <v>1102.4242424242425</v>
      </c>
    </row>
    <row r="48" spans="8:19" x14ac:dyDescent="0.3">
      <c r="H48" s="15" t="s">
        <v>13</v>
      </c>
      <c r="I48">
        <f>I42-I47*I41</f>
        <v>-2157001.8181818184</v>
      </c>
    </row>
    <row r="50" spans="8:22" x14ac:dyDescent="0.3">
      <c r="H50" t="s">
        <v>26</v>
      </c>
    </row>
    <row r="52" spans="8:22" x14ac:dyDescent="0.3">
      <c r="H52" s="2" t="s">
        <v>2</v>
      </c>
      <c r="I52" s="2">
        <v>2000</v>
      </c>
      <c r="J52" s="2">
        <f>I52+5</f>
        <v>2005</v>
      </c>
      <c r="K52" s="2">
        <f t="shared" ref="K52:N52" si="11">J52+5</f>
        <v>2010</v>
      </c>
      <c r="L52" s="2">
        <f t="shared" si="11"/>
        <v>2015</v>
      </c>
      <c r="M52" s="2">
        <f t="shared" si="11"/>
        <v>2020</v>
      </c>
      <c r="N52" s="2">
        <f t="shared" si="11"/>
        <v>2025</v>
      </c>
      <c r="O52" s="2">
        <f>N52+5</f>
        <v>2030</v>
      </c>
      <c r="P52" s="2">
        <f t="shared" ref="P52:R52" si="12">O52+5</f>
        <v>2035</v>
      </c>
      <c r="Q52" s="2">
        <f t="shared" si="12"/>
        <v>2040</v>
      </c>
      <c r="R52" s="2">
        <f t="shared" si="12"/>
        <v>2045</v>
      </c>
      <c r="S52" s="2">
        <f>R52+5</f>
        <v>2050</v>
      </c>
      <c r="T52" s="2">
        <f t="shared" ref="T52:V52" si="13">S52+5</f>
        <v>2055</v>
      </c>
      <c r="U52" s="2">
        <f t="shared" si="13"/>
        <v>2060</v>
      </c>
      <c r="V52" s="2">
        <f t="shared" si="13"/>
        <v>2065</v>
      </c>
    </row>
    <row r="53" spans="8:22" x14ac:dyDescent="0.3">
      <c r="H53" s="2" t="s">
        <v>27</v>
      </c>
      <c r="I53" s="2">
        <f>$I$48+$I$47*I52</f>
        <v>47846.666666666511</v>
      </c>
      <c r="J53" s="2">
        <f>$I$48+$I$47*J52</f>
        <v>53358.787878788076</v>
      </c>
      <c r="K53" s="2">
        <f t="shared" ref="K53:N53" si="14">$I$48+$I$47*K52</f>
        <v>58870.909090909176</v>
      </c>
      <c r="L53" s="2">
        <f t="shared" si="14"/>
        <v>64383.030303030275</v>
      </c>
      <c r="M53" s="2">
        <f t="shared" si="14"/>
        <v>69895.151515151374</v>
      </c>
      <c r="N53" s="2">
        <f t="shared" si="14"/>
        <v>75407.272727272473</v>
      </c>
      <c r="O53" s="2">
        <f>$I$48+$I$47*O52</f>
        <v>80919.393939394038</v>
      </c>
      <c r="P53" s="2">
        <f t="shared" ref="P53" si="15">$I$48+$I$47*P52</f>
        <v>86431.515151515137</v>
      </c>
      <c r="Q53" s="2">
        <f t="shared" ref="Q53" si="16">$I$48+$I$47*Q52</f>
        <v>91943.636363636237</v>
      </c>
      <c r="R53" s="2">
        <f t="shared" ref="R53" si="17">$I$48+$I$47*R52</f>
        <v>97455.757575757336</v>
      </c>
      <c r="S53" s="2">
        <f>$I$48+$I$47*S52</f>
        <v>102967.8787878789</v>
      </c>
      <c r="T53" s="2">
        <f t="shared" ref="T53" si="18">$I$48+$I$47*T52</f>
        <v>108480</v>
      </c>
      <c r="U53" s="2">
        <f t="shared" ref="U53" si="19">$I$48+$I$47*U52</f>
        <v>113992.1212121211</v>
      </c>
      <c r="V53" s="2">
        <f t="shared" ref="V53" si="20">$I$48+$I$47*V52</f>
        <v>119504.2424242422</v>
      </c>
    </row>
    <row r="54" spans="8:22" x14ac:dyDescent="0.3">
      <c r="H54" s="2" t="s">
        <v>28</v>
      </c>
      <c r="I54" s="2">
        <f>$I$13+$I$12*I53</f>
        <v>175.08023839884999</v>
      </c>
      <c r="J54" s="2">
        <f>$I$13+$I$12*J53</f>
        <v>160.65846356227627</v>
      </c>
      <c r="K54" s="2">
        <f t="shared" ref="K54:N54" si="21">$I$13+$I$12*K53</f>
        <v>146.23668872570374</v>
      </c>
      <c r="L54" s="2">
        <f t="shared" si="21"/>
        <v>131.81491388913125</v>
      </c>
      <c r="M54" s="2">
        <f t="shared" si="21"/>
        <v>117.39313905255875</v>
      </c>
      <c r="N54" s="2">
        <f t="shared" si="21"/>
        <v>102.97136421598623</v>
      </c>
      <c r="O54" s="2">
        <f>$I$13+$I$12*O53</f>
        <v>88.54958937941251</v>
      </c>
      <c r="P54" s="2">
        <f t="shared" ref="P54" si="22">$I$13+$I$12*P53</f>
        <v>74.127814542840014</v>
      </c>
      <c r="Q54" s="2">
        <f t="shared" ref="Q54" si="23">$I$13+$I$12*Q53</f>
        <v>59.706039706267518</v>
      </c>
      <c r="R54" s="2">
        <f t="shared" ref="R54" si="24">$I$13+$I$12*R53</f>
        <v>45.284264869694994</v>
      </c>
      <c r="S54" s="2">
        <f>$I$13+$I$12*S53</f>
        <v>30.862490033121276</v>
      </c>
      <c r="T54" s="2">
        <f t="shared" ref="T54" si="25">$I$13+$I$12*T53</f>
        <v>16.440715196548751</v>
      </c>
      <c r="U54" s="2">
        <f t="shared" ref="U54" si="26">$I$13+$I$12*U53</f>
        <v>2.0189403599762841</v>
      </c>
      <c r="V54" s="2">
        <f t="shared" ref="V54" si="27">$I$13+$I$12*V53</f>
        <v>-12.40283447659624</v>
      </c>
    </row>
    <row r="56" spans="8:22" x14ac:dyDescent="0.3">
      <c r="H56" t="s">
        <v>29</v>
      </c>
    </row>
  </sheetData>
  <mergeCells count="3">
    <mergeCell ref="B1:K1"/>
    <mergeCell ref="H17:L17"/>
    <mergeCell ref="L35:L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2015-06-05T18:19:34Z</dcterms:created>
  <dcterms:modified xsi:type="dcterms:W3CDTF">2019-12-06T15:29:26Z</dcterms:modified>
</cp:coreProperties>
</file>