
<file path=[Content_Types].xml><?xml version="1.0" encoding="utf-8"?>
<Types xmlns="http://schemas.openxmlformats.org/package/2006/content-types">
  <Default Extension="bin" ContentType="application/vnd.openxmlformats-officedocument.spreadsheetml.printerSettings"/>
  <Default Extension="png" ContentType="image/png"/>
  <Override PartName="/xl/revisions/revisionLog1.xml" ContentType="application/vnd.openxmlformats-officedocument.spreadsheetml.revisionLog+xml"/>
  <Override PartName="/xl/revisions/revisionLog1111.xml" ContentType="application/vnd.openxmlformats-officedocument.spreadsheetml.revisionLo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revisions/revisionLog121.xml" ContentType="application/vnd.openxmlformats-officedocument.spreadsheetml.revisionLo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revisions/revisionHeaders.xml" ContentType="application/vnd.openxmlformats-officedocument.spreadsheetml.revisionHeaders+xml"/>
  <Override PartName="/xl/revisions/revisionLog111.xml" ContentType="application/vnd.openxmlformats-officedocument.spreadsheetml.revisionLo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revisions/revisionLog12.xml" ContentType="application/vnd.openxmlformats-officedocument.spreadsheetml.revisionLog+xml"/>
  <Override PartName="/xl/sharedStrings.xml" ContentType="application/vnd.openxmlformats-officedocument.spreadsheetml.sharedStrings+xml"/>
  <Override PartName="/xl/revisions/revisionLog11.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workbookProtection lockRevision="1"/>
  <bookViews>
    <workbookView xWindow="0" yWindow="0" windowWidth="20490" windowHeight="9735" tabRatio="674" firstSheet="1" activeTab="8"/>
  </bookViews>
  <sheets>
    <sheet name="Instructions" sheetId="1" state="hidden" r:id="rId1"/>
    <sheet name="DATA" sheetId="2" r:id="rId2"/>
    <sheet name="Annexure -I" sheetId="3" r:id="rId3"/>
    <sheet name="Form 12BB" sheetId="4" state="hidden" r:id="rId4"/>
    <sheet name="Annexure -II" sheetId="5" r:id="rId5"/>
    <sheet name="Form 16 Page1" sheetId="6" state="hidden" r:id="rId6"/>
    <sheet name="Form 16 Page-1" sheetId="7" r:id="rId7"/>
    <sheet name="Form 16 Page2" sheetId="8" r:id="rId8"/>
    <sheet name="10E" sheetId="9" r:id="rId9"/>
    <sheet name="Rent Reciept " sheetId="10" r:id="rId10"/>
    <sheet name="Sheet1" sheetId="11" r:id="rId11"/>
  </sheets>
  <definedNames>
    <definedName name="_xlnm.Print_Area" localSheetId="8">'10E'!$A$1:$W$59</definedName>
    <definedName name="_xlnm.Print_Area" localSheetId="4">'Annexure -II'!$B$2:$N$77</definedName>
    <definedName name="_xlnm.Print_Area" localSheetId="5">'Form 16 Page1'!$B$1:$N$65</definedName>
    <definedName name="_xlnm.Print_Area" localSheetId="6">'Form 16 Page-1'!$B$2:$N$71</definedName>
    <definedName name="_xlnm.Print_Area" localSheetId="7">'Form 16 Page2'!$B$2:$M$62</definedName>
    <definedName name="_xlnm.Print_Area" localSheetId="9">'Rent Reciept '!$B$10:$J$28</definedName>
    <definedName name="Z_74B9DB0D_A27C_483C_9482_296E1DCC546B_.wvu.Cols" localSheetId="2" hidden="1">'Annexure -I'!$Z:$XFD</definedName>
    <definedName name="Z_74B9DB0D_A27C_483C_9482_296E1DCC546B_.wvu.Cols" localSheetId="4" hidden="1">'Annexure -II'!$O:$XFD</definedName>
    <definedName name="Z_74B9DB0D_A27C_483C_9482_296E1DCC546B_.wvu.Cols" localSheetId="1" hidden="1">DATA!$W:$XFD</definedName>
    <definedName name="Z_74B9DB0D_A27C_483C_9482_296E1DCC546B_.wvu.Cols" localSheetId="3" hidden="1">'Form 12BB'!$L:$XFD</definedName>
    <definedName name="Z_74B9DB0D_A27C_483C_9482_296E1DCC546B_.wvu.Cols" localSheetId="5" hidden="1">'Form 16 Page1'!$P:$XFD</definedName>
    <definedName name="Z_74B9DB0D_A27C_483C_9482_296E1DCC546B_.wvu.Cols" localSheetId="6" hidden="1">'Form 16 Page-1'!$P:$XFD</definedName>
    <definedName name="Z_74B9DB0D_A27C_483C_9482_296E1DCC546B_.wvu.Cols" localSheetId="7" hidden="1">'Form 16 Page2'!$O:$XFD</definedName>
    <definedName name="Z_74B9DB0D_A27C_483C_9482_296E1DCC546B_.wvu.Cols" localSheetId="9" hidden="1">'Rent Reciept '!$L:$XFD</definedName>
    <definedName name="Z_74B9DB0D_A27C_483C_9482_296E1DCC546B_.wvu.PrintArea" localSheetId="8" hidden="1">'10E'!$A$1:$W$59</definedName>
    <definedName name="Z_74B9DB0D_A27C_483C_9482_296E1DCC546B_.wvu.PrintArea" localSheetId="4" hidden="1">'Annexure -II'!$B$2:$N$77</definedName>
    <definedName name="Z_74B9DB0D_A27C_483C_9482_296E1DCC546B_.wvu.PrintArea" localSheetId="5" hidden="1">'Form 16 Page1'!$B$1:$N$65</definedName>
    <definedName name="Z_74B9DB0D_A27C_483C_9482_296E1DCC546B_.wvu.PrintArea" localSheetId="6" hidden="1">'Form 16 Page-1'!$B$2:$N$71</definedName>
    <definedName name="Z_74B9DB0D_A27C_483C_9482_296E1DCC546B_.wvu.PrintArea" localSheetId="7" hidden="1">'Form 16 Page2'!$B$2:$M$62</definedName>
    <definedName name="Z_74B9DB0D_A27C_483C_9482_296E1DCC546B_.wvu.PrintArea" localSheetId="9" hidden="1">'Rent Reciept '!$B$10:$J$28</definedName>
    <definedName name="Z_74B9DB0D_A27C_483C_9482_296E1DCC546B_.wvu.Rows" localSheetId="8" hidden="1">'10E'!$100:$1048576,'10E'!$59:$99</definedName>
    <definedName name="Z_74B9DB0D_A27C_483C_9482_296E1DCC546B_.wvu.Rows" localSheetId="2" hidden="1">'Annexure -I'!$475:$1048576,'Annexure -I'!$29:$472</definedName>
    <definedName name="Z_74B9DB0D_A27C_483C_9482_296E1DCC546B_.wvu.Rows" localSheetId="4" hidden="1">'Annexure -II'!$99:$1048576,'Annexure -II'!$78:$98</definedName>
    <definedName name="Z_74B9DB0D_A27C_483C_9482_296E1DCC546B_.wvu.Rows" localSheetId="1" hidden="1">DATA!$194:$1048576,DATA!$47:$193</definedName>
    <definedName name="Z_74B9DB0D_A27C_483C_9482_296E1DCC546B_.wvu.Rows" localSheetId="3" hidden="1">'Form 12BB'!$73:$1048576,'Form 12BB'!$59:$72</definedName>
    <definedName name="Z_74B9DB0D_A27C_483C_9482_296E1DCC546B_.wvu.Rows" localSheetId="5" hidden="1">'Form 16 Page1'!$112:$1048576,'Form 16 Page1'!$66:$111</definedName>
    <definedName name="Z_74B9DB0D_A27C_483C_9482_296E1DCC546B_.wvu.Rows" localSheetId="6" hidden="1">'Form 16 Page-1'!$120:$1048576,'Form 16 Page-1'!$72:$117,'Form 16 Page-1'!$119:$119</definedName>
    <definedName name="Z_74B9DB0D_A27C_483C_9482_296E1DCC546B_.wvu.Rows" localSheetId="7" hidden="1">'Form 16 Page2'!$234:$1048576,'Form 16 Page2'!$63:$233</definedName>
    <definedName name="Z_74B9DB0D_A27C_483C_9482_296E1DCC546B_.wvu.Rows" localSheetId="9" hidden="1">'Rent Reciept '!$1:$8</definedName>
    <definedName name="Z_C9DCC1B1_1130_43C1_807F_FB357D8E7C6B_.wvu.Cols" localSheetId="2" hidden="1">'Annexure -I'!$Z:$XFD</definedName>
    <definedName name="Z_C9DCC1B1_1130_43C1_807F_FB357D8E7C6B_.wvu.Cols" localSheetId="4" hidden="1">'Annexure -II'!$O:$XFD</definedName>
    <definedName name="Z_C9DCC1B1_1130_43C1_807F_FB357D8E7C6B_.wvu.Cols" localSheetId="1" hidden="1">DATA!$W:$XFD</definedName>
    <definedName name="Z_C9DCC1B1_1130_43C1_807F_FB357D8E7C6B_.wvu.Cols" localSheetId="3" hidden="1">'Form 12BB'!$L:$XFD</definedName>
    <definedName name="Z_C9DCC1B1_1130_43C1_807F_FB357D8E7C6B_.wvu.Cols" localSheetId="5" hidden="1">'Form 16 Page1'!$P:$XFD</definedName>
    <definedName name="Z_C9DCC1B1_1130_43C1_807F_FB357D8E7C6B_.wvu.Cols" localSheetId="6" hidden="1">'Form 16 Page-1'!$P:$XFD</definedName>
    <definedName name="Z_C9DCC1B1_1130_43C1_807F_FB357D8E7C6B_.wvu.Cols" localSheetId="7" hidden="1">'Form 16 Page2'!$O:$XFD</definedName>
    <definedName name="Z_C9DCC1B1_1130_43C1_807F_FB357D8E7C6B_.wvu.Cols" localSheetId="9" hidden="1">'Rent Reciept '!$L:$XFD</definedName>
    <definedName name="Z_C9DCC1B1_1130_43C1_807F_FB357D8E7C6B_.wvu.PrintArea" localSheetId="8" hidden="1">'10E'!$A$1:$W$59</definedName>
    <definedName name="Z_C9DCC1B1_1130_43C1_807F_FB357D8E7C6B_.wvu.PrintArea" localSheetId="4" hidden="1">'Annexure -II'!$B$2:$N$77</definedName>
    <definedName name="Z_C9DCC1B1_1130_43C1_807F_FB357D8E7C6B_.wvu.PrintArea" localSheetId="5" hidden="1">'Form 16 Page1'!$B$1:$N$65</definedName>
    <definedName name="Z_C9DCC1B1_1130_43C1_807F_FB357D8E7C6B_.wvu.PrintArea" localSheetId="6" hidden="1">'Form 16 Page-1'!$B$2:$N$71</definedName>
    <definedName name="Z_C9DCC1B1_1130_43C1_807F_FB357D8E7C6B_.wvu.PrintArea" localSheetId="7" hidden="1">'Form 16 Page2'!$B$2:$M$62</definedName>
    <definedName name="Z_C9DCC1B1_1130_43C1_807F_FB357D8E7C6B_.wvu.PrintArea" localSheetId="9" hidden="1">'Rent Reciept '!$B$10:$J$28</definedName>
    <definedName name="Z_C9DCC1B1_1130_43C1_807F_FB357D8E7C6B_.wvu.Rows" localSheetId="8" hidden="1">'10E'!$100:$1048576,'10E'!$59:$99</definedName>
    <definedName name="Z_C9DCC1B1_1130_43C1_807F_FB357D8E7C6B_.wvu.Rows" localSheetId="2" hidden="1">'Annexure -I'!$475:$1048576,'Annexure -I'!$29:$472</definedName>
    <definedName name="Z_C9DCC1B1_1130_43C1_807F_FB357D8E7C6B_.wvu.Rows" localSheetId="4" hidden="1">'Annexure -II'!$99:$1048576,'Annexure -II'!$78:$98</definedName>
    <definedName name="Z_C9DCC1B1_1130_43C1_807F_FB357D8E7C6B_.wvu.Rows" localSheetId="1" hidden="1">DATA!$194:$1048576,DATA!$47:$193</definedName>
    <definedName name="Z_C9DCC1B1_1130_43C1_807F_FB357D8E7C6B_.wvu.Rows" localSheetId="3" hidden="1">'Form 12BB'!$73:$1048576,'Form 12BB'!$59:$72</definedName>
    <definedName name="Z_C9DCC1B1_1130_43C1_807F_FB357D8E7C6B_.wvu.Rows" localSheetId="5" hidden="1">'Form 16 Page1'!$112:$1048576,'Form 16 Page1'!$66:$111</definedName>
    <definedName name="Z_C9DCC1B1_1130_43C1_807F_FB357D8E7C6B_.wvu.Rows" localSheetId="6" hidden="1">'Form 16 Page-1'!$120:$1048576,'Form 16 Page-1'!$72:$117,'Form 16 Page-1'!$119:$119</definedName>
    <definedName name="Z_C9DCC1B1_1130_43C1_807F_FB357D8E7C6B_.wvu.Rows" localSheetId="7" hidden="1">'Form 16 Page2'!$234:$1048576,'Form 16 Page2'!$63:$233</definedName>
    <definedName name="Z_C9DCC1B1_1130_43C1_807F_FB357D8E7C6B_.wvu.Rows" localSheetId="9" hidden="1">'Rent Reciept '!$1:$8</definedName>
  </definedNames>
  <calcPr calcId="124519"/>
  <customWorkbookViews>
    <customWorkbookView name="S. Rahul - Personal View" guid="{C9DCC1B1-1130-43C1-807F-FB357D8E7C6B}" mergeInterval="0" personalView="1" maximized="1" xWindow="1" yWindow="1" windowWidth="1366" windowHeight="538" tabRatio="674" activeSheetId="9"/>
    <customWorkbookView name="putta - Personal View" guid="{74B9DB0D-A27C-483C-9482-296E1DCC546B}" mergeInterval="0" personalView="1" maximized="1" xWindow="-8" yWindow="-8" windowWidth="1382" windowHeight="744" tabRatio="674" activeSheetId="2" showFormulaBar="0" showComments="commIndAndComment"/>
  </customWorkbookViews>
</workbook>
</file>

<file path=xl/calcChain.xml><?xml version="1.0" encoding="utf-8"?>
<calcChain xmlns="http://schemas.openxmlformats.org/spreadsheetml/2006/main">
  <c r="V52" i="9"/>
  <c r="L52"/>
  <c r="BI58" i="5"/>
  <c r="CD58"/>
  <c r="BO58"/>
  <c r="AT58"/>
  <c r="BN58"/>
  <c r="BX58" s="1"/>
  <c r="CB65" s="1"/>
  <c r="AS58"/>
  <c r="AG58"/>
  <c r="AF58"/>
  <c r="AA5" i="9"/>
  <c r="L21" i="2" l="1"/>
  <c r="O21"/>
  <c r="D32" i="5" l="1"/>
  <c r="AB18" i="2" l="1"/>
  <c r="AC18"/>
  <c r="AB17" s="1"/>
  <c r="L32" i="5" s="1"/>
  <c r="D10" l="1"/>
  <c r="AN102" i="2" l="1"/>
  <c r="AN101"/>
  <c r="AN100"/>
  <c r="AN99"/>
  <c r="M63" i="5"/>
  <c r="G57" i="4"/>
  <c r="AE101" i="2" l="1"/>
  <c r="AE100"/>
  <c r="AE99"/>
  <c r="AE98"/>
  <c r="AE97"/>
  <c r="AE96"/>
  <c r="AE95"/>
  <c r="AE94"/>
  <c r="AE93"/>
  <c r="AE92"/>
  <c r="AE91"/>
  <c r="AE90"/>
  <c r="Q128"/>
  <c r="Q127"/>
  <c r="Q126"/>
  <c r="Q125"/>
  <c r="Q124"/>
  <c r="Q123"/>
  <c r="Q122"/>
  <c r="Q121"/>
  <c r="Q120"/>
  <c r="Q119"/>
  <c r="Q118"/>
  <c r="Q117"/>
  <c r="P61"/>
  <c r="P60"/>
  <c r="P59"/>
  <c r="P58"/>
  <c r="P57"/>
  <c r="P56"/>
  <c r="P55"/>
  <c r="P54"/>
  <c r="P53"/>
  <c r="P52"/>
  <c r="P51"/>
  <c r="P50"/>
  <c r="U133" l="1"/>
  <c r="Y166" s="1"/>
  <c r="E61"/>
  <c r="F61" s="1"/>
  <c r="D59"/>
  <c r="I59" s="1"/>
  <c r="E60"/>
  <c r="F60" s="1"/>
  <c r="AD92"/>
  <c r="Y168"/>
  <c r="Y164"/>
  <c r="Y163"/>
  <c r="Y161"/>
  <c r="Y160"/>
  <c r="Y159"/>
  <c r="Y157"/>
  <c r="Y156"/>
  <c r="Y155"/>
  <c r="Y153"/>
  <c r="Y152"/>
  <c r="Y151"/>
  <c r="Y149"/>
  <c r="Y148"/>
  <c r="Y147"/>
  <c r="Y145"/>
  <c r="Y144"/>
  <c r="Y143"/>
  <c r="Y141"/>
  <c r="Y140"/>
  <c r="Y139"/>
  <c r="Y142" l="1"/>
  <c r="Y146"/>
  <c r="Y150"/>
  <c r="Y154"/>
  <c r="Y158"/>
  <c r="Y162"/>
  <c r="Y169"/>
  <c r="Y165"/>
  <c r="D60"/>
  <c r="Y167"/>
  <c r="AX59" i="5"/>
  <c r="V53" i="9"/>
  <c r="L53"/>
  <c r="D61" i="2" l="1"/>
  <c r="I60" s="1"/>
  <c r="H135"/>
  <c r="E20" i="3" s="1"/>
  <c r="X21" l="1"/>
  <c r="X16"/>
  <c r="P22"/>
  <c r="X22" s="1"/>
  <c r="L33" i="7" l="1"/>
  <c r="T70" i="2" l="1"/>
  <c r="U70" s="1"/>
  <c r="L27" i="5" s="1"/>
  <c r="T69" i="2"/>
  <c r="U69" s="1"/>
  <c r="L26" i="5" s="1"/>
  <c r="T71" i="2"/>
  <c r="L30" i="5"/>
  <c r="T80" i="2"/>
  <c r="U80" s="1"/>
  <c r="S76"/>
  <c r="S73"/>
  <c r="U71" l="1"/>
  <c r="U72" s="1"/>
  <c r="L28" i="5" s="1"/>
  <c r="C4" i="3"/>
  <c r="BL58" i="5" l="1"/>
  <c r="AE35" i="2" l="1"/>
  <c r="AD35" s="1"/>
  <c r="A52" i="4" s="1"/>
  <c r="Z52" i="9" l="1"/>
  <c r="AA52"/>
  <c r="AQ58" i="5" l="1"/>
  <c r="AW38" i="2"/>
  <c r="X41"/>
  <c r="W41"/>
  <c r="BC58" i="5" l="1"/>
  <c r="E2" i="10"/>
  <c r="G23" s="1"/>
  <c r="E3"/>
  <c r="G24" s="1"/>
  <c r="E4"/>
  <c r="H25" s="1"/>
  <c r="E5"/>
  <c r="E6"/>
  <c r="E7"/>
  <c r="E8"/>
  <c r="K4" i="9"/>
  <c r="K5"/>
  <c r="K6"/>
  <c r="AC19"/>
  <c r="B22"/>
  <c r="C25"/>
  <c r="C26"/>
  <c r="A30"/>
  <c r="A58"/>
  <c r="I7" i="8"/>
  <c r="I8"/>
  <c r="I9"/>
  <c r="C10"/>
  <c r="I10"/>
  <c r="AE48"/>
  <c r="AE49"/>
  <c r="AD53"/>
  <c r="D57"/>
  <c r="D58"/>
  <c r="H58"/>
  <c r="H59"/>
  <c r="R231"/>
  <c r="S231"/>
  <c r="W231" s="1"/>
  <c r="AG232"/>
  <c r="B7" i="7"/>
  <c r="I7"/>
  <c r="B8"/>
  <c r="I8"/>
  <c r="B9"/>
  <c r="I9"/>
  <c r="B10"/>
  <c r="I10"/>
  <c r="E12"/>
  <c r="L12"/>
  <c r="C41"/>
  <c r="N42"/>
  <c r="G67" s="1"/>
  <c r="D51"/>
  <c r="D53"/>
  <c r="D54"/>
  <c r="D55"/>
  <c r="D56"/>
  <c r="D57"/>
  <c r="D58"/>
  <c r="AB64"/>
  <c r="B6" i="6"/>
  <c r="B7"/>
  <c r="B8"/>
  <c r="B9"/>
  <c r="E11"/>
  <c r="L11"/>
  <c r="J57"/>
  <c r="L57"/>
  <c r="N57"/>
  <c r="B65"/>
  <c r="E4" i="5"/>
  <c r="I6" i="6" s="1"/>
  <c r="J4" i="5"/>
  <c r="I8" i="6" s="1"/>
  <c r="J5" i="5"/>
  <c r="I9" i="6" s="1"/>
  <c r="L6" i="5"/>
  <c r="F6" i="4" s="1"/>
  <c r="L19" i="5"/>
  <c r="N38" i="7" s="1"/>
  <c r="L20" i="5"/>
  <c r="N39" i="7" s="1"/>
  <c r="L21" i="5"/>
  <c r="N40" i="7" s="1"/>
  <c r="C23" i="5"/>
  <c r="C42" i="7" s="1"/>
  <c r="L23" i="5"/>
  <c r="D26"/>
  <c r="C5" i="8" s="1"/>
  <c r="D27" i="5"/>
  <c r="C6" i="8" s="1"/>
  <c r="D28" i="5"/>
  <c r="C7" i="8" s="1"/>
  <c r="J7"/>
  <c r="K7" s="1"/>
  <c r="D30" i="5"/>
  <c r="C8" i="8" s="1"/>
  <c r="D31" i="5"/>
  <c r="C9" i="8" s="1"/>
  <c r="H40" i="5"/>
  <c r="D29" i="4" s="1"/>
  <c r="D43" i="5"/>
  <c r="D47" i="6" s="1"/>
  <c r="L43" i="5"/>
  <c r="L44"/>
  <c r="G52" i="7" s="1"/>
  <c r="J52" s="1"/>
  <c r="L52" s="1"/>
  <c r="D45" i="5"/>
  <c r="D48" i="6" s="1"/>
  <c r="L45" i="5"/>
  <c r="G53" i="7" s="1"/>
  <c r="J53" s="1"/>
  <c r="L53" s="1"/>
  <c r="D46" i="5"/>
  <c r="D39" i="4" s="1"/>
  <c r="L46" i="5"/>
  <c r="G54" i="7" s="1"/>
  <c r="J54" s="1"/>
  <c r="L54" s="1"/>
  <c r="D47" i="5"/>
  <c r="D50" i="6" s="1"/>
  <c r="L47" i="5"/>
  <c r="G55" i="7" s="1"/>
  <c r="J55" s="1"/>
  <c r="L55" s="1"/>
  <c r="D48" i="5"/>
  <c r="D33" i="4" s="1"/>
  <c r="L48" i="5"/>
  <c r="G56" i="7" s="1"/>
  <c r="J56" s="1"/>
  <c r="L56" s="1"/>
  <c r="D49" i="5"/>
  <c r="D34" i="4" s="1"/>
  <c r="L49" i="5"/>
  <c r="G57" i="7" s="1"/>
  <c r="J57" s="1"/>
  <c r="L57" s="1"/>
  <c r="D50" i="5"/>
  <c r="D35" i="4" s="1"/>
  <c r="L50" i="5"/>
  <c r="G58" i="7" s="1"/>
  <c r="J58" s="1"/>
  <c r="L58" s="1"/>
  <c r="F51" i="5"/>
  <c r="D54" i="6" s="1"/>
  <c r="L51" i="5"/>
  <c r="G54" i="6" s="1"/>
  <c r="J54" s="1"/>
  <c r="L54" s="1"/>
  <c r="D53" i="5"/>
  <c r="L54"/>
  <c r="M54" s="1"/>
  <c r="AC18" i="9"/>
  <c r="AA18" s="1"/>
  <c r="AC59" i="5"/>
  <c r="BS59"/>
  <c r="W60"/>
  <c r="W62"/>
  <c r="W63"/>
  <c r="H66"/>
  <c r="H67"/>
  <c r="H68"/>
  <c r="H69"/>
  <c r="F5" i="4"/>
  <c r="I11"/>
  <c r="F12"/>
  <c r="H12"/>
  <c r="E13"/>
  <c r="E14"/>
  <c r="E15"/>
  <c r="F16"/>
  <c r="H20"/>
  <c r="I20"/>
  <c r="E21"/>
  <c r="E22"/>
  <c r="D30"/>
  <c r="G36"/>
  <c r="D38"/>
  <c r="E41"/>
  <c r="F41"/>
  <c r="D49"/>
  <c r="D50"/>
  <c r="B55"/>
  <c r="D57"/>
  <c r="G4" i="3"/>
  <c r="G5" s="1"/>
  <c r="G6" s="1"/>
  <c r="G7" s="1"/>
  <c r="I4"/>
  <c r="I5" s="1"/>
  <c r="BT76" i="2" s="1"/>
  <c r="T4" i="3"/>
  <c r="U4"/>
  <c r="U5" s="1"/>
  <c r="U6" s="1"/>
  <c r="U7" s="1"/>
  <c r="U8" s="1"/>
  <c r="U9" s="1"/>
  <c r="C5"/>
  <c r="K5"/>
  <c r="T5"/>
  <c r="C6"/>
  <c r="K6"/>
  <c r="T6"/>
  <c r="C7"/>
  <c r="K7"/>
  <c r="K8" s="1"/>
  <c r="T7"/>
  <c r="C8"/>
  <c r="T8"/>
  <c r="C9"/>
  <c r="K9"/>
  <c r="T9"/>
  <c r="C10"/>
  <c r="K10"/>
  <c r="K11" s="1"/>
  <c r="K12" s="1"/>
  <c r="K13" s="1"/>
  <c r="K14" s="1"/>
  <c r="K15" s="1"/>
  <c r="T10"/>
  <c r="C11"/>
  <c r="T11"/>
  <c r="C12"/>
  <c r="T12"/>
  <c r="C13"/>
  <c r="T13"/>
  <c r="C14"/>
  <c r="T14"/>
  <c r="C15"/>
  <c r="T15"/>
  <c r="D21"/>
  <c r="O21" s="1"/>
  <c r="D22"/>
  <c r="E22"/>
  <c r="F22"/>
  <c r="K22"/>
  <c r="J23"/>
  <c r="B28"/>
  <c r="AD4" i="2"/>
  <c r="AF5"/>
  <c r="AC6"/>
  <c r="E5" i="5" s="1"/>
  <c r="I7" i="6" s="1"/>
  <c r="AF6" i="2"/>
  <c r="AF7"/>
  <c r="AJ7"/>
  <c r="AF8"/>
  <c r="AF9"/>
  <c r="AJ9"/>
  <c r="AF10"/>
  <c r="AF4" s="1"/>
  <c r="AJ10"/>
  <c r="AF11"/>
  <c r="AF12"/>
  <c r="AF13"/>
  <c r="AF14"/>
  <c r="BD16"/>
  <c r="BL16"/>
  <c r="BD17"/>
  <c r="J10" i="8"/>
  <c r="K10" s="1"/>
  <c r="BD18" i="2"/>
  <c r="BD19"/>
  <c r="H20"/>
  <c r="N20"/>
  <c r="X20"/>
  <c r="BD20"/>
  <c r="C21"/>
  <c r="H21"/>
  <c r="BD21"/>
  <c r="BD22"/>
  <c r="C23"/>
  <c r="H23"/>
  <c r="O23"/>
  <c r="C24"/>
  <c r="J24"/>
  <c r="N24"/>
  <c r="Z28"/>
  <c r="AH32"/>
  <c r="R4" i="3" s="1"/>
  <c r="R5" s="1"/>
  <c r="R6" s="1"/>
  <c r="R7" s="1"/>
  <c r="R8" s="1"/>
  <c r="R9" s="1"/>
  <c r="R10" s="1"/>
  <c r="R11" s="1"/>
  <c r="R12" s="1"/>
  <c r="R13" s="1"/>
  <c r="R15" s="1"/>
  <c r="Y41" i="2"/>
  <c r="Z41" s="1"/>
  <c r="AE44"/>
  <c r="S50"/>
  <c r="L4" i="3" s="1"/>
  <c r="BW73" i="2" s="1"/>
  <c r="T50"/>
  <c r="U50"/>
  <c r="Q4" i="3" s="1"/>
  <c r="AF50" i="2"/>
  <c r="H4" i="3" s="1"/>
  <c r="S51" i="2"/>
  <c r="L5" i="3" s="1"/>
  <c r="BW76" i="2" s="1"/>
  <c r="T51"/>
  <c r="U51"/>
  <c r="Q5" i="3" s="1"/>
  <c r="V51" i="2"/>
  <c r="V52" s="1"/>
  <c r="V53" s="1"/>
  <c r="V54" s="1"/>
  <c r="V55" s="1"/>
  <c r="V56" s="1"/>
  <c r="V57" s="1"/>
  <c r="V58" s="1"/>
  <c r="V59" s="1"/>
  <c r="V60" s="1"/>
  <c r="V61" s="1"/>
  <c r="W51"/>
  <c r="W52" s="1"/>
  <c r="W53" s="1"/>
  <c r="W54" s="1"/>
  <c r="W55" s="1"/>
  <c r="W56" s="1"/>
  <c r="W57" s="1"/>
  <c r="W58" s="1"/>
  <c r="W59" s="1"/>
  <c r="W60" s="1"/>
  <c r="W61" s="1"/>
  <c r="X51"/>
  <c r="X52" s="1"/>
  <c r="X53" s="1"/>
  <c r="X54" s="1"/>
  <c r="X55" s="1"/>
  <c r="X56" s="1"/>
  <c r="X57" s="1"/>
  <c r="X58" s="1"/>
  <c r="X59" s="1"/>
  <c r="X60" s="1"/>
  <c r="X61" s="1"/>
  <c r="S52"/>
  <c r="L6" i="3" s="1"/>
  <c r="BW77" i="2" s="1"/>
  <c r="T52"/>
  <c r="U52"/>
  <c r="Q6" i="3" s="1"/>
  <c r="S53" i="2"/>
  <c r="L7" i="3" s="1"/>
  <c r="BW80" i="2" s="1"/>
  <c r="T53"/>
  <c r="U53"/>
  <c r="Q7" i="3" s="1"/>
  <c r="L54" i="2"/>
  <c r="I54" s="1"/>
  <c r="V4" i="3" s="1"/>
  <c r="S54" i="2"/>
  <c r="L8" i="3" s="1"/>
  <c r="T54" i="2"/>
  <c r="U54"/>
  <c r="Q8" i="3" s="1"/>
  <c r="S55" i="2"/>
  <c r="L9" i="3" s="1"/>
  <c r="BW83" i="2" s="1"/>
  <c r="T55"/>
  <c r="U55"/>
  <c r="Q9" i="3" s="1"/>
  <c r="S56" i="2"/>
  <c r="L10" i="3" s="1"/>
  <c r="BW85" i="2" s="1"/>
  <c r="T56"/>
  <c r="U56"/>
  <c r="Q10" i="3" s="1"/>
  <c r="S57" i="2"/>
  <c r="L11" i="3" s="1"/>
  <c r="BW87" i="2" s="1"/>
  <c r="T57"/>
  <c r="U57"/>
  <c r="Q11" i="3" s="1"/>
  <c r="S58" i="2"/>
  <c r="L12" i="3" s="1"/>
  <c r="BW90" i="2" s="1"/>
  <c r="T58"/>
  <c r="U58"/>
  <c r="Q12" i="3" s="1"/>
  <c r="S59" i="2"/>
  <c r="L13" i="3" s="1"/>
  <c r="T59" i="2"/>
  <c r="U59"/>
  <c r="Q13" i="3" s="1"/>
  <c r="S60" i="2"/>
  <c r="L14" i="3" s="1"/>
  <c r="BW94" i="2" s="1"/>
  <c r="T60"/>
  <c r="U60"/>
  <c r="Q14" i="3" s="1"/>
  <c r="S61" i="2"/>
  <c r="L15" i="3" s="1"/>
  <c r="T61" i="2"/>
  <c r="U61"/>
  <c r="Q15" i="3" s="1"/>
  <c r="AE64" i="2"/>
  <c r="AE65"/>
  <c r="AE66"/>
  <c r="O68"/>
  <c r="AB69"/>
  <c r="O114" s="1"/>
  <c r="AF70"/>
  <c r="BN70"/>
  <c r="B16" i="3" s="1"/>
  <c r="J6" i="8"/>
  <c r="K6" s="1"/>
  <c r="T73" i="2"/>
  <c r="BU73"/>
  <c r="O74"/>
  <c r="AE74"/>
  <c r="BU74"/>
  <c r="BV74"/>
  <c r="BV77" s="1"/>
  <c r="BU75"/>
  <c r="U76"/>
  <c r="T76"/>
  <c r="BU76"/>
  <c r="BU77"/>
  <c r="BU78"/>
  <c r="BU79"/>
  <c r="BU80"/>
  <c r="BU81"/>
  <c r="O82"/>
  <c r="D33" i="5" s="1"/>
  <c r="C12" i="8" s="1"/>
  <c r="T82" i="2"/>
  <c r="U82" s="1"/>
  <c r="L31" i="5" s="1"/>
  <c r="J9" i="8" s="1"/>
  <c r="K9" s="1"/>
  <c r="BU82" i="2"/>
  <c r="BU83"/>
  <c r="O84"/>
  <c r="S84"/>
  <c r="I12" i="8" s="1"/>
  <c r="BU84" i="2"/>
  <c r="O85"/>
  <c r="S85"/>
  <c r="N32" s="1"/>
  <c r="BU85"/>
  <c r="BU86"/>
  <c r="BU87"/>
  <c r="BU88"/>
  <c r="O89"/>
  <c r="I87" s="1"/>
  <c r="C6" i="5" s="1"/>
  <c r="AD89" i="2"/>
  <c r="AB72" s="1"/>
  <c r="BU89"/>
  <c r="BU90"/>
  <c r="BU91"/>
  <c r="BU92"/>
  <c r="BU93"/>
  <c r="BU94"/>
  <c r="BU95"/>
  <c r="BU96"/>
  <c r="BU98"/>
  <c r="V101"/>
  <c r="R102"/>
  <c r="P101" s="1"/>
  <c r="X104"/>
  <c r="O105"/>
  <c r="Y106"/>
  <c r="AB106"/>
  <c r="Y107"/>
  <c r="AB107"/>
  <c r="Y108"/>
  <c r="AB108"/>
  <c r="Y109"/>
  <c r="AB109"/>
  <c r="Y110"/>
  <c r="AB110"/>
  <c r="Y111"/>
  <c r="AB111"/>
  <c r="Y112"/>
  <c r="AB112"/>
  <c r="Y113"/>
  <c r="AB113"/>
  <c r="P114"/>
  <c r="P115" s="1"/>
  <c r="Q115" s="1"/>
  <c r="Y114"/>
  <c r="AB114"/>
  <c r="Y115"/>
  <c r="AB115"/>
  <c r="Y116"/>
  <c r="AB116"/>
  <c r="AN116"/>
  <c r="Y117"/>
  <c r="AB117"/>
  <c r="AN117"/>
  <c r="Y118"/>
  <c r="AB118"/>
  <c r="AN118"/>
  <c r="Y119"/>
  <c r="AB119"/>
  <c r="AN119"/>
  <c r="Y120"/>
  <c r="AB120"/>
  <c r="AN120"/>
  <c r="Y121"/>
  <c r="AB121"/>
  <c r="V122"/>
  <c r="Y122"/>
  <c r="AB122"/>
  <c r="V123"/>
  <c r="V121" s="1"/>
  <c r="Y123"/>
  <c r="AB123"/>
  <c r="Y124"/>
  <c r="AB124"/>
  <c r="Y125"/>
  <c r="AB125"/>
  <c r="V126"/>
  <c r="R51" s="1"/>
  <c r="Q51" s="1"/>
  <c r="Y126"/>
  <c r="AB126"/>
  <c r="Y127"/>
  <c r="AB127"/>
  <c r="Y128"/>
  <c r="AB128"/>
  <c r="L129"/>
  <c r="M129"/>
  <c r="Y129"/>
  <c r="AB129"/>
  <c r="N130"/>
  <c r="Y130"/>
  <c r="AB130"/>
  <c r="Y131"/>
  <c r="AB131"/>
  <c r="D132"/>
  <c r="B20" i="3" s="1"/>
  <c r="Y132" i="2"/>
  <c r="AB132"/>
  <c r="V133"/>
  <c r="Y133"/>
  <c r="AB133"/>
  <c r="V134"/>
  <c r="Y134"/>
  <c r="AB134"/>
  <c r="G135"/>
  <c r="D20" i="3" s="1"/>
  <c r="I135" i="2"/>
  <c r="F20" i="3" s="1"/>
  <c r="Y135" i="2"/>
  <c r="AB135"/>
  <c r="Y136"/>
  <c r="AB136"/>
  <c r="AE191"/>
  <c r="AJ3" s="1"/>
  <c r="AE193"/>
  <c r="O115" l="1"/>
  <c r="M122"/>
  <c r="AE43"/>
  <c r="P3" i="3" s="1"/>
  <c r="B8" i="10"/>
  <c r="D31" i="4"/>
  <c r="BE60" i="5"/>
  <c r="BD60"/>
  <c r="AO127" i="2"/>
  <c r="AP127" s="1"/>
  <c r="AT127" s="1"/>
  <c r="M133"/>
  <c r="O83"/>
  <c r="D34" i="5" s="1"/>
  <c r="C13" i="8" s="1"/>
  <c r="BW75" i="2"/>
  <c r="H34" i="4"/>
  <c r="I34" s="1"/>
  <c r="H40"/>
  <c r="I40" s="1"/>
  <c r="H32"/>
  <c r="I32" s="1"/>
  <c r="BT74" i="2"/>
  <c r="BT73"/>
  <c r="BV85"/>
  <c r="D32" i="4"/>
  <c r="D36"/>
  <c r="D40"/>
  <c r="D54" i="9"/>
  <c r="AC34"/>
  <c r="AA34" s="1"/>
  <c r="U73" i="2"/>
  <c r="AI68"/>
  <c r="B1" i="3" s="1"/>
  <c r="M23" i="2"/>
  <c r="H39" i="4"/>
  <c r="I39" s="1"/>
  <c r="BW74" i="2"/>
  <c r="O22" i="3"/>
  <c r="H47" i="4"/>
  <c r="I47" s="1"/>
  <c r="BW78" i="2"/>
  <c r="AB95"/>
  <c r="BW86"/>
  <c r="D51" i="6"/>
  <c r="BW93" i="2"/>
  <c r="H36" i="4"/>
  <c r="I36" s="1"/>
  <c r="Q230" i="8"/>
  <c r="S230" s="1"/>
  <c r="J134" i="2"/>
  <c r="J135" s="1"/>
  <c r="R60"/>
  <c r="Q60" s="1"/>
  <c r="AB93"/>
  <c r="AB92"/>
  <c r="BW82"/>
  <c r="BW81"/>
  <c r="G8" i="3"/>
  <c r="G9" s="1"/>
  <c r="G10" s="1"/>
  <c r="G11" s="1"/>
  <c r="G12" s="1"/>
  <c r="G13" s="1"/>
  <c r="G14" s="1"/>
  <c r="G15" s="1"/>
  <c r="M130" i="2"/>
  <c r="AB99"/>
  <c r="AB97"/>
  <c r="BV95"/>
  <c r="BV93"/>
  <c r="AB88"/>
  <c r="BV86"/>
  <c r="AB82"/>
  <c r="BW79"/>
  <c r="AB79"/>
  <c r="BV76"/>
  <c r="R56"/>
  <c r="Q56" s="1"/>
  <c r="AG44"/>
  <c r="D39" i="5" s="1"/>
  <c r="H43" i="4"/>
  <c r="I43" s="1"/>
  <c r="H35"/>
  <c r="I35" s="1"/>
  <c r="H33"/>
  <c r="I33" s="1"/>
  <c r="BV96" i="2"/>
  <c r="AB90"/>
  <c r="BW88"/>
  <c r="BW98" s="1"/>
  <c r="AB85"/>
  <c r="BV81"/>
  <c r="BV79"/>
  <c r="BT75"/>
  <c r="BV73"/>
  <c r="I6" i="3"/>
  <c r="H70" i="5"/>
  <c r="M24" i="8" s="1"/>
  <c r="G62" i="6"/>
  <c r="AB81" i="2"/>
  <c r="BV75"/>
  <c r="BV90"/>
  <c r="BV88"/>
  <c r="BV82"/>
  <c r="T23" i="3"/>
  <c r="G59" i="7"/>
  <c r="J59" s="1"/>
  <c r="L59" s="1"/>
  <c r="Q23" i="3"/>
  <c r="L40" i="5" s="1"/>
  <c r="I5" i="8"/>
  <c r="J5"/>
  <c r="K5" s="1"/>
  <c r="I13"/>
  <c r="T85" i="2"/>
  <c r="U85" s="1"/>
  <c r="L34" i="5" s="1"/>
  <c r="BW96" i="2"/>
  <c r="BW95"/>
  <c r="V13" i="3"/>
  <c r="L23"/>
  <c r="U10"/>
  <c r="U11" s="1"/>
  <c r="U12" s="1"/>
  <c r="U13" s="1"/>
  <c r="U14" s="1"/>
  <c r="U15" s="1"/>
  <c r="BW92" i="2"/>
  <c r="BW91"/>
  <c r="H5" i="3"/>
  <c r="H6" s="1"/>
  <c r="H7" s="1"/>
  <c r="H8" s="1"/>
  <c r="BW89" i="2"/>
  <c r="AB87"/>
  <c r="BW84"/>
  <c r="AB84"/>
  <c r="AB80"/>
  <c r="AB78"/>
  <c r="AB74"/>
  <c r="R59"/>
  <c r="Q59" s="1"/>
  <c r="R55"/>
  <c r="Q55" s="1"/>
  <c r="R53"/>
  <c r="Q53" s="1"/>
  <c r="AJ8"/>
  <c r="AK10" s="1"/>
  <c r="G47" i="6"/>
  <c r="J47" s="1"/>
  <c r="L47" s="1"/>
  <c r="G51" i="7"/>
  <c r="J51" s="1"/>
  <c r="L51" s="1"/>
  <c r="H31" i="4"/>
  <c r="I31" s="1"/>
  <c r="AO108" i="2"/>
  <c r="AP108" s="1"/>
  <c r="BV91"/>
  <c r="AB91"/>
  <c r="BV89"/>
  <c r="AB89"/>
  <c r="BV87"/>
  <c r="BV84"/>
  <c r="AB83"/>
  <c r="BV80"/>
  <c r="J8" i="8"/>
  <c r="K8" s="1"/>
  <c r="H44" i="4"/>
  <c r="I44" s="1"/>
  <c r="BV78" i="2"/>
  <c r="AB77"/>
  <c r="AB71"/>
  <c r="R58"/>
  <c r="Q58" s="1"/>
  <c r="R54"/>
  <c r="Q54" s="1"/>
  <c r="R52"/>
  <c r="Q52" s="1"/>
  <c r="R50"/>
  <c r="Q50" s="1"/>
  <c r="R23" i="3"/>
  <c r="L41" i="5" s="1"/>
  <c r="D49" i="6"/>
  <c r="L130" i="2"/>
  <c r="AB100"/>
  <c r="AB98"/>
  <c r="AB96"/>
  <c r="BV94"/>
  <c r="AB94"/>
  <c r="BV92"/>
  <c r="AB86"/>
  <c r="T84"/>
  <c r="J12" i="8" s="1"/>
  <c r="K12" s="1"/>
  <c r="BV83" i="2"/>
  <c r="AB76"/>
  <c r="AB75"/>
  <c r="AB73"/>
  <c r="R61"/>
  <c r="Q61" s="1"/>
  <c r="R57"/>
  <c r="Q57" s="1"/>
  <c r="J62" i="6"/>
  <c r="L62" s="1"/>
  <c r="N62" s="1"/>
  <c r="J67" i="7"/>
  <c r="L67" s="1"/>
  <c r="N67" s="1"/>
  <c r="D53" i="6"/>
  <c r="T231" i="8"/>
  <c r="G53" i="6"/>
  <c r="J53" s="1"/>
  <c r="L53" s="1"/>
  <c r="G51"/>
  <c r="J51" s="1"/>
  <c r="L51" s="1"/>
  <c r="G50"/>
  <c r="J50" s="1"/>
  <c r="L50" s="1"/>
  <c r="G49"/>
  <c r="J49" s="1"/>
  <c r="L49" s="1"/>
  <c r="G48"/>
  <c r="J48" s="1"/>
  <c r="L48" s="1"/>
  <c r="AD232" i="8"/>
  <c r="O20" i="3"/>
  <c r="AJ4" i="2"/>
  <c r="AO98"/>
  <c r="AP98" s="1"/>
  <c r="AG191"/>
  <c r="AO97"/>
  <c r="D55" i="9"/>
  <c r="BY60" i="5"/>
  <c r="M123" i="2" l="1"/>
  <c r="M117"/>
  <c r="D124" s="1"/>
  <c r="B19" i="3" s="1"/>
  <c r="AQ97" i="2"/>
  <c r="AU97" s="1"/>
  <c r="AP97"/>
  <c r="M134"/>
  <c r="AQ127"/>
  <c r="AU127" s="1"/>
  <c r="AV127" s="1"/>
  <c r="H9" i="3"/>
  <c r="H10" s="1"/>
  <c r="U23"/>
  <c r="L42" i="5" s="1"/>
  <c r="G46" i="6" s="1"/>
  <c r="J46" s="1"/>
  <c r="L46" s="1"/>
  <c r="J132" i="2"/>
  <c r="U84"/>
  <c r="N31" s="1"/>
  <c r="AQ108"/>
  <c r="AU108" s="1"/>
  <c r="BT77"/>
  <c r="I7" i="3"/>
  <c r="BT78" i="2"/>
  <c r="G23" i="3"/>
  <c r="AE232" i="8"/>
  <c r="X231"/>
  <c r="U231"/>
  <c r="V231" s="1"/>
  <c r="G45" i="6"/>
  <c r="J45" s="1"/>
  <c r="L45" s="1"/>
  <c r="G49" i="7"/>
  <c r="J49" s="1"/>
  <c r="L49" s="1"/>
  <c r="H30" i="4"/>
  <c r="I30" s="1"/>
  <c r="AD231" i="8"/>
  <c r="W230"/>
  <c r="T230"/>
  <c r="J13"/>
  <c r="K13" s="1"/>
  <c r="H45" i="4"/>
  <c r="I45" s="1"/>
  <c r="G44" i="6"/>
  <c r="J44" s="1"/>
  <c r="L44" s="1"/>
  <c r="G48" i="7"/>
  <c r="J48" s="1"/>
  <c r="L48" s="1"/>
  <c r="H29" i="4"/>
  <c r="I29" s="1"/>
  <c r="AQ98" i="2"/>
  <c r="AU98" s="1"/>
  <c r="AV5"/>
  <c r="AL7"/>
  <c r="AS5"/>
  <c r="AW5"/>
  <c r="AM8"/>
  <c r="AM7" s="1"/>
  <c r="AT5"/>
  <c r="AN8"/>
  <c r="AI13" s="1"/>
  <c r="AN9" s="1"/>
  <c r="AN7" s="1"/>
  <c r="AI14"/>
  <c r="AO9" s="1"/>
  <c r="AO7" s="1"/>
  <c r="AK7"/>
  <c r="AU5"/>
  <c r="AT108"/>
  <c r="BD62" i="5"/>
  <c r="BE62" s="1"/>
  <c r="BF62" s="1"/>
  <c r="BD63"/>
  <c r="BE63" s="1"/>
  <c r="BF63" s="1"/>
  <c r="AC36" i="9"/>
  <c r="BZ60" i="5"/>
  <c r="BY62"/>
  <c r="BZ62" s="1"/>
  <c r="CA62" s="1"/>
  <c r="CB62" s="1"/>
  <c r="AC39" i="9" s="1"/>
  <c r="BY63" i="5"/>
  <c r="BZ63" s="1"/>
  <c r="CA63" s="1"/>
  <c r="CB63" s="1"/>
  <c r="AC40" i="9" s="1"/>
  <c r="BG63" i="5" l="1"/>
  <c r="AC24" i="9" s="1"/>
  <c r="BG62" i="5"/>
  <c r="AC23" i="9" s="1"/>
  <c r="AV6" i="2"/>
  <c r="AV9"/>
  <c r="AV7"/>
  <c r="AV8"/>
  <c r="AS40"/>
  <c r="D4" i="3" s="1"/>
  <c r="AV11" i="2"/>
  <c r="AU7"/>
  <c r="AU6"/>
  <c r="AU8"/>
  <c r="AU11"/>
  <c r="AV10"/>
  <c r="AU10"/>
  <c r="AU9"/>
  <c r="AR127"/>
  <c r="H11" i="3"/>
  <c r="H12" s="1"/>
  <c r="H13" s="1"/>
  <c r="H14" s="1"/>
  <c r="H15" s="1"/>
  <c r="G50" i="7"/>
  <c r="J50" s="1"/>
  <c r="L50" s="1"/>
  <c r="Q49" i="5"/>
  <c r="L33"/>
  <c r="H48" i="4" s="1"/>
  <c r="I48" s="1"/>
  <c r="H38"/>
  <c r="I38" s="1"/>
  <c r="BD64" i="5"/>
  <c r="AV108" i="2"/>
  <c r="AR108"/>
  <c r="I8" i="3"/>
  <c r="BT80" i="2"/>
  <c r="BT79"/>
  <c r="AE231" i="8"/>
  <c r="X230"/>
  <c r="Z232"/>
  <c r="AB232"/>
  <c r="AA232"/>
  <c r="AC232" s="1"/>
  <c r="AF232"/>
  <c r="Y231"/>
  <c r="U230"/>
  <c r="V230" s="1"/>
  <c r="AO8" i="2"/>
  <c r="AW17" s="1"/>
  <c r="AR98"/>
  <c r="AT98"/>
  <c r="AV98" s="1"/>
  <c r="AI12"/>
  <c r="AM9" s="1"/>
  <c r="AU13"/>
  <c r="AU15"/>
  <c r="AU14"/>
  <c r="AU17"/>
  <c r="AU12"/>
  <c r="AU16"/>
  <c r="AK8"/>
  <c r="AV12"/>
  <c r="AV16"/>
  <c r="AV13"/>
  <c r="AV15"/>
  <c r="AV14"/>
  <c r="AV17"/>
  <c r="AI11"/>
  <c r="AL9" s="1"/>
  <c r="AL8" s="1"/>
  <c r="AT97"/>
  <c r="AV97" s="1"/>
  <c r="AR97"/>
  <c r="BY64" i="5"/>
  <c r="BE64"/>
  <c r="BF60"/>
  <c r="AC20" i="9"/>
  <c r="BZ64" i="5"/>
  <c r="CA60"/>
  <c r="BG60" l="1"/>
  <c r="F4" i="3"/>
  <c r="E4"/>
  <c r="P4" s="1"/>
  <c r="AT7" i="2"/>
  <c r="AT8"/>
  <c r="AT6"/>
  <c r="AS7"/>
  <c r="AS6"/>
  <c r="AS8"/>
  <c r="AW13"/>
  <c r="AW8"/>
  <c r="AW7"/>
  <c r="AW6"/>
  <c r="AS13"/>
  <c r="AB42"/>
  <c r="AS12"/>
  <c r="AW12"/>
  <c r="AT14"/>
  <c r="AT10"/>
  <c r="AT11"/>
  <c r="AT9"/>
  <c r="AT13"/>
  <c r="AS48" s="1"/>
  <c r="AT12"/>
  <c r="AI10"/>
  <c r="AK9" s="1"/>
  <c r="AS11"/>
  <c r="AS9"/>
  <c r="AS10"/>
  <c r="AW14"/>
  <c r="AW11"/>
  <c r="AW9"/>
  <c r="AW10"/>
  <c r="W37"/>
  <c r="W4" i="3"/>
  <c r="H23"/>
  <c r="M4"/>
  <c r="R49" i="5"/>
  <c r="AT16" i="2"/>
  <c r="AX52"/>
  <c r="AX51" s="1"/>
  <c r="AW15"/>
  <c r="AT15"/>
  <c r="AT17"/>
  <c r="AS14"/>
  <c r="AS15"/>
  <c r="AW16"/>
  <c r="AS17"/>
  <c r="AS52" s="1"/>
  <c r="AS16"/>
  <c r="I9" i="3"/>
  <c r="BT82" i="2"/>
  <c r="BT81"/>
  <c r="Z231" i="8"/>
  <c r="AB231"/>
  <c r="AA231"/>
  <c r="AF231"/>
  <c r="Y230"/>
  <c r="BP73" i="2"/>
  <c r="X37"/>
  <c r="BP74"/>
  <c r="AO99"/>
  <c r="AO124"/>
  <c r="BF64" i="5"/>
  <c r="CA64"/>
  <c r="CB60"/>
  <c r="AS42" i="2" l="1"/>
  <c r="D6" i="3" s="1"/>
  <c r="BI61" i="5"/>
  <c r="BI60"/>
  <c r="BI62" s="1"/>
  <c r="BG64"/>
  <c r="BG65" s="1"/>
  <c r="AS46" i="2"/>
  <c r="D10" i="3" s="1"/>
  <c r="BP85" i="2" s="1"/>
  <c r="AS47"/>
  <c r="D11" i="3" s="1"/>
  <c r="AS41" i="2"/>
  <c r="D5" i="3" s="1"/>
  <c r="BP75" i="2" s="1"/>
  <c r="AS45"/>
  <c r="AS44"/>
  <c r="D8" i="3" s="1"/>
  <c r="BP82" i="2" s="1"/>
  <c r="AS43"/>
  <c r="D7" i="3" s="1"/>
  <c r="BP79" i="2" s="1"/>
  <c r="M6" i="3"/>
  <c r="BP78" i="2"/>
  <c r="M10" i="3"/>
  <c r="AS49" i="2"/>
  <c r="D13" i="3" s="1"/>
  <c r="E6"/>
  <c r="BQ77" i="2" s="1"/>
  <c r="X39"/>
  <c r="W39"/>
  <c r="BP77"/>
  <c r="M7" i="3"/>
  <c r="AO101" i="2"/>
  <c r="AP101" s="1"/>
  <c r="K58"/>
  <c r="J60" s="1"/>
  <c r="M5" i="3"/>
  <c r="D12"/>
  <c r="M8"/>
  <c r="AS51" i="2"/>
  <c r="D15" i="3" s="1"/>
  <c r="AS50" i="2"/>
  <c r="D14" i="3" s="1"/>
  <c r="O4"/>
  <c r="S4" s="1"/>
  <c r="X4" s="1"/>
  <c r="I10"/>
  <c r="BT84" i="2"/>
  <c r="BT83"/>
  <c r="AC231" i="8"/>
  <c r="AG231" s="1"/>
  <c r="R230" s="1"/>
  <c r="B14" i="10" s="1"/>
  <c r="AQ99" i="2"/>
  <c r="AU99" s="1"/>
  <c r="AP99"/>
  <c r="BQ74"/>
  <c r="BQ73"/>
  <c r="Y37"/>
  <c r="BR73"/>
  <c r="BR74"/>
  <c r="AC22" i="9"/>
  <c r="AC38"/>
  <c r="CD60" i="5"/>
  <c r="CB64"/>
  <c r="CD61"/>
  <c r="E10" i="3" l="1"/>
  <c r="BQ85" i="2" s="1"/>
  <c r="AO105"/>
  <c r="AP105" s="1"/>
  <c r="AT105" s="1"/>
  <c r="E7" i="3"/>
  <c r="BQ79" i="2" s="1"/>
  <c r="AO102"/>
  <c r="AQ102" s="1"/>
  <c r="AU102" s="1"/>
  <c r="F7" i="3"/>
  <c r="BR80" i="2" s="1"/>
  <c r="F10" i="3"/>
  <c r="BR86" i="2" s="1"/>
  <c r="BP86"/>
  <c r="BP76"/>
  <c r="E5" i="3"/>
  <c r="BQ76" i="2" s="1"/>
  <c r="F5" i="3"/>
  <c r="BR76" i="2" s="1"/>
  <c r="AO100"/>
  <c r="AQ100" s="1"/>
  <c r="AU100" s="1"/>
  <c r="X38"/>
  <c r="W38"/>
  <c r="BP80"/>
  <c r="E8" i="3"/>
  <c r="P8" s="1"/>
  <c r="D9"/>
  <c r="E9" s="1"/>
  <c r="P9" s="1"/>
  <c r="M120" i="2"/>
  <c r="D126" s="1"/>
  <c r="F126" s="1"/>
  <c r="AO103"/>
  <c r="AP103" s="1"/>
  <c r="AT103" s="1"/>
  <c r="BP81"/>
  <c r="L133"/>
  <c r="D133" s="1"/>
  <c r="F133" s="1"/>
  <c r="M119"/>
  <c r="L134"/>
  <c r="D134" s="1"/>
  <c r="E134" s="1"/>
  <c r="P6" i="3"/>
  <c r="P7"/>
  <c r="P10"/>
  <c r="AO106" i="2"/>
  <c r="AP106" s="1"/>
  <c r="Y39"/>
  <c r="Z39" s="1"/>
  <c r="BQ80"/>
  <c r="BQ78"/>
  <c r="AQ101"/>
  <c r="AU101" s="1"/>
  <c r="J59"/>
  <c r="J61" s="1"/>
  <c r="F8" i="3" s="1"/>
  <c r="BR82" i="2" s="1"/>
  <c r="F13" i="3"/>
  <c r="BR91" i="2" s="1"/>
  <c r="E13" i="3"/>
  <c r="BQ92" i="2" s="1"/>
  <c r="F11" i="3"/>
  <c r="BR88" i="2" s="1"/>
  <c r="E11" i="3"/>
  <c r="BQ88" i="2" s="1"/>
  <c r="F15" i="3"/>
  <c r="BR96" i="2" s="1"/>
  <c r="E15" i="3"/>
  <c r="BQ96" i="2" s="1"/>
  <c r="F14" i="3"/>
  <c r="BR94" i="2" s="1"/>
  <c r="E14" i="3"/>
  <c r="BQ94" i="2" s="1"/>
  <c r="F12" i="3"/>
  <c r="BR90" i="2" s="1"/>
  <c r="E12" i="3"/>
  <c r="BQ90" i="2" s="1"/>
  <c r="BP90"/>
  <c r="M12" i="3"/>
  <c r="BP89" i="2"/>
  <c r="W23" i="3"/>
  <c r="M9"/>
  <c r="F6"/>
  <c r="CD62" i="5"/>
  <c r="M11" i="3"/>
  <c r="M14"/>
  <c r="BP91" i="2"/>
  <c r="BP92"/>
  <c r="BP93"/>
  <c r="BP94"/>
  <c r="M15" i="3"/>
  <c r="M13"/>
  <c r="Z37" i="2"/>
  <c r="BP87"/>
  <c r="V23" i="3"/>
  <c r="AC25" i="9"/>
  <c r="AC26" s="1"/>
  <c r="AC27" s="1"/>
  <c r="AC41"/>
  <c r="AC42" s="1"/>
  <c r="BP88" i="2"/>
  <c r="BP95"/>
  <c r="BP96"/>
  <c r="BT85"/>
  <c r="BT86"/>
  <c r="I11" i="3"/>
  <c r="BY74" i="2"/>
  <c r="BY73"/>
  <c r="AT101"/>
  <c r="AR99"/>
  <c r="AT99"/>
  <c r="AV99" s="1"/>
  <c r="O7" i="3" l="1"/>
  <c r="S7" s="1"/>
  <c r="AP100" i="2"/>
  <c r="AR100" s="1"/>
  <c r="AP102"/>
  <c r="AR102" s="1"/>
  <c r="BY76"/>
  <c r="BR85"/>
  <c r="BR79"/>
  <c r="BY79" s="1"/>
  <c r="F9" i="3"/>
  <c r="BQ86" i="2"/>
  <c r="BY86" s="1"/>
  <c r="AQ105"/>
  <c r="AU105" s="1"/>
  <c r="O5" i="3"/>
  <c r="S5" s="1"/>
  <c r="BQ75" i="2"/>
  <c r="O10" i="3"/>
  <c r="S10" s="1"/>
  <c r="X10" s="1"/>
  <c r="P5"/>
  <c r="BR75" i="2"/>
  <c r="BQ81"/>
  <c r="Y38"/>
  <c r="Z38" s="1"/>
  <c r="E133"/>
  <c r="H134" s="1"/>
  <c r="BP83"/>
  <c r="BP84"/>
  <c r="BQ82"/>
  <c r="BY82" s="1"/>
  <c r="BY80"/>
  <c r="AO104"/>
  <c r="AP104" s="1"/>
  <c r="L126"/>
  <c r="G134"/>
  <c r="F134"/>
  <c r="I134" s="1"/>
  <c r="AQ103"/>
  <c r="AU103" s="1"/>
  <c r="AV103" s="1"/>
  <c r="L125"/>
  <c r="D125"/>
  <c r="G126" s="1"/>
  <c r="G127" s="1"/>
  <c r="AO126" s="1"/>
  <c r="AR105"/>
  <c r="AV105"/>
  <c r="AQ106"/>
  <c r="AU106" s="1"/>
  <c r="P11" i="3"/>
  <c r="P13"/>
  <c r="P12"/>
  <c r="AT106" i="2"/>
  <c r="X7" i="3"/>
  <c r="BR89" i="2"/>
  <c r="AV101"/>
  <c r="BY85"/>
  <c r="AT100"/>
  <c r="AV100" s="1"/>
  <c r="O8" i="3"/>
  <c r="S8" s="1"/>
  <c r="X8" s="1"/>
  <c r="AR101" i="2"/>
  <c r="BR81"/>
  <c r="BP98"/>
  <c r="AO109" s="1"/>
  <c r="BQ89"/>
  <c r="E126"/>
  <c r="BQ84"/>
  <c r="BQ83"/>
  <c r="BR84"/>
  <c r="BR83"/>
  <c r="BR77"/>
  <c r="BY77" s="1"/>
  <c r="O6" i="3"/>
  <c r="S6" s="1"/>
  <c r="X6" s="1"/>
  <c r="BR78" i="2"/>
  <c r="BY78" s="1"/>
  <c r="O9" i="3"/>
  <c r="S9" s="1"/>
  <c r="BR92" i="2"/>
  <c r="BQ95"/>
  <c r="M23" i="3"/>
  <c r="L14" i="5" s="1"/>
  <c r="J29" i="6" s="1"/>
  <c r="P14" i="3"/>
  <c r="P15"/>
  <c r="BR87" i="2"/>
  <c r="BR98" s="1"/>
  <c r="L35" i="5"/>
  <c r="I4" i="8" s="1"/>
  <c r="J4" s="1"/>
  <c r="K4" s="1"/>
  <c r="BQ91" i="2"/>
  <c r="BR93"/>
  <c r="BQ93"/>
  <c r="BR95"/>
  <c r="O11" i="3"/>
  <c r="S11" s="1"/>
  <c r="AO125" i="2"/>
  <c r="BG66" i="5"/>
  <c r="BG68" s="1"/>
  <c r="AC43" i="9"/>
  <c r="CB66" i="5"/>
  <c r="CB68" s="1"/>
  <c r="BQ87" i="2"/>
  <c r="BQ98" s="1"/>
  <c r="BT87"/>
  <c r="BT88"/>
  <c r="BY88" s="1"/>
  <c r="I12" i="3"/>
  <c r="AC30" i="9"/>
  <c r="AC44"/>
  <c r="X5" i="3" l="1"/>
  <c r="BY75" i="2"/>
  <c r="BY81"/>
  <c r="AT102"/>
  <c r="AV102" s="1"/>
  <c r="AQ104"/>
  <c r="AU104" s="1"/>
  <c r="I136"/>
  <c r="P20" i="3" s="1"/>
  <c r="X20" s="1"/>
  <c r="AR103" i="2"/>
  <c r="AP126"/>
  <c r="AQ126"/>
  <c r="AU126" s="1"/>
  <c r="E125"/>
  <c r="H126" s="1"/>
  <c r="F125"/>
  <c r="I126" s="1"/>
  <c r="I127" s="1"/>
  <c r="F19" i="3" s="1"/>
  <c r="F23" s="1"/>
  <c r="S95" i="2" s="1"/>
  <c r="AV106"/>
  <c r="AR106"/>
  <c r="D19" i="3"/>
  <c r="D23" s="1"/>
  <c r="S96" i="2" s="1"/>
  <c r="J126"/>
  <c r="J127" s="1"/>
  <c r="BY83"/>
  <c r="X9" i="3"/>
  <c r="BY84" i="2"/>
  <c r="AT104"/>
  <c r="X11" i="3"/>
  <c r="J30" i="7"/>
  <c r="H49" i="4"/>
  <c r="I49" s="1"/>
  <c r="BY87" i="2"/>
  <c r="AC45" i="9"/>
  <c r="AQ125" i="2"/>
  <c r="AU125" s="1"/>
  <c r="AP125"/>
  <c r="AQ109"/>
  <c r="AU109" s="1"/>
  <c r="AP109"/>
  <c r="BG67" i="5"/>
  <c r="BG69" s="1"/>
  <c r="P55" i="9" s="1"/>
  <c r="CB67" i="5"/>
  <c r="CB69" s="1"/>
  <c r="P54" i="9" s="1"/>
  <c r="BT90" i="2"/>
  <c r="BT89"/>
  <c r="BY89" s="1"/>
  <c r="I13" i="3"/>
  <c r="AR104" i="2" l="1"/>
  <c r="AV104"/>
  <c r="AT126"/>
  <c r="AV126" s="1"/>
  <c r="AR126"/>
  <c r="L9" i="5"/>
  <c r="H127" i="2"/>
  <c r="E19" i="3" s="1"/>
  <c r="O19" s="1"/>
  <c r="I128" i="2"/>
  <c r="P19" i="3" s="1"/>
  <c r="X19" s="1"/>
  <c r="AO107" i="2"/>
  <c r="AQ107" s="1"/>
  <c r="AU107" s="1"/>
  <c r="N23" i="3"/>
  <c r="O12"/>
  <c r="S12" s="1"/>
  <c r="X12" s="1"/>
  <c r="AT109" i="2"/>
  <c r="AR109"/>
  <c r="AR125"/>
  <c r="AT125"/>
  <c r="BT98"/>
  <c r="BY98" s="1"/>
  <c r="K16" i="3" s="1"/>
  <c r="BY90" i="2"/>
  <c r="I14" i="3"/>
  <c r="BT92" i="2"/>
  <c r="BY92" s="1"/>
  <c r="BT91"/>
  <c r="BY91" s="1"/>
  <c r="O13" i="3"/>
  <c r="S13" s="1"/>
  <c r="X13" s="1"/>
  <c r="AP107" i="2" l="1"/>
  <c r="AT107" s="1"/>
  <c r="AV107" s="1"/>
  <c r="AV110" s="1"/>
  <c r="H54" i="9"/>
  <c r="L54" s="1"/>
  <c r="AA35"/>
  <c r="AA36" s="1"/>
  <c r="BP58" i="5"/>
  <c r="BT94" i="2"/>
  <c r="BY94" s="1"/>
  <c r="I15" i="3"/>
  <c r="BT93" i="2"/>
  <c r="BY93" s="1"/>
  <c r="O14" i="3"/>
  <c r="S14" s="1"/>
  <c r="X14" s="1"/>
  <c r="O16"/>
  <c r="K23"/>
  <c r="BQ60" i="5" l="1"/>
  <c r="BT65"/>
  <c r="AR107" i="2"/>
  <c r="AR110" s="1"/>
  <c r="E18" i="3" s="1"/>
  <c r="O18" s="1"/>
  <c r="BQ62" i="5"/>
  <c r="BR62" s="1"/>
  <c r="BS62" s="1"/>
  <c r="BT62" s="1"/>
  <c r="AA39" i="9" s="1"/>
  <c r="BQ63" i="5"/>
  <c r="BR63" s="1"/>
  <c r="BS63" s="1"/>
  <c r="BT63" s="1"/>
  <c r="AA40" i="9" s="1"/>
  <c r="BR60" i="5"/>
  <c r="BS60" s="1"/>
  <c r="BT95" i="2"/>
  <c r="BY95" s="1"/>
  <c r="BT96"/>
  <c r="BY96" s="1"/>
  <c r="O15" i="3"/>
  <c r="S15" s="1"/>
  <c r="X15" s="1"/>
  <c r="I23"/>
  <c r="P18" l="1"/>
  <c r="X18" s="1"/>
  <c r="BQ64" i="5"/>
  <c r="BR64"/>
  <c r="S23" i="3"/>
  <c r="L17" i="5" s="1"/>
  <c r="BT60"/>
  <c r="BT64" s="1"/>
  <c r="BS64"/>
  <c r="J35" i="7" l="1"/>
  <c r="L35" s="1"/>
  <c r="J33" i="6"/>
  <c r="N34" s="1"/>
  <c r="AA38" i="9"/>
  <c r="BT66" i="5" l="1"/>
  <c r="AA41" i="9" l="1"/>
  <c r="BT68" i="5"/>
  <c r="CD66"/>
  <c r="BT67" l="1"/>
  <c r="BT69" s="1"/>
  <c r="S54" i="9" s="1"/>
  <c r="V54" s="1"/>
  <c r="AA42"/>
  <c r="AA44" s="1"/>
  <c r="T20" i="2"/>
  <c r="W36" s="1"/>
  <c r="BN33" l="1"/>
  <c r="BN34" s="1"/>
  <c r="AA43" i="9"/>
  <c r="AA45" s="1"/>
  <c r="AD45" s="1"/>
  <c r="AX50" i="2"/>
  <c r="T19" s="1"/>
  <c r="W35" s="1"/>
  <c r="X36"/>
  <c r="AO123"/>
  <c r="AX49" l="1"/>
  <c r="T18" s="1"/>
  <c r="X34" s="1"/>
  <c r="Y36"/>
  <c r="Z36" s="1"/>
  <c r="X35"/>
  <c r="BN31"/>
  <c r="BN32" s="1"/>
  <c r="AO122"/>
  <c r="AQ122" s="1"/>
  <c r="AU122" s="1"/>
  <c r="BN29" l="1"/>
  <c r="BN30" s="1"/>
  <c r="AO121"/>
  <c r="AP121" s="1"/>
  <c r="W34"/>
  <c r="Y34" s="1"/>
  <c r="Z34" s="1"/>
  <c r="AP122"/>
  <c r="AT122" s="1"/>
  <c r="AV122" s="1"/>
  <c r="Y35"/>
  <c r="Z35" s="1"/>
  <c r="AQ121" l="1"/>
  <c r="AU121" s="1"/>
  <c r="AR122"/>
  <c r="AT121"/>
  <c r="AR121" l="1"/>
  <c r="AV121"/>
  <c r="AX38" l="1"/>
  <c r="AX48" s="1"/>
  <c r="T17" s="1"/>
  <c r="AO120" l="1"/>
  <c r="X33"/>
  <c r="BN27"/>
  <c r="BN28" s="1"/>
  <c r="W33"/>
  <c r="AX47"/>
  <c r="T16" s="1"/>
  <c r="AX46"/>
  <c r="T15" s="1"/>
  <c r="AX45"/>
  <c r="T14" s="1"/>
  <c r="AX42"/>
  <c r="AX40"/>
  <c r="AX44"/>
  <c r="T13" s="1"/>
  <c r="AX43"/>
  <c r="AX41"/>
  <c r="BN16"/>
  <c r="T23" s="1"/>
  <c r="Y33" l="1"/>
  <c r="Z33" s="1"/>
  <c r="AP120"/>
  <c r="AQ120"/>
  <c r="AU120" s="1"/>
  <c r="X31"/>
  <c r="W31"/>
  <c r="AO118"/>
  <c r="BN23"/>
  <c r="BN24" s="1"/>
  <c r="BN25"/>
  <c r="BN26" s="1"/>
  <c r="AO119"/>
  <c r="W32"/>
  <c r="X32"/>
  <c r="W29"/>
  <c r="AO116"/>
  <c r="X29"/>
  <c r="BN19"/>
  <c r="BN20" s="1"/>
  <c r="AO117"/>
  <c r="BN21"/>
  <c r="BN22" s="1"/>
  <c r="X30"/>
  <c r="W30"/>
  <c r="X40"/>
  <c r="W40"/>
  <c r="AR120" l="1"/>
  <c r="AT120"/>
  <c r="AV120" s="1"/>
  <c r="Y31"/>
  <c r="Z31" s="1"/>
  <c r="Y30"/>
  <c r="Z30" s="1"/>
  <c r="Y32"/>
  <c r="Z32" s="1"/>
  <c r="AQ118"/>
  <c r="AU118" s="1"/>
  <c r="AP118"/>
  <c r="AP119"/>
  <c r="AQ119"/>
  <c r="AU119" s="1"/>
  <c r="AP116"/>
  <c r="AQ116"/>
  <c r="AU116" s="1"/>
  <c r="AQ117"/>
  <c r="AU117" s="1"/>
  <c r="AP117"/>
  <c r="Y29"/>
  <c r="Z29" s="1"/>
  <c r="Y40"/>
  <c r="Z42" l="1"/>
  <c r="Y42"/>
  <c r="AR119"/>
  <c r="AT119"/>
  <c r="AV119" s="1"/>
  <c r="AR118"/>
  <c r="AT118"/>
  <c r="AV118" s="1"/>
  <c r="AT117"/>
  <c r="AV117" s="1"/>
  <c r="AR117"/>
  <c r="AU128"/>
  <c r="AR116"/>
  <c r="AT116"/>
  <c r="Y44" l="1"/>
  <c r="AR128"/>
  <c r="AS125"/>
  <c r="AS128" s="1"/>
  <c r="AV116"/>
  <c r="AT128"/>
  <c r="AB41"/>
  <c r="AB43" s="1"/>
  <c r="H55" i="9"/>
  <c r="E23" i="3"/>
  <c r="L11" i="5" s="1"/>
  <c r="AW125" i="2" l="1"/>
  <c r="AV128"/>
  <c r="O17" i="3"/>
  <c r="S97" i="2"/>
  <c r="S98" s="1"/>
  <c r="S99" s="1"/>
  <c r="Q99" s="1"/>
  <c r="Q91" s="1"/>
  <c r="Q89" s="1"/>
  <c r="M19" s="1"/>
  <c r="L55" i="9"/>
  <c r="O23" i="3" l="1"/>
  <c r="M7" i="5" s="1"/>
  <c r="P17" i="3"/>
  <c r="R101" i="2"/>
  <c r="L10" i="5" s="1"/>
  <c r="M11" s="1"/>
  <c r="S10" i="9"/>
  <c r="T36" s="1"/>
  <c r="AU58" i="5"/>
  <c r="AA19" i="9"/>
  <c r="AA20" s="1"/>
  <c r="J21" i="7" l="1"/>
  <c r="J27" s="1"/>
  <c r="N27" s="1"/>
  <c r="L16" i="5"/>
  <c r="J34" i="7" s="1"/>
  <c r="L34" s="1"/>
  <c r="N36" s="1"/>
  <c r="M12" i="5"/>
  <c r="J20" i="6"/>
  <c r="J26" s="1"/>
  <c r="N26" s="1"/>
  <c r="X17" i="3"/>
  <c r="X23" s="1"/>
  <c r="P23"/>
  <c r="AV62" i="5"/>
  <c r="AW62" s="1"/>
  <c r="AX62" s="1"/>
  <c r="AW60"/>
  <c r="AX60" s="1"/>
  <c r="AY60" s="1"/>
  <c r="J28" i="6"/>
  <c r="N29" s="1"/>
  <c r="J29" i="7"/>
  <c r="N30" s="1"/>
  <c r="AV63" i="5"/>
  <c r="AW63" s="1"/>
  <c r="AX63" s="1"/>
  <c r="AV60"/>
  <c r="AY63" l="1"/>
  <c r="AA24" i="9" s="1"/>
  <c r="AY62" i="5"/>
  <c r="L22"/>
  <c r="I11" i="8"/>
  <c r="J11" s="1"/>
  <c r="K11" s="1"/>
  <c r="M14" s="1"/>
  <c r="G59" i="6"/>
  <c r="N31" i="7"/>
  <c r="M17" i="5"/>
  <c r="N30" i="6"/>
  <c r="N35" s="1"/>
  <c r="N39" s="1"/>
  <c r="G47" i="7"/>
  <c r="G43" i="6"/>
  <c r="P49" i="5"/>
  <c r="S49" s="1"/>
  <c r="V52" s="1"/>
  <c r="AY65"/>
  <c r="AW64"/>
  <c r="AX64"/>
  <c r="AV64"/>
  <c r="AY64" l="1"/>
  <c r="AA23" i="9"/>
  <c r="L59" i="6"/>
  <c r="N59" s="1"/>
  <c r="J59"/>
  <c r="L29" i="5"/>
  <c r="H50" i="4"/>
  <c r="I50" s="1"/>
  <c r="N41" i="7"/>
  <c r="J43" i="6"/>
  <c r="L43" s="1"/>
  <c r="Z55" s="1"/>
  <c r="Y53"/>
  <c r="U52" i="5"/>
  <c r="T49"/>
  <c r="U49" s="1"/>
  <c r="V49" s="1"/>
  <c r="U50" s="1"/>
  <c r="L39" s="1"/>
  <c r="L52" s="1"/>
  <c r="M52" s="1"/>
  <c r="J47" i="7"/>
  <c r="L47" s="1"/>
  <c r="Y57"/>
  <c r="AA22" i="9"/>
  <c r="AA25"/>
  <c r="J61" i="6"/>
  <c r="L61" s="1"/>
  <c r="N61" s="1"/>
  <c r="P52" i="5" l="1"/>
  <c r="L53"/>
  <c r="G66" i="7" s="1"/>
  <c r="J66" s="1"/>
  <c r="L66" s="1"/>
  <c r="N66" s="1"/>
  <c r="G64"/>
  <c r="J64" s="1"/>
  <c r="L64" s="1"/>
  <c r="N64" s="1"/>
  <c r="H41" i="4"/>
  <c r="L36" i="5"/>
  <c r="M36" s="1"/>
  <c r="V50"/>
  <c r="N60" i="7"/>
  <c r="Y64" s="1"/>
  <c r="Z59"/>
  <c r="N55" i="6"/>
  <c r="AB57" s="1"/>
  <c r="AB60" s="1"/>
  <c r="Y60"/>
  <c r="AB64" s="1"/>
  <c r="N60" s="1"/>
  <c r="AA26" i="9"/>
  <c r="AA27" s="1"/>
  <c r="AY66" i="5"/>
  <c r="AY67" s="1"/>
  <c r="M53" l="1"/>
  <c r="Y68" i="7"/>
  <c r="AB70" s="1"/>
  <c r="AB61"/>
  <c r="AB68" s="1"/>
  <c r="N65"/>
  <c r="N68" s="1"/>
  <c r="M15" i="8" s="1"/>
  <c r="AA30" i="9"/>
  <c r="AD30" s="1"/>
  <c r="AY68" i="5"/>
  <c r="AY69" s="1"/>
  <c r="S55" i="9" s="1"/>
  <c r="V55" s="1"/>
  <c r="V56" s="1"/>
  <c r="BI66" i="5"/>
  <c r="N37" i="7"/>
  <c r="N43" s="1"/>
  <c r="M17" i="8" l="1"/>
  <c r="T42" i="9"/>
  <c r="M18" i="5"/>
  <c r="M24" s="1"/>
  <c r="M37" s="1"/>
  <c r="M55" l="1"/>
  <c r="AA6" i="9" l="1"/>
  <c r="AA3" s="1"/>
  <c r="AC3" s="1"/>
  <c r="AC6" s="1"/>
  <c r="T37"/>
  <c r="T35" s="1"/>
  <c r="Z58" i="5"/>
  <c r="G61" i="6"/>
  <c r="AB60" i="5" l="1"/>
  <c r="AA62"/>
  <c r="AB62" s="1"/>
  <c r="AC62" s="1"/>
  <c r="AD62" s="1"/>
  <c r="AH58"/>
  <c r="AA60"/>
  <c r="AA63"/>
  <c r="AB63" s="1"/>
  <c r="AC63" s="1"/>
  <c r="AD63" s="1"/>
  <c r="AA64" l="1"/>
  <c r="AI63"/>
  <c r="AJ63" s="1"/>
  <c r="AK63" s="1"/>
  <c r="AL63" s="1"/>
  <c r="AC10" i="9" s="1"/>
  <c r="AI60" i="5"/>
  <c r="AJ60"/>
  <c r="AI62"/>
  <c r="AJ62" s="1"/>
  <c r="AK62" s="1"/>
  <c r="AL62" s="1"/>
  <c r="AC9" i="9" s="1"/>
  <c r="M59" i="5"/>
  <c r="AA9" i="9"/>
  <c r="M60" i="5"/>
  <c r="AA10" i="9"/>
  <c r="AB64" i="5"/>
  <c r="AC60"/>
  <c r="AC64" l="1"/>
  <c r="AD60"/>
  <c r="AJ64"/>
  <c r="AK60"/>
  <c r="AI64"/>
  <c r="AK64" l="1"/>
  <c r="AL60"/>
  <c r="AA8" i="9"/>
  <c r="M58" i="5"/>
  <c r="AD64"/>
  <c r="M61" l="1"/>
  <c r="M18" i="8" s="1"/>
  <c r="M20" s="1"/>
  <c r="AC8" i="9"/>
  <c r="AK67" i="5"/>
  <c r="AK68"/>
  <c r="AL64"/>
  <c r="X67"/>
  <c r="AD65"/>
  <c r="AA11" i="9" s="1"/>
  <c r="AA12" s="1"/>
  <c r="W67" i="5" l="1"/>
  <c r="M62" s="1"/>
  <c r="M64" s="1"/>
  <c r="AA13" i="9"/>
  <c r="AA15" s="1"/>
  <c r="AL65" i="5"/>
  <c r="AC11" i="9" s="1"/>
  <c r="AC12" s="1"/>
  <c r="AD66" i="5"/>
  <c r="AC13" i="9" l="1"/>
  <c r="M21" i="8"/>
  <c r="AL66" i="5"/>
  <c r="AL68" s="1"/>
  <c r="AD67"/>
  <c r="AJ68"/>
  <c r="AN61" s="1"/>
  <c r="AJ67"/>
  <c r="AN60" s="1"/>
  <c r="AD69" l="1"/>
  <c r="T38" i="9" s="1"/>
  <c r="AN62" i="5"/>
  <c r="AC15" i="9"/>
  <c r="AD15" s="1"/>
  <c r="AD48" l="1"/>
  <c r="AL69" i="5"/>
  <c r="T39" i="9" s="1"/>
  <c r="T40" l="1"/>
  <c r="T44" s="1"/>
  <c r="M22" i="8" l="1"/>
  <c r="M23" s="1"/>
  <c r="M71" i="5"/>
  <c r="Q229" i="8" l="1"/>
  <c r="S229" s="1"/>
  <c r="M27"/>
  <c r="AB53"/>
  <c r="AE50" s="1"/>
  <c r="AD230" l="1"/>
  <c r="W229"/>
  <c r="T229"/>
  <c r="U229" l="1"/>
  <c r="X229"/>
  <c r="AE230"/>
  <c r="Y229" l="1"/>
  <c r="AF230"/>
  <c r="V229"/>
  <c r="AA230" l="1"/>
  <c r="Z230"/>
  <c r="AB230"/>
  <c r="AC230" l="1"/>
  <c r="AG230" s="1"/>
  <c r="R229" s="1"/>
  <c r="AD55" s="1"/>
  <c r="AE53" s="1"/>
  <c r="B49" s="1"/>
</calcChain>
</file>

<file path=xl/sharedStrings.xml><?xml version="1.0" encoding="utf-8"?>
<sst xmlns="http://schemas.openxmlformats.org/spreadsheetml/2006/main" count="1577" uniqueCount="889">
  <si>
    <t>S.No</t>
  </si>
  <si>
    <t>Month</t>
  </si>
  <si>
    <t>Pay</t>
  </si>
  <si>
    <t>DA</t>
  </si>
  <si>
    <t>HRA</t>
  </si>
  <si>
    <t>HMA</t>
  </si>
  <si>
    <t>FPI</t>
  </si>
  <si>
    <t>PHC</t>
  </si>
  <si>
    <t>TOTAL</t>
  </si>
  <si>
    <t>GPF</t>
  </si>
  <si>
    <t xml:space="preserve">GIS </t>
  </si>
  <si>
    <t>PT</t>
  </si>
  <si>
    <t>LIC</t>
  </si>
  <si>
    <t>Rented House</t>
  </si>
  <si>
    <t>h)</t>
  </si>
  <si>
    <t>SGT</t>
  </si>
  <si>
    <t>PET</t>
  </si>
  <si>
    <t>HRA Recived</t>
  </si>
  <si>
    <t>GPF Deducted</t>
  </si>
  <si>
    <t>APGLI</t>
  </si>
  <si>
    <t>GIS</t>
  </si>
  <si>
    <t>Place of Working :</t>
  </si>
  <si>
    <t>Signature of the DDO</t>
  </si>
  <si>
    <t>Surrender Leave</t>
  </si>
  <si>
    <t>Nov</t>
  </si>
  <si>
    <t>Dec</t>
  </si>
  <si>
    <t>LIC PREMIUM PAID BY HAND</t>
  </si>
  <si>
    <t>Medical Bills Exemted</t>
  </si>
  <si>
    <t>Postal LIC Premium Paid</t>
  </si>
  <si>
    <t>Yes</t>
  </si>
  <si>
    <t>No</t>
  </si>
  <si>
    <t>SA</t>
  </si>
  <si>
    <t>GHM</t>
  </si>
  <si>
    <t>Langauge Pandit</t>
  </si>
  <si>
    <t>PF Type:</t>
  </si>
  <si>
    <t>Mandal</t>
  </si>
  <si>
    <t>Changed Subscription</t>
  </si>
  <si>
    <t>Subcrsiption</t>
  </si>
  <si>
    <t>If any Change mention Month</t>
  </si>
  <si>
    <t>Changed Subcrsiption</t>
  </si>
  <si>
    <t>A/C No.</t>
  </si>
  <si>
    <t xml:space="preserve">Add. </t>
  </si>
  <si>
    <t>Others</t>
  </si>
  <si>
    <t>Increment Month</t>
  </si>
  <si>
    <t>PHC (CA)</t>
  </si>
  <si>
    <t xml:space="preserve">Taken Promotion </t>
  </si>
  <si>
    <t>If Yes Promotion Taken on</t>
  </si>
  <si>
    <t>Promotion Fixation Option is given to</t>
  </si>
  <si>
    <t>HRA Received</t>
  </si>
  <si>
    <t>Changed to</t>
  </si>
  <si>
    <t>CCA Received</t>
  </si>
  <si>
    <t>Any Change mention Month</t>
  </si>
  <si>
    <t>80CCC</t>
  </si>
  <si>
    <t>Payment of premia for annuity The premium must plan of LIC or any other insurer, be deposited to keep Deduction is available upto a in force a contract for maximum of Rs. 10,000</t>
  </si>
  <si>
    <t>The premium must be deposited to keep in force a contract for an annuity plan of the LIC or any other insurer for receiving pension from the fund</t>
  </si>
  <si>
    <t>80D</t>
  </si>
  <si>
    <t>Payment of medical insurance premia. Deduction is available upto Rs. 10,000</t>
  </si>
  <si>
    <t>The premium is to be paid by cheque and the insurance scheme should be framed by the General Insurance Corporation of India &amp; approved by the Central Govt. or any other insurer and approved by the regulatory authority &amp; Development authority.The premium should be paid in respect of health insurance of the assessee or his family members</t>
  </si>
  <si>
    <t>80DD </t>
  </si>
  <si>
    <t>Deduction of Rs. 40,000 in respect of a) expenditure incurred on medical treatment, (including nursing), training and rehabi­litation of a handicapped dependent relative.</t>
  </si>
  <si>
    <t>The handicapped dependent should be a dependent relative suffering a perma­nent disability (including blindness) or mentally retarded, as certified by a specified physician or psychiatrist.</t>
  </si>
  <si>
    <t>b) Payment or deposit to specified scheme for maintenance of dependent handicapped relative</t>
  </si>
  <si>
    <t>Note : The new section 80DD replace the earlier sections of 80DD and 80DDA which are now clubbed together under the new section.</t>
  </si>
  <si>
    <t>80DDB</t>
  </si>
  <si>
    <t>Deduction of Rs. 40,000 in respect of medical expenditure incurred</t>
  </si>
  <si>
    <t>80E</t>
  </si>
  <si>
    <t>This provision has been introduced to provide relief to students taking loans for higher studies. The repayment of the principal amount of loan and interest thereon will be allowed as deduction upto Rs. 3.2 lakhs over a period of 8 years.</t>
  </si>
  <si>
    <t>80G</t>
  </si>
  <si>
    <t>Donations to certain funds,charitable institutions etc.</t>
  </si>
  <si>
    <t>The various donations specified in Sec.80G are eligible for deduction upto either 100% or 50% with or without restriction as provided in Sec 80G</t>
  </si>
  <si>
    <t>80GG</t>
  </si>
  <si>
    <t>Deduction available is the least of</t>
  </si>
  <si>
    <t>(i) Rent paid less 10% of total income</t>
  </si>
  <si>
    <t>(ii) Rs. 2,000 per month</t>
  </si>
  <si>
    <t>(iii) 25% of total income</t>
  </si>
  <si>
    <t>80L</t>
  </si>
  <si>
    <t>Interest/Dividend/Income from :</t>
  </si>
  <si>
    <t>Rs. 9000 plus an addition deduction of Rs. 3000 allowed in respect of interest on any Central/State Govt. Securities</t>
  </si>
  <si>
    <t>a) any Govt. Security (Central or State)</t>
  </si>
  <si>
    <t xml:space="preserve">b) NSC, VI, VII &amp; VIII issues </t>
  </si>
  <si>
    <t>d)  Notified   National   Deposit Scheme</t>
  </si>
  <si>
    <t>h) deposits with banks established under any law made by Parliament.</t>
  </si>
  <si>
    <t>i)     Deposits   with     financial corporations approved by Central Government </t>
  </si>
  <si>
    <t>j)   Deposits   with   any   authority constituted in India under any law for   planning,development   or  improvement of cities, towns and villages etc.</t>
  </si>
  <si>
    <t>k) Deposits with co-op. Societies.</t>
  </si>
  <si>
    <t>1)   Deposits,   with   any   public companies   providing   long   term finance for construction or purchase of houses.</t>
  </si>
  <si>
    <t>m) Income from U.T.I.</t>
  </si>
  <si>
    <t>n) Income from Units of Mutual Fund specified under clause (23D) of Sec. 10.</t>
  </si>
  <si>
    <t>80U</t>
  </si>
  <si>
    <t>Deduction of Rs. 40,000/- to an individual who suffers from a physical disability (including blindness) or mental retardation</t>
  </si>
  <si>
    <t>Certificate should be obtained from a Govt. Doctor. The relevant rule is Rule 11D.</t>
  </si>
  <si>
    <t>Section</t>
  </si>
  <si>
    <t> Nature of Deduction</t>
  </si>
  <si>
    <t>Remarks</t>
  </si>
  <si>
    <t>Deduction in respect of repayment of loan taken upto Rs. 40,000 per year.</t>
  </si>
  <si>
    <t>2)  He should not be in  receipt  of house rent allowance.</t>
  </si>
  <si>
    <t>3)   He   should   not have a self occupied residential premises in any other place</t>
  </si>
  <si>
    <t>c)Notified  debentures   of public sector undertakings,cooperative societies/Land mortgage bank or land development bank.</t>
  </si>
  <si>
    <t>e)  Any other deposit Scheme framed by Central Govt. and notified.</t>
  </si>
  <si>
    <t>f)Deposit   under   Post   Office Monthly Income Account   rules,1987</t>
  </si>
  <si>
    <t>g)Deposits with banking companies, banking co-op, societie, land mortgage or land development bank.</t>
  </si>
  <si>
    <t>Infrastructure bonds under Section 80CCF</t>
  </si>
  <si>
    <t>Main features of this new section and new notification is given below.</t>
  </si>
  <si>
    <t>1. New section can be availed by individual or HUF only.</t>
  </si>
  <si>
    <t>2. Rs.20,000/- can be invested in a Financial year to avail deduction under section 80CCF</t>
  </si>
  <si>
    <t>3. Rs.20000/- Limit is in addition to Rs.1,00,000/- Limit of section 80C,80CCC &amp; 80CCD</t>
  </si>
  <si>
    <t>4. Tenure of the Bonds will be 10 Years.</t>
  </si>
  <si>
    <t>5. However Lock in period is 5 years, after 5 years investor can withdraw money from the bonds</t>
  </si>
  <si>
    <t>6. After lock in period, Investor can take loan against these Bonds</t>
  </si>
  <si>
    <t>7. Issuer of the Bonds is LIC, IFCI, IDFC and other NBFC classified as infrastructure company.</t>
  </si>
  <si>
    <t>8. Permanent account Number is must to apply these bonds.</t>
  </si>
  <si>
    <t>9. Yield of the bond – The yield of the bond shall not exceed the yield on government securities of corresponding residual maturity, as reported by the Fixed Income Money Market and Derivatives Association of India (FIMMDA), as on the last working day of the month immediately preceding the month of the issue of the bond.</t>
  </si>
  <si>
    <t>Section 80CCF of the Income-tax Act, 1961 – Deduction – In respect of subscription to long-term infrastructure bonds – Notified long-term infrastructure bond</t>
  </si>
  <si>
    <t>In exercise of the powers conferred by section 80CCF of the Income-tax Act, 1961 (43 of 1961), the Central Government hereby specifies bonds, subject to the following conditions, as long-term infrastructure bonds for the purposes of the said section namely :-</t>
  </si>
  <si>
    <t>(a) Name of the bond – The name of the bond shall be “Long-term Infrastructure Bond”.</t>
  </si>
  <si>
    <t>(b) Issuer of the bond – The bond shall be issued by :-</t>
  </si>
  <si>
    <t>(i) Industrial Finance Corporation of India;</t>
  </si>
  <si>
    <t>(ii) Life Insurance Corporation of India;</t>
  </si>
  <si>
    <t>(iii) Infrastructure Development Finance Company Limited;</t>
  </si>
  <si>
    <t>(iv) a Non-Banking Finance Company classified as an Infrastructure Finance Company by the Reserve Bank of India;</t>
  </si>
  <si>
    <t>(ii) the volume of issuance during the financial year shall be restricted to twenty-five per cent of the incremental infrastructure investments made by the issuer during the financial year 2009-10;</t>
  </si>
  <si>
    <t>(iii) ‘Investment’ for the purposes of this limit include loans, bonds, other forms of debt, quasi-equity, preference equity and equity.</t>
  </si>
  <si>
    <t>(d) Tenure of the bond. – (i) A minimum period of ten years:</t>
  </si>
  <si>
    <t>(ii) the minimum lock-in period for an investor shall be five years:</t>
  </si>
  <si>
    <t>(iii) after the lock in, the investor may exit either through the secondary market or through a buyback facility, specified by the issuer in the issue document at the time of issue;</t>
  </si>
  <si>
    <t>(iv) the bond shall also be allowed as pledge or lien or hypothecation for obtaining loans from Scheduled Commercial Banks, after the said lock-in period;</t>
  </si>
  <si>
    <t>(e) Permanent Account Number (PAN) to be furnished – It shall be mandatory for the subscribers to furnish there PAN to the issuer;</t>
  </si>
  <si>
    <t>(f) Yield of the bond – The yield of the bond shall not exceed the yield on government securities of corresponding residual maturity, as reported by the Fixed Income Money Market and Derivatives Association of India (FIMMDA), as on the last working day of the month immediately preceding the month of the issue of the bond;</t>
  </si>
  <si>
    <t>(ii) the end-use shall be duly reported in the Annual Reports and other reports submitted by the issuer to the Regulatory Authority concerned, and specifically certified by the Statutory Auditor of the issuer;</t>
  </si>
  <si>
    <t>(iii) the issuer shall also file these along with term sheets to the Infrastructure Division, Department of Economic Affairs, Ministry of Finance within three months from the end of financial year.</t>
  </si>
  <si>
    <t>(i) The bond will be issued during financial year 2010-11;</t>
  </si>
  <si>
    <t xml:space="preserve">(c) Limit on issuance – </t>
  </si>
  <si>
    <t>(g) End-use of proceeds and reporting or monitoring mechanism – (i) The proceeds shall be utilizes towards ‘ infrastructure lending’ as defined by the Reserve Bank of India in the Guidelines : issued by it.</t>
  </si>
  <si>
    <r>
      <t>1) Assessee or his total spouse or minor child should not own residential accommodation   at the place of employment.</t>
    </r>
    <r>
      <rPr>
        <sz val="9"/>
        <color indexed="8"/>
        <rFont val="Verdana"/>
        <family val="2"/>
      </rPr>
      <t xml:space="preserve"> </t>
    </r>
  </si>
  <si>
    <r>
      <t>CBDT has notified New infrastructure Bonds</t>
    </r>
    <r>
      <rPr>
        <sz val="11"/>
        <color theme="1"/>
        <rFont val="Calibri"/>
        <family val="2"/>
        <scheme val="minor"/>
      </rPr>
      <t xml:space="preserve"> </t>
    </r>
    <r>
      <rPr>
        <u/>
        <sz val="11"/>
        <color indexed="8"/>
        <rFont val="Calibri"/>
        <family val="2"/>
      </rPr>
      <t>(Notification No. 48/2010[F.No.149/84/2010-SO(TPL)], dated 9-7-2010</t>
    </r>
    <r>
      <rPr>
        <sz val="11"/>
        <color theme="1"/>
        <rFont val="Calibri"/>
        <family val="2"/>
        <scheme val="minor"/>
      </rPr>
      <t xml:space="preserve">) </t>
    </r>
    <r>
      <rPr>
        <sz val="11"/>
        <color theme="1"/>
        <rFont val="Calibri"/>
        <family val="2"/>
        <scheme val="minor"/>
      </rPr>
      <t>u/s 80CCF. An Individual or HUF can invest in these new infrastructure Bonds upto Rs.20,000/- in a Financial years.</t>
    </r>
  </si>
  <si>
    <t>Sri.</t>
  </si>
  <si>
    <t>Smt.</t>
  </si>
  <si>
    <t>Kum.</t>
  </si>
  <si>
    <t>AG GPF</t>
  </si>
  <si>
    <t>ZP GPF</t>
  </si>
  <si>
    <t>CPS</t>
  </si>
  <si>
    <t>Jr. Asst</t>
  </si>
  <si>
    <t>Office Subordinate</t>
  </si>
  <si>
    <t>Record Asst.</t>
  </si>
  <si>
    <t>No Change</t>
  </si>
  <si>
    <t>GLI</t>
  </si>
  <si>
    <t>8Years</t>
  </si>
  <si>
    <t>Promotion</t>
  </si>
  <si>
    <t>12</t>
  </si>
  <si>
    <t>Basic Pay</t>
  </si>
  <si>
    <t>PF Subscription</t>
  </si>
  <si>
    <t>No Increment</t>
  </si>
  <si>
    <t>Jan,10</t>
  </si>
  <si>
    <t>Feb,10</t>
  </si>
  <si>
    <t>Name of the Employee</t>
  </si>
  <si>
    <t>Pr.by Putta Srinivas Reddy (9849025860)</t>
  </si>
  <si>
    <t>Not Availed</t>
  </si>
  <si>
    <t>Total</t>
  </si>
  <si>
    <t>Increment</t>
  </si>
  <si>
    <t xml:space="preserve">Designation : </t>
  </si>
  <si>
    <t>Inc</t>
  </si>
  <si>
    <t>8yrs</t>
  </si>
  <si>
    <t>prom</t>
  </si>
  <si>
    <t>8yrs/prm</t>
  </si>
  <si>
    <t>Addl.</t>
  </si>
  <si>
    <t>LIC (SSS)</t>
  </si>
  <si>
    <t>Gross Total</t>
  </si>
  <si>
    <t>Total Deductions</t>
  </si>
  <si>
    <t>Signature of the Assese</t>
  </si>
  <si>
    <t>Changed CCA</t>
  </si>
  <si>
    <t>CCA</t>
  </si>
  <si>
    <t>DA Arrears</t>
  </si>
  <si>
    <t>Sorren</t>
  </si>
  <si>
    <t>Tobe</t>
  </si>
  <si>
    <t>Tober</t>
  </si>
  <si>
    <t>Already</t>
  </si>
  <si>
    <t>Children Education Fee Concession</t>
  </si>
  <si>
    <t>Other Arrears</t>
  </si>
  <si>
    <t>SAVINGS</t>
  </si>
  <si>
    <t>Limit</t>
  </si>
  <si>
    <t>Tuition Fee- Two Children</t>
  </si>
  <si>
    <t>80C</t>
  </si>
  <si>
    <t>National Savings Certificates (NSC)</t>
  </si>
  <si>
    <t>Repayment of Home Loan Principle</t>
  </si>
  <si>
    <t>LIC Insurance Premium- Annual</t>
  </si>
  <si>
    <t>Unit linked Insurance Plan</t>
  </si>
  <si>
    <t>Public Provident Fund</t>
  </si>
  <si>
    <t>ULIP</t>
  </si>
  <si>
    <t>PLI</t>
  </si>
  <si>
    <t>Equity linked Savings Schemes (ELSS)</t>
  </si>
  <si>
    <t>5-Years fixed deposits with bank/post office</t>
  </si>
  <si>
    <t>Infrasture Bonds ( LIC, IDBI, IFCI,etc)</t>
  </si>
  <si>
    <t>80CCF</t>
  </si>
  <si>
    <t>LIC / UTI  etc. Pension funds</t>
  </si>
  <si>
    <t>Repayement of Home Loan Premium</t>
  </si>
  <si>
    <t>National Savings Certificate</t>
  </si>
  <si>
    <t>LIC Annual Premiums Paid by Hand</t>
  </si>
  <si>
    <t>PLI Annual Premuim</t>
  </si>
  <si>
    <t>Unit Linked Insurance Plan</t>
  </si>
  <si>
    <t xml:space="preserve">5 Years Fixed Deposits </t>
  </si>
  <si>
    <t>Equity Linked Savings Scheme</t>
  </si>
  <si>
    <t>LIC Salary Savings Scheme(SSS)</t>
  </si>
  <si>
    <t>ANNEXURE - II</t>
  </si>
  <si>
    <t>Designation</t>
  </si>
  <si>
    <t>Gross Salary………</t>
  </si>
  <si>
    <t>Rs.</t>
  </si>
  <si>
    <t>H.R.A. Exemption as per eligibility U/s. 10(13-A)</t>
  </si>
  <si>
    <t>a)</t>
  </si>
  <si>
    <t>Actual HRA received</t>
  </si>
  <si>
    <t>b)</t>
  </si>
  <si>
    <t>c)</t>
  </si>
  <si>
    <t>40% of Salary (Salary means Basic Pay+D.A)</t>
  </si>
  <si>
    <t>Total Salary (2-3)</t>
  </si>
  <si>
    <t>Deductions from Salary Income</t>
  </si>
  <si>
    <t>Exemption from Conveyance Allowance U/s. 10(14) (i)</t>
  </si>
  <si>
    <t>Rent paid in excess of 10% Salary</t>
  </si>
  <si>
    <t>Profession Tax U/s 16 (3) B</t>
  </si>
  <si>
    <t>Income From Salary (4-5)</t>
  </si>
  <si>
    <t>Add: Income From other sources</t>
  </si>
  <si>
    <t>Add: Income From Capital Gains</t>
  </si>
  <si>
    <t>Deductions</t>
  </si>
  <si>
    <t>d)</t>
  </si>
  <si>
    <t>e)</t>
  </si>
  <si>
    <t>f)</t>
  </si>
  <si>
    <t>g)</t>
  </si>
  <si>
    <t>TOTAL-----------</t>
  </si>
  <si>
    <t>LIC Premium Deducted in Salary Savings Scheme</t>
  </si>
  <si>
    <t>i)</t>
  </si>
  <si>
    <t>j)</t>
  </si>
  <si>
    <t>k)</t>
  </si>
  <si>
    <t>Total Savings</t>
  </si>
  <si>
    <t>Tax on Income</t>
  </si>
  <si>
    <t>Nil</t>
  </si>
  <si>
    <t>Secondary &amp; Higher Education Cess @ 2%</t>
  </si>
  <si>
    <t>Upto</t>
  </si>
  <si>
    <t>Signature of the Drawing Officer</t>
  </si>
  <si>
    <t>Signature of the Employee</t>
  </si>
  <si>
    <t>Interest on Educational Loan</t>
  </si>
  <si>
    <t>Medical treatment of Handicapped/Dependent</t>
  </si>
  <si>
    <t>Expenditure on medical treatment S.Citizen</t>
  </si>
  <si>
    <t>Donation of Charitable Institution</t>
  </si>
  <si>
    <t>Payments made to Electoral Trusts</t>
  </si>
  <si>
    <t>)</t>
  </si>
  <si>
    <t>Own House</t>
  </si>
  <si>
    <t>Others       (</t>
  </si>
  <si>
    <t xml:space="preserve">(Rent: @ </t>
  </si>
  <si>
    <t>/-PM)</t>
  </si>
  <si>
    <t>Income from House Property U/s 24(vi)</t>
  </si>
  <si>
    <t>Advance Tax Paid</t>
  </si>
  <si>
    <t>Details of Advance Tax Deductions</t>
  </si>
  <si>
    <t>Total Advance Tax    Rs.</t>
  </si>
  <si>
    <t>………………………………………………………………………………………………………………………………</t>
  </si>
  <si>
    <t>Certificate under section 203 of the Income-tax Act, 1961                                                                                                                    for Tax deducted at source from income chargeable under the head "Salaries"</t>
  </si>
  <si>
    <t>NAME AND ADDRESS OF THE EMPLOYER</t>
  </si>
  <si>
    <t>NAME AND DESIGNATION OF THE EMPLOYEE</t>
  </si>
  <si>
    <t>TAN No. of DDO</t>
  </si>
  <si>
    <t>PAN oF Employee</t>
  </si>
  <si>
    <t>Acknowledgement Nos. of all quarterly statements of TDS under sub-section 200 as provided by TIN Facilitation Center or NSDL web-site.</t>
  </si>
  <si>
    <t>Quarter</t>
  </si>
  <si>
    <t>Acknowledgement No.</t>
  </si>
  <si>
    <t>Period</t>
  </si>
  <si>
    <t>Assessment</t>
  </si>
  <si>
    <t>From</t>
  </si>
  <si>
    <t>To</t>
  </si>
  <si>
    <t>Year</t>
  </si>
  <si>
    <t>DETAILS OF SALARY PAID AND ANY OTHER INCOME AND TAX DEDUCTED</t>
  </si>
  <si>
    <t>Gross Salary</t>
  </si>
  <si>
    <t>Salary as per provisions cotained in section 17 (1)</t>
  </si>
  <si>
    <t>Value of percuisites under section 17(2)</t>
  </si>
  <si>
    <t>(As Per Form No. 12BA, Wherever applicable)</t>
  </si>
  <si>
    <t>Profits in lieu of salary under section 17(3)</t>
  </si>
  <si>
    <t>(as per Form No. 12BA, Wherver applicable)</t>
  </si>
  <si>
    <t>Less: Allowance to the extent exempted U/s 10</t>
  </si>
  <si>
    <t>House Rent Allowence</t>
  </si>
  <si>
    <t>Other Allowance</t>
  </si>
  <si>
    <t>Balance (1-2)</t>
  </si>
  <si>
    <t>Entertainment Allowence</t>
  </si>
  <si>
    <t>Tax on Employment</t>
  </si>
  <si>
    <t>Aggreate of 4 (a)&amp;(b)</t>
  </si>
  <si>
    <t>INCOME CHARGEABLE UNDER THE HEAD SALARIES (3-5)</t>
  </si>
  <si>
    <t>Add: Any other income reported by the employee</t>
  </si>
  <si>
    <t>Add: Income of Capital Gains</t>
  </si>
  <si>
    <t>Less:Interest on Housing Loan U/s 24(b)</t>
  </si>
  <si>
    <t>Gross Total Income (6+7)</t>
  </si>
  <si>
    <t>Deductions Under Chapter VI-A</t>
  </si>
  <si>
    <t>A)</t>
  </si>
  <si>
    <t>Gross</t>
  </si>
  <si>
    <t>Qualifying</t>
  </si>
  <si>
    <t>Deductible</t>
  </si>
  <si>
    <t>Section 80C</t>
  </si>
  <si>
    <t>Amount</t>
  </si>
  <si>
    <t>i</t>
  </si>
  <si>
    <t>G.P.F</t>
  </si>
  <si>
    <t>ii</t>
  </si>
  <si>
    <t>A.P.G.L.I</t>
  </si>
  <si>
    <t>iii</t>
  </si>
  <si>
    <t>G.I.S</t>
  </si>
  <si>
    <t>iv</t>
  </si>
  <si>
    <t>LIC Premium Deducted in SSS</t>
  </si>
  <si>
    <t>v</t>
  </si>
  <si>
    <t>vi</t>
  </si>
  <si>
    <t>vii</t>
  </si>
  <si>
    <t>viii</t>
  </si>
  <si>
    <t>ix</t>
  </si>
  <si>
    <t>x</t>
  </si>
  <si>
    <t>Total Under Section 80C…</t>
  </si>
  <si>
    <t>Section 80CCC</t>
  </si>
  <si>
    <t>Contribution to Pension Fund</t>
  </si>
  <si>
    <r>
      <t>Aggrigate Amount Deductible Under 3 Sections</t>
    </r>
    <r>
      <rPr>
        <sz val="11"/>
        <rFont val="Book Antiqua"/>
        <family val="1"/>
      </rPr>
      <t>………………………………………………….</t>
    </r>
  </si>
  <si>
    <t>Note:</t>
  </si>
  <si>
    <t>Tuition Fee</t>
  </si>
  <si>
    <t>Repayment of Home Loan installments</t>
  </si>
  <si>
    <t>LIC Insurance premiums</t>
  </si>
  <si>
    <t>Infrasture Bonds ( ICICI/IDBI,etc)</t>
  </si>
  <si>
    <t>Name of the DDO</t>
  </si>
  <si>
    <t>Employee PAN No.</t>
  </si>
  <si>
    <t>DDO TAN No.</t>
  </si>
  <si>
    <t>xi</t>
  </si>
  <si>
    <t>B)</t>
  </si>
  <si>
    <t>Other Sections Under Chapter VI A</t>
  </si>
  <si>
    <t>( Under Sections 80E,80G,80DD etc )</t>
  </si>
  <si>
    <t>Total Under Sections 80G,80E,80DD etc…..</t>
  </si>
  <si>
    <t>TOTAL INCOME  (8-10)</t>
  </si>
  <si>
    <t>TAX ON TOTAL INCOME Rs.</t>
  </si>
  <si>
    <t>Relief under section 89 (attach details)</t>
  </si>
  <si>
    <r>
      <t>Less</t>
    </r>
    <r>
      <rPr>
        <sz val="10"/>
        <rFont val="Book Antiqua"/>
        <family val="1"/>
      </rPr>
      <t>:(a) Tax deducted at source U/s 192(1)</t>
    </r>
  </si>
  <si>
    <t xml:space="preserve"> (b)Tax paid by the employer on behalf of the</t>
  </si>
  <si>
    <t xml:space="preserve">     Employee U/S 192 (1A) on perquisited U/S 17 (2)</t>
  </si>
  <si>
    <t>DETAILS OF TAX DEDUCTED AND DEPOSITED INTO CENTRAL GOVERNMENT ACCOUNT</t>
  </si>
  <si>
    <t>(The employer is to provide tranction - wise details of tax deducted and deposited)</t>
  </si>
  <si>
    <t>Sl.</t>
  </si>
  <si>
    <t>TDS</t>
  </si>
  <si>
    <t>Surcharge</t>
  </si>
  <si>
    <t>Education</t>
  </si>
  <si>
    <t>Total Tax</t>
  </si>
  <si>
    <t>Cheque/DD</t>
  </si>
  <si>
    <t>BSR Code</t>
  </si>
  <si>
    <t xml:space="preserve">Date on </t>
  </si>
  <si>
    <t>Transfer</t>
  </si>
  <si>
    <t>No.</t>
  </si>
  <si>
    <t>Cess</t>
  </si>
  <si>
    <t>Deposited</t>
  </si>
  <si>
    <t>No. (if any)</t>
  </si>
  <si>
    <t>of Bank</t>
  </si>
  <si>
    <t>Which Tax</t>
  </si>
  <si>
    <t>vocher/chalana</t>
  </si>
  <si>
    <t>Branch</t>
  </si>
  <si>
    <t>Identification No</t>
  </si>
  <si>
    <t>/-</t>
  </si>
  <si>
    <t>Sign--</t>
  </si>
  <si>
    <t>Place:</t>
  </si>
  <si>
    <t>Signature of the person responsible for deduction of tax</t>
  </si>
  <si>
    <t>Date:</t>
  </si>
  <si>
    <t>Full Name--</t>
  </si>
  <si>
    <t>Designation-</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</si>
  <si>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</si>
  <si>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</si>
  <si>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</si>
  <si>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</si>
  <si>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</si>
  <si>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</si>
  <si>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</si>
  <si>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</si>
  <si>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</si>
  <si>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</si>
  <si>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</si>
  <si>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</si>
  <si>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</si>
  <si>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</si>
  <si>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</si>
  <si>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</si>
  <si>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</si>
  <si>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</si>
  <si>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</si>
  <si>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</si>
  <si>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 one</t>
  </si>
  <si>
    <t>Twenty two</t>
  </si>
  <si>
    <t>Twenty three</t>
  </si>
  <si>
    <t>Twenty four</t>
  </si>
  <si>
    <t>Twenty five</t>
  </si>
  <si>
    <t>Twenty six</t>
  </si>
  <si>
    <t>Twenty seven</t>
  </si>
  <si>
    <t>Twenty eight</t>
  </si>
  <si>
    <t>Twenty nine</t>
  </si>
  <si>
    <t xml:space="preserve">Thirty </t>
  </si>
  <si>
    <t>Thirty one</t>
  </si>
  <si>
    <t>Thirty two</t>
  </si>
  <si>
    <t>Thirty three</t>
  </si>
  <si>
    <t>Thirty four</t>
  </si>
  <si>
    <t>Thirty five</t>
  </si>
  <si>
    <t>Thirty six</t>
  </si>
  <si>
    <t>Thirty seven</t>
  </si>
  <si>
    <t>Thirty eight</t>
  </si>
  <si>
    <t>Thirty nine</t>
  </si>
  <si>
    <t xml:space="preserve">Forty </t>
  </si>
  <si>
    <t>Forty one</t>
  </si>
  <si>
    <t>Forty two</t>
  </si>
  <si>
    <t>Forty three</t>
  </si>
  <si>
    <t>Forty four</t>
  </si>
  <si>
    <t>Forty five</t>
  </si>
  <si>
    <t>Forty six</t>
  </si>
  <si>
    <t>Forty seven</t>
  </si>
  <si>
    <t>Forty eight</t>
  </si>
  <si>
    <t>Forty nine</t>
  </si>
  <si>
    <t>Fifty</t>
  </si>
  <si>
    <t>Fifty one</t>
  </si>
  <si>
    <t>Fifty two</t>
  </si>
  <si>
    <t>Fifty three</t>
  </si>
  <si>
    <t>Fifty four</t>
  </si>
  <si>
    <t>Fifty five</t>
  </si>
  <si>
    <t>Fifty six</t>
  </si>
  <si>
    <t>Fifty seven</t>
  </si>
  <si>
    <t>Fifty eight</t>
  </si>
  <si>
    <t>Fifty nine</t>
  </si>
  <si>
    <t>sixty</t>
  </si>
  <si>
    <t>Sixty one</t>
  </si>
  <si>
    <t>Sixty two</t>
  </si>
  <si>
    <t>Sixty three</t>
  </si>
  <si>
    <t>Sixty four</t>
  </si>
  <si>
    <t>Sixty five</t>
  </si>
  <si>
    <t>Sixty six</t>
  </si>
  <si>
    <t>Sixty seven</t>
  </si>
  <si>
    <t>Sixty eight</t>
  </si>
  <si>
    <t>Sixty nine</t>
  </si>
  <si>
    <t>Seventy</t>
  </si>
  <si>
    <t>Seventy one</t>
  </si>
  <si>
    <t>Seventy two</t>
  </si>
  <si>
    <t>Seventy three</t>
  </si>
  <si>
    <t>Seventy four</t>
  </si>
  <si>
    <t>Seventy five</t>
  </si>
  <si>
    <t>Seventy six</t>
  </si>
  <si>
    <t>Seventy seven</t>
  </si>
  <si>
    <t>Seventy eight</t>
  </si>
  <si>
    <t>Seventy nine</t>
  </si>
  <si>
    <t xml:space="preserve">Eighty </t>
  </si>
  <si>
    <t>Eighty one</t>
  </si>
  <si>
    <t>Eighty two</t>
  </si>
  <si>
    <t>Eighty three</t>
  </si>
  <si>
    <t>Eighty four</t>
  </si>
  <si>
    <t>Eighty five</t>
  </si>
  <si>
    <t>Eighty six</t>
  </si>
  <si>
    <t>Eighty seven</t>
  </si>
  <si>
    <t>Eighty eight</t>
  </si>
  <si>
    <t>Eighty nine</t>
  </si>
  <si>
    <t>Ninety</t>
  </si>
  <si>
    <t>Ninety one</t>
  </si>
  <si>
    <t>Ninety two</t>
  </si>
  <si>
    <t>Ninety three</t>
  </si>
  <si>
    <t>Ninety four</t>
  </si>
  <si>
    <t>Ninety five</t>
  </si>
  <si>
    <t>Ninety six</t>
  </si>
  <si>
    <t>Ninety seven</t>
  </si>
  <si>
    <t>Ninety eight</t>
  </si>
  <si>
    <t>Ninety nine</t>
  </si>
  <si>
    <t>AAS</t>
  </si>
  <si>
    <t>Prom</t>
  </si>
  <si>
    <t>Pol. No.(</t>
  </si>
  <si>
    <t>LFLHM</t>
  </si>
  <si>
    <t>Programmed Developed By:</t>
  </si>
  <si>
    <t>98490 25860</t>
  </si>
  <si>
    <t>Income from House Property Rs.</t>
  </si>
  <si>
    <t>Number</t>
  </si>
  <si>
    <t>Rupees in Words Conversion</t>
  </si>
  <si>
    <t>Expenditure must be actually incurred by resident assessee on himself or dependant relative for medical treatment of specified disease or ailment. The diseases have been specified in Rule HDD. A certificate in form 10 i is to be furnished by the assessee from any registered doctor</t>
  </si>
  <si>
    <t>Employee PAN Number</t>
  </si>
  <si>
    <r>
      <t>FORM No. 16</t>
    </r>
    <r>
      <rPr>
        <sz val="14"/>
        <rFont val="Book Antiqua"/>
        <family val="1"/>
      </rPr>
      <t xml:space="preserve">                                                                                                                                                                                                                       ( Vide rule 31(1)(a) of Income Tax Rules, 1962 )</t>
    </r>
  </si>
  <si>
    <t>DDO Designation</t>
  </si>
  <si>
    <t>DDO Office</t>
  </si>
  <si>
    <t>Other Arrears Creditted If any</t>
  </si>
  <si>
    <t>14.5</t>
  </si>
  <si>
    <t xml:space="preserve">AAS(6/12/18/24) Drawn Month </t>
  </si>
  <si>
    <t>March,13</t>
  </si>
  <si>
    <t>Section 80CCG</t>
  </si>
  <si>
    <t>(RGES)</t>
  </si>
  <si>
    <t>Gazetted</t>
  </si>
  <si>
    <t>Non Gazetted</t>
  </si>
  <si>
    <t>DDO Particulars</t>
  </si>
  <si>
    <t>April,13</t>
  </si>
  <si>
    <t>May,13</t>
  </si>
  <si>
    <t>June,13</t>
  </si>
  <si>
    <t>July,13</t>
  </si>
  <si>
    <t>Aug,13</t>
  </si>
  <si>
    <t>Sept,13</t>
  </si>
  <si>
    <t>Oct,13</t>
  </si>
  <si>
    <t>Nov,13</t>
  </si>
  <si>
    <t>Dec,13</t>
  </si>
  <si>
    <t>Jan,14</t>
  </si>
  <si>
    <t>Feb,14</t>
  </si>
  <si>
    <t>March,14</t>
  </si>
  <si>
    <t>Rs.5,00,001 To 10,00,000.   (@ 20%)</t>
  </si>
  <si>
    <t>** Annual HRA Recied less than 36,000 No need to Submitt house reciept.                                                             ** Yearly House Rent Paid more than 1,00,000/- Submitt House Reciept</t>
  </si>
  <si>
    <t>Up to Rs. 2,50,000</t>
  </si>
  <si>
    <t>Rs.2,50,001 To 5,00,000.    (@ 10%)</t>
  </si>
  <si>
    <t>TS Incrmnt</t>
  </si>
  <si>
    <t>E.L Surrender</t>
  </si>
  <si>
    <t>TS INC</t>
  </si>
  <si>
    <t>Incm Tax</t>
  </si>
  <si>
    <t>March,15</t>
  </si>
  <si>
    <t xml:space="preserve">Living in </t>
  </si>
  <si>
    <t>Savings U/s 80C (Limited to One lakh Fifty Thousand)</t>
  </si>
  <si>
    <t>HM/ Higher Class Allowance</t>
  </si>
  <si>
    <t>Jan,16</t>
  </si>
  <si>
    <t>February,16</t>
  </si>
  <si>
    <t>2016-2017</t>
  </si>
  <si>
    <t>Aggregate of Deductible Amounts U/Chapter VIA (A+B)</t>
  </si>
  <si>
    <t xml:space="preserve">No Handicapped Dependent </t>
  </si>
  <si>
    <t xml:space="preserve">Investment in Sukanya Samridhi </t>
  </si>
  <si>
    <t xml:space="preserve">P R T U </t>
  </si>
  <si>
    <t>Additional Income Details</t>
  </si>
  <si>
    <t>Income From other sources</t>
  </si>
  <si>
    <t>Income From Capital Gains</t>
  </si>
  <si>
    <t>above Rs.10,00,001.         (@ 30%)</t>
  </si>
  <si>
    <t>l)</t>
  </si>
  <si>
    <t>xii</t>
  </si>
  <si>
    <t>Section 80CCD (1)</t>
  </si>
  <si>
    <t>Interest on Savings Account (not fixed) 80TTA</t>
  </si>
  <si>
    <t>Section 80TTA In</t>
  </si>
  <si>
    <t>UnderSection 80C,80CCC,80CCD etc</t>
  </si>
  <si>
    <t>1.aggregate amount deductible under section 80C shall not exceed one lakh fifty thousand rupees.</t>
  </si>
  <si>
    <t>2.aggregate amount deductible under section 80C,80CCC,80CCD(1), shall not exceed 1.5 lakh rupees.</t>
  </si>
  <si>
    <t>Children T. Fee Concession</t>
  </si>
  <si>
    <t>Savings</t>
  </si>
  <si>
    <t>www.putta.in                         www.prtunzb.in</t>
  </si>
  <si>
    <t xml:space="preserve">investment in Sukanya Samruddhi </t>
  </si>
  <si>
    <t>Medical Insurance Premium for Self, Spouse &amp; Children U/s 80D</t>
  </si>
  <si>
    <t>Senior Citizen Parents Medical Insurance U/s 80D</t>
  </si>
  <si>
    <t>Employer  Contribution towards NPS 80CCD(2) U/s 80CCE</t>
  </si>
  <si>
    <t>Gross Total Income  (6+7+8+9+10)</t>
  </si>
  <si>
    <t xml:space="preserve">Name </t>
  </si>
  <si>
    <t>www.putta.in</t>
  </si>
  <si>
    <t>Tot</t>
  </si>
  <si>
    <t>defisit</t>
  </si>
  <si>
    <t>CCD(1)</t>
  </si>
  <si>
    <t>CCD(1B)</t>
  </si>
  <si>
    <t>FORM No. 16                                                                                                                                                                                                                       ( Vide rule 31(1)(a) of Income Tax Rules, 1962 )</t>
  </si>
  <si>
    <t>Others       (0)</t>
  </si>
  <si>
    <t>Certificate under section 203 of the Income-tax Act, 1961                                                                                                                                                                           for Tax deducted at source from income chargeable under the head "Salaries"</t>
  </si>
  <si>
    <t xml:space="preserve">G.P.F </t>
  </si>
  <si>
    <t>80 CCD(1B)</t>
  </si>
  <si>
    <t>EWF &amp; SWF U/s 80G</t>
  </si>
  <si>
    <t>E.W.F, S.W.F &amp; CM Relief Fund U/s 80G</t>
  </si>
  <si>
    <t>Interest on Savings Account (not fixed) U/s 80TTA</t>
  </si>
  <si>
    <t>Creditted into P.F if any</t>
  </si>
  <si>
    <t>Gross Total Income  (12-13)</t>
  </si>
  <si>
    <r>
      <t>Net Taxable Income (14-15)</t>
    </r>
    <r>
      <rPr>
        <b/>
        <sz val="9"/>
        <rFont val="Book Antiqua"/>
        <family val="1"/>
      </rPr>
      <t xml:space="preserve"> rounded to nearest Rs.10/-</t>
    </r>
  </si>
  <si>
    <t>Condition L49</t>
  </si>
  <si>
    <t>Aggrigate Amount Deductible Under above Sections………………………………………………….</t>
  </si>
  <si>
    <t xml:space="preserve">School / Office : </t>
  </si>
  <si>
    <t xml:space="preserve">Mandal/ Dist. : </t>
  </si>
  <si>
    <t>Name of The House Owner</t>
  </si>
  <si>
    <t>H.No.</t>
  </si>
  <si>
    <t>Colony, Village</t>
  </si>
  <si>
    <t>District</t>
  </si>
  <si>
    <t xml:space="preserve">Rs. 1/- </t>
  </si>
  <si>
    <t xml:space="preserve">Revenue </t>
  </si>
  <si>
    <t>Stamp</t>
  </si>
  <si>
    <t>(Hose Owner)</t>
  </si>
  <si>
    <t xml:space="preserve">H.No. </t>
  </si>
  <si>
    <t>Repayement of Home Loan Principle</t>
  </si>
  <si>
    <t>Children Tution Fee Paid</t>
  </si>
  <si>
    <t>Cond</t>
  </si>
  <si>
    <t>FPI + Add.</t>
  </si>
  <si>
    <t>AHRA</t>
  </si>
  <si>
    <t>Enter House Owner Particulars</t>
  </si>
  <si>
    <t>Date :</t>
  </si>
  <si>
    <t>RECEIPT  OF  HOUSE  RENT</t>
  </si>
  <si>
    <t>(Under Section 10 (13-A) of Income Tax Act )</t>
  </si>
  <si>
    <t>Tax on Employment  U/s 16 (3) B</t>
  </si>
  <si>
    <t>Aggrigate Amount Deductible Under above 3 Sections Maximum 1.5Lacks …………</t>
  </si>
  <si>
    <t>Dec,16</t>
  </si>
  <si>
    <t>Jan,17</t>
  </si>
  <si>
    <t>Feb,17</t>
  </si>
  <si>
    <t>INCOME-TAX RULES, 1962</t>
  </si>
  <si>
    <t>FORM NO.12BB</t>
  </si>
  <si>
    <t>(See rule 26C)</t>
  </si>
  <si>
    <t>Details of claims and evidence thereof</t>
  </si>
  <si>
    <t>Sl No.</t>
  </si>
  <si>
    <t>Nature of claim</t>
  </si>
  <si>
    <t>Amount (Rs.)</t>
  </si>
  <si>
    <t>Evidence / particulars</t>
  </si>
  <si>
    <t>(1)</t>
  </si>
  <si>
    <t>(2)</t>
  </si>
  <si>
    <t>(3)</t>
  </si>
  <si>
    <t>(4)</t>
  </si>
  <si>
    <t>House Rent Allowance:</t>
  </si>
  <si>
    <t xml:space="preserve">(i) </t>
  </si>
  <si>
    <t>Rent paid to the landlord</t>
  </si>
  <si>
    <t xml:space="preserve">(ii) </t>
  </si>
  <si>
    <t>(iii)</t>
  </si>
  <si>
    <t>Address of the landlord:</t>
  </si>
  <si>
    <t xml:space="preserve">(iv) </t>
  </si>
  <si>
    <t>Permanent Account Number of the landlord :</t>
  </si>
  <si>
    <t>Leave travel concessions or assistance</t>
  </si>
  <si>
    <t>Deduction of interest on borrowing:</t>
  </si>
  <si>
    <t>(i)</t>
  </si>
  <si>
    <t>Interest payable/paid to the lender</t>
  </si>
  <si>
    <t xml:space="preserve">Permanent Account Number of the lender : </t>
  </si>
  <si>
    <t xml:space="preserve">Financial Institutions(if available)  </t>
  </si>
  <si>
    <t>Employer(if available)</t>
  </si>
  <si>
    <t xml:space="preserve">c) </t>
  </si>
  <si>
    <t>Deduction under Chapter VI-A</t>
  </si>
  <si>
    <t>(A) Section 80C,80CCC and 80CCD</t>
  </si>
  <si>
    <t>(B) Other sections (e.g. 80E, 80G, 80TTA, etc.) under Chapter VI-A.</t>
  </si>
  <si>
    <t>Interest on Housing Loan Advance U/s 24[B]</t>
  </si>
  <si>
    <t>80E-Interest on Educational Loan</t>
  </si>
  <si>
    <t>80U-deductions for disabled Person(blind,PH)-above 80%disability</t>
  </si>
  <si>
    <t>80EE-Deduction for Interest on Home Loan</t>
  </si>
  <si>
    <t>80TTA-Interest on Savings account</t>
  </si>
  <si>
    <t>Verification</t>
  </si>
  <si>
    <t>Place</t>
  </si>
  <si>
    <t>Date</t>
  </si>
  <si>
    <t>(Signature of the employee)</t>
  </si>
  <si>
    <t>Full Name :</t>
  </si>
  <si>
    <t xml:space="preserve">1. Name and address of the employee: </t>
  </si>
  <si>
    <t xml:space="preserve">2. Permanent Account Number of the employee : </t>
  </si>
  <si>
    <t>Name of the landlord :</t>
  </si>
  <si>
    <t>Section 80CCD</t>
  </si>
  <si>
    <t>(v)</t>
  </si>
  <si>
    <t>Permanent Account Number shall be furnished if the aggregate rent paid during the previous year exceeds one lakh rupees</t>
  </si>
  <si>
    <t>Note :</t>
  </si>
  <si>
    <t>(vi)</t>
  </si>
  <si>
    <t>(vii)</t>
  </si>
  <si>
    <t>(viii)</t>
  </si>
  <si>
    <t>Employee Father Name</t>
  </si>
  <si>
    <t>Mandal, District</t>
  </si>
  <si>
    <r>
      <t xml:space="preserve">S/o </t>
    </r>
    <r>
      <rPr>
        <sz val="18"/>
        <color indexed="8"/>
        <rFont val="Calibri"/>
        <family val="2"/>
      </rPr>
      <t>/</t>
    </r>
    <r>
      <rPr>
        <b/>
        <sz val="14"/>
        <color indexed="8"/>
        <rFont val="Calibri"/>
        <family val="2"/>
      </rPr>
      <t xml:space="preserve"> H/o</t>
    </r>
    <r>
      <rPr>
        <sz val="14"/>
        <color indexed="8"/>
        <rFont val="Calibri"/>
        <family val="2"/>
      </rPr>
      <t xml:space="preserve"> </t>
    </r>
  </si>
  <si>
    <t>Designation :</t>
  </si>
  <si>
    <t>Handicapped Dependent - U/s 80DD</t>
  </si>
  <si>
    <t>No Housing Loan</t>
  </si>
  <si>
    <t>Are you taken house loan in the FY</t>
  </si>
  <si>
    <t>cnureddyputta@gmail.com</t>
  </si>
  <si>
    <t>PUTTA</t>
  </si>
  <si>
    <t>m)</t>
  </si>
  <si>
    <t>Interest on Educational Loan U/s 80E</t>
  </si>
  <si>
    <t>Medical treatment of 80% below Handicapped Dependent U/80DD</t>
  </si>
  <si>
    <t>Medical treatment of 80% above Handicapped Dependent U/s 80DD</t>
  </si>
  <si>
    <t>xiii</t>
  </si>
  <si>
    <t xml:space="preserve">5Years Fixed Deposits                           </t>
  </si>
  <si>
    <t xml:space="preserve">National Savings Certificate                </t>
  </si>
  <si>
    <t xml:space="preserve">PLI Annual Insurance Plan                   </t>
  </si>
  <si>
    <t xml:space="preserve">LIC Annual Premiums Paid by Hand    </t>
  </si>
  <si>
    <t xml:space="preserve">Investment in Sukanya Samridhi        </t>
  </si>
  <si>
    <t xml:space="preserve">Public Provident Fund                           </t>
  </si>
  <si>
    <t>Name of the Lender :</t>
  </si>
  <si>
    <t xml:space="preserve">Address of the lender :  </t>
  </si>
  <si>
    <r>
      <t xml:space="preserve">www.putta.in         </t>
    </r>
    <r>
      <rPr>
        <b/>
        <sz val="26"/>
        <color indexed="22"/>
        <rFont val="Bodoni MT Black"/>
        <family val="1"/>
      </rPr>
      <t xml:space="preserve"> </t>
    </r>
    <r>
      <rPr>
        <b/>
        <sz val="26"/>
        <color indexed="10"/>
        <rFont val="Bodoni MT Black"/>
        <family val="1"/>
      </rPr>
      <t>&amp;&amp;&amp;&amp;</t>
    </r>
    <r>
      <rPr>
        <b/>
        <sz val="26"/>
        <color indexed="22"/>
        <rFont val="Bodoni MT Black"/>
        <family val="1"/>
      </rPr>
      <t xml:space="preserve">       </t>
    </r>
    <r>
      <rPr>
        <b/>
        <sz val="28"/>
        <color indexed="22"/>
        <rFont val="Bodoni MT Black"/>
        <family val="1"/>
      </rPr>
      <t xml:space="preserve">        </t>
    </r>
    <r>
      <rPr>
        <b/>
        <sz val="28"/>
        <color indexed="13"/>
        <rFont val="Bodoni MT Black"/>
        <family val="1"/>
      </rPr>
      <t>www.prtunzb.in</t>
    </r>
  </si>
  <si>
    <t>Children Tuition Fee (2Children)</t>
  </si>
  <si>
    <r>
      <t xml:space="preserve">Employer Contribution towards NPS </t>
    </r>
    <r>
      <rPr>
        <sz val="12"/>
        <rFont val="Book Antiqua"/>
        <family val="1"/>
      </rPr>
      <t xml:space="preserve"> (Govt. Contribution)</t>
    </r>
  </si>
  <si>
    <t>Employer Contribution towards NPS U/s 80CCD 2  (Govt. Contribution)</t>
  </si>
  <si>
    <t>Days &amp; Month</t>
  </si>
  <si>
    <t>Promotion/ any arrears difference Pay</t>
  </si>
  <si>
    <t>If any Modification required in the Pay of that Month please Modify</t>
  </si>
  <si>
    <t xml:space="preserve">Arrears </t>
  </si>
  <si>
    <t>Paid in Cash</t>
  </si>
  <si>
    <t xml:space="preserve">Total Arrears </t>
  </si>
  <si>
    <t>Mar,17</t>
  </si>
  <si>
    <t>Rs.2,50,001 To 5,00,000.     (@ 5%)</t>
  </si>
  <si>
    <t>Exemption from Conveyance Allowance U/s. 10(14) (ii)</t>
  </si>
  <si>
    <t>FORM NO.10E</t>
  </si>
  <si>
    <t>[ See rule 21AA ]</t>
  </si>
  <si>
    <t>Name and address of the Employee</t>
  </si>
  <si>
    <t>Permanent Account Number</t>
  </si>
  <si>
    <t>Residential status</t>
  </si>
  <si>
    <t>a.</t>
  </si>
  <si>
    <t>Salary received in arrears or in advance in accordance with the provisions of sub-rule (2) of rule 21A</t>
  </si>
  <si>
    <t>b.</t>
  </si>
  <si>
    <t>Pament in the nature of gratuity in respect of past services, extending over a period of not less than 5 years in accordance with the provisions of sub-rule (3) of rule 21A</t>
  </si>
  <si>
    <t>c.</t>
  </si>
  <si>
    <t>Payment in the nature of compensation from the employer or former employer at or in connection with termination of employment after continuous service of not less than 3 years or where the unexpired portion of term of employment is also not less than 3 years in accordancewith the provisions of sub rule (4) of the 21A</t>
  </si>
  <si>
    <t>d.</t>
  </si>
  <si>
    <t>Payment in commutation of pension in accordance with the provisions of sub-rule (5) of rule 21A</t>
  </si>
  <si>
    <t>Detailed particulars of payments refered to above may be given in Annexure-I, II, IIA, III, or IV, as the case may be</t>
  </si>
  <si>
    <t>Annexure-I</t>
  </si>
  <si>
    <t>(See item 2 of Form No. 10E)</t>
  </si>
  <si>
    <t>ARREARS OR ADVANCE SALARY</t>
  </si>
  <si>
    <t>Total income (excluding salary received in arrars or advance)</t>
  </si>
  <si>
    <t xml:space="preserve"> </t>
  </si>
  <si>
    <t>Salary received in arrears or advance</t>
  </si>
  <si>
    <t>Total income (as increased by salary received in arrears or advance)</t>
  </si>
  <si>
    <t>Tax on total income (as per item 3)</t>
  </si>
  <si>
    <t>Tax on total income (as per item 1)</t>
  </si>
  <si>
    <t>Tax on salary received in arrears or advance</t>
  </si>
  <si>
    <t>(Difference of item 4 and item 5)</t>
  </si>
  <si>
    <t>Tax computed in accordance with table "A"</t>
  </si>
  <si>
    <t>(Brought from column 7 of Table "A")</t>
  </si>
  <si>
    <t>TABLE "A"</t>
  </si>
  <si>
    <t>{See item 7 of Annexure I}</t>
  </si>
  <si>
    <t>Previous Year(s)</t>
  </si>
  <si>
    <t>Total income of the relevent previous year (Rs.)</t>
  </si>
  <si>
    <t>Salary received in arrears or advance relating to the previous year as mentioned in column(1) (Rs)</t>
  </si>
  <si>
    <t>Total income (as increased by salary received in arrears or advance) of the relevent previous year mentioned in column 1 (Rs.)</t>
  </si>
  <si>
    <t>Tax on total income {as per column (2)} (Rs.)</t>
  </si>
  <si>
    <t>Tax on total income {as per column (4)} (Rs.)</t>
  </si>
  <si>
    <t>Difference in tax {amount under column (6) minus amount under column (5)} (Rs.)</t>
  </si>
  <si>
    <t>Not Applicable</t>
  </si>
  <si>
    <t>Place :</t>
  </si>
  <si>
    <t>Indian Resident</t>
  </si>
  <si>
    <t>Signature of the employe</t>
  </si>
  <si>
    <t>Annexure - I</t>
  </si>
  <si>
    <t>FY 2016-17</t>
  </si>
  <si>
    <t>FY 2015-16</t>
  </si>
  <si>
    <t>TSINC</t>
  </si>
  <si>
    <t>PERSONAL DETAILS</t>
  </si>
  <si>
    <t>SALARY SAVINGS</t>
  </si>
  <si>
    <t>HOUSING LOAN</t>
  </si>
  <si>
    <t>RENT HOUSE</t>
  </si>
  <si>
    <t xml:space="preserve">SALARY </t>
  </si>
  <si>
    <t>DETAILS</t>
  </si>
  <si>
    <t>Rs.2,50,001 To 5,00,000.     (@ 10%)</t>
  </si>
  <si>
    <t>Relief under section 89(1) [Indicate the difference between the amounts mentioned against items 6 and 7]</t>
  </si>
  <si>
    <t>Net Taxable Income</t>
  </si>
  <si>
    <t>Total Taxable Income</t>
  </si>
  <si>
    <t>Tax rebate U/s 87A</t>
  </si>
  <si>
    <t>Detail</t>
  </si>
  <si>
    <t xml:space="preserve">Education Cess @ 1%                                                                 </t>
  </si>
  <si>
    <t xml:space="preserve">Total Tax </t>
  </si>
  <si>
    <t>Rs.5,00,001 To 10,00,000.                               (@ 20%)</t>
  </si>
  <si>
    <t>above Rs.10,00,001.                                             (@ 30%)</t>
  </si>
  <si>
    <t>Rs.2,50,001 To 5,00,000.                                        (@ 5%)</t>
  </si>
  <si>
    <t>Rs.2,50,001 To 5,00,000.                        (@ 5%)</t>
  </si>
  <si>
    <t>Rs.5,00,001 To 10,00,000.               (@ 20%)</t>
  </si>
  <si>
    <t>above Rs.10,00,001.                     (@ 30%)</t>
  </si>
  <si>
    <t>above Rs.10,00,001.                                                     (@ 30%)</t>
  </si>
  <si>
    <t>Rs.2,50,001 To 5,00,000.               (@ 10%)</t>
  </si>
  <si>
    <t>Rs.5,00,001 To 10,00,000.                (@ 20%)</t>
  </si>
  <si>
    <t>above Rs.10,00,001.                (@ 30%)</t>
  </si>
  <si>
    <t>Rs.2,50,001 To 5,00,000.                                    (@ 10%)</t>
  </si>
  <si>
    <t>Relief under section 89(1) [Indicate the difference between the amounts]</t>
  </si>
  <si>
    <t>Arrears</t>
  </si>
  <si>
    <t>Tax Relief U/s 89(1)</t>
  </si>
  <si>
    <t xml:space="preserve">|| </t>
  </si>
  <si>
    <t>|</t>
  </si>
  <si>
    <t>Rs.2,50,001 To 5,00,000. (@ 10%)</t>
  </si>
  <si>
    <t>Rs.5,00,001 To 10,00,000.                                           (@ 20%)</t>
  </si>
  <si>
    <t>Rs.5,00,001 To 10,00,000.                                (@ 20%)</t>
  </si>
  <si>
    <t>above Rs.10,00,001.                                           (@ 30%)</t>
  </si>
  <si>
    <t xml:space="preserve">Tax rebate U/s 87A </t>
  </si>
  <si>
    <r>
      <t xml:space="preserve">www.putta.in  </t>
    </r>
    <r>
      <rPr>
        <b/>
        <sz val="16"/>
        <color indexed="8"/>
        <rFont val="Calibri"/>
        <family val="2"/>
      </rPr>
      <t xml:space="preserve">www.prtuts.org    </t>
    </r>
  </si>
  <si>
    <t>IF(AQ58=1,'Annexure -I'!E17,0)</t>
  </si>
  <si>
    <t>IF(BL58=1,'Annexure -I'!N23,0)</t>
  </si>
  <si>
    <t>Arrears received</t>
  </si>
  <si>
    <t>AP(TS)GLIF Polocy No.:</t>
  </si>
  <si>
    <t>before or after FY 2016-17</t>
  </si>
  <si>
    <t>FY 2016-17&amp;have only 1 House proferty</t>
  </si>
  <si>
    <t>FY 2016-17&amp;have more than 1 House</t>
  </si>
  <si>
    <t>Aug,18</t>
  </si>
  <si>
    <t>Oct,18</t>
  </si>
  <si>
    <t>Nov,18</t>
  </si>
  <si>
    <t>Dec,18</t>
  </si>
  <si>
    <t>Jan,19</t>
  </si>
  <si>
    <t>March,19</t>
  </si>
  <si>
    <t>15 Days - March,18</t>
  </si>
  <si>
    <t>Payment made for preventive health check up of Assessee, spouse, children &amp; parents</t>
  </si>
  <si>
    <t>Self 80D</t>
  </si>
  <si>
    <t>Parents SC 80D</t>
  </si>
  <si>
    <t>Medical Tests</t>
  </si>
  <si>
    <t>Interest on Housing Loan Advance U/c 24</t>
  </si>
  <si>
    <t>Standard deduction U/s 16 (ia)</t>
  </si>
  <si>
    <t>TAX PAYABLE (12+13)</t>
  </si>
  <si>
    <t>TAX PAYABLE (14-15)</t>
  </si>
  <si>
    <t>TAX PAYABLE / REFUNDABLE (16-17)</t>
  </si>
  <si>
    <t>2018-19</t>
  </si>
  <si>
    <t xml:space="preserve">Education Cess @ 4%                                                                 </t>
  </si>
  <si>
    <t>above Rs.10,00,001.                                               (@ 30%)</t>
  </si>
  <si>
    <t xml:space="preserve">PUTTA  </t>
  </si>
  <si>
    <t>SRINIVAS REDDY</t>
  </si>
  <si>
    <t>Health &amp; Education Cess @ 4%</t>
  </si>
  <si>
    <t>SWF, EWF</t>
  </si>
  <si>
    <t>CMRF</t>
  </si>
  <si>
    <t>Section 16(ia).</t>
  </si>
  <si>
    <t>Health &amp; Education Cess @ 4% (On Tax at  S.No.12 )</t>
  </si>
  <si>
    <t>SAVINGS, DEDUCTIONS, ADVANCE TAX</t>
  </si>
  <si>
    <t>FY 2017-18</t>
  </si>
  <si>
    <t>2017-18</t>
  </si>
  <si>
    <t>If any Change Mention Date</t>
  </si>
  <si>
    <t>HRA Change</t>
  </si>
  <si>
    <t>Basic</t>
  </si>
  <si>
    <t>Days in Month</t>
  </si>
  <si>
    <t>HRA for</t>
  </si>
  <si>
    <t>April,19</t>
  </si>
  <si>
    <t>May,19</t>
  </si>
  <si>
    <t>June,19</t>
  </si>
  <si>
    <t>July,19</t>
  </si>
  <si>
    <t>Aug,19</t>
  </si>
  <si>
    <t>Sept,19</t>
  </si>
  <si>
    <t>Oct,19</t>
  </si>
  <si>
    <t>Nov,19</t>
  </si>
  <si>
    <t>Dec,19</t>
  </si>
  <si>
    <t>Jan,20</t>
  </si>
  <si>
    <t>Feb,20</t>
  </si>
  <si>
    <t>March,20</t>
  </si>
  <si>
    <t>30 Days - March,19</t>
  </si>
  <si>
    <t>15 Days - April,19</t>
  </si>
  <si>
    <t>30 Days - April,19</t>
  </si>
  <si>
    <t>15 Days - May,19</t>
  </si>
  <si>
    <t>30 Days - May,19</t>
  </si>
  <si>
    <t>15 Days - June,19</t>
  </si>
  <si>
    <t>30 Days - June,19</t>
  </si>
  <si>
    <t>15 Days - July,19</t>
  </si>
  <si>
    <t>30 Days - July,19</t>
  </si>
  <si>
    <t>15 Days - Aug,19</t>
  </si>
  <si>
    <t>30 Days - Aug,19</t>
  </si>
  <si>
    <t>15 Days - Sept,19</t>
  </si>
  <si>
    <t>30 Days - Sept,19</t>
  </si>
  <si>
    <t>15 Days - Oct,19</t>
  </si>
  <si>
    <t>30 Days - Oct,19</t>
  </si>
  <si>
    <t>15 Days - Nov,19</t>
  </si>
  <si>
    <t>30 Days - Nov,19</t>
  </si>
  <si>
    <t>15 Days - Dec,19</t>
  </si>
  <si>
    <t>30 Days - Dec,19</t>
  </si>
  <si>
    <t>15 Days - Jan,20</t>
  </si>
  <si>
    <t>30 Days - Jan,20</t>
  </si>
  <si>
    <t>15 Days - Feb,20</t>
  </si>
  <si>
    <t>30 Days - Feb,20</t>
  </si>
  <si>
    <t>Basic Pay as on January,19</t>
  </si>
  <si>
    <t>Basic Pay as on February,19</t>
  </si>
  <si>
    <t>M.P Domakonda</t>
  </si>
  <si>
    <t>INCOME TAX CALCULATION FOR THE FINANCIAL YEAR 2019-20</t>
  </si>
  <si>
    <r>
      <rPr>
        <b/>
        <sz val="10"/>
        <rFont val="Book Antiqua"/>
        <family val="1"/>
      </rPr>
      <t>Tax Rebate u/s 87A</t>
    </r>
    <r>
      <rPr>
        <b/>
        <sz val="11"/>
        <rFont val="Book Antiqua"/>
        <family val="1"/>
      </rPr>
      <t xml:space="preserve"> </t>
    </r>
    <r>
      <rPr>
        <b/>
        <sz val="8"/>
        <rFont val="Book Antiqua"/>
        <family val="1"/>
      </rPr>
      <t>(Taxable income &lt;5Lakhs/- max of 12,500/-)</t>
    </r>
    <r>
      <rPr>
        <b/>
        <sz val="11"/>
        <rFont val="Book Antiqua"/>
        <family val="1"/>
      </rPr>
      <t xml:space="preserve"> </t>
    </r>
  </si>
  <si>
    <t xml:space="preserve">Total Tax Payable (17-18+19-20) </t>
  </si>
  <si>
    <t>Tax to be Paid now (21-22)</t>
  </si>
  <si>
    <r>
      <t xml:space="preserve">3. Financial year :    </t>
    </r>
    <r>
      <rPr>
        <b/>
        <sz val="14"/>
        <color indexed="8"/>
        <rFont val="Book Antiqua"/>
        <family val="1"/>
      </rPr>
      <t>2019-2020</t>
    </r>
  </si>
  <si>
    <t>2020-2021</t>
  </si>
  <si>
    <t>DA Arrears                                           (Jan,19 to Oct,19)</t>
  </si>
  <si>
    <t>DA Arrears                                (July,18 to May,19)</t>
  </si>
  <si>
    <t>Feb,19</t>
  </si>
  <si>
    <t>Jul,19</t>
  </si>
  <si>
    <t>Sep,19</t>
  </si>
  <si>
    <t>July,18</t>
  </si>
  <si>
    <t>Sept,18</t>
  </si>
  <si>
    <t>www.putta.in     ** Income Tax 2019-2020 (AY 2020-21)  **    www.prtuts.org</t>
  </si>
  <si>
    <t>*</t>
  </si>
  <si>
    <t>Verify any deviation in DA arrears of Jul,18 to May,19 you can modify</t>
  </si>
  <si>
    <t xml:space="preserve">If Surrender Leave Claimed During the July,18 to Feb,19 give details below </t>
  </si>
  <si>
    <t>Mar,19</t>
  </si>
  <si>
    <t>Apr,19</t>
  </si>
  <si>
    <t>Jun,19</t>
  </si>
  <si>
    <t>FY 2019-20&amp;have only 1 House proferty</t>
  </si>
  <si>
    <t>FY 2019-20&amp;have more than 1 House</t>
  </si>
  <si>
    <t>If any Change Mention Month</t>
  </si>
  <si>
    <t>(Tax Rebate u/s 87A (Taxable income &lt;500000/- max of 12500/-))</t>
  </si>
  <si>
    <t>DA Jul, 18 to May,19 Arrears</t>
  </si>
  <si>
    <t>30days Jul,18</t>
  </si>
  <si>
    <t>15days Jul,18</t>
  </si>
  <si>
    <t>30days Aug,18</t>
  </si>
  <si>
    <t>15days Aug,18</t>
  </si>
  <si>
    <t>30days Sep,18</t>
  </si>
  <si>
    <t>15days Sep,18</t>
  </si>
  <si>
    <t>30days Oct,18</t>
  </si>
  <si>
    <t>15days Oct,18</t>
  </si>
  <si>
    <t>30days Nov,18</t>
  </si>
  <si>
    <t>15days Nov,18</t>
  </si>
  <si>
    <t>30days Dec,18</t>
  </si>
  <si>
    <t>15days Dec,18</t>
  </si>
  <si>
    <t>30days Jan,19</t>
  </si>
  <si>
    <t>15days Jan,19</t>
  </si>
  <si>
    <t>30days Feb,19</t>
  </si>
  <si>
    <t>15days Feb,19</t>
  </si>
  <si>
    <t>Particulars of income referred to in rule 21A of the Income Tax rules, 1962, during the previous year relevent to Assessment Year 2020-21</t>
  </si>
  <si>
    <t>FY 2018-19</t>
  </si>
  <si>
    <t xml:space="preserve">Programme Developed by : www.putta.in </t>
  </si>
  <si>
    <t xml:space="preserve">Progrmme developed by www.putta.in (Putta Srinivas Reddy 98490 25860) </t>
  </si>
  <si>
    <r>
      <t xml:space="preserve">Progrmme developed by www.putta.in (Putta Srinivas Reddy 98490 25860) </t>
    </r>
    <r>
      <rPr>
        <sz val="9"/>
        <rFont val="Book Antiqua"/>
        <family val="1"/>
      </rPr>
      <t/>
    </r>
  </si>
  <si>
    <t>Previous Financial Arrears got in FY 2019-20 give the information</t>
  </si>
  <si>
    <t>Arrears (10E)</t>
  </si>
  <si>
    <t>Arrears amount</t>
  </si>
  <si>
    <t>Received Arrears of FY 2017-18</t>
  </si>
  <si>
    <t>Received Arrears of FY 2018-19</t>
  </si>
  <si>
    <t>Net Taxable Income Paid of FY 2017-18</t>
  </si>
  <si>
    <t>Net Taxable Income Paid of FY 2018-19</t>
  </si>
  <si>
    <t>2019-20</t>
  </si>
  <si>
    <t>Add: Income of House Proferty</t>
  </si>
  <si>
    <t>New</t>
  </si>
  <si>
    <t>S.KARUNAKAR</t>
  </si>
  <si>
    <t>S.A.</t>
  </si>
  <si>
    <t>SRINIVASULU</t>
  </si>
  <si>
    <t>SHANKARAMPET A., MEDAK</t>
  </si>
  <si>
    <t>ZPGHS SHANKARAMPET A</t>
  </si>
  <si>
    <t>BQOPS3738N</t>
  </si>
  <si>
    <t>L-1001955A</t>
  </si>
  <si>
    <t>LIC HFL</t>
  </si>
  <si>
    <t>SANGAREDDY</t>
  </si>
  <si>
    <t>N.RAJU</t>
  </si>
  <si>
    <t>ESHWARAIAH</t>
  </si>
  <si>
    <t>PATANCHERU,shanthinagar</t>
  </si>
  <si>
    <t>PATANCHERU</t>
  </si>
  <si>
    <t>P.SUJATHA</t>
  </si>
  <si>
    <t>Gaz.H,M</t>
  </si>
  <si>
    <t>HYDZO5861C</t>
  </si>
</sst>
</file>

<file path=xl/styles.xml><?xml version="1.0" encoding="utf-8"?>
<styleSheet xmlns="http://schemas.openxmlformats.org/spreadsheetml/2006/main">
  <numFmts count="8">
    <numFmt numFmtId="41" formatCode="_ * #,##0_ ;_ * \-#,##0_ ;_ * &quot;-&quot;_ ;_ @_ "/>
    <numFmt numFmtId="43" formatCode="_ * #,##0.00_ ;_ * \-#,##0.00_ ;_ * &quot;-&quot;??_ ;_ @_ "/>
    <numFmt numFmtId="164" formatCode="_(&quot;$&quot;* #,##0.00_);_(&quot;$&quot;* \(#,##0.00\);_(&quot;$&quot;* &quot;-&quot;??_);_(@_)"/>
    <numFmt numFmtId="165" formatCode="[$-409]d\-mmm\-yyyy;@"/>
    <numFmt numFmtId="166" formatCode="0.000"/>
    <numFmt numFmtId="167" formatCode="_-* #,##0_-;\-* #,##0_-;_-* &quot;-&quot;??_-;_-@_-"/>
    <numFmt numFmtId="168" formatCode="[$-409]mmmm\ d\,\ yyyy;@"/>
    <numFmt numFmtId="169" formatCode="_ * #,##0_ ;_ * \-#,##0_ ;_ * &quot;-&quot;??_ ;_ @_ "/>
  </numFmts>
  <fonts count="172">
    <font>
      <sz val="11"/>
      <color theme="1"/>
      <name val="Calibri"/>
      <family val="2"/>
      <scheme val="minor"/>
    </font>
    <font>
      <sz val="8"/>
      <name val="Calibri"/>
      <family val="2"/>
    </font>
    <font>
      <b/>
      <sz val="10"/>
      <color indexed="8"/>
      <name val="Verdana"/>
      <family val="2"/>
    </font>
    <font>
      <b/>
      <sz val="10"/>
      <color indexed="8"/>
      <name val="Times New Roman"/>
      <family val="1"/>
    </font>
    <font>
      <b/>
      <sz val="12"/>
      <color indexed="8"/>
      <name val="Times New Roman"/>
      <family val="1"/>
    </font>
    <font>
      <b/>
      <sz val="11"/>
      <color indexed="8"/>
      <name val="Times New Roman"/>
      <family val="1"/>
    </font>
    <font>
      <b/>
      <sz val="10"/>
      <color indexed="8"/>
      <name val="Tahoma"/>
      <family val="2"/>
    </font>
    <font>
      <sz val="9"/>
      <color indexed="8"/>
      <name val="Verdana"/>
      <family val="2"/>
    </font>
    <font>
      <u/>
      <sz val="11"/>
      <color indexed="8"/>
      <name val="Calibri"/>
      <family val="2"/>
    </font>
    <font>
      <sz val="12"/>
      <color indexed="8"/>
      <name val="Book Antiqua"/>
      <family val="1"/>
    </font>
    <font>
      <sz val="10"/>
      <color indexed="8"/>
      <name val="Book Antiqua"/>
      <family val="1"/>
    </font>
    <font>
      <sz val="10"/>
      <name val="Book Antiqua"/>
      <family val="1"/>
    </font>
    <font>
      <sz val="10"/>
      <color indexed="8"/>
      <name val="Arial Narrow"/>
      <family val="2"/>
    </font>
    <font>
      <b/>
      <sz val="14"/>
      <color indexed="9"/>
      <name val="Arial"/>
      <family val="2"/>
    </font>
    <font>
      <b/>
      <sz val="10"/>
      <color indexed="9"/>
      <name val="Arial"/>
      <family val="2"/>
    </font>
    <font>
      <b/>
      <sz val="9"/>
      <color indexed="10"/>
      <name val="Arial"/>
      <family val="2"/>
    </font>
    <font>
      <b/>
      <sz val="9"/>
      <name val="Arial"/>
      <family val="2"/>
    </font>
    <font>
      <b/>
      <sz val="10"/>
      <name val="Arial"/>
      <family val="2"/>
    </font>
    <font>
      <sz val="10"/>
      <name val="Tahoma"/>
      <family val="2"/>
    </font>
    <font>
      <b/>
      <sz val="10"/>
      <name val="Verdana"/>
      <family val="2"/>
    </font>
    <font>
      <sz val="10"/>
      <name val="Arial"/>
      <family val="2"/>
    </font>
    <font>
      <b/>
      <sz val="10"/>
      <name val="Book Antiqua"/>
      <family val="1"/>
    </font>
    <font>
      <b/>
      <sz val="9"/>
      <name val="Book Antiqua"/>
      <family val="1"/>
    </font>
    <font>
      <sz val="11"/>
      <name val="Book Antiqua"/>
      <family val="1"/>
    </font>
    <font>
      <b/>
      <sz val="11"/>
      <name val="Book Antiqua"/>
      <family val="1"/>
    </font>
    <font>
      <sz val="9"/>
      <name val="Book Antiqua"/>
      <family val="1"/>
    </font>
    <font>
      <sz val="8"/>
      <name val="Book Antiqua"/>
      <family val="1"/>
    </font>
    <font>
      <b/>
      <sz val="12"/>
      <name val="Book Antiqua"/>
      <family val="1"/>
    </font>
    <font>
      <sz val="12"/>
      <name val="Book Antiqua"/>
      <family val="1"/>
    </font>
    <font>
      <b/>
      <sz val="13"/>
      <name val="Book Antiqua"/>
      <family val="1"/>
    </font>
    <font>
      <sz val="14"/>
      <name val="Book Antiqua"/>
      <family val="1"/>
    </font>
    <font>
      <b/>
      <sz val="12"/>
      <name val="Arial"/>
      <family val="2"/>
    </font>
    <font>
      <b/>
      <sz val="10"/>
      <color indexed="8"/>
      <name val="Verdana"/>
      <family val="2"/>
    </font>
    <font>
      <sz val="10"/>
      <color indexed="8"/>
      <name val="Verdana"/>
      <family val="2"/>
    </font>
    <font>
      <b/>
      <u/>
      <sz val="18"/>
      <color indexed="8"/>
      <name val="Arial"/>
      <family val="2"/>
    </font>
    <font>
      <b/>
      <sz val="10"/>
      <color indexed="8"/>
      <name val="Arial"/>
      <family val="2"/>
    </font>
    <font>
      <b/>
      <sz val="10"/>
      <color indexed="56"/>
      <name val="Verdana"/>
      <family val="2"/>
    </font>
    <font>
      <b/>
      <sz val="12"/>
      <color indexed="56"/>
      <name val="Verdana"/>
      <family val="2"/>
    </font>
    <font>
      <sz val="11"/>
      <color indexed="56"/>
      <name val="Calibri"/>
      <family val="2"/>
    </font>
    <font>
      <u/>
      <sz val="10"/>
      <color indexed="8"/>
      <name val="Arial"/>
      <family val="2"/>
    </font>
    <font>
      <b/>
      <sz val="10"/>
      <color indexed="10"/>
      <name val="Verdana"/>
      <family val="2"/>
    </font>
    <font>
      <b/>
      <sz val="9"/>
      <color indexed="8"/>
      <name val="Tahoma"/>
      <family val="2"/>
    </font>
    <font>
      <sz val="8"/>
      <color indexed="8"/>
      <name val="Arial Narrow"/>
      <family val="2"/>
    </font>
    <font>
      <sz val="9"/>
      <color indexed="8"/>
      <name val="Arial Narrow"/>
      <family val="2"/>
    </font>
    <font>
      <sz val="9"/>
      <color indexed="8"/>
      <name val="Book Antiqua"/>
      <family val="1"/>
    </font>
    <font>
      <b/>
      <sz val="14"/>
      <name val="Book Antiqua"/>
      <family val="1"/>
    </font>
    <font>
      <sz val="11"/>
      <color indexed="10"/>
      <name val="Calibri"/>
      <family val="2"/>
    </font>
    <font>
      <sz val="10"/>
      <color indexed="9"/>
      <name val="Book Antiqua"/>
      <family val="1"/>
    </font>
    <font>
      <b/>
      <sz val="10"/>
      <color indexed="9"/>
      <name val="Book Antiqua"/>
      <family val="1"/>
    </font>
    <font>
      <b/>
      <sz val="11"/>
      <color indexed="9"/>
      <name val="Book Antiqua"/>
      <family val="1"/>
    </font>
    <font>
      <sz val="11"/>
      <color indexed="9"/>
      <name val="Book Antiqua"/>
      <family val="1"/>
    </font>
    <font>
      <sz val="10"/>
      <color indexed="9"/>
      <name val="Times New Roman"/>
      <family val="1"/>
    </font>
    <font>
      <b/>
      <sz val="10"/>
      <color indexed="9"/>
      <name val="Verdana"/>
      <family val="2"/>
    </font>
    <font>
      <b/>
      <sz val="12"/>
      <color indexed="8"/>
      <name val="Verdana"/>
      <family val="2"/>
    </font>
    <font>
      <b/>
      <sz val="10"/>
      <color indexed="10"/>
      <name val="Verdana"/>
      <family val="2"/>
    </font>
    <font>
      <b/>
      <sz val="10"/>
      <color indexed="10"/>
      <name val="Arial"/>
      <family val="2"/>
    </font>
    <font>
      <b/>
      <sz val="10"/>
      <color indexed="10"/>
      <name val="Times New Roman"/>
      <family val="1"/>
    </font>
    <font>
      <b/>
      <sz val="11"/>
      <color indexed="10"/>
      <name val="Times New Roman"/>
      <family val="1"/>
    </font>
    <font>
      <sz val="10"/>
      <color indexed="10"/>
      <name val="Times New Roman"/>
      <family val="1"/>
    </font>
    <font>
      <b/>
      <sz val="8"/>
      <name val="Book Antiqua"/>
      <family val="1"/>
    </font>
    <font>
      <b/>
      <sz val="14"/>
      <color indexed="10"/>
      <name val="Verdana"/>
      <family val="2"/>
    </font>
    <font>
      <b/>
      <sz val="12"/>
      <name val="Script MT Bold"/>
      <family val="4"/>
    </font>
    <font>
      <sz val="16"/>
      <name val="Book Antiqua"/>
      <family val="1"/>
    </font>
    <font>
      <sz val="7"/>
      <color indexed="8"/>
      <name val="Times New Roman"/>
      <family val="1"/>
    </font>
    <font>
      <b/>
      <sz val="16"/>
      <color indexed="9"/>
      <name val="Verdana"/>
      <family val="2"/>
    </font>
    <font>
      <b/>
      <sz val="28"/>
      <color indexed="22"/>
      <name val="Bodoni MT Black"/>
      <family val="1"/>
    </font>
    <font>
      <b/>
      <sz val="28"/>
      <color indexed="13"/>
      <name val="Bodoni MT Black"/>
      <family val="1"/>
    </font>
    <font>
      <sz val="11"/>
      <color indexed="8"/>
      <name val="Book Antiqua"/>
      <family val="1"/>
    </font>
    <font>
      <sz val="12"/>
      <color indexed="9"/>
      <name val="Book Antiqua"/>
      <family val="1"/>
    </font>
    <font>
      <b/>
      <sz val="11"/>
      <color indexed="8"/>
      <name val="Verdana"/>
      <family val="2"/>
    </font>
    <font>
      <b/>
      <sz val="12"/>
      <color indexed="9"/>
      <name val="Verdana"/>
      <family val="2"/>
    </font>
    <font>
      <b/>
      <sz val="8"/>
      <color indexed="8"/>
      <name val="Verdana"/>
      <family val="2"/>
    </font>
    <font>
      <b/>
      <sz val="14"/>
      <name val="Times New Roman"/>
      <family val="1"/>
    </font>
    <font>
      <sz val="12"/>
      <name val="Times New Roman"/>
      <family val="1"/>
    </font>
    <font>
      <u/>
      <sz val="14"/>
      <name val="Wide Latin"/>
      <family val="1"/>
    </font>
    <font>
      <b/>
      <sz val="9"/>
      <color indexed="8"/>
      <name val="Times New Roman"/>
      <family val="1"/>
    </font>
    <font>
      <sz val="9"/>
      <color indexed="8"/>
      <name val="Times New Roman"/>
      <family val="1"/>
    </font>
    <font>
      <sz val="8"/>
      <color indexed="8"/>
      <name val="Times New Roman"/>
      <family val="1"/>
    </font>
    <font>
      <b/>
      <sz val="9"/>
      <color indexed="10"/>
      <name val="Verdana"/>
      <family val="2"/>
    </font>
    <font>
      <b/>
      <sz val="14"/>
      <color indexed="8"/>
      <name val="Calibri"/>
      <family val="2"/>
    </font>
    <font>
      <sz val="14"/>
      <color indexed="8"/>
      <name val="Calibri"/>
      <family val="2"/>
    </font>
    <font>
      <sz val="18"/>
      <color indexed="8"/>
      <name val="Calibri"/>
      <family val="2"/>
    </font>
    <font>
      <b/>
      <sz val="14"/>
      <color indexed="8"/>
      <name val="Book Antiqua"/>
      <family val="1"/>
    </font>
    <font>
      <b/>
      <sz val="9"/>
      <color indexed="8"/>
      <name val="Verdana"/>
      <family val="2"/>
    </font>
    <font>
      <b/>
      <sz val="9"/>
      <color indexed="8"/>
      <name val="Georgia"/>
      <family val="1"/>
    </font>
    <font>
      <b/>
      <sz val="26"/>
      <color indexed="10"/>
      <name val="Verdana"/>
      <family val="2"/>
    </font>
    <font>
      <b/>
      <sz val="26"/>
      <color indexed="22"/>
      <name val="Bodoni MT Black"/>
      <family val="1"/>
    </font>
    <font>
      <b/>
      <sz val="26"/>
      <color indexed="10"/>
      <name val="Bodoni MT Black"/>
      <family val="1"/>
    </font>
    <font>
      <b/>
      <sz val="9"/>
      <name val="Verdana"/>
      <family val="2"/>
    </font>
    <font>
      <b/>
      <sz val="16"/>
      <color indexed="10"/>
      <name val="Verdana"/>
      <family val="2"/>
    </font>
    <font>
      <b/>
      <sz val="12"/>
      <color indexed="10"/>
      <name val="Times New Roman"/>
      <family val="1"/>
    </font>
    <font>
      <b/>
      <sz val="11"/>
      <name val="Verdana"/>
      <family val="2"/>
    </font>
    <font>
      <b/>
      <sz val="12"/>
      <name val="Verdana"/>
      <family val="2"/>
    </font>
    <font>
      <b/>
      <sz val="14"/>
      <color indexed="10"/>
      <name val="Times New Roman"/>
      <family val="1"/>
    </font>
    <font>
      <b/>
      <sz val="16"/>
      <name val="Verdana"/>
      <family val="2"/>
    </font>
    <font>
      <b/>
      <sz val="16"/>
      <name val="Arial"/>
      <family val="2"/>
    </font>
    <font>
      <b/>
      <u/>
      <sz val="14"/>
      <name val="Arial"/>
      <family val="2"/>
    </font>
    <font>
      <b/>
      <sz val="14"/>
      <name val="Arial"/>
      <family val="2"/>
    </font>
    <font>
      <sz val="9"/>
      <name val="Arial"/>
      <family val="2"/>
    </font>
    <font>
      <b/>
      <sz val="11"/>
      <name val="Arial"/>
      <family val="2"/>
    </font>
    <font>
      <b/>
      <sz val="14"/>
      <color indexed="8"/>
      <name val="Times New Roman"/>
      <family val="1"/>
    </font>
    <font>
      <b/>
      <sz val="16"/>
      <color indexed="8"/>
      <name val="Calibri"/>
      <family val="2"/>
    </font>
    <font>
      <sz val="11"/>
      <color theme="1"/>
      <name val="Calibri"/>
      <family val="2"/>
      <scheme val="minor"/>
    </font>
    <font>
      <u/>
      <sz val="11"/>
      <color theme="10"/>
      <name val="Calibri"/>
      <family val="2"/>
      <scheme val="minor"/>
    </font>
    <font>
      <b/>
      <sz val="11"/>
      <color theme="1"/>
      <name val="Calibri"/>
      <family val="2"/>
      <scheme val="minor"/>
    </font>
    <font>
      <b/>
      <sz val="10"/>
      <color rgb="FFFF0000"/>
      <name val="Verdana"/>
      <family val="2"/>
    </font>
    <font>
      <b/>
      <sz val="10"/>
      <color rgb="FFFF0000"/>
      <name val="Times New Roman"/>
      <family val="1"/>
    </font>
    <font>
      <sz val="10"/>
      <color rgb="FFFF0000"/>
      <name val="Arial"/>
      <family val="2"/>
    </font>
    <font>
      <b/>
      <sz val="10"/>
      <color rgb="FFFF0000"/>
      <name val="Arial"/>
      <family val="2"/>
    </font>
    <font>
      <sz val="10"/>
      <color rgb="FFFF0000"/>
      <name val="Book Antiqua"/>
      <family val="1"/>
    </font>
    <font>
      <b/>
      <sz val="10"/>
      <color rgb="FFFF0000"/>
      <name val="Tahoma"/>
      <family val="2"/>
    </font>
    <font>
      <b/>
      <sz val="8"/>
      <color rgb="FFFF0000"/>
      <name val="Verdana"/>
      <family val="2"/>
    </font>
    <font>
      <sz val="9"/>
      <color rgb="FFFF0000"/>
      <name val="Book Antiqua"/>
      <family val="1"/>
    </font>
    <font>
      <b/>
      <sz val="12"/>
      <color rgb="FFFF0000"/>
      <name val="Times New Roman"/>
      <family val="1"/>
    </font>
    <font>
      <b/>
      <sz val="10"/>
      <color rgb="FFFF0000"/>
      <name val="Book Antiqua"/>
      <family val="1"/>
    </font>
    <font>
      <sz val="11"/>
      <color rgb="FFFF0000"/>
      <name val="Book Antiqua"/>
      <family val="1"/>
    </font>
    <font>
      <b/>
      <sz val="11"/>
      <color rgb="FFFF0000"/>
      <name val="Book Antiqua"/>
      <family val="1"/>
    </font>
    <font>
      <b/>
      <sz val="8"/>
      <color rgb="FFFF0000"/>
      <name val="Times New Roman"/>
      <family val="1"/>
    </font>
    <font>
      <b/>
      <sz val="10"/>
      <color theme="1"/>
      <name val="Verdana"/>
      <family val="2"/>
    </font>
    <font>
      <b/>
      <sz val="10"/>
      <color theme="0"/>
      <name val="Verdana"/>
      <family val="2"/>
    </font>
    <font>
      <b/>
      <sz val="13"/>
      <color theme="0" tint="-0.14999847407452621"/>
      <name val="Verdana"/>
      <family val="2"/>
    </font>
    <font>
      <sz val="11"/>
      <color theme="1"/>
      <name val="Book Antiqua"/>
      <family val="1"/>
    </font>
    <font>
      <b/>
      <sz val="10"/>
      <color theme="1"/>
      <name val="Book Antiqua"/>
      <family val="1"/>
    </font>
    <font>
      <sz val="10"/>
      <color theme="1"/>
      <name val="Book Antiqua"/>
      <family val="1"/>
    </font>
    <font>
      <sz val="8"/>
      <color theme="1"/>
      <name val="Book Antiqua"/>
      <family val="1"/>
    </font>
    <font>
      <b/>
      <sz val="14"/>
      <color theme="1"/>
      <name val="Book Antiqua"/>
      <family val="1"/>
    </font>
    <font>
      <b/>
      <sz val="12"/>
      <color theme="1"/>
      <name val="Calibri"/>
      <family val="2"/>
      <scheme val="minor"/>
    </font>
    <font>
      <b/>
      <sz val="11"/>
      <color theme="1"/>
      <name val="Book Antiqua"/>
      <family val="1"/>
    </font>
    <font>
      <b/>
      <sz val="8"/>
      <color theme="1"/>
      <name val="Times New Roman"/>
      <family val="1"/>
    </font>
    <font>
      <b/>
      <sz val="10"/>
      <color indexed="8"/>
      <name val="Calibri"/>
      <family val="2"/>
      <scheme val="minor"/>
    </font>
    <font>
      <sz val="9"/>
      <color rgb="FFFF0000"/>
      <name val="Verdana"/>
      <family val="2"/>
    </font>
    <font>
      <b/>
      <sz val="9"/>
      <color rgb="FFFF0000"/>
      <name val="Verdana"/>
      <family val="2"/>
    </font>
    <font>
      <b/>
      <sz val="16"/>
      <color theme="1"/>
      <name val="Calibri"/>
      <family val="2"/>
      <scheme val="minor"/>
    </font>
    <font>
      <b/>
      <sz val="20"/>
      <color theme="0"/>
      <name val="Verdana"/>
      <family val="2"/>
    </font>
    <font>
      <b/>
      <sz val="14"/>
      <color theme="1"/>
      <name val="Times New Roman"/>
      <family val="1"/>
    </font>
    <font>
      <b/>
      <sz val="14"/>
      <color theme="1"/>
      <name val="Verdana"/>
      <family val="2"/>
    </font>
    <font>
      <b/>
      <sz val="12"/>
      <color rgb="FFFF0000"/>
      <name val="Verdana"/>
      <family val="2"/>
    </font>
    <font>
      <b/>
      <sz val="12"/>
      <color theme="0"/>
      <name val="Verdana"/>
      <family val="2"/>
    </font>
    <font>
      <b/>
      <sz val="16"/>
      <color rgb="FFFFFF00"/>
      <name val="Verdana"/>
      <family val="2"/>
    </font>
    <font>
      <b/>
      <sz val="14"/>
      <color rgb="FFC00000"/>
      <name val="Verdana"/>
      <family val="2"/>
    </font>
    <font>
      <sz val="10"/>
      <color theme="1"/>
      <name val="Calibri"/>
      <family val="2"/>
      <scheme val="minor"/>
    </font>
    <font>
      <b/>
      <sz val="22"/>
      <color rgb="FFFF0000"/>
      <name val="Calibri"/>
      <family val="2"/>
      <scheme val="minor"/>
    </font>
    <font>
      <b/>
      <sz val="22"/>
      <color rgb="FFFF0000"/>
      <name val="Verdana"/>
      <family val="2"/>
    </font>
    <font>
      <b/>
      <sz val="11"/>
      <color indexed="8"/>
      <name val="Calibri"/>
      <family val="2"/>
      <scheme val="minor"/>
    </font>
    <font>
      <sz val="22"/>
      <color rgb="FFFF0000"/>
      <name val="Calibri"/>
      <family val="2"/>
      <scheme val="minor"/>
    </font>
    <font>
      <b/>
      <sz val="18"/>
      <color theme="1" tint="4.9989318521683403E-2"/>
      <name val="Calibri"/>
      <family val="2"/>
      <scheme val="minor"/>
    </font>
    <font>
      <sz val="14"/>
      <color theme="1" tint="4.9989318521683403E-2"/>
      <name val="Calibri"/>
      <family val="2"/>
      <scheme val="minor"/>
    </font>
    <font>
      <b/>
      <sz val="14"/>
      <color theme="1" tint="4.9989318521683403E-2"/>
      <name val="Times New Roman"/>
      <family val="1"/>
    </font>
    <font>
      <b/>
      <sz val="28"/>
      <color theme="0" tint="-4.9989318521683403E-2"/>
      <name val="Bodoni MT Black"/>
      <family val="1"/>
    </font>
    <font>
      <b/>
      <sz val="18"/>
      <color theme="0" tint="-4.9989318521683403E-2"/>
      <name val="Verdana"/>
      <family val="2"/>
    </font>
    <font>
      <b/>
      <sz val="12"/>
      <color theme="1"/>
      <name val="Verdana"/>
      <family val="2"/>
    </font>
    <font>
      <b/>
      <sz val="12"/>
      <color theme="1"/>
      <name val="Times New Roman"/>
      <family val="1"/>
    </font>
    <font>
      <sz val="9"/>
      <color theme="1"/>
      <name val="Book Antiqua"/>
      <family val="1"/>
    </font>
    <font>
      <sz val="10"/>
      <color theme="1"/>
      <name val="Algerian"/>
      <family val="5"/>
    </font>
    <font>
      <b/>
      <sz val="10.5"/>
      <color theme="1"/>
      <name val="Book Antiqua"/>
      <family val="1"/>
    </font>
    <font>
      <sz val="48"/>
      <color theme="1"/>
      <name val="Calibri"/>
      <family val="2"/>
      <scheme val="minor"/>
    </font>
    <font>
      <b/>
      <sz val="10"/>
      <color theme="1"/>
      <name val="Calibri"/>
      <family val="2"/>
      <scheme val="minor"/>
    </font>
    <font>
      <b/>
      <sz val="14"/>
      <color rgb="FFFF0000"/>
      <name val="Calibri"/>
      <family val="2"/>
      <scheme val="minor"/>
    </font>
    <font>
      <b/>
      <sz val="22"/>
      <color theme="0"/>
      <name val="Calibri"/>
      <family val="2"/>
      <scheme val="minor"/>
    </font>
    <font>
      <b/>
      <sz val="14"/>
      <color theme="1"/>
      <name val="Calibri"/>
      <family val="2"/>
      <scheme val="minor"/>
    </font>
    <font>
      <sz val="12"/>
      <color theme="1"/>
      <name val="Calibri"/>
      <family val="2"/>
      <scheme val="minor"/>
    </font>
    <font>
      <b/>
      <sz val="11"/>
      <color indexed="10"/>
      <name val="Verdana"/>
      <family val="2"/>
    </font>
    <font>
      <b/>
      <sz val="14"/>
      <color theme="1" tint="4.9989318521683403E-2"/>
      <name val="Elephant"/>
      <family val="1"/>
    </font>
    <font>
      <b/>
      <sz val="26"/>
      <color theme="1" tint="4.9989318521683403E-2"/>
      <name val="Cooper Black"/>
      <family val="1"/>
    </font>
    <font>
      <b/>
      <sz val="20"/>
      <color theme="1"/>
      <name val="Cooper Black"/>
      <family val="1"/>
    </font>
    <font>
      <b/>
      <sz val="35"/>
      <color rgb="FF002060"/>
      <name val="Cooper Black"/>
      <family val="1"/>
    </font>
    <font>
      <b/>
      <sz val="9"/>
      <color indexed="8"/>
      <name val="Arial Black"/>
      <family val="2"/>
    </font>
    <font>
      <b/>
      <sz val="11"/>
      <name val="Arial Black"/>
      <family val="2"/>
    </font>
    <font>
      <b/>
      <sz val="26"/>
      <color theme="10"/>
      <name val="Calibri"/>
      <family val="2"/>
      <scheme val="minor"/>
    </font>
    <font>
      <b/>
      <sz val="26"/>
      <color theme="0"/>
      <name val="Verdana"/>
      <family val="2"/>
    </font>
    <font>
      <b/>
      <sz val="12"/>
      <color theme="2"/>
      <name val="Verdana"/>
      <family val="2"/>
    </font>
    <font>
      <b/>
      <sz val="18"/>
      <color theme="2"/>
      <name val="Verdana"/>
      <family val="2"/>
    </font>
  </fonts>
  <fills count="34">
    <fill>
      <patternFill patternType="none"/>
    </fill>
    <fill>
      <patternFill patternType="gray125"/>
    </fill>
    <fill>
      <patternFill patternType="solid">
        <fgColor indexed="47"/>
      </patternFill>
    </fill>
    <fill>
      <patternFill patternType="solid">
        <fgColor indexed="62"/>
      </patternFill>
    </fill>
    <fill>
      <patternFill patternType="solid">
        <fgColor indexed="22"/>
      </patternFill>
    </fill>
    <fill>
      <patternFill patternType="solid">
        <fgColor indexed="41"/>
      </patternFill>
    </fill>
    <fill>
      <patternFill patternType="solid">
        <fgColor indexed="8"/>
      </patternFill>
    </fill>
    <fill>
      <patternFill patternType="solid">
        <fgColor indexed="56"/>
      </patternFill>
    </fill>
    <fill>
      <patternFill patternType="solid">
        <fgColor indexed="9"/>
        <bgColor indexed="64"/>
      </patternFill>
    </fill>
    <fill>
      <patternFill patternType="solid">
        <fgColor indexed="44"/>
        <bgColor indexed="64"/>
      </patternFill>
    </fill>
    <fill>
      <patternFill patternType="solid">
        <fgColor indexed="1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2" tint="-0.249977111117893"/>
        <bgColor indexed="64"/>
      </patternFill>
    </fill>
    <fill>
      <patternFill patternType="solid">
        <fgColor rgb="FFFFFF66"/>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0070C0"/>
        <bgColor indexed="64"/>
      </patternFill>
    </fill>
    <fill>
      <patternFill patternType="solid">
        <fgColor rgb="FF009900"/>
        <bgColor indexed="64"/>
      </patternFill>
    </fill>
  </fills>
  <borders count="138">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style="hair">
        <color indexed="64"/>
      </top>
      <bottom style="hair">
        <color indexed="64"/>
      </bottom>
      <diagonal/>
    </border>
    <border>
      <left style="thin">
        <color indexed="64"/>
      </left>
      <right/>
      <top/>
      <bottom style="thin">
        <color indexed="64"/>
      </bottom>
      <diagonal/>
    </border>
    <border>
      <left style="double">
        <color indexed="64"/>
      </left>
      <right/>
      <top/>
      <bottom/>
      <diagonal/>
    </border>
    <border>
      <left/>
      <right style="double">
        <color indexed="64"/>
      </right>
      <top/>
      <bottom/>
      <diagonal/>
    </border>
    <border>
      <left/>
      <right style="double">
        <color indexed="64"/>
      </right>
      <top/>
      <bottom style="thin">
        <color indexed="64"/>
      </bottom>
      <diagonal/>
    </border>
    <border>
      <left style="thin">
        <color indexed="64"/>
      </left>
      <right/>
      <top style="thin">
        <color indexed="64"/>
      </top>
      <bottom style="hair">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thin">
        <color indexed="64"/>
      </bottom>
      <diagonal/>
    </border>
    <border>
      <left/>
      <right style="double">
        <color indexed="64"/>
      </right>
      <top style="thin">
        <color indexed="64"/>
      </top>
      <bottom/>
      <diagonal/>
    </border>
    <border>
      <left style="double">
        <color indexed="64"/>
      </left>
      <right style="thin">
        <color indexed="64"/>
      </right>
      <top style="double">
        <color indexed="64"/>
      </top>
      <bottom/>
      <diagonal/>
    </border>
    <border>
      <left style="hair">
        <color indexed="64"/>
      </left>
      <right style="hair">
        <color indexed="64"/>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style="hair">
        <color indexed="64"/>
      </right>
      <top/>
      <bottom/>
      <diagonal/>
    </border>
    <border>
      <left style="hair">
        <color indexed="64"/>
      </left>
      <right/>
      <top style="thin">
        <color indexed="64"/>
      </top>
      <bottom style="thin">
        <color indexed="64"/>
      </bottom>
      <diagonal/>
    </border>
    <border>
      <left/>
      <right style="double">
        <color indexed="64"/>
      </right>
      <top style="thin">
        <color indexed="64"/>
      </top>
      <bottom style="thin">
        <color indexed="64"/>
      </bottom>
      <diagonal/>
    </border>
    <border>
      <left style="hair">
        <color indexed="64"/>
      </left>
      <right/>
      <top style="hair">
        <color indexed="64"/>
      </top>
      <bottom style="hair">
        <color indexed="64"/>
      </bottom>
      <diagonal/>
    </border>
    <border>
      <left style="double">
        <color indexed="64"/>
      </left>
      <right style="thin">
        <color indexed="64"/>
      </right>
      <top/>
      <bottom style="thin">
        <color indexed="64"/>
      </bottom>
      <diagonal/>
    </border>
    <border>
      <left style="double">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bottom style="thin">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dashed">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top style="thin">
        <color indexed="64"/>
      </top>
      <bottom/>
      <diagonal/>
    </border>
    <border>
      <left style="hair">
        <color indexed="64"/>
      </left>
      <right style="hair">
        <color indexed="64"/>
      </right>
      <top style="hair">
        <color indexed="64"/>
      </top>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hair">
        <color indexed="64"/>
      </top>
      <bottom/>
      <diagonal/>
    </border>
    <border>
      <left/>
      <right style="medium">
        <color indexed="64"/>
      </right>
      <top style="hair">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top style="thin">
        <color indexed="64"/>
      </top>
      <bottom style="hair">
        <color indexed="64"/>
      </bottom>
      <diagonal/>
    </border>
    <border>
      <left/>
      <right/>
      <top style="thin">
        <color indexed="64"/>
      </top>
      <bottom style="hair">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thin">
        <color indexed="64"/>
      </bottom>
      <diagonal/>
    </border>
    <border>
      <left style="double">
        <color indexed="64"/>
      </left>
      <right/>
      <top style="thin">
        <color indexed="64"/>
      </top>
      <bottom/>
      <diagonal/>
    </border>
    <border>
      <left/>
      <right style="thin">
        <color indexed="64"/>
      </right>
      <top style="thin">
        <color indexed="64"/>
      </top>
      <bottom style="hair">
        <color indexed="64"/>
      </bottom>
      <diagonal/>
    </border>
    <border>
      <left style="thin">
        <color indexed="64"/>
      </left>
      <right/>
      <top/>
      <bottom style="medium">
        <color indexed="64"/>
      </bottom>
      <diagonal/>
    </border>
    <border>
      <left/>
      <right style="double">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hair">
        <color indexed="64"/>
      </top>
      <bottom/>
      <diagonal/>
    </border>
    <border>
      <left style="thin">
        <color indexed="64"/>
      </left>
      <right style="medium">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double">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double">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double">
        <color indexed="64"/>
      </left>
      <right/>
      <top style="hair">
        <color indexed="64"/>
      </top>
      <bottom style="thin">
        <color indexed="64"/>
      </bottom>
      <diagonal/>
    </border>
    <border>
      <left/>
      <right style="hair">
        <color indexed="64"/>
      </right>
      <top style="hair">
        <color indexed="64"/>
      </top>
      <bottom style="thin">
        <color indexed="64"/>
      </bottom>
      <diagonal/>
    </border>
  </borders>
  <cellStyleXfs count="4">
    <xf numFmtId="0" fontId="0" fillId="0" borderId="0" applyAlignment="0"/>
    <xf numFmtId="43" fontId="102" fillId="0" borderId="0" applyFont="0" applyFill="0" applyBorder="0" applyAlignment="0" applyProtection="0"/>
    <xf numFmtId="0" fontId="103" fillId="0" borderId="0" applyNumberFormat="0" applyFill="0" applyBorder="0" applyAlignment="0" applyProtection="0"/>
    <xf numFmtId="0" fontId="46" fillId="0" borderId="0" applyFont="0" applyBorder="0" applyAlignment="0" applyProtection="0"/>
  </cellStyleXfs>
  <cellXfs count="1594">
    <xf numFmtId="0" fontId="0" fillId="0" borderId="0" xfId="0" applyAlignment="1"/>
    <xf numFmtId="0" fontId="2" fillId="2" borderId="0" xfId="0" applyFont="1" applyFill="1" applyAlignment="1">
      <alignment vertical="center"/>
    </xf>
    <xf numFmtId="0" fontId="2" fillId="2" borderId="0" xfId="0" applyFont="1" applyFill="1" applyBorder="1" applyAlignment="1">
      <alignment vertical="center"/>
    </xf>
    <xf numFmtId="0" fontId="2" fillId="2" borderId="2" xfId="0" applyFont="1" applyFill="1" applyBorder="1" applyAlignment="1">
      <alignment vertical="center"/>
    </xf>
    <xf numFmtId="0" fontId="2" fillId="2" borderId="2" xfId="0" applyFont="1" applyFill="1" applyBorder="1" applyAlignment="1">
      <alignment horizontal="left" vertical="center"/>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2" fillId="2" borderId="1" xfId="0" applyFont="1" applyFill="1" applyBorder="1" applyAlignment="1">
      <alignment horizontal="left" vertical="center" indent="1"/>
    </xf>
    <xf numFmtId="0" fontId="32" fillId="2" borderId="8" xfId="0" applyFont="1" applyFill="1" applyBorder="1" applyAlignment="1">
      <alignment horizontal="left" vertical="center" wrapText="1"/>
    </xf>
    <xf numFmtId="0" fontId="0" fillId="2" borderId="0" xfId="0" applyFill="1" applyAlignment="1">
      <alignment horizontal="left" vertical="center"/>
    </xf>
    <xf numFmtId="0" fontId="33" fillId="2" borderId="8" xfId="0" applyFont="1" applyFill="1" applyBorder="1" applyAlignment="1">
      <alignment horizontal="left" vertical="center" wrapText="1"/>
    </xf>
    <xf numFmtId="0" fontId="33" fillId="2" borderId="9" xfId="0" applyFont="1" applyFill="1" applyBorder="1" applyAlignment="1">
      <alignment horizontal="left" vertical="center" wrapText="1"/>
    </xf>
    <xf numFmtId="0" fontId="33" fillId="2" borderId="10" xfId="0" applyFont="1" applyFill="1" applyBorder="1" applyAlignment="1">
      <alignment horizontal="left" vertical="center" wrapText="1"/>
    </xf>
    <xf numFmtId="0" fontId="33" fillId="2" borderId="2" xfId="0" applyFont="1" applyFill="1" applyBorder="1" applyAlignment="1">
      <alignment horizontal="left" vertical="center" wrapText="1"/>
    </xf>
    <xf numFmtId="0" fontId="33" fillId="2" borderId="11" xfId="0" applyFont="1" applyFill="1" applyBorder="1" applyAlignment="1">
      <alignment horizontal="left" vertical="center" wrapText="1"/>
    </xf>
    <xf numFmtId="0" fontId="33" fillId="2" borderId="12"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3" fillId="2" borderId="13" xfId="0" applyFont="1" applyFill="1" applyBorder="1" applyAlignment="1">
      <alignment horizontal="left" vertical="center" wrapText="1"/>
    </xf>
    <xf numFmtId="0" fontId="34" fillId="2" borderId="0" xfId="0" applyFont="1" applyFill="1" applyAlignment="1">
      <alignment horizontal="left" vertical="center"/>
    </xf>
    <xf numFmtId="0" fontId="35" fillId="2" borderId="0" xfId="0" applyFont="1" applyFill="1" applyAlignment="1">
      <alignment horizontal="left" vertical="center" wrapText="1"/>
    </xf>
    <xf numFmtId="0" fontId="0" fillId="2" borderId="0" xfId="0" applyFill="1" applyAlignment="1">
      <alignment horizontal="left" vertical="center" wrapText="1"/>
    </xf>
    <xf numFmtId="0" fontId="36" fillId="2" borderId="8" xfId="0" applyFont="1" applyFill="1" applyBorder="1" applyAlignment="1">
      <alignment horizontal="left" vertical="center" wrapText="1"/>
    </xf>
    <xf numFmtId="0" fontId="37" fillId="2" borderId="14" xfId="0" applyFont="1" applyFill="1" applyBorder="1" applyAlignment="1">
      <alignment horizontal="left" vertical="center" wrapText="1"/>
    </xf>
    <xf numFmtId="0" fontId="37" fillId="2" borderId="10" xfId="0" applyFont="1" applyFill="1" applyBorder="1" applyAlignment="1">
      <alignment horizontal="left" vertical="center" wrapText="1"/>
    </xf>
    <xf numFmtId="0" fontId="37" fillId="2" borderId="15" xfId="0" applyFont="1" applyFill="1" applyBorder="1" applyAlignment="1">
      <alignment horizontal="left" vertical="center" wrapText="1"/>
    </xf>
    <xf numFmtId="0" fontId="38" fillId="2" borderId="0" xfId="0" applyFont="1" applyFill="1" applyAlignment="1">
      <alignment horizontal="left" vertical="center"/>
    </xf>
    <xf numFmtId="0" fontId="0" fillId="4" borderId="0" xfId="0" applyFill="1" applyAlignment="1">
      <alignment horizontal="left" vertical="center"/>
    </xf>
    <xf numFmtId="0" fontId="39" fillId="4" borderId="0" xfId="0" applyFont="1" applyFill="1" applyAlignment="1">
      <alignment horizontal="left" vertical="center"/>
    </xf>
    <xf numFmtId="0" fontId="2" fillId="2" borderId="16" xfId="0" applyFont="1" applyFill="1" applyBorder="1" applyAlignment="1">
      <alignment vertical="center"/>
    </xf>
    <xf numFmtId="0" fontId="37" fillId="2" borderId="8" xfId="0" applyFont="1" applyFill="1" applyBorder="1" applyAlignment="1">
      <alignment horizontal="left" vertical="center" wrapText="1"/>
    </xf>
    <xf numFmtId="0" fontId="33" fillId="2" borderId="17" xfId="0" applyFont="1" applyFill="1" applyBorder="1" applyAlignment="1">
      <alignment horizontal="left" vertical="center" wrapText="1"/>
    </xf>
    <xf numFmtId="0" fontId="33" fillId="2" borderId="18" xfId="0" applyFont="1" applyFill="1" applyBorder="1" applyAlignment="1">
      <alignment horizontal="left" vertical="center" wrapText="1"/>
    </xf>
    <xf numFmtId="0" fontId="2" fillId="2" borderId="12" xfId="0" applyFont="1" applyFill="1" applyBorder="1" applyAlignment="1">
      <alignment horizontal="left" vertical="center" indent="1"/>
    </xf>
    <xf numFmtId="0" fontId="15" fillId="5" borderId="8" xfId="0" applyFont="1" applyFill="1" applyBorder="1" applyAlignment="1">
      <alignment horizontal="left" vertical="center"/>
    </xf>
    <xf numFmtId="3" fontId="15" fillId="5" borderId="8" xfId="0" applyNumberFormat="1" applyFont="1" applyFill="1" applyBorder="1" applyAlignment="1">
      <alignment horizontal="left" vertical="center"/>
    </xf>
    <xf numFmtId="0" fontId="13" fillId="6" borderId="14" xfId="0" applyFont="1" applyFill="1" applyBorder="1" applyAlignment="1">
      <alignment horizontal="left" vertical="center"/>
    </xf>
    <xf numFmtId="0" fontId="14" fillId="6" borderId="19" xfId="0" applyFont="1" applyFill="1" applyBorder="1" applyAlignment="1">
      <alignment horizontal="left" vertical="center"/>
    </xf>
    <xf numFmtId="0" fontId="14" fillId="6" borderId="9" xfId="0" applyFont="1" applyFill="1" applyBorder="1" applyAlignment="1">
      <alignment horizontal="left" vertical="center"/>
    </xf>
    <xf numFmtId="0" fontId="16" fillId="5" borderId="8" xfId="0" applyFont="1" applyFill="1" applyBorder="1" applyAlignment="1">
      <alignment horizontal="left" vertical="center"/>
    </xf>
    <xf numFmtId="0" fontId="2" fillId="2" borderId="2" xfId="0" applyFont="1" applyFill="1" applyBorder="1" applyAlignment="1">
      <alignment horizontal="right" vertical="center" indent="1"/>
    </xf>
    <xf numFmtId="0" fontId="11" fillId="0" borderId="0" xfId="0" applyFont="1" applyAlignment="1"/>
    <xf numFmtId="0" fontId="21" fillId="0" borderId="0" xfId="0" applyFont="1" applyAlignment="1"/>
    <xf numFmtId="0" fontId="11" fillId="0" borderId="0" xfId="0" applyFont="1" applyBorder="1" applyAlignment="1"/>
    <xf numFmtId="0" fontId="11" fillId="0" borderId="0" xfId="0" applyFont="1" applyBorder="1" applyAlignment="1">
      <alignment horizontal="center"/>
    </xf>
    <xf numFmtId="0" fontId="25" fillId="0" borderId="0" xfId="0" applyFont="1" applyBorder="1" applyAlignment="1">
      <alignment horizontal="center"/>
    </xf>
    <xf numFmtId="0" fontId="21" fillId="0" borderId="0" xfId="0" applyFont="1" applyBorder="1" applyAlignment="1">
      <alignment horizontal="center"/>
    </xf>
    <xf numFmtId="3" fontId="25" fillId="0" borderId="0" xfId="0" applyNumberFormat="1" applyFont="1" applyBorder="1" applyAlignment="1"/>
    <xf numFmtId="1" fontId="11" fillId="0" borderId="0" xfId="0" applyNumberFormat="1" applyFont="1" applyAlignment="1"/>
    <xf numFmtId="0" fontId="25" fillId="0" borderId="0" xfId="0" applyFont="1" applyBorder="1" applyAlignment="1"/>
    <xf numFmtId="0" fontId="11" fillId="0" borderId="0" xfId="0" applyFont="1" applyBorder="1" applyAlignment="1">
      <alignment horizontal="left"/>
    </xf>
    <xf numFmtId="0" fontId="25" fillId="0" borderId="0" xfId="0" applyFont="1" applyBorder="1" applyAlignment="1">
      <alignment horizontal="left"/>
    </xf>
    <xf numFmtId="0" fontId="23" fillId="0" borderId="0" xfId="0" applyFont="1" applyBorder="1" applyAlignment="1"/>
    <xf numFmtId="0" fontId="22" fillId="0" borderId="0" xfId="0" applyFont="1" applyBorder="1" applyAlignment="1">
      <alignment horizontal="left"/>
    </xf>
    <xf numFmtId="3" fontId="11" fillId="0" borderId="0" xfId="0" applyNumberFormat="1" applyFont="1" applyAlignment="1"/>
    <xf numFmtId="3" fontId="21" fillId="0" borderId="0" xfId="0" applyNumberFormat="1" applyFont="1" applyBorder="1" applyAlignment="1"/>
    <xf numFmtId="0" fontId="21" fillId="0" borderId="0" xfId="0" applyFont="1" applyBorder="1" applyAlignment="1"/>
    <xf numFmtId="3" fontId="11" fillId="0" borderId="0" xfId="0" applyNumberFormat="1" applyFont="1" applyBorder="1" applyAlignment="1"/>
    <xf numFmtId="0" fontId="24" fillId="0" borderId="0" xfId="0" applyFont="1" applyBorder="1" applyAlignment="1"/>
    <xf numFmtId="0" fontId="2" fillId="7" borderId="21" xfId="0" applyFont="1" applyFill="1" applyBorder="1" applyAlignment="1">
      <alignment vertical="center"/>
    </xf>
    <xf numFmtId="0" fontId="22" fillId="0" borderId="0" xfId="0" applyFont="1" applyBorder="1" applyAlignment="1">
      <alignment vertical="center"/>
    </xf>
    <xf numFmtId="0" fontId="23" fillId="0" borderId="0" xfId="0" applyFont="1" applyBorder="1" applyAlignment="1">
      <alignment horizontal="left"/>
    </xf>
    <xf numFmtId="0" fontId="28" fillId="0" borderId="0" xfId="0" applyFont="1" applyBorder="1" applyAlignment="1">
      <alignment horizontal="center"/>
    </xf>
    <xf numFmtId="0" fontId="26" fillId="0" borderId="0" xfId="0" applyFont="1" applyBorder="1" applyAlignment="1">
      <alignment horizontal="left" vertical="center"/>
    </xf>
    <xf numFmtId="0" fontId="26" fillId="0" borderId="0" xfId="0" applyFont="1" applyAlignment="1">
      <alignment horizontal="left" vertical="center"/>
    </xf>
    <xf numFmtId="0" fontId="23" fillId="0" borderId="0" xfId="0" applyFont="1" applyBorder="1" applyAlignment="1">
      <alignment horizontal="center"/>
    </xf>
    <xf numFmtId="0" fontId="21" fillId="0" borderId="0" xfId="0" applyFont="1" applyBorder="1" applyAlignment="1">
      <alignment vertical="center"/>
    </xf>
    <xf numFmtId="1" fontId="24" fillId="0" borderId="0" xfId="0" applyNumberFormat="1" applyFont="1" applyBorder="1" applyAlignment="1"/>
    <xf numFmtId="3" fontId="11" fillId="0" borderId="0" xfId="0" applyNumberFormat="1" applyFont="1" applyBorder="1" applyAlignment="1">
      <alignment horizontal="right" vertical="center"/>
    </xf>
    <xf numFmtId="0" fontId="29" fillId="0" borderId="0" xfId="0" applyFont="1" applyBorder="1" applyAlignment="1">
      <alignment horizontal="center"/>
    </xf>
    <xf numFmtId="0" fontId="26" fillId="0" borderId="0" xfId="0" applyFont="1" applyBorder="1" applyAlignment="1">
      <alignment horizontal="center"/>
    </xf>
    <xf numFmtId="1" fontId="23" fillId="0" borderId="0" xfId="0" applyNumberFormat="1" applyFont="1" applyBorder="1" applyAlignment="1"/>
    <xf numFmtId="0" fontId="23" fillId="0" borderId="0" xfId="0" applyFont="1" applyBorder="1" applyAlignment="1">
      <alignment horizontal="right"/>
    </xf>
    <xf numFmtId="0" fontId="23" fillId="0" borderId="0" xfId="0" applyFont="1" applyAlignment="1"/>
    <xf numFmtId="0" fontId="11" fillId="0" borderId="0" xfId="0" applyFont="1" applyBorder="1" applyAlignment="1" applyProtection="1">
      <alignment horizontal="center" vertical="center"/>
      <protection hidden="1"/>
    </xf>
    <xf numFmtId="0" fontId="11" fillId="0" borderId="0" xfId="0" applyFont="1" applyBorder="1" applyAlignment="1" applyProtection="1">
      <protection hidden="1"/>
    </xf>
    <xf numFmtId="0" fontId="28" fillId="0" borderId="0" xfId="0" applyFont="1" applyBorder="1" applyAlignment="1" applyProtection="1">
      <alignment vertical="center"/>
      <protection hidden="1"/>
    </xf>
    <xf numFmtId="0" fontId="10" fillId="0" borderId="8" xfId="0" applyFont="1" applyBorder="1" applyAlignment="1" applyProtection="1">
      <alignment horizontal="center" vertical="center"/>
      <protection hidden="1"/>
    </xf>
    <xf numFmtId="0" fontId="24" fillId="0" borderId="0" xfId="0" applyFont="1" applyBorder="1" applyAlignment="1" applyProtection="1">
      <alignment horizontal="left"/>
      <protection hidden="1"/>
    </xf>
    <xf numFmtId="0" fontId="21" fillId="0" borderId="22" xfId="0" applyFont="1" applyBorder="1" applyAlignment="1" applyProtection="1">
      <alignment horizontal="center"/>
      <protection hidden="1"/>
    </xf>
    <xf numFmtId="0" fontId="21" fillId="0" borderId="23" xfId="0" applyFont="1" applyBorder="1" applyAlignment="1" applyProtection="1">
      <alignment horizontal="center"/>
      <protection hidden="1"/>
    </xf>
    <xf numFmtId="0" fontId="21" fillId="0" borderId="15" xfId="0" applyFont="1" applyBorder="1" applyAlignment="1" applyProtection="1">
      <alignment horizontal="center"/>
      <protection hidden="1"/>
    </xf>
    <xf numFmtId="0" fontId="21" fillId="0" borderId="0" xfId="0" applyFont="1" applyBorder="1" applyAlignment="1" applyProtection="1">
      <alignment horizontal="center"/>
      <protection hidden="1"/>
    </xf>
    <xf numFmtId="0" fontId="11" fillId="0" borderId="15" xfId="0" applyFont="1" applyBorder="1" applyAlignment="1" applyProtection="1">
      <alignment horizontal="center"/>
      <protection hidden="1"/>
    </xf>
    <xf numFmtId="0" fontId="21" fillId="0" borderId="25" xfId="0" applyFont="1" applyBorder="1" applyAlignment="1" applyProtection="1">
      <alignment horizontal="center"/>
      <protection hidden="1"/>
    </xf>
    <xf numFmtId="0" fontId="21" fillId="0" borderId="26" xfId="0" applyFont="1" applyBorder="1" applyAlignment="1" applyProtection="1">
      <alignment horizontal="center"/>
      <protection hidden="1"/>
    </xf>
    <xf numFmtId="0" fontId="11" fillId="0" borderId="0" xfId="0" applyFont="1" applyBorder="1" applyAlignment="1" applyProtection="1">
      <alignment horizontal="left"/>
      <protection hidden="1"/>
    </xf>
    <xf numFmtId="0" fontId="21" fillId="0" borderId="25" xfId="0" applyFont="1" applyBorder="1" applyAlignment="1" applyProtection="1">
      <alignment horizontal="center" vertical="center"/>
      <protection hidden="1"/>
    </xf>
    <xf numFmtId="0" fontId="21" fillId="0" borderId="26" xfId="0" applyFont="1" applyBorder="1" applyAlignment="1" applyProtection="1">
      <alignment horizontal="center" vertical="center"/>
      <protection hidden="1"/>
    </xf>
    <xf numFmtId="41" fontId="21" fillId="0" borderId="27" xfId="0" applyNumberFormat="1" applyFont="1" applyBorder="1" applyAlignment="1" applyProtection="1">
      <alignment vertical="center"/>
      <protection hidden="1"/>
    </xf>
    <xf numFmtId="0" fontId="21" fillId="0" borderId="23" xfId="0" applyFont="1" applyBorder="1" applyAlignment="1" applyProtection="1">
      <alignment horizontal="center" vertical="center"/>
      <protection hidden="1"/>
    </xf>
    <xf numFmtId="0" fontId="21" fillId="0" borderId="28" xfId="0" applyFont="1" applyBorder="1" applyAlignment="1" applyProtection="1">
      <alignment horizontal="center" vertical="center"/>
      <protection hidden="1"/>
    </xf>
    <xf numFmtId="0" fontId="21" fillId="0" borderId="29" xfId="0" applyFont="1" applyBorder="1" applyAlignment="1" applyProtection="1">
      <alignment horizontal="center" vertical="center"/>
      <protection hidden="1"/>
    </xf>
    <xf numFmtId="41" fontId="21" fillId="0" borderId="30" xfId="0" applyNumberFormat="1" applyFont="1" applyBorder="1" applyAlignment="1" applyProtection="1">
      <alignment vertical="center"/>
      <protection hidden="1"/>
    </xf>
    <xf numFmtId="0" fontId="21" fillId="0" borderId="14" xfId="0" applyFont="1" applyBorder="1" applyAlignment="1" applyProtection="1">
      <alignment horizontal="center"/>
      <protection hidden="1"/>
    </xf>
    <xf numFmtId="0" fontId="21" fillId="0" borderId="1" xfId="0" applyFont="1" applyBorder="1" applyAlignment="1" applyProtection="1">
      <alignment horizontal="center"/>
      <protection hidden="1"/>
    </xf>
    <xf numFmtId="0" fontId="25" fillId="0" borderId="0" xfId="0" applyFont="1" applyBorder="1" applyAlignment="1" applyProtection="1">
      <protection hidden="1"/>
    </xf>
    <xf numFmtId="0" fontId="21" fillId="0" borderId="28" xfId="0" applyFont="1" applyBorder="1" applyAlignment="1" applyProtection="1">
      <alignment horizontal="center"/>
      <protection hidden="1"/>
    </xf>
    <xf numFmtId="0" fontId="21" fillId="0" borderId="29" xfId="0" applyFont="1" applyBorder="1" applyAlignment="1" applyProtection="1">
      <alignment horizontal="center"/>
      <protection hidden="1"/>
    </xf>
    <xf numFmtId="0" fontId="23" fillId="0" borderId="0" xfId="0" applyFont="1" applyBorder="1" applyAlignment="1" applyProtection="1">
      <protection hidden="1"/>
    </xf>
    <xf numFmtId="0" fontId="21" fillId="0" borderId="31" xfId="0" applyFont="1" applyBorder="1" applyAlignment="1" applyProtection="1">
      <alignment horizontal="center"/>
      <protection hidden="1"/>
    </xf>
    <xf numFmtId="0" fontId="21" fillId="0" borderId="32" xfId="0" applyFont="1" applyBorder="1" applyAlignment="1" applyProtection="1">
      <alignment horizontal="center"/>
      <protection hidden="1"/>
    </xf>
    <xf numFmtId="41" fontId="21" fillId="0" borderId="34" xfId="0" applyNumberFormat="1" applyFont="1" applyBorder="1" applyAlignment="1" applyProtection="1">
      <protection hidden="1"/>
    </xf>
    <xf numFmtId="0" fontId="21" fillId="0" borderId="26" xfId="0" applyFont="1" applyBorder="1" applyAlignment="1" applyProtection="1">
      <protection hidden="1"/>
    </xf>
    <xf numFmtId="0" fontId="22" fillId="0" borderId="0" xfId="0" applyFont="1" applyBorder="1" applyAlignment="1" applyProtection="1">
      <alignment horizontal="left"/>
      <protection hidden="1"/>
    </xf>
    <xf numFmtId="0" fontId="11" fillId="0" borderId="26" xfId="0" applyFont="1" applyBorder="1" applyAlignment="1" applyProtection="1">
      <alignment horizontal="right"/>
      <protection hidden="1"/>
    </xf>
    <xf numFmtId="41" fontId="11" fillId="0" borderId="26" xfId="0" applyNumberFormat="1" applyFont="1" applyBorder="1" applyAlignment="1" applyProtection="1">
      <alignment horizontal="center"/>
      <protection hidden="1"/>
    </xf>
    <xf numFmtId="0" fontId="21" fillId="0" borderId="15" xfId="0" applyFont="1" applyBorder="1" applyAlignment="1" applyProtection="1">
      <protection hidden="1"/>
    </xf>
    <xf numFmtId="41" fontId="11" fillId="0" borderId="0" xfId="0" applyNumberFormat="1" applyFont="1" applyBorder="1" applyAlignment="1" applyProtection="1">
      <alignment horizontal="center"/>
      <protection hidden="1"/>
    </xf>
    <xf numFmtId="0" fontId="25" fillId="0" borderId="5" xfId="0" applyFont="1" applyBorder="1" applyAlignment="1" applyProtection="1">
      <protection hidden="1"/>
    </xf>
    <xf numFmtId="0" fontId="21" fillId="0" borderId="35" xfId="0" applyFont="1" applyBorder="1" applyAlignment="1" applyProtection="1">
      <alignment horizontal="center"/>
      <protection hidden="1"/>
    </xf>
    <xf numFmtId="0" fontId="21" fillId="0" borderId="5" xfId="0" applyFont="1" applyBorder="1" applyAlignment="1" applyProtection="1">
      <alignment horizontal="center"/>
      <protection hidden="1"/>
    </xf>
    <xf numFmtId="0" fontId="11" fillId="0" borderId="36" xfId="0" applyFont="1" applyBorder="1" applyAlignment="1" applyProtection="1">
      <alignment horizontal="center" vertical="center"/>
      <protection hidden="1"/>
    </xf>
    <xf numFmtId="0" fontId="11" fillId="0" borderId="15" xfId="0" applyFont="1" applyBorder="1" applyAlignment="1" applyProtection="1">
      <alignment horizontal="center" vertical="center"/>
      <protection hidden="1"/>
    </xf>
    <xf numFmtId="0" fontId="11" fillId="0" borderId="37" xfId="0" applyFont="1" applyBorder="1" applyAlignment="1" applyProtection="1">
      <alignment horizontal="center" vertical="center"/>
      <protection hidden="1"/>
    </xf>
    <xf numFmtId="0" fontId="11" fillId="0" borderId="1" xfId="0" applyFont="1" applyBorder="1" applyAlignment="1" applyProtection="1">
      <alignment vertical="center"/>
      <protection hidden="1"/>
    </xf>
    <xf numFmtId="0" fontId="24" fillId="0" borderId="36" xfId="0" applyFont="1" applyBorder="1" applyAlignment="1" applyProtection="1">
      <alignment horizontal="center" vertical="center"/>
      <protection hidden="1"/>
    </xf>
    <xf numFmtId="0" fontId="24" fillId="0" borderId="15" xfId="0" applyFont="1" applyBorder="1" applyAlignment="1" applyProtection="1">
      <alignment vertical="center"/>
      <protection hidden="1"/>
    </xf>
    <xf numFmtId="0" fontId="24" fillId="0" borderId="0" xfId="0" applyFont="1" applyBorder="1" applyAlignment="1" applyProtection="1">
      <alignment vertical="center"/>
      <protection hidden="1"/>
    </xf>
    <xf numFmtId="0" fontId="25" fillId="0" borderId="0" xfId="0" applyFont="1" applyBorder="1" applyAlignment="1" applyProtection="1">
      <alignment vertical="center"/>
      <protection hidden="1"/>
    </xf>
    <xf numFmtId="0" fontId="25" fillId="0" borderId="31" xfId="0" applyFont="1" applyBorder="1" applyAlignment="1" applyProtection="1">
      <alignment vertical="center"/>
      <protection hidden="1"/>
    </xf>
    <xf numFmtId="41" fontId="11" fillId="0" borderId="33" xfId="0" applyNumberFormat="1" applyFont="1" applyBorder="1" applyAlignment="1" applyProtection="1">
      <alignment vertical="center"/>
      <protection hidden="1"/>
    </xf>
    <xf numFmtId="3" fontId="25" fillId="0" borderId="0" xfId="0" applyNumberFormat="1" applyFont="1" applyBorder="1" applyAlignment="1" applyProtection="1">
      <alignment vertical="center"/>
      <protection hidden="1"/>
    </xf>
    <xf numFmtId="3" fontId="25" fillId="0" borderId="6" xfId="0" applyNumberFormat="1" applyFont="1" applyBorder="1" applyAlignment="1" applyProtection="1">
      <alignment vertical="center"/>
      <protection hidden="1"/>
    </xf>
    <xf numFmtId="41" fontId="11" fillId="0" borderId="37" xfId="0" applyNumberFormat="1" applyFont="1" applyBorder="1" applyAlignment="1" applyProtection="1">
      <alignment vertical="center"/>
      <protection hidden="1"/>
    </xf>
    <xf numFmtId="0" fontId="11" fillId="0" borderId="15" xfId="0" applyFont="1" applyBorder="1" applyAlignment="1" applyProtection="1">
      <alignment vertical="center"/>
      <protection hidden="1"/>
    </xf>
    <xf numFmtId="0" fontId="11" fillId="0" borderId="0" xfId="0" applyFont="1" applyBorder="1" applyAlignment="1" applyProtection="1">
      <alignment vertical="center"/>
      <protection hidden="1"/>
    </xf>
    <xf numFmtId="0" fontId="25" fillId="0" borderId="25" xfId="0" applyFont="1" applyBorder="1" applyAlignment="1" applyProtection="1">
      <alignment vertical="center"/>
      <protection hidden="1"/>
    </xf>
    <xf numFmtId="41" fontId="11" fillId="0" borderId="27" xfId="0" applyNumberFormat="1" applyFont="1" applyBorder="1" applyAlignment="1" applyProtection="1">
      <alignment vertical="center"/>
      <protection hidden="1"/>
    </xf>
    <xf numFmtId="0" fontId="25" fillId="0" borderId="22" xfId="0" applyFont="1" applyBorder="1" applyAlignment="1" applyProtection="1">
      <alignment vertical="center"/>
      <protection hidden="1"/>
    </xf>
    <xf numFmtId="41" fontId="11" fillId="0" borderId="24" xfId="0" applyNumberFormat="1" applyFont="1" applyBorder="1" applyAlignment="1" applyProtection="1">
      <alignment vertical="center"/>
      <protection hidden="1"/>
    </xf>
    <xf numFmtId="0" fontId="25" fillId="0" borderId="28" xfId="0" applyFont="1" applyBorder="1" applyAlignment="1" applyProtection="1">
      <alignment vertical="center"/>
      <protection hidden="1"/>
    </xf>
    <xf numFmtId="41" fontId="11" fillId="0" borderId="30" xfId="0" applyNumberFormat="1" applyFont="1" applyBorder="1" applyAlignment="1" applyProtection="1">
      <alignment vertical="center"/>
      <protection hidden="1"/>
    </xf>
    <xf numFmtId="0" fontId="24" fillId="0" borderId="0" xfId="0" applyFont="1" applyBorder="1" applyAlignment="1" applyProtection="1">
      <alignment horizontal="left" vertical="center"/>
      <protection hidden="1"/>
    </xf>
    <xf numFmtId="0" fontId="25" fillId="0" borderId="15" xfId="0" applyFont="1" applyBorder="1" applyAlignment="1" applyProtection="1">
      <alignment vertical="center"/>
      <protection hidden="1"/>
    </xf>
    <xf numFmtId="41" fontId="11" fillId="0" borderId="6" xfId="0" applyNumberFormat="1" applyFont="1" applyBorder="1" applyAlignment="1" applyProtection="1">
      <alignment vertical="center"/>
      <protection hidden="1"/>
    </xf>
    <xf numFmtId="41" fontId="21" fillId="0" borderId="37" xfId="0" applyNumberFormat="1" applyFont="1" applyBorder="1" applyAlignment="1" applyProtection="1">
      <alignment vertical="center"/>
      <protection hidden="1"/>
    </xf>
    <xf numFmtId="41" fontId="11" fillId="0" borderId="0" xfId="0" applyNumberFormat="1" applyFont="1" applyBorder="1" applyAlignment="1" applyProtection="1">
      <alignment vertical="center"/>
      <protection hidden="1"/>
    </xf>
    <xf numFmtId="3" fontId="25" fillId="0" borderId="15" xfId="0" applyNumberFormat="1" applyFont="1" applyBorder="1" applyAlignment="1" applyProtection="1">
      <alignment vertical="center"/>
      <protection hidden="1"/>
    </xf>
    <xf numFmtId="0" fontId="11" fillId="0" borderId="6" xfId="0" applyFont="1" applyBorder="1" applyAlignment="1" applyProtection="1">
      <alignment vertical="center"/>
      <protection hidden="1"/>
    </xf>
    <xf numFmtId="0" fontId="25" fillId="0" borderId="26" xfId="0" applyFont="1" applyBorder="1" applyAlignment="1" applyProtection="1">
      <alignment vertical="center"/>
      <protection hidden="1"/>
    </xf>
    <xf numFmtId="41" fontId="11" fillId="0" borderId="26" xfId="0" applyNumberFormat="1" applyFont="1" applyBorder="1" applyAlignment="1" applyProtection="1">
      <alignment vertical="center"/>
      <protection hidden="1"/>
    </xf>
    <xf numFmtId="3" fontId="25" fillId="0" borderId="35" xfId="0" applyNumberFormat="1" applyFont="1" applyBorder="1" applyAlignment="1" applyProtection="1">
      <alignment vertical="center"/>
      <protection hidden="1"/>
    </xf>
    <xf numFmtId="41" fontId="11" fillId="0" borderId="38" xfId="0" applyNumberFormat="1" applyFont="1" applyBorder="1" applyAlignment="1" applyProtection="1">
      <alignment vertical="center"/>
      <protection hidden="1"/>
    </xf>
    <xf numFmtId="0" fontId="25" fillId="0" borderId="6" xfId="0" applyFont="1" applyBorder="1" applyAlignment="1" applyProtection="1">
      <alignment vertical="center"/>
      <protection hidden="1"/>
    </xf>
    <xf numFmtId="3" fontId="25" fillId="0" borderId="39" xfId="0" applyNumberFormat="1" applyFont="1" applyBorder="1" applyAlignment="1" applyProtection="1">
      <alignment vertical="center"/>
      <protection hidden="1"/>
    </xf>
    <xf numFmtId="41" fontId="21" fillId="0" borderId="40" xfId="0" applyNumberFormat="1" applyFont="1" applyBorder="1" applyAlignment="1" applyProtection="1">
      <alignment vertical="center"/>
      <protection hidden="1"/>
    </xf>
    <xf numFmtId="3" fontId="25" fillId="0" borderId="25" xfId="0" applyNumberFormat="1" applyFont="1" applyBorder="1" applyAlignment="1" applyProtection="1">
      <alignment vertical="center"/>
      <protection hidden="1"/>
    </xf>
    <xf numFmtId="41" fontId="11" fillId="0" borderId="34" xfId="0" applyNumberFormat="1" applyFont="1" applyBorder="1" applyAlignment="1" applyProtection="1">
      <alignment vertical="center"/>
      <protection hidden="1"/>
    </xf>
    <xf numFmtId="3" fontId="25" fillId="0" borderId="28" xfId="0" applyNumberFormat="1" applyFont="1" applyBorder="1" applyAlignment="1" applyProtection="1">
      <alignment vertical="center"/>
      <protection hidden="1"/>
    </xf>
    <xf numFmtId="41" fontId="11" fillId="0" borderId="41" xfId="0" applyNumberFormat="1" applyFont="1" applyBorder="1" applyAlignment="1" applyProtection="1">
      <alignment vertical="center"/>
      <protection hidden="1"/>
    </xf>
    <xf numFmtId="0" fontId="23" fillId="0" borderId="0" xfId="0" applyFont="1" applyBorder="1" applyAlignment="1" applyProtection="1">
      <alignment vertical="center"/>
      <protection hidden="1"/>
    </xf>
    <xf numFmtId="41" fontId="25" fillId="0" borderId="6" xfId="0" applyNumberFormat="1" applyFont="1" applyBorder="1" applyAlignment="1" applyProtection="1">
      <alignment vertical="center"/>
      <protection hidden="1"/>
    </xf>
    <xf numFmtId="0" fontId="24" fillId="0" borderId="36" xfId="0" applyFont="1" applyBorder="1" applyAlignment="1" applyProtection="1">
      <alignment horizontal="right" vertical="center"/>
      <protection hidden="1"/>
    </xf>
    <xf numFmtId="0" fontId="22" fillId="0" borderId="0" xfId="0" applyFont="1" applyBorder="1" applyAlignment="1" applyProtection="1">
      <alignment vertical="center"/>
      <protection hidden="1"/>
    </xf>
    <xf numFmtId="3" fontId="25" fillId="0" borderId="15" xfId="0" applyNumberFormat="1" applyFont="1" applyBorder="1" applyAlignment="1" applyProtection="1">
      <alignment horizontal="right" vertical="center"/>
      <protection hidden="1"/>
    </xf>
    <xf numFmtId="3" fontId="25" fillId="0" borderId="26" xfId="0" applyNumberFormat="1" applyFont="1" applyBorder="1" applyAlignment="1" applyProtection="1">
      <alignment vertical="center"/>
      <protection hidden="1"/>
    </xf>
    <xf numFmtId="3" fontId="25" fillId="0" borderId="23" xfId="0" applyNumberFormat="1" applyFont="1" applyBorder="1" applyAlignment="1" applyProtection="1">
      <alignment vertical="center"/>
      <protection hidden="1"/>
    </xf>
    <xf numFmtId="3" fontId="25" fillId="0" borderId="5" xfId="0" applyNumberFormat="1" applyFont="1" applyBorder="1" applyAlignment="1" applyProtection="1">
      <alignment vertical="center"/>
      <protection hidden="1"/>
    </xf>
    <xf numFmtId="3" fontId="25" fillId="0" borderId="22" xfId="0" applyNumberFormat="1" applyFont="1" applyBorder="1" applyAlignment="1" applyProtection="1">
      <alignment vertical="center"/>
      <protection hidden="1"/>
    </xf>
    <xf numFmtId="3" fontId="25" fillId="0" borderId="1" xfId="0" applyNumberFormat="1" applyFont="1" applyBorder="1" applyAlignment="1" applyProtection="1">
      <alignment vertical="center"/>
      <protection hidden="1"/>
    </xf>
    <xf numFmtId="3" fontId="22" fillId="0" borderId="0" xfId="0" applyNumberFormat="1" applyFont="1" applyBorder="1" applyAlignment="1" applyProtection="1">
      <alignment vertical="center"/>
      <protection hidden="1"/>
    </xf>
    <xf numFmtId="3" fontId="24" fillId="0" borderId="15" xfId="0" applyNumberFormat="1" applyFont="1" applyBorder="1" applyAlignment="1" applyProtection="1">
      <alignment vertical="center"/>
      <protection hidden="1"/>
    </xf>
    <xf numFmtId="3" fontId="24" fillId="0" borderId="0" xfId="0" applyNumberFormat="1" applyFont="1" applyBorder="1" applyAlignment="1" applyProtection="1">
      <alignment vertical="center"/>
      <protection hidden="1"/>
    </xf>
    <xf numFmtId="3" fontId="11" fillId="0" borderId="6" xfId="0" applyNumberFormat="1" applyFont="1" applyBorder="1" applyAlignment="1" applyProtection="1">
      <alignment vertical="center"/>
      <protection hidden="1"/>
    </xf>
    <xf numFmtId="3" fontId="26" fillId="0" borderId="15" xfId="0" applyNumberFormat="1" applyFont="1" applyBorder="1" applyAlignment="1" applyProtection="1">
      <alignment horizontal="right" vertical="center"/>
      <protection hidden="1"/>
    </xf>
    <xf numFmtId="3" fontId="22" fillId="0" borderId="26" xfId="0" applyNumberFormat="1" applyFont="1" applyBorder="1" applyAlignment="1" applyProtection="1">
      <alignment vertical="center"/>
      <protection hidden="1"/>
    </xf>
    <xf numFmtId="41" fontId="21" fillId="0" borderId="34" xfId="0" applyNumberFormat="1" applyFont="1" applyBorder="1" applyAlignment="1" applyProtection="1">
      <alignment vertical="center"/>
      <protection hidden="1"/>
    </xf>
    <xf numFmtId="3" fontId="22" fillId="0" borderId="28" xfId="0" applyNumberFormat="1" applyFont="1" applyBorder="1" applyAlignment="1" applyProtection="1">
      <alignment vertical="center"/>
      <protection hidden="1"/>
    </xf>
    <xf numFmtId="41" fontId="21" fillId="0" borderId="41" xfId="0" applyNumberFormat="1" applyFont="1" applyBorder="1" applyAlignment="1" applyProtection="1">
      <alignment vertical="center"/>
      <protection hidden="1"/>
    </xf>
    <xf numFmtId="3" fontId="22" fillId="0" borderId="10" xfId="0" applyNumberFormat="1" applyFont="1" applyBorder="1" applyAlignment="1" applyProtection="1">
      <alignment vertical="center"/>
      <protection hidden="1"/>
    </xf>
    <xf numFmtId="41" fontId="21" fillId="0" borderId="42" xfId="0" applyNumberFormat="1" applyFont="1" applyBorder="1" applyAlignment="1" applyProtection="1">
      <protection hidden="1"/>
    </xf>
    <xf numFmtId="41" fontId="30" fillId="0" borderId="0" xfId="0" applyNumberFormat="1" applyFont="1" applyBorder="1" applyAlignment="1" applyProtection="1">
      <alignment horizontal="center" vertical="center"/>
      <protection hidden="1"/>
    </xf>
    <xf numFmtId="0" fontId="24" fillId="0" borderId="43" xfId="0" applyFont="1" applyBorder="1" applyAlignment="1" applyProtection="1">
      <alignment horizontal="right"/>
      <protection hidden="1"/>
    </xf>
    <xf numFmtId="0" fontId="25" fillId="0" borderId="44" xfId="0" applyFont="1" applyBorder="1" applyAlignment="1" applyProtection="1">
      <alignment horizontal="center" vertical="center"/>
      <protection hidden="1"/>
    </xf>
    <xf numFmtId="0" fontId="25" fillId="0" borderId="45" xfId="0" applyFont="1" applyBorder="1" applyAlignment="1" applyProtection="1">
      <protection hidden="1"/>
    </xf>
    <xf numFmtId="41" fontId="25" fillId="0" borderId="46" xfId="0" applyNumberFormat="1" applyFont="1" applyBorder="1" applyAlignment="1" applyProtection="1">
      <protection hidden="1"/>
    </xf>
    <xf numFmtId="0" fontId="24" fillId="0" borderId="47" xfId="0" applyFont="1" applyBorder="1" applyAlignment="1" applyProtection="1">
      <alignment horizontal="center"/>
      <protection hidden="1"/>
    </xf>
    <xf numFmtId="0" fontId="11" fillId="0" borderId="48" xfId="0" applyFont="1" applyBorder="1" applyAlignment="1" applyProtection="1">
      <alignment horizontal="center" vertical="top"/>
      <protection hidden="1"/>
    </xf>
    <xf numFmtId="41" fontId="25" fillId="0" borderId="37" xfId="0" applyNumberFormat="1" applyFont="1" applyBorder="1" applyAlignment="1" applyProtection="1">
      <protection hidden="1"/>
    </xf>
    <xf numFmtId="0" fontId="11" fillId="0" borderId="0" xfId="0" applyFont="1" applyBorder="1" applyAlignment="1">
      <alignment vertical="center"/>
    </xf>
    <xf numFmtId="0" fontId="23" fillId="0" borderId="47" xfId="0" applyFont="1" applyBorder="1" applyAlignment="1" applyProtection="1">
      <protection hidden="1"/>
    </xf>
    <xf numFmtId="0" fontId="11" fillId="0" borderId="26" xfId="0" applyFont="1" applyBorder="1" applyAlignment="1" applyProtection="1">
      <protection hidden="1"/>
    </xf>
    <xf numFmtId="41" fontId="11" fillId="0" borderId="26" xfId="0" applyNumberFormat="1" applyFont="1" applyBorder="1" applyAlignment="1" applyProtection="1">
      <protection hidden="1"/>
    </xf>
    <xf numFmtId="41" fontId="11" fillId="0" borderId="49" xfId="0" applyNumberFormat="1" applyFont="1" applyBorder="1" applyAlignment="1" applyProtection="1">
      <protection hidden="1"/>
    </xf>
    <xf numFmtId="41" fontId="11" fillId="0" borderId="50" xfId="0" applyNumberFormat="1" applyFont="1" applyBorder="1" applyAlignment="1" applyProtection="1">
      <protection hidden="1"/>
    </xf>
    <xf numFmtId="41" fontId="11" fillId="0" borderId="0" xfId="0" applyNumberFormat="1" applyFont="1" applyBorder="1" applyAlignment="1"/>
    <xf numFmtId="0" fontId="24" fillId="0" borderId="51" xfId="0" applyFont="1" applyBorder="1" applyAlignment="1" applyProtection="1">
      <alignment vertical="center"/>
      <protection hidden="1"/>
    </xf>
    <xf numFmtId="0" fontId="24" fillId="0" borderId="52" xfId="0" applyFont="1" applyBorder="1" applyAlignment="1" applyProtection="1">
      <alignment vertical="center"/>
      <protection hidden="1"/>
    </xf>
    <xf numFmtId="0" fontId="11" fillId="0" borderId="53" xfId="0" applyFont="1" applyBorder="1" applyAlignment="1" applyProtection="1">
      <alignment vertical="center"/>
      <protection hidden="1"/>
    </xf>
    <xf numFmtId="41" fontId="21" fillId="0" borderId="54" xfId="0" applyNumberFormat="1" applyFont="1" applyBorder="1" applyAlignment="1" applyProtection="1">
      <alignment vertical="center"/>
      <protection hidden="1"/>
    </xf>
    <xf numFmtId="0" fontId="25" fillId="0" borderId="51" xfId="0" applyFont="1" applyBorder="1" applyAlignment="1" applyProtection="1">
      <protection hidden="1"/>
    </xf>
    <xf numFmtId="0" fontId="25" fillId="0" borderId="52" xfId="0" applyFont="1" applyBorder="1" applyAlignment="1" applyProtection="1">
      <protection hidden="1"/>
    </xf>
    <xf numFmtId="0" fontId="11" fillId="0" borderId="53" xfId="0" applyFont="1" applyBorder="1" applyAlignment="1" applyProtection="1">
      <protection hidden="1"/>
    </xf>
    <xf numFmtId="41" fontId="21" fillId="0" borderId="54" xfId="0" applyNumberFormat="1" applyFont="1" applyBorder="1" applyAlignment="1" applyProtection="1">
      <protection hidden="1"/>
    </xf>
    <xf numFmtId="0" fontId="22" fillId="0" borderId="0" xfId="0" applyFont="1" applyBorder="1" applyAlignment="1"/>
    <xf numFmtId="41" fontId="11" fillId="0" borderId="37" xfId="0" applyNumberFormat="1" applyFont="1" applyBorder="1" applyAlignment="1" applyProtection="1">
      <protection hidden="1"/>
    </xf>
    <xf numFmtId="41" fontId="21" fillId="0" borderId="37" xfId="0" applyNumberFormat="1" applyFont="1" applyBorder="1" applyAlignment="1" applyProtection="1">
      <alignment horizontal="right"/>
      <protection hidden="1"/>
    </xf>
    <xf numFmtId="1" fontId="25" fillId="0" borderId="0" xfId="0" applyNumberFormat="1" applyFont="1" applyBorder="1" applyAlignment="1">
      <alignment horizontal="right"/>
    </xf>
    <xf numFmtId="0" fontId="11" fillId="0" borderId="55" xfId="0" applyFont="1" applyBorder="1" applyAlignment="1" applyProtection="1">
      <protection hidden="1"/>
    </xf>
    <xf numFmtId="41" fontId="11" fillId="0" borderId="34" xfId="0" applyNumberFormat="1" applyFont="1" applyBorder="1" applyAlignment="1" applyProtection="1">
      <protection hidden="1"/>
    </xf>
    <xf numFmtId="0" fontId="24" fillId="0" borderId="56" xfId="0" applyFont="1" applyBorder="1" applyAlignment="1" applyProtection="1">
      <alignment horizontal="center" vertical="center"/>
      <protection hidden="1"/>
    </xf>
    <xf numFmtId="0" fontId="25" fillId="0" borderId="0" xfId="0" applyFont="1" applyBorder="1" applyAlignment="1" applyProtection="1">
      <alignment horizontal="left" vertical="center"/>
      <protection hidden="1"/>
    </xf>
    <xf numFmtId="0" fontId="25" fillId="0" borderId="51" xfId="0" applyFont="1" applyBorder="1" applyAlignment="1" applyProtection="1">
      <alignment vertical="center"/>
      <protection hidden="1"/>
    </xf>
    <xf numFmtId="0" fontId="25" fillId="0" borderId="52" xfId="0" applyFont="1" applyBorder="1" applyAlignment="1" applyProtection="1">
      <alignment vertical="center"/>
      <protection hidden="1"/>
    </xf>
    <xf numFmtId="0" fontId="25" fillId="0" borderId="57" xfId="0" applyFont="1" applyBorder="1" applyAlignment="1" applyProtection="1">
      <protection hidden="1"/>
    </xf>
    <xf numFmtId="0" fontId="25" fillId="0" borderId="1" xfId="0" applyFont="1" applyBorder="1" applyAlignment="1" applyProtection="1">
      <protection hidden="1"/>
    </xf>
    <xf numFmtId="0" fontId="25" fillId="0" borderId="19" xfId="0" applyFont="1" applyBorder="1" applyAlignment="1" applyProtection="1">
      <protection hidden="1"/>
    </xf>
    <xf numFmtId="0" fontId="25" fillId="0" borderId="58" xfId="0" applyFont="1" applyBorder="1" applyAlignment="1" applyProtection="1">
      <protection hidden="1"/>
    </xf>
    <xf numFmtId="0" fontId="25" fillId="0" borderId="54" xfId="0" applyFont="1" applyBorder="1" applyAlignment="1" applyProtection="1">
      <protection hidden="1"/>
    </xf>
    <xf numFmtId="0" fontId="25" fillId="0" borderId="36" xfId="0" applyFont="1" applyBorder="1" applyAlignment="1" applyProtection="1">
      <protection hidden="1"/>
    </xf>
    <xf numFmtId="0" fontId="25" fillId="0" borderId="37" xfId="0" applyFont="1" applyBorder="1" applyAlignment="1" applyProtection="1">
      <protection hidden="1"/>
    </xf>
    <xf numFmtId="0" fontId="24" fillId="0" borderId="0" xfId="0" applyFont="1" applyBorder="1" applyAlignment="1">
      <alignment horizontal="center"/>
    </xf>
    <xf numFmtId="0" fontId="21" fillId="0" borderId="0" xfId="0" applyFont="1" applyBorder="1" applyAlignment="1">
      <alignment horizontal="left"/>
    </xf>
    <xf numFmtId="0" fontId="11" fillId="0" borderId="36" xfId="0" applyFont="1" applyBorder="1" applyAlignment="1" applyProtection="1">
      <protection hidden="1"/>
    </xf>
    <xf numFmtId="0" fontId="11" fillId="0" borderId="37" xfId="0" applyFont="1" applyBorder="1" applyAlignment="1" applyProtection="1">
      <protection hidden="1"/>
    </xf>
    <xf numFmtId="0" fontId="11" fillId="0" borderId="37" xfId="0" applyFont="1" applyBorder="1" applyAlignment="1" applyProtection="1">
      <alignment horizontal="left"/>
      <protection hidden="1"/>
    </xf>
    <xf numFmtId="49" fontId="11" fillId="0" borderId="0" xfId="0" applyNumberFormat="1" applyFont="1" applyBorder="1" applyAlignment="1" applyProtection="1">
      <alignment horizontal="left"/>
      <protection hidden="1"/>
    </xf>
    <xf numFmtId="0" fontId="20" fillId="0" borderId="0" xfId="0" applyFont="1" applyBorder="1" applyAlignment="1" applyProtection="1">
      <alignment horizontal="center" vertical="center"/>
      <protection hidden="1"/>
    </xf>
    <xf numFmtId="0" fontId="31" fillId="0" borderId="0" xfId="0" applyFont="1" applyBorder="1" applyAlignment="1" applyProtection="1">
      <alignment horizontal="center" vertical="center"/>
      <protection hidden="1"/>
    </xf>
    <xf numFmtId="1" fontId="31" fillId="0" borderId="0" xfId="0" applyNumberFormat="1" applyFont="1" applyBorder="1" applyAlignment="1" applyProtection="1">
      <alignment horizontal="center" vertical="center"/>
    </xf>
    <xf numFmtId="0" fontId="31" fillId="0" borderId="0" xfId="0" applyFont="1" applyBorder="1" applyAlignment="1" applyProtection="1">
      <alignment horizontal="left" vertical="center"/>
    </xf>
    <xf numFmtId="0" fontId="31" fillId="0" borderId="0" xfId="0" applyFont="1" applyBorder="1" applyAlignment="1" applyProtection="1">
      <alignment horizontal="left" vertical="center"/>
      <protection hidden="1"/>
    </xf>
    <xf numFmtId="0" fontId="0" fillId="0" borderId="61" xfId="0" applyBorder="1" applyAlignment="1"/>
    <xf numFmtId="0" fontId="2" fillId="2" borderId="62" xfId="0" applyFont="1" applyFill="1" applyBorder="1" applyAlignment="1">
      <alignment vertical="center"/>
    </xf>
    <xf numFmtId="0" fontId="47" fillId="0" borderId="0" xfId="0" applyFont="1" applyAlignment="1"/>
    <xf numFmtId="0" fontId="47" fillId="0" borderId="0" xfId="0" applyFont="1" applyBorder="1" applyAlignment="1"/>
    <xf numFmtId="0" fontId="52" fillId="8" borderId="0" xfId="0" applyFont="1" applyFill="1" applyAlignment="1">
      <alignment vertical="center"/>
    </xf>
    <xf numFmtId="0" fontId="19" fillId="7" borderId="0" xfId="0" applyFont="1" applyFill="1" applyAlignment="1">
      <alignment vertical="center"/>
    </xf>
    <xf numFmtId="0" fontId="19" fillId="7" borderId="0" xfId="0" applyFont="1" applyFill="1" applyAlignment="1">
      <alignment horizontal="right" vertical="center"/>
    </xf>
    <xf numFmtId="0" fontId="54" fillId="7" borderId="0" xfId="0" applyFont="1" applyFill="1" applyAlignment="1">
      <alignment vertical="center"/>
    </xf>
    <xf numFmtId="0" fontId="54" fillId="8" borderId="0" xfId="0" applyFont="1" applyFill="1" applyAlignment="1" applyProtection="1">
      <alignment vertical="center"/>
      <protection locked="0"/>
    </xf>
    <xf numFmtId="0" fontId="54" fillId="8" borderId="0" xfId="0" applyFont="1" applyFill="1" applyAlignment="1">
      <alignment vertical="center"/>
    </xf>
    <xf numFmtId="0" fontId="55" fillId="8" borderId="0" xfId="0" applyFont="1" applyFill="1" applyAlignment="1" applyProtection="1">
      <alignment horizontal="left" vertical="center"/>
      <protection locked="0"/>
    </xf>
    <xf numFmtId="0" fontId="56" fillId="8" borderId="0" xfId="0" applyFont="1" applyFill="1" applyAlignment="1" applyProtection="1">
      <alignment horizontal="center" vertical="center"/>
      <protection locked="0"/>
    </xf>
    <xf numFmtId="0" fontId="57" fillId="8" borderId="0" xfId="0" applyFont="1" applyFill="1" applyAlignment="1" applyProtection="1">
      <alignment horizontal="center" vertical="center"/>
      <protection locked="0"/>
    </xf>
    <xf numFmtId="0" fontId="58" fillId="8" borderId="0" xfId="0" applyFont="1" applyFill="1" applyAlignment="1" applyProtection="1">
      <alignment horizontal="center" vertical="center"/>
      <protection locked="0"/>
    </xf>
    <xf numFmtId="0" fontId="54" fillId="8" borderId="20" xfId="0" applyFont="1" applyFill="1" applyBorder="1" applyAlignment="1" applyProtection="1">
      <alignment vertical="center"/>
      <protection locked="0"/>
    </xf>
    <xf numFmtId="0" fontId="54" fillId="8" borderId="64" xfId="0" applyFont="1" applyFill="1" applyBorder="1" applyAlignment="1" applyProtection="1">
      <alignment vertical="center"/>
      <protection locked="0"/>
    </xf>
    <xf numFmtId="0" fontId="54" fillId="8" borderId="21" xfId="0" applyFont="1" applyFill="1" applyBorder="1" applyAlignment="1" applyProtection="1">
      <alignment vertical="center"/>
      <protection locked="0"/>
    </xf>
    <xf numFmtId="0" fontId="54" fillId="8" borderId="65" xfId="0" applyFont="1" applyFill="1" applyBorder="1" applyAlignment="1" applyProtection="1">
      <alignment vertical="center"/>
      <protection locked="0"/>
    </xf>
    <xf numFmtId="0" fontId="56" fillId="8" borderId="0" xfId="0" applyFont="1" applyFill="1" applyAlignment="1" applyProtection="1">
      <alignment horizontal="left" vertical="center" wrapText="1"/>
      <protection locked="0"/>
    </xf>
    <xf numFmtId="0" fontId="54" fillId="8" borderId="66" xfId="0" applyFont="1" applyFill="1" applyBorder="1" applyAlignment="1" applyProtection="1">
      <alignment vertical="center"/>
      <protection locked="0"/>
    </xf>
    <xf numFmtId="0" fontId="54" fillId="8" borderId="60" xfId="0" applyFont="1" applyFill="1" applyBorder="1" applyAlignment="1" applyProtection="1">
      <alignment vertical="center"/>
      <protection locked="0"/>
    </xf>
    <xf numFmtId="0" fontId="56" fillId="8" borderId="0" xfId="0" applyFont="1" applyFill="1" applyBorder="1" applyAlignment="1" applyProtection="1">
      <alignment horizontal="left" vertical="center" wrapText="1"/>
      <protection locked="0"/>
    </xf>
    <xf numFmtId="0" fontId="54" fillId="8" borderId="0" xfId="0" applyFont="1" applyFill="1" applyBorder="1" applyAlignment="1" applyProtection="1">
      <alignment vertical="center"/>
      <protection locked="0"/>
    </xf>
    <xf numFmtId="0" fontId="56" fillId="8" borderId="0" xfId="0" applyFont="1" applyFill="1" applyAlignment="1">
      <alignment horizontal="left" vertical="center" wrapText="1"/>
    </xf>
    <xf numFmtId="14" fontId="56" fillId="8" borderId="0" xfId="0" applyNumberFormat="1" applyFont="1" applyFill="1" applyBorder="1" applyAlignment="1" applyProtection="1">
      <alignment horizontal="left" vertical="center"/>
      <protection locked="0"/>
    </xf>
    <xf numFmtId="0" fontId="56" fillId="8" borderId="0" xfId="0" applyFont="1" applyFill="1" applyBorder="1" applyAlignment="1" applyProtection="1">
      <alignment horizontal="center" vertical="center" wrapText="1"/>
      <protection locked="0"/>
    </xf>
    <xf numFmtId="1" fontId="56" fillId="8" borderId="0" xfId="0" applyNumberFormat="1" applyFont="1" applyFill="1" applyBorder="1" applyAlignment="1" applyProtection="1">
      <alignment horizontal="center" vertical="center" wrapText="1"/>
      <protection locked="0"/>
    </xf>
    <xf numFmtId="1" fontId="56" fillId="8" borderId="0" xfId="0" applyNumberFormat="1" applyFont="1" applyFill="1" applyBorder="1" applyAlignment="1" applyProtection="1">
      <alignment horizontal="center" vertical="center"/>
      <protection locked="0"/>
    </xf>
    <xf numFmtId="0" fontId="54" fillId="8" borderId="0" xfId="0" applyFont="1" applyFill="1" applyAlignment="1" applyProtection="1">
      <alignment horizontal="right" vertical="center"/>
      <protection locked="0"/>
    </xf>
    <xf numFmtId="0" fontId="56" fillId="8" borderId="0" xfId="0" applyFont="1" applyFill="1" applyAlignment="1" applyProtection="1">
      <alignment horizontal="right" vertical="center" wrapText="1"/>
      <protection locked="0"/>
    </xf>
    <xf numFmtId="0" fontId="24" fillId="0" borderId="21" xfId="0" applyFont="1" applyBorder="1" applyAlignment="1" applyProtection="1">
      <alignment horizontal="center"/>
      <protection hidden="1"/>
    </xf>
    <xf numFmtId="0" fontId="25" fillId="0" borderId="21" xfId="0" applyFont="1" applyBorder="1" applyAlignment="1">
      <alignment horizontal="center"/>
    </xf>
    <xf numFmtId="3" fontId="22" fillId="0" borderId="65" xfId="0" applyNumberFormat="1" applyFont="1" applyBorder="1" applyAlignment="1"/>
    <xf numFmtId="0" fontId="22" fillId="0" borderId="21" xfId="0" applyFont="1" applyBorder="1" applyAlignment="1">
      <alignment horizontal="left"/>
    </xf>
    <xf numFmtId="0" fontId="22" fillId="0" borderId="65" xfId="0" applyFont="1" applyBorder="1" applyAlignment="1">
      <alignment horizontal="center"/>
    </xf>
    <xf numFmtId="0" fontId="22" fillId="0" borderId="66" xfId="0" applyFont="1" applyBorder="1" applyAlignment="1">
      <alignment horizontal="left"/>
    </xf>
    <xf numFmtId="0" fontId="25" fillId="0" borderId="71" xfId="0" applyFont="1" applyBorder="1" applyAlignment="1">
      <alignment horizontal="left"/>
    </xf>
    <xf numFmtId="0" fontId="25" fillId="0" borderId="71" xfId="0" applyFont="1" applyBorder="1" applyAlignment="1"/>
    <xf numFmtId="0" fontId="21" fillId="0" borderId="71" xfId="0" applyFont="1" applyBorder="1" applyAlignment="1">
      <alignment horizontal="center"/>
    </xf>
    <xf numFmtId="3" fontId="21" fillId="0" borderId="71" xfId="0" applyNumberFormat="1" applyFont="1" applyBorder="1" applyAlignment="1"/>
    <xf numFmtId="3" fontId="22" fillId="0" borderId="60" xfId="0" applyNumberFormat="1" applyFont="1" applyBorder="1" applyAlignment="1"/>
    <xf numFmtId="0" fontId="40" fillId="8" borderId="0" xfId="0" applyFont="1" applyFill="1" applyAlignment="1" applyProtection="1">
      <alignment vertical="center"/>
      <protection locked="0"/>
    </xf>
    <xf numFmtId="0" fontId="105" fillId="8" borderId="8" xfId="0" applyFont="1" applyFill="1" applyBorder="1" applyAlignment="1" applyProtection="1">
      <alignment vertical="center"/>
      <protection locked="0"/>
    </xf>
    <xf numFmtId="0" fontId="105" fillId="8" borderId="0" xfId="0" applyFont="1" applyFill="1" applyAlignment="1" applyProtection="1">
      <alignment vertical="center"/>
      <protection locked="0"/>
    </xf>
    <xf numFmtId="0" fontId="105" fillId="8" borderId="0" xfId="0" applyFont="1" applyFill="1" applyAlignment="1" applyProtection="1">
      <alignment horizontal="right" vertical="center"/>
      <protection locked="0"/>
    </xf>
    <xf numFmtId="0" fontId="105" fillId="8" borderId="0" xfId="0" applyFont="1" applyFill="1" applyBorder="1" applyAlignment="1" applyProtection="1">
      <alignment vertical="center"/>
      <protection locked="0"/>
    </xf>
    <xf numFmtId="14" fontId="106" fillId="8" borderId="0" xfId="0" applyNumberFormat="1" applyFont="1" applyFill="1" applyBorder="1" applyAlignment="1" applyProtection="1">
      <alignment horizontal="left" vertical="center"/>
      <protection locked="0"/>
    </xf>
    <xf numFmtId="0" fontId="106" fillId="8" borderId="0" xfId="0" applyFont="1" applyFill="1" applyBorder="1" applyAlignment="1" applyProtection="1">
      <alignment horizontal="center" vertical="center" wrapText="1"/>
      <protection locked="0"/>
    </xf>
    <xf numFmtId="1" fontId="106" fillId="8" borderId="0" xfId="0" applyNumberFormat="1" applyFont="1" applyFill="1" applyBorder="1" applyAlignment="1" applyProtection="1">
      <alignment horizontal="center" vertical="center" wrapText="1"/>
      <protection locked="0"/>
    </xf>
    <xf numFmtId="1" fontId="106" fillId="8" borderId="0" xfId="0" applyNumberFormat="1" applyFont="1" applyFill="1" applyBorder="1" applyAlignment="1" applyProtection="1">
      <alignment horizontal="center" vertical="center"/>
      <protection locked="0"/>
    </xf>
    <xf numFmtId="0" fontId="105" fillId="8" borderId="0" xfId="0" applyFont="1" applyFill="1" applyAlignment="1">
      <alignment vertical="center"/>
    </xf>
    <xf numFmtId="0" fontId="106" fillId="8" borderId="8" xfId="0" applyFont="1" applyFill="1" applyBorder="1" applyAlignment="1" applyProtection="1">
      <alignment horizontal="left" vertical="center" wrapText="1"/>
      <protection locked="0"/>
    </xf>
    <xf numFmtId="0" fontId="105" fillId="8" borderId="8" xfId="0" applyFont="1" applyFill="1" applyBorder="1" applyAlignment="1" applyProtection="1">
      <alignment horizontal="center" vertical="center"/>
      <protection locked="0"/>
    </xf>
    <xf numFmtId="0" fontId="105" fillId="8" borderId="8" xfId="0" applyFont="1" applyFill="1" applyBorder="1" applyAlignment="1" applyProtection="1">
      <alignment horizontal="right" vertical="center"/>
      <protection locked="0"/>
    </xf>
    <xf numFmtId="0" fontId="105" fillId="8" borderId="0" xfId="0" applyFont="1" applyFill="1" applyBorder="1" applyAlignment="1" applyProtection="1">
      <alignment horizontal="center" vertical="center"/>
      <protection locked="0"/>
    </xf>
    <xf numFmtId="0" fontId="105" fillId="8" borderId="0" xfId="0" applyFont="1" applyFill="1" applyBorder="1" applyAlignment="1" applyProtection="1">
      <alignment horizontal="right" vertical="center"/>
      <protection locked="0"/>
    </xf>
    <xf numFmtId="0" fontId="105" fillId="8" borderId="20" xfId="0" applyFont="1" applyFill="1" applyBorder="1" applyAlignment="1" applyProtection="1">
      <alignment vertical="center"/>
      <protection locked="0"/>
    </xf>
    <xf numFmtId="0" fontId="105" fillId="8" borderId="72" xfId="0" applyFont="1" applyFill="1" applyBorder="1" applyAlignment="1" applyProtection="1">
      <alignment vertical="center"/>
      <protection locked="0"/>
    </xf>
    <xf numFmtId="0" fontId="105" fillId="8" borderId="64" xfId="0" applyFont="1" applyFill="1" applyBorder="1" applyAlignment="1" applyProtection="1">
      <alignment vertical="center"/>
      <protection locked="0"/>
    </xf>
    <xf numFmtId="0" fontId="105" fillId="8" borderId="21" xfId="0" applyFont="1" applyFill="1" applyBorder="1" applyAlignment="1" applyProtection="1">
      <alignment vertical="center"/>
      <protection locked="0"/>
    </xf>
    <xf numFmtId="0" fontId="105" fillId="8" borderId="65" xfId="0" applyFont="1" applyFill="1" applyBorder="1" applyAlignment="1" applyProtection="1">
      <alignment vertical="center"/>
      <protection locked="0"/>
    </xf>
    <xf numFmtId="0" fontId="105" fillId="8" borderId="66" xfId="0" applyFont="1" applyFill="1" applyBorder="1" applyAlignment="1" applyProtection="1">
      <alignment vertical="center"/>
      <protection locked="0"/>
    </xf>
    <xf numFmtId="0" fontId="105" fillId="8" borderId="71" xfId="0" applyFont="1" applyFill="1" applyBorder="1" applyAlignment="1" applyProtection="1">
      <alignment vertical="center"/>
      <protection locked="0"/>
    </xf>
    <xf numFmtId="0" fontId="105" fillId="8" borderId="16" xfId="0" applyFont="1" applyFill="1" applyBorder="1" applyAlignment="1" applyProtection="1">
      <alignment vertical="center"/>
      <protection locked="0"/>
    </xf>
    <xf numFmtId="0" fontId="105" fillId="8" borderId="73" xfId="0" applyFont="1" applyFill="1" applyBorder="1" applyAlignment="1" applyProtection="1">
      <alignment vertical="center"/>
      <protection locked="0"/>
    </xf>
    <xf numFmtId="0" fontId="107" fillId="8" borderId="72" xfId="0" applyFont="1" applyFill="1" applyBorder="1" applyAlignment="1" applyProtection="1">
      <alignment horizontal="left" vertical="center"/>
      <protection locked="0"/>
    </xf>
    <xf numFmtId="0" fontId="107" fillId="8" borderId="0" xfId="0" applyFont="1" applyFill="1" applyBorder="1" applyAlignment="1" applyProtection="1">
      <alignment horizontal="left" vertical="center"/>
      <protection locked="0"/>
    </xf>
    <xf numFmtId="0" fontId="107" fillId="8" borderId="71" xfId="0" applyFont="1" applyFill="1" applyBorder="1" applyAlignment="1" applyProtection="1">
      <alignment horizontal="left" vertical="center"/>
      <protection locked="0"/>
    </xf>
    <xf numFmtId="0" fontId="105" fillId="8" borderId="60" xfId="0" applyFont="1" applyFill="1" applyBorder="1" applyAlignment="1" applyProtection="1">
      <alignment vertical="center"/>
      <protection locked="0"/>
    </xf>
    <xf numFmtId="0" fontId="108" fillId="8" borderId="72" xfId="0" applyFont="1" applyFill="1" applyBorder="1" applyAlignment="1" applyProtection="1">
      <alignment horizontal="left" vertical="center"/>
      <protection locked="0"/>
    </xf>
    <xf numFmtId="0" fontId="109" fillId="8" borderId="8" xfId="0" applyFont="1" applyFill="1" applyBorder="1" applyAlignment="1" applyProtection="1">
      <alignment horizontal="center" vertical="center" wrapText="1"/>
      <protection locked="0"/>
    </xf>
    <xf numFmtId="0" fontId="105" fillId="8" borderId="0" xfId="0" applyFont="1" applyFill="1" applyAlignment="1" applyProtection="1">
      <alignment horizontal="left" vertical="center"/>
      <protection locked="0"/>
    </xf>
    <xf numFmtId="0" fontId="110" fillId="8" borderId="0" xfId="0" applyFont="1" applyFill="1" applyAlignment="1" applyProtection="1">
      <alignment vertical="center"/>
      <protection locked="0"/>
    </xf>
    <xf numFmtId="0" fontId="105" fillId="8" borderId="0" xfId="0" applyFont="1" applyFill="1" applyAlignment="1" applyProtection="1">
      <alignment horizontal="center" vertical="center"/>
      <protection locked="0"/>
    </xf>
    <xf numFmtId="0" fontId="111" fillId="8" borderId="0" xfId="0" applyFont="1" applyFill="1" applyAlignment="1" applyProtection="1">
      <alignment vertical="center"/>
      <protection locked="0"/>
    </xf>
    <xf numFmtId="0" fontId="112" fillId="8" borderId="0" xfId="0" applyFont="1" applyFill="1" applyBorder="1" applyAlignment="1" applyProtection="1">
      <protection locked="0"/>
    </xf>
    <xf numFmtId="0" fontId="109" fillId="8" borderId="0" xfId="0" applyFont="1" applyFill="1" applyAlignment="1" applyProtection="1">
      <alignment horizontal="center"/>
      <protection locked="0"/>
    </xf>
    <xf numFmtId="0" fontId="113" fillId="8" borderId="74" xfId="0" applyFont="1" applyFill="1" applyBorder="1" applyAlignment="1" applyProtection="1">
      <alignment horizontal="center" vertical="center"/>
      <protection locked="0"/>
    </xf>
    <xf numFmtId="0" fontId="113" fillId="8" borderId="75" xfId="0" applyFont="1" applyFill="1" applyBorder="1" applyAlignment="1" applyProtection="1">
      <alignment horizontal="center" vertical="center"/>
      <protection locked="0"/>
    </xf>
    <xf numFmtId="0" fontId="113" fillId="8" borderId="76" xfId="0" applyFont="1" applyFill="1" applyBorder="1" applyAlignment="1" applyProtection="1">
      <alignment horizontal="center" vertical="center"/>
      <protection locked="0"/>
    </xf>
    <xf numFmtId="0" fontId="113" fillId="8" borderId="67" xfId="0" applyFont="1" applyFill="1" applyBorder="1" applyAlignment="1" applyProtection="1">
      <alignment horizontal="center" vertical="center"/>
      <protection locked="0"/>
    </xf>
    <xf numFmtId="0" fontId="105" fillId="8" borderId="7" xfId="0" applyFont="1" applyFill="1" applyBorder="1" applyAlignment="1" applyProtection="1">
      <alignment vertical="center"/>
      <protection locked="0"/>
    </xf>
    <xf numFmtId="0" fontId="105" fillId="8" borderId="4" xfId="0" applyFont="1" applyFill="1" applyBorder="1" applyAlignment="1" applyProtection="1">
      <alignment vertical="center"/>
      <protection locked="0"/>
    </xf>
    <xf numFmtId="0" fontId="105" fillId="8" borderId="61" xfId="0" applyFont="1" applyFill="1" applyBorder="1" applyAlignment="1" applyProtection="1">
      <alignment vertical="center"/>
      <protection locked="0"/>
    </xf>
    <xf numFmtId="0" fontId="105" fillId="8" borderId="4" xfId="0" applyFont="1" applyFill="1" applyBorder="1" applyAlignment="1" applyProtection="1">
      <alignment horizontal="left" vertical="center"/>
      <protection locked="0"/>
    </xf>
    <xf numFmtId="0" fontId="109" fillId="0" borderId="0" xfId="0" applyFont="1" applyAlignment="1"/>
    <xf numFmtId="0" fontId="112" fillId="0" borderId="0" xfId="0" applyFont="1" applyBorder="1" applyAlignment="1"/>
    <xf numFmtId="41" fontId="109" fillId="0" borderId="0" xfId="0" applyNumberFormat="1" applyFont="1" applyAlignment="1"/>
    <xf numFmtId="0" fontId="109" fillId="0" borderId="0" xfId="0" applyFont="1" applyBorder="1" applyAlignment="1"/>
    <xf numFmtId="3" fontId="109" fillId="0" borderId="0" xfId="0" applyNumberFormat="1" applyFont="1" applyBorder="1" applyAlignment="1"/>
    <xf numFmtId="3" fontId="115" fillId="0" borderId="0" xfId="0" applyNumberFormat="1" applyFont="1" applyBorder="1" applyAlignment="1"/>
    <xf numFmtId="0" fontId="115" fillId="0" borderId="0" xfId="0" applyFont="1" applyBorder="1" applyAlignment="1"/>
    <xf numFmtId="41" fontId="116" fillId="0" borderId="34" xfId="0" applyNumberFormat="1" applyFont="1" applyBorder="1" applyAlignment="1" applyProtection="1">
      <protection hidden="1"/>
    </xf>
    <xf numFmtId="0" fontId="24" fillId="0" borderId="77" xfId="0" applyFont="1" applyBorder="1" applyAlignment="1" applyProtection="1">
      <alignment horizontal="center"/>
      <protection hidden="1"/>
    </xf>
    <xf numFmtId="0" fontId="105" fillId="8" borderId="0" xfId="0" applyFont="1" applyFill="1" applyAlignment="1" applyProtection="1">
      <alignment horizontal="left" vertical="center" indent="10"/>
      <protection locked="0"/>
    </xf>
    <xf numFmtId="0" fontId="105" fillId="8" borderId="20" xfId="0" applyFont="1" applyFill="1" applyBorder="1" applyAlignment="1" applyProtection="1">
      <alignment horizontal="left" vertical="center" indent="10"/>
      <protection locked="0"/>
    </xf>
    <xf numFmtId="0" fontId="105" fillId="8" borderId="21" xfId="0" applyFont="1" applyFill="1" applyBorder="1" applyAlignment="1" applyProtection="1">
      <alignment horizontal="left" vertical="center" indent="10"/>
      <protection locked="0"/>
    </xf>
    <xf numFmtId="0" fontId="105" fillId="8" borderId="66" xfId="0" applyFont="1" applyFill="1" applyBorder="1" applyAlignment="1" applyProtection="1">
      <alignment horizontal="left" vertical="center" indent="10"/>
      <protection locked="0"/>
    </xf>
    <xf numFmtId="166" fontId="111" fillId="8" borderId="0" xfId="0" applyNumberFormat="1" applyFont="1" applyFill="1" applyAlignment="1" applyProtection="1">
      <alignment horizontal="left" vertical="center" indent="10"/>
      <protection locked="0"/>
    </xf>
    <xf numFmtId="0" fontId="105" fillId="8" borderId="0" xfId="0" applyFont="1" applyFill="1" applyAlignment="1">
      <alignment horizontal="left" vertical="center" indent="10"/>
    </xf>
    <xf numFmtId="0" fontId="52" fillId="8" borderId="0" xfId="0" applyFont="1" applyFill="1" applyAlignment="1">
      <alignment horizontal="left" vertical="center" indent="10"/>
    </xf>
    <xf numFmtId="0" fontId="60" fillId="11" borderId="21" xfId="0" applyFont="1" applyFill="1" applyBorder="1" applyAlignment="1" applyProtection="1">
      <alignment vertical="center" wrapText="1"/>
      <protection locked="0"/>
    </xf>
    <xf numFmtId="0" fontId="60" fillId="11" borderId="0" xfId="0" applyFont="1" applyFill="1" applyBorder="1" applyAlignment="1" applyProtection="1">
      <alignment vertical="center" wrapText="1"/>
      <protection locked="0"/>
    </xf>
    <xf numFmtId="1" fontId="105" fillId="8" borderId="0" xfId="0" applyNumberFormat="1" applyFont="1" applyFill="1" applyAlignment="1" applyProtection="1">
      <alignment horizontal="left" vertical="center" indent="10"/>
      <protection locked="0"/>
    </xf>
    <xf numFmtId="0" fontId="2" fillId="12" borderId="2" xfId="0" applyFont="1" applyFill="1" applyBorder="1" applyAlignment="1" applyProtection="1">
      <alignment vertical="center"/>
      <protection locked="0"/>
    </xf>
    <xf numFmtId="0" fontId="2" fillId="12" borderId="2" xfId="0" applyFont="1" applyFill="1" applyBorder="1" applyAlignment="1" applyProtection="1">
      <alignment horizontal="center" vertical="center"/>
      <protection locked="0"/>
    </xf>
    <xf numFmtId="0" fontId="2" fillId="12" borderId="2" xfId="0" applyFont="1" applyFill="1" applyBorder="1" applyAlignment="1" applyProtection="1">
      <alignment horizontal="right" vertical="center"/>
      <protection locked="0"/>
    </xf>
    <xf numFmtId="0" fontId="2" fillId="13" borderId="2" xfId="0" applyFont="1" applyFill="1" applyBorder="1" applyAlignment="1" applyProtection="1">
      <alignment horizontal="center" vertical="center"/>
      <protection locked="0"/>
    </xf>
    <xf numFmtId="0" fontId="2" fillId="14"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2" fillId="2" borderId="4" xfId="0" applyFont="1" applyFill="1" applyBorder="1" applyAlignment="1">
      <alignment vertical="center"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xf>
    <xf numFmtId="0" fontId="111" fillId="8" borderId="0" xfId="0" applyFont="1" applyFill="1" applyAlignment="1" applyProtection="1">
      <alignment horizontal="left" vertical="center" indent="10"/>
      <protection locked="0"/>
    </xf>
    <xf numFmtId="0" fontId="111" fillId="8" borderId="64" xfId="0" applyFont="1" applyFill="1" applyBorder="1" applyAlignment="1" applyProtection="1">
      <alignment vertical="center"/>
      <protection locked="0"/>
    </xf>
    <xf numFmtId="0" fontId="111" fillId="8" borderId="21" xfId="0" applyFont="1" applyFill="1" applyBorder="1" applyAlignment="1" applyProtection="1">
      <alignment vertical="center"/>
      <protection locked="0"/>
    </xf>
    <xf numFmtId="0" fontId="117" fillId="8" borderId="75" xfId="0" applyFont="1" applyFill="1" applyBorder="1" applyAlignment="1" applyProtection="1">
      <alignment horizontal="center" vertical="center"/>
      <protection locked="0"/>
    </xf>
    <xf numFmtId="0" fontId="111" fillId="8" borderId="0" xfId="0" applyFont="1" applyFill="1" applyAlignment="1">
      <alignment vertical="center"/>
    </xf>
    <xf numFmtId="0" fontId="111" fillId="8" borderId="65" xfId="0" applyFont="1" applyFill="1" applyBorder="1" applyAlignment="1" applyProtection="1">
      <alignment vertical="center"/>
      <protection locked="0"/>
    </xf>
    <xf numFmtId="0" fontId="111" fillId="8" borderId="60" xfId="0" applyFont="1" applyFill="1" applyBorder="1" applyAlignment="1" applyProtection="1">
      <alignment vertical="center"/>
      <protection locked="0"/>
    </xf>
    <xf numFmtId="0" fontId="117" fillId="8" borderId="76" xfId="0" applyFont="1" applyFill="1" applyBorder="1" applyAlignment="1" applyProtection="1">
      <alignment horizontal="center" vertical="center"/>
      <protection locked="0"/>
    </xf>
    <xf numFmtId="0" fontId="62"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25" fillId="0" borderId="0" xfId="0" applyFont="1" applyBorder="1" applyAlignment="1">
      <alignment horizontal="center" vertical="center"/>
    </xf>
    <xf numFmtId="0" fontId="11" fillId="0" borderId="0" xfId="0" applyFont="1" applyBorder="1" applyAlignment="1">
      <alignment horizontal="center" vertical="center"/>
    </xf>
    <xf numFmtId="0" fontId="26" fillId="0" borderId="0" xfId="0" applyFont="1" applyBorder="1" applyAlignment="1">
      <alignment horizontal="center" vertical="center"/>
    </xf>
    <xf numFmtId="0" fontId="21" fillId="0" borderId="0" xfId="0" applyFont="1" applyBorder="1" applyAlignment="1">
      <alignment horizontal="center" vertical="center"/>
    </xf>
    <xf numFmtId="0" fontId="27" fillId="0" borderId="0" xfId="0" applyFont="1" applyBorder="1" applyAlignment="1">
      <alignment horizontal="center" vertical="center"/>
    </xf>
    <xf numFmtId="0" fontId="24" fillId="0" borderId="0" xfId="0" applyFont="1" applyBorder="1" applyAlignment="1">
      <alignment vertical="center"/>
    </xf>
    <xf numFmtId="3" fontId="25" fillId="0" borderId="0" xfId="0" applyNumberFormat="1" applyFont="1" applyBorder="1" applyAlignment="1">
      <alignment vertical="center"/>
    </xf>
    <xf numFmtId="3" fontId="22" fillId="0" borderId="0" xfId="0" applyNumberFormat="1" applyFont="1" applyBorder="1" applyAlignment="1">
      <alignment vertical="center"/>
    </xf>
    <xf numFmtId="0" fontId="25" fillId="0" borderId="0" xfId="0" applyFont="1" applyBorder="1" applyAlignment="1">
      <alignment vertical="center"/>
    </xf>
    <xf numFmtId="3" fontId="21" fillId="0" borderId="0" xfId="0" applyNumberFormat="1" applyFont="1" applyAlignment="1"/>
    <xf numFmtId="1" fontId="11" fillId="0" borderId="0" xfId="0" applyNumberFormat="1" applyFont="1" applyBorder="1" applyAlignment="1"/>
    <xf numFmtId="41" fontId="21" fillId="0" borderId="0" xfId="0" applyNumberFormat="1" applyFont="1" applyBorder="1" applyAlignment="1">
      <alignment vertical="center"/>
    </xf>
    <xf numFmtId="41" fontId="11" fillId="0" borderId="0" xfId="0" applyNumberFormat="1" applyFont="1" applyAlignment="1"/>
    <xf numFmtId="41" fontId="21" fillId="0" borderId="0" xfId="0" applyNumberFormat="1" applyFont="1" applyBorder="1" applyAlignment="1"/>
    <xf numFmtId="3" fontId="21" fillId="0" borderId="0" xfId="0" applyNumberFormat="1" applyFont="1" applyBorder="1" applyAlignment="1">
      <alignment horizontal="right"/>
    </xf>
    <xf numFmtId="0" fontId="28" fillId="0" borderId="0" xfId="0" applyFont="1" applyBorder="1" applyAlignment="1">
      <alignment horizontal="left"/>
    </xf>
    <xf numFmtId="0" fontId="27" fillId="0" borderId="0" xfId="0" applyFont="1" applyBorder="1" applyAlignment="1">
      <alignment horizontal="center"/>
    </xf>
    <xf numFmtId="0" fontId="11" fillId="0" borderId="0" xfId="0" applyFont="1" applyAlignment="1">
      <alignment horizontal="center"/>
    </xf>
    <xf numFmtId="41" fontId="23" fillId="0" borderId="0" xfId="0" applyNumberFormat="1" applyFont="1" applyBorder="1" applyAlignment="1">
      <alignment horizontal="right"/>
    </xf>
    <xf numFmtId="0" fontId="105" fillId="15" borderId="8" xfId="0" applyFont="1" applyFill="1" applyBorder="1" applyAlignment="1">
      <alignment horizontal="center" vertical="center"/>
    </xf>
    <xf numFmtId="0" fontId="113" fillId="8" borderId="78" xfId="0" applyFont="1" applyFill="1" applyBorder="1" applyAlignment="1" applyProtection="1">
      <alignment horizontal="center" vertical="center"/>
      <protection locked="0"/>
    </xf>
    <xf numFmtId="0" fontId="113" fillId="8" borderId="79" xfId="0" applyFont="1" applyFill="1" applyBorder="1" applyAlignment="1" applyProtection="1">
      <alignment horizontal="center" vertical="center"/>
      <protection locked="0"/>
    </xf>
    <xf numFmtId="0" fontId="113" fillId="8" borderId="63" xfId="0" applyFont="1" applyFill="1" applyBorder="1" applyAlignment="1" applyProtection="1">
      <alignment horizontal="center" vertical="center"/>
      <protection locked="0"/>
    </xf>
    <xf numFmtId="0" fontId="113" fillId="8" borderId="70" xfId="0" applyFont="1" applyFill="1" applyBorder="1" applyAlignment="1" applyProtection="1">
      <alignment horizontal="center" vertical="center"/>
      <protection locked="0"/>
    </xf>
    <xf numFmtId="0" fontId="117" fillId="8" borderId="79" xfId="0" applyFont="1" applyFill="1" applyBorder="1" applyAlignment="1" applyProtection="1">
      <alignment horizontal="center" vertical="center"/>
      <protection locked="0"/>
    </xf>
    <xf numFmtId="0" fontId="105" fillId="15" borderId="8" xfId="0" applyFont="1" applyFill="1" applyBorder="1" applyAlignment="1" applyProtection="1">
      <alignment horizontal="center" vertical="center"/>
      <protection locked="0"/>
    </xf>
    <xf numFmtId="0" fontId="118" fillId="16" borderId="8" xfId="0" applyFont="1" applyFill="1" applyBorder="1" applyAlignment="1" applyProtection="1">
      <alignment horizontal="center" vertical="center"/>
      <protection locked="0"/>
    </xf>
    <xf numFmtId="0" fontId="105" fillId="15" borderId="0" xfId="0" applyFont="1" applyFill="1" applyAlignment="1">
      <alignment vertical="center"/>
    </xf>
    <xf numFmtId="0" fontId="105" fillId="15" borderId="0" xfId="0" applyFont="1" applyFill="1" applyAlignment="1" applyProtection="1">
      <alignment vertical="center"/>
      <protection locked="0"/>
    </xf>
    <xf numFmtId="0" fontId="105" fillId="12" borderId="21" xfId="0" applyFont="1" applyFill="1" applyBorder="1" applyAlignment="1" applyProtection="1">
      <alignment horizontal="left" vertical="center" indent="10"/>
      <protection locked="0"/>
    </xf>
    <xf numFmtId="0" fontId="107" fillId="12" borderId="0" xfId="0" applyFont="1" applyFill="1" applyBorder="1" applyAlignment="1" applyProtection="1">
      <alignment horizontal="left" vertical="center"/>
      <protection locked="0"/>
    </xf>
    <xf numFmtId="0" fontId="105" fillId="12" borderId="66" xfId="0" applyFont="1" applyFill="1" applyBorder="1" applyAlignment="1" applyProtection="1">
      <alignment horizontal="left" vertical="center" indent="10"/>
      <protection locked="0"/>
    </xf>
    <xf numFmtId="0" fontId="107" fillId="12" borderId="71" xfId="0" applyFont="1" applyFill="1" applyBorder="1" applyAlignment="1" applyProtection="1">
      <alignment horizontal="left" vertical="center"/>
      <protection locked="0"/>
    </xf>
    <xf numFmtId="0" fontId="105" fillId="12" borderId="0" xfId="0" applyFont="1" applyFill="1" applyAlignment="1" applyProtection="1">
      <alignment horizontal="left" vertical="center" indent="10"/>
      <protection locked="0"/>
    </xf>
    <xf numFmtId="0" fontId="105" fillId="12" borderId="0" xfId="0" applyFont="1" applyFill="1" applyAlignment="1" applyProtection="1">
      <alignment vertical="center"/>
      <protection locked="0"/>
    </xf>
    <xf numFmtId="0" fontId="105" fillId="8" borderId="0" xfId="0" applyNumberFormat="1" applyFont="1" applyFill="1" applyAlignment="1" applyProtection="1">
      <alignment horizontal="left" vertical="center" indent="10"/>
      <protection locked="0"/>
    </xf>
    <xf numFmtId="0" fontId="21" fillId="0" borderId="0" xfId="0" applyFont="1" applyBorder="1" applyAlignment="1" applyProtection="1">
      <alignment horizontal="left"/>
      <protection hidden="1"/>
    </xf>
    <xf numFmtId="0" fontId="105" fillId="8" borderId="8" xfId="0" applyFont="1" applyFill="1" applyBorder="1" applyAlignment="1">
      <alignment vertical="center"/>
    </xf>
    <xf numFmtId="1" fontId="106" fillId="8" borderId="0" xfId="0" applyNumberFormat="1" applyFont="1" applyFill="1" applyBorder="1" applyAlignment="1" applyProtection="1">
      <alignment horizontal="center" vertical="center"/>
      <protection locked="0"/>
    </xf>
    <xf numFmtId="0" fontId="2" fillId="2" borderId="73" xfId="0" applyFont="1" applyFill="1" applyBorder="1" applyAlignment="1">
      <alignment horizontal="left" vertical="center" wrapText="1"/>
    </xf>
    <xf numFmtId="0" fontId="21" fillId="0" borderId="0" xfId="0" applyFont="1" applyBorder="1" applyAlignment="1" applyProtection="1">
      <protection hidden="1"/>
    </xf>
    <xf numFmtId="0" fontId="21" fillId="0" borderId="6" xfId="0" applyFont="1" applyBorder="1" applyAlignment="1" applyProtection="1">
      <protection hidden="1"/>
    </xf>
    <xf numFmtId="0" fontId="24" fillId="0" borderId="47" xfId="0" applyFont="1" applyBorder="1" applyAlignment="1" applyProtection="1">
      <alignment horizontal="right" vertical="center"/>
      <protection hidden="1"/>
    </xf>
    <xf numFmtId="0" fontId="11" fillId="0" borderId="0" xfId="0" applyFont="1" applyBorder="1" applyAlignment="1" applyProtection="1">
      <alignment horizontal="right"/>
      <protection hidden="1"/>
    </xf>
    <xf numFmtId="0" fontId="21" fillId="0" borderId="0" xfId="0" applyFont="1" applyBorder="1" applyAlignment="1" applyProtection="1">
      <alignment horizontal="left" indent="2"/>
      <protection hidden="1"/>
    </xf>
    <xf numFmtId="0" fontId="47" fillId="0" borderId="0" xfId="0" applyFont="1" applyAlignment="1" applyProtection="1">
      <alignment vertical="center"/>
      <protection hidden="1"/>
    </xf>
    <xf numFmtId="0" fontId="10" fillId="0" borderId="0" xfId="0" applyFont="1" applyAlignment="1" applyProtection="1">
      <alignment vertical="center"/>
      <protection hidden="1"/>
    </xf>
    <xf numFmtId="0" fontId="10" fillId="0" borderId="0" xfId="0" applyFont="1" applyAlignment="1" applyProtection="1">
      <alignment horizontal="center" vertical="center"/>
      <protection hidden="1"/>
    </xf>
    <xf numFmtId="0" fontId="51" fillId="0" borderId="0" xfId="0" applyFont="1" applyAlignment="1" applyProtection="1">
      <alignment horizontal="center" vertical="center" wrapText="1"/>
      <protection hidden="1"/>
    </xf>
    <xf numFmtId="0" fontId="47" fillId="0" borderId="0" xfId="0" applyFont="1" applyAlignment="1" applyProtection="1">
      <alignment horizontal="center" vertical="center"/>
      <protection hidden="1"/>
    </xf>
    <xf numFmtId="0" fontId="10" fillId="0" borderId="0" xfId="0" applyFont="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0" fontId="67" fillId="0" borderId="80" xfId="0" applyFont="1" applyBorder="1" applyAlignment="1" applyProtection="1">
      <alignment vertical="center"/>
      <protection hidden="1"/>
    </xf>
    <xf numFmtId="0" fontId="67" fillId="0" borderId="80" xfId="0" applyFont="1" applyBorder="1" applyAlignment="1" applyProtection="1">
      <alignment horizontal="center" vertical="center"/>
      <protection hidden="1"/>
    </xf>
    <xf numFmtId="0" fontId="67" fillId="0" borderId="80" xfId="0" applyFont="1" applyBorder="1" applyAlignment="1" applyProtection="1">
      <alignment horizontal="left" vertical="center"/>
      <protection hidden="1"/>
    </xf>
    <xf numFmtId="0" fontId="50" fillId="0" borderId="0" xfId="0" applyFont="1" applyAlignment="1" applyProtection="1">
      <alignment horizontal="center" vertical="center"/>
      <protection hidden="1"/>
    </xf>
    <xf numFmtId="0" fontId="50" fillId="0" borderId="0" xfId="0" applyFont="1" applyAlignment="1" applyProtection="1">
      <alignment vertical="center"/>
      <protection hidden="1"/>
    </xf>
    <xf numFmtId="0" fontId="68" fillId="0" borderId="0" xfId="0" applyFont="1" applyAlignment="1" applyProtection="1">
      <alignment vertical="center"/>
      <protection hidden="1"/>
    </xf>
    <xf numFmtId="0" fontId="54" fillId="17" borderId="0" xfId="0" applyFont="1" applyFill="1" applyAlignment="1" applyProtection="1">
      <alignment vertical="center"/>
      <protection locked="0"/>
    </xf>
    <xf numFmtId="0" fontId="11" fillId="0" borderId="15" xfId="0" applyFont="1" applyBorder="1" applyAlignment="1" applyProtection="1">
      <alignment horizontal="left"/>
      <protection hidden="1"/>
    </xf>
    <xf numFmtId="0" fontId="105" fillId="18" borderId="0" xfId="0" applyFont="1" applyFill="1" applyAlignment="1" applyProtection="1">
      <alignment vertical="center"/>
      <protection locked="0"/>
    </xf>
    <xf numFmtId="0" fontId="105" fillId="18" borderId="0" xfId="0" applyFont="1" applyFill="1" applyBorder="1" applyAlignment="1" applyProtection="1">
      <alignment vertical="center"/>
      <protection locked="0"/>
    </xf>
    <xf numFmtId="14" fontId="106" fillId="18" borderId="0" xfId="0" applyNumberFormat="1" applyFont="1" applyFill="1" applyBorder="1" applyAlignment="1" applyProtection="1">
      <alignment horizontal="left" vertical="center"/>
      <protection locked="0"/>
    </xf>
    <xf numFmtId="0" fontId="106" fillId="18" borderId="0" xfId="0" applyFont="1" applyFill="1" applyBorder="1" applyAlignment="1" applyProtection="1">
      <alignment horizontal="center" vertical="center" wrapText="1"/>
      <protection locked="0"/>
    </xf>
    <xf numFmtId="1" fontId="106" fillId="18" borderId="0" xfId="0" applyNumberFormat="1" applyFont="1" applyFill="1" applyBorder="1" applyAlignment="1" applyProtection="1">
      <alignment horizontal="center" vertical="center" wrapText="1"/>
      <protection locked="0"/>
    </xf>
    <xf numFmtId="1" fontId="106" fillId="18" borderId="0" xfId="0" applyNumberFormat="1" applyFont="1" applyFill="1" applyBorder="1" applyAlignment="1" applyProtection="1">
      <alignment horizontal="center" vertical="center"/>
      <protection locked="0"/>
    </xf>
    <xf numFmtId="0" fontId="0" fillId="0" borderId="72" xfId="0" applyBorder="1" applyAlignment="1"/>
    <xf numFmtId="0" fontId="0" fillId="0" borderId="64" xfId="0" applyBorder="1" applyAlignment="1"/>
    <xf numFmtId="0" fontId="0" fillId="0" borderId="0" xfId="0" applyAlignment="1"/>
    <xf numFmtId="0" fontId="105" fillId="19" borderId="2" xfId="0" applyFont="1" applyFill="1" applyBorder="1" applyAlignment="1" applyProtection="1">
      <alignment horizontal="center" vertical="center"/>
      <protection locked="0"/>
    </xf>
    <xf numFmtId="0" fontId="109" fillId="0" borderId="65" xfId="0" applyFont="1" applyBorder="1" applyAlignment="1"/>
    <xf numFmtId="0" fontId="22" fillId="0" borderId="25" xfId="0" applyFont="1" applyBorder="1" applyAlignment="1" applyProtection="1">
      <alignment horizontal="center"/>
      <protection hidden="1"/>
    </xf>
    <xf numFmtId="0" fontId="22" fillId="0" borderId="26" xfId="0" applyFont="1" applyBorder="1" applyAlignment="1" applyProtection="1">
      <alignment horizontal="center"/>
      <protection hidden="1"/>
    </xf>
    <xf numFmtId="0" fontId="112" fillId="0" borderId="0" xfId="0" applyFont="1" applyAlignment="1"/>
    <xf numFmtId="41" fontId="27" fillId="0" borderId="69" xfId="0" applyNumberFormat="1" applyFont="1" applyBorder="1" applyAlignment="1" applyProtection="1">
      <alignment vertical="center"/>
      <protection hidden="1"/>
    </xf>
    <xf numFmtId="3" fontId="21" fillId="0" borderId="0" xfId="0" applyNumberFormat="1" applyFont="1" applyBorder="1" applyAlignment="1" applyProtection="1">
      <alignment vertical="center"/>
      <protection hidden="1"/>
    </xf>
    <xf numFmtId="3" fontId="25" fillId="0" borderId="15" xfId="0" applyNumberFormat="1" applyFont="1" applyBorder="1" applyAlignment="1" applyProtection="1">
      <alignment horizontal="left" vertical="center"/>
      <protection hidden="1"/>
    </xf>
    <xf numFmtId="3" fontId="26" fillId="0" borderId="15" xfId="0" applyNumberFormat="1" applyFont="1" applyBorder="1" applyAlignment="1" applyProtection="1">
      <alignment horizontal="left" vertical="center"/>
      <protection hidden="1"/>
    </xf>
    <xf numFmtId="0" fontId="47" fillId="20" borderId="0" xfId="0" applyFont="1" applyFill="1" applyBorder="1" applyAlignment="1"/>
    <xf numFmtId="0" fontId="48" fillId="20" borderId="0" xfId="0" applyFont="1" applyFill="1" applyBorder="1" applyAlignment="1"/>
    <xf numFmtId="3" fontId="48" fillId="20" borderId="0" xfId="0" applyNumberFormat="1" applyFont="1" applyFill="1" applyBorder="1" applyAlignment="1"/>
    <xf numFmtId="0" fontId="50" fillId="20" borderId="0" xfId="0" applyFont="1" applyFill="1" applyBorder="1" applyAlignment="1"/>
    <xf numFmtId="3" fontId="49" fillId="20" borderId="0" xfId="0" applyNumberFormat="1" applyFont="1" applyFill="1" applyBorder="1" applyAlignment="1"/>
    <xf numFmtId="0" fontId="49" fillId="20" borderId="0" xfId="0" applyFont="1" applyFill="1" applyBorder="1" applyAlignment="1"/>
    <xf numFmtId="0" fontId="47" fillId="20" borderId="0" xfId="0" applyFont="1" applyFill="1" applyAlignment="1"/>
    <xf numFmtId="0" fontId="48" fillId="20" borderId="0" xfId="0" applyFont="1" applyFill="1" applyAlignment="1"/>
    <xf numFmtId="0" fontId="24" fillId="0" borderId="21" xfId="0" applyFont="1" applyBorder="1" applyAlignment="1" applyProtection="1">
      <alignment horizontal="center" vertical="center"/>
      <protection hidden="1"/>
    </xf>
    <xf numFmtId="17" fontId="10" fillId="0" borderId="8" xfId="0" applyNumberFormat="1" applyFont="1" applyBorder="1" applyAlignment="1" applyProtection="1">
      <alignment horizontal="center" vertical="center"/>
      <protection locked="0" hidden="1"/>
    </xf>
    <xf numFmtId="0" fontId="10" fillId="0" borderId="8" xfId="0" applyFont="1" applyBorder="1" applyAlignment="1" applyProtection="1">
      <alignment horizontal="center" vertical="center"/>
      <protection locked="0" hidden="1"/>
    </xf>
    <xf numFmtId="1" fontId="11" fillId="0" borderId="8" xfId="0" applyNumberFormat="1"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protection locked="0" hidden="1"/>
    </xf>
    <xf numFmtId="1" fontId="10" fillId="0" borderId="8" xfId="0" applyNumberFormat="1" applyFont="1" applyBorder="1" applyAlignment="1" applyProtection="1">
      <alignment horizontal="center" vertical="center"/>
      <protection locked="0" hidden="1"/>
    </xf>
    <xf numFmtId="0" fontId="12" fillId="0" borderId="8" xfId="0" applyFont="1" applyBorder="1" applyAlignment="1" applyProtection="1">
      <alignment horizontal="center" vertical="center" wrapText="1"/>
      <protection locked="0" hidden="1"/>
    </xf>
    <xf numFmtId="0" fontId="10" fillId="0" borderId="8" xfId="0" applyFont="1" applyBorder="1" applyAlignment="1" applyProtection="1">
      <alignment horizontal="center" vertical="center" wrapText="1"/>
      <protection locked="0" hidden="1"/>
    </xf>
    <xf numFmtId="0" fontId="111" fillId="8" borderId="0" xfId="0" applyNumberFormat="1" applyFont="1" applyFill="1" applyAlignment="1" applyProtection="1">
      <alignment horizontal="left" vertical="center" indent="10"/>
      <protection locked="0"/>
    </xf>
    <xf numFmtId="0" fontId="25" fillId="0" borderId="32" xfId="0" applyFont="1" applyBorder="1" applyAlignment="1" applyProtection="1">
      <protection hidden="1"/>
    </xf>
    <xf numFmtId="0" fontId="21" fillId="0" borderId="72" xfId="0" applyFont="1" applyBorder="1" applyAlignment="1" applyProtection="1">
      <alignment horizontal="right" vertical="center"/>
      <protection hidden="1"/>
    </xf>
    <xf numFmtId="0" fontId="21" fillId="0" borderId="71" xfId="0" applyFont="1" applyBorder="1" applyAlignment="1" applyProtection="1">
      <alignment horizontal="right" vertical="center"/>
      <protection hidden="1"/>
    </xf>
    <xf numFmtId="0" fontId="109" fillId="21" borderId="0" xfId="0" applyFont="1" applyFill="1" applyAlignment="1"/>
    <xf numFmtId="0" fontId="109" fillId="14" borderId="0" xfId="0" applyFont="1" applyFill="1" applyAlignment="1"/>
    <xf numFmtId="1" fontId="109" fillId="14" borderId="0" xfId="0" applyNumberFormat="1" applyFont="1" applyFill="1" applyAlignment="1"/>
    <xf numFmtId="41" fontId="109" fillId="14" borderId="0" xfId="0" applyNumberFormat="1" applyFont="1" applyFill="1" applyAlignment="1"/>
    <xf numFmtId="0" fontId="11" fillId="21" borderId="0" xfId="0" applyFont="1" applyFill="1" applyAlignment="1"/>
    <xf numFmtId="0" fontId="109" fillId="21" borderId="2" xfId="0" applyFont="1" applyFill="1" applyBorder="1" applyAlignment="1"/>
    <xf numFmtId="0" fontId="11" fillId="0" borderId="26" xfId="0" applyFont="1" applyFill="1" applyBorder="1" applyAlignment="1" applyProtection="1">
      <protection hidden="1"/>
    </xf>
    <xf numFmtId="41" fontId="11" fillId="0" borderId="26" xfId="0" applyNumberFormat="1" applyFont="1" applyFill="1" applyBorder="1" applyAlignment="1" applyProtection="1">
      <protection hidden="1"/>
    </xf>
    <xf numFmtId="41" fontId="11" fillId="0" borderId="50" xfId="0" applyNumberFormat="1" applyFont="1" applyFill="1" applyBorder="1" applyAlignment="1" applyProtection="1">
      <protection hidden="1"/>
    </xf>
    <xf numFmtId="0" fontId="71" fillId="2" borderId="2" xfId="0" applyFont="1" applyFill="1" applyBorder="1" applyAlignment="1">
      <alignment horizontal="center" vertical="center" wrapText="1"/>
    </xf>
    <xf numFmtId="0" fontId="72" fillId="0" borderId="0" xfId="0" applyFont="1" applyFill="1" applyBorder="1" applyAlignment="1" applyProtection="1">
      <alignment vertical="center"/>
      <protection hidden="1"/>
    </xf>
    <xf numFmtId="0" fontId="72" fillId="0" borderId="6" xfId="0" applyFont="1" applyFill="1" applyBorder="1" applyAlignment="1" applyProtection="1">
      <alignment vertical="center"/>
      <protection hidden="1"/>
    </xf>
    <xf numFmtId="0" fontId="73" fillId="0" borderId="0" xfId="0" applyFont="1" applyFill="1" applyBorder="1" applyAlignment="1" applyProtection="1">
      <alignment vertical="center"/>
      <protection hidden="1"/>
    </xf>
    <xf numFmtId="0" fontId="73" fillId="0" borderId="6" xfId="0" applyFont="1" applyFill="1" applyBorder="1" applyAlignment="1" applyProtection="1">
      <alignment vertical="center"/>
      <protection hidden="1"/>
    </xf>
    <xf numFmtId="0" fontId="0" fillId="0" borderId="20" xfId="0" applyBorder="1" applyAlignment="1"/>
    <xf numFmtId="0" fontId="105" fillId="15" borderId="17" xfId="0" applyFont="1" applyFill="1" applyBorder="1" applyAlignment="1" applyProtection="1">
      <alignment vertical="center"/>
      <protection locked="0"/>
    </xf>
    <xf numFmtId="0" fontId="2" fillId="15" borderId="16" xfId="0" applyFont="1" applyFill="1" applyBorder="1" applyAlignment="1">
      <alignment vertical="center" wrapText="1"/>
    </xf>
    <xf numFmtId="41" fontId="21" fillId="0" borderId="27" xfId="0" applyNumberFormat="1" applyFont="1" applyBorder="1" applyAlignment="1" applyProtection="1">
      <alignment vertical="center"/>
      <protection locked="0" hidden="1"/>
    </xf>
    <xf numFmtId="0" fontId="119" fillId="22" borderId="2" xfId="0" applyFont="1" applyFill="1" applyBorder="1" applyAlignment="1" applyProtection="1">
      <alignment horizontal="center" vertical="center"/>
      <protection locked="0"/>
    </xf>
    <xf numFmtId="0" fontId="120" fillId="23" borderId="72" xfId="0" applyFont="1" applyFill="1" applyBorder="1" applyAlignment="1" applyProtection="1">
      <alignment horizontal="center" vertical="center" wrapText="1"/>
      <protection locked="0"/>
    </xf>
    <xf numFmtId="0" fontId="121" fillId="0" borderId="0" xfId="0" applyFont="1" applyAlignment="1">
      <alignment vertical="center"/>
    </xf>
    <xf numFmtId="0" fontId="121" fillId="11" borderId="81" xfId="0" applyFont="1" applyFill="1" applyBorder="1" applyAlignment="1" applyProtection="1">
      <alignment vertical="center"/>
      <protection hidden="1"/>
    </xf>
    <xf numFmtId="0" fontId="121" fillId="11" borderId="1" xfId="0" applyFont="1" applyFill="1" applyBorder="1" applyAlignment="1" applyProtection="1">
      <alignment vertical="center"/>
      <protection hidden="1"/>
    </xf>
    <xf numFmtId="0" fontId="122" fillId="11" borderId="82" xfId="0" applyFont="1" applyFill="1" applyBorder="1" applyAlignment="1">
      <alignment horizontal="justify" vertical="center" wrapText="1"/>
    </xf>
    <xf numFmtId="0" fontId="122" fillId="11" borderId="8" xfId="0" applyFont="1" applyFill="1" applyBorder="1" applyAlignment="1">
      <alignment horizontal="center" vertical="center" wrapText="1"/>
    </xf>
    <xf numFmtId="0" fontId="123" fillId="0" borderId="0" xfId="0" applyFont="1" applyAlignment="1">
      <alignment vertical="center"/>
    </xf>
    <xf numFmtId="49" fontId="124" fillId="11" borderId="82" xfId="0" quotePrefix="1" applyNumberFormat="1" applyFont="1" applyFill="1" applyBorder="1" applyAlignment="1">
      <alignment horizontal="center" vertical="center" wrapText="1"/>
    </xf>
    <xf numFmtId="49" fontId="124" fillId="11" borderId="8" xfId="0" quotePrefix="1" applyNumberFormat="1" applyFont="1" applyFill="1" applyBorder="1" applyAlignment="1">
      <alignment horizontal="center" vertical="center" wrapText="1"/>
    </xf>
    <xf numFmtId="0" fontId="124" fillId="0" borderId="0" xfId="0" applyFont="1" applyAlignment="1">
      <alignment vertical="center"/>
    </xf>
    <xf numFmtId="0" fontId="123" fillId="11" borderId="83" xfId="0" applyFont="1" applyFill="1" applyBorder="1" applyAlignment="1">
      <alignment horizontal="center" vertical="center" wrapText="1"/>
    </xf>
    <xf numFmtId="0" fontId="123" fillId="11" borderId="17" xfId="0" applyFont="1" applyFill="1" applyBorder="1" applyAlignment="1" applyProtection="1">
      <alignment vertical="center" wrapText="1"/>
      <protection hidden="1"/>
    </xf>
    <xf numFmtId="0" fontId="123" fillId="11" borderId="84" xfId="0" applyFont="1" applyFill="1" applyBorder="1" applyAlignment="1" applyProtection="1">
      <alignment horizontal="left" vertical="center" wrapText="1"/>
      <protection hidden="1"/>
    </xf>
    <xf numFmtId="167" fontId="123" fillId="11" borderId="85" xfId="1" applyNumberFormat="1" applyFont="1" applyFill="1" applyBorder="1" applyAlignment="1" applyProtection="1">
      <alignment vertical="center" wrapText="1"/>
      <protection hidden="1"/>
    </xf>
    <xf numFmtId="0" fontId="123" fillId="11" borderId="77" xfId="0" applyFont="1" applyFill="1" applyBorder="1" applyAlignment="1">
      <alignment horizontal="center" vertical="center" wrapText="1"/>
    </xf>
    <xf numFmtId="0" fontId="123" fillId="11" borderId="82" xfId="0" applyFont="1" applyFill="1" applyBorder="1" applyAlignment="1">
      <alignment horizontal="center" vertical="center" wrapText="1"/>
    </xf>
    <xf numFmtId="167" fontId="123" fillId="11" borderId="8" xfId="1" applyNumberFormat="1" applyFont="1" applyFill="1" applyBorder="1" applyAlignment="1" applyProtection="1">
      <alignment horizontal="left" vertical="center" wrapText="1"/>
      <protection hidden="1"/>
    </xf>
    <xf numFmtId="167" fontId="123" fillId="11" borderId="17" xfId="1" applyNumberFormat="1" applyFont="1" applyFill="1" applyBorder="1" applyAlignment="1" applyProtection="1">
      <alignment vertical="center" wrapText="1"/>
      <protection hidden="1"/>
    </xf>
    <xf numFmtId="0" fontId="123" fillId="11" borderId="25" xfId="0" applyFont="1" applyFill="1" applyBorder="1" applyAlignment="1" applyProtection="1">
      <alignment horizontal="justify" vertical="center" wrapText="1"/>
      <protection hidden="1"/>
    </xf>
    <xf numFmtId="164" fontId="123" fillId="11" borderId="26" xfId="0" applyNumberFormat="1" applyFont="1" applyFill="1" applyBorder="1" applyAlignment="1" applyProtection="1">
      <alignment vertical="center"/>
      <protection hidden="1"/>
    </xf>
    <xf numFmtId="164" fontId="123" fillId="11" borderId="27" xfId="0" applyNumberFormat="1" applyFont="1" applyFill="1" applyBorder="1" applyAlignment="1" applyProtection="1">
      <alignment vertical="center"/>
      <protection hidden="1"/>
    </xf>
    <xf numFmtId="0" fontId="123" fillId="11" borderId="25" xfId="0" applyFont="1" applyFill="1" applyBorder="1" applyAlignment="1" applyProtection="1">
      <alignment horizontal="right" vertical="center" wrapText="1"/>
      <protection hidden="1"/>
    </xf>
    <xf numFmtId="0" fontId="123" fillId="11" borderId="28" xfId="0" applyFont="1" applyFill="1" applyBorder="1" applyAlignment="1" applyProtection="1">
      <alignment horizontal="right" vertical="center" wrapText="1"/>
      <protection hidden="1"/>
    </xf>
    <xf numFmtId="167" fontId="123" fillId="11" borderId="86" xfId="1" applyNumberFormat="1" applyFont="1" applyFill="1" applyBorder="1" applyAlignment="1" applyProtection="1">
      <alignment vertical="center" wrapText="1"/>
      <protection hidden="1"/>
    </xf>
    <xf numFmtId="0" fontId="123" fillId="11" borderId="87" xfId="0" applyFont="1" applyFill="1" applyBorder="1" applyAlignment="1" applyProtection="1">
      <alignment vertical="center" wrapText="1"/>
      <protection hidden="1"/>
    </xf>
    <xf numFmtId="0" fontId="123" fillId="11" borderId="85" xfId="0" applyFont="1" applyFill="1" applyBorder="1" applyAlignment="1" applyProtection="1">
      <alignment vertical="center" wrapText="1"/>
      <protection hidden="1"/>
    </xf>
    <xf numFmtId="0" fontId="123" fillId="11" borderId="26" xfId="0" applyFont="1" applyFill="1" applyBorder="1" applyAlignment="1" applyProtection="1">
      <alignment horizontal="right" vertical="center" wrapText="1"/>
      <protection hidden="1"/>
    </xf>
    <xf numFmtId="167" fontId="123" fillId="11" borderId="27" xfId="1" applyNumberFormat="1" applyFont="1" applyFill="1" applyBorder="1" applyAlignment="1" applyProtection="1">
      <alignment horizontal="right" vertical="center" wrapText="1"/>
      <protection hidden="1"/>
    </xf>
    <xf numFmtId="167" fontId="123" fillId="11" borderId="85" xfId="1" applyNumberFormat="1" applyFont="1" applyFill="1" applyBorder="1" applyAlignment="1" applyProtection="1">
      <alignment horizontal="right" vertical="center" wrapText="1"/>
      <protection hidden="1"/>
    </xf>
    <xf numFmtId="0" fontId="123" fillId="11" borderId="26" xfId="0" applyFont="1" applyFill="1" applyBorder="1" applyAlignment="1" applyProtection="1">
      <alignment vertical="center" wrapText="1"/>
      <protection hidden="1"/>
    </xf>
    <xf numFmtId="0" fontId="123" fillId="11" borderId="26" xfId="0" applyFont="1" applyFill="1" applyBorder="1" applyAlignment="1" applyProtection="1">
      <alignment vertical="center"/>
      <protection hidden="1"/>
    </xf>
    <xf numFmtId="0" fontId="123" fillId="11" borderId="27" xfId="0" applyFont="1" applyFill="1" applyBorder="1" applyAlignment="1" applyProtection="1">
      <alignment vertical="center" wrapText="1"/>
      <protection hidden="1"/>
    </xf>
    <xf numFmtId="0" fontId="123" fillId="11" borderId="28" xfId="0" applyFont="1" applyFill="1" applyBorder="1" applyAlignment="1" applyProtection="1">
      <alignment horizontal="justify" vertical="center" wrapText="1"/>
      <protection hidden="1"/>
    </xf>
    <xf numFmtId="0" fontId="123" fillId="11" borderId="29" xfId="0" applyFont="1" applyFill="1" applyBorder="1" applyAlignment="1" applyProtection="1">
      <alignment vertical="center" wrapText="1"/>
      <protection hidden="1"/>
    </xf>
    <xf numFmtId="167" fontId="123" fillId="11" borderId="86" xfId="1" applyNumberFormat="1" applyFont="1" applyFill="1" applyBorder="1" applyAlignment="1" applyProtection="1">
      <alignment horizontal="right" vertical="center" wrapText="1"/>
      <protection hidden="1"/>
    </xf>
    <xf numFmtId="0" fontId="123" fillId="11" borderId="88" xfId="0" applyFont="1" applyFill="1" applyBorder="1" applyAlignment="1">
      <alignment horizontal="center" vertical="center" wrapText="1"/>
    </xf>
    <xf numFmtId="0" fontId="123" fillId="11" borderId="89" xfId="0" applyFont="1" applyFill="1" applyBorder="1" applyAlignment="1" applyProtection="1">
      <alignment horizontal="left" vertical="center"/>
      <protection locked="0"/>
    </xf>
    <xf numFmtId="0" fontId="123" fillId="11" borderId="12" xfId="0" applyFont="1" applyFill="1" applyBorder="1" applyAlignment="1" applyProtection="1">
      <alignment vertical="center" wrapText="1"/>
      <protection locked="0"/>
    </xf>
    <xf numFmtId="0" fontId="123" fillId="11" borderId="21" xfId="0" applyFont="1" applyFill="1" applyBorder="1" applyAlignment="1" applyProtection="1">
      <alignment horizontal="left" vertical="center"/>
      <protection locked="0"/>
    </xf>
    <xf numFmtId="0" fontId="123" fillId="11" borderId="0" xfId="0" applyFont="1" applyFill="1" applyBorder="1" applyAlignment="1" applyProtection="1">
      <alignment vertical="center" wrapText="1"/>
      <protection locked="0"/>
    </xf>
    <xf numFmtId="0" fontId="123" fillId="11" borderId="66" xfId="0" applyFont="1" applyFill="1" applyBorder="1" applyAlignment="1" applyProtection="1">
      <alignment horizontal="left" vertical="center"/>
      <protection locked="0"/>
    </xf>
    <xf numFmtId="0" fontId="123" fillId="11" borderId="71" xfId="0" applyFont="1" applyFill="1" applyBorder="1" applyAlignment="1" applyProtection="1">
      <alignment vertical="center" wrapText="1"/>
      <protection locked="0"/>
    </xf>
    <xf numFmtId="164" fontId="123" fillId="11" borderId="90" xfId="0" applyNumberFormat="1" applyFont="1" applyFill="1" applyBorder="1" applyAlignment="1" applyProtection="1">
      <alignment vertical="center"/>
      <protection hidden="1"/>
    </xf>
    <xf numFmtId="167" fontId="123" fillId="11" borderId="91" xfId="1" applyNumberFormat="1" applyFont="1" applyFill="1" applyBorder="1" applyAlignment="1" applyProtection="1">
      <alignment vertical="center" wrapText="1"/>
      <protection hidden="1"/>
    </xf>
    <xf numFmtId="0" fontId="123" fillId="11" borderId="25" xfId="0" applyFont="1" applyFill="1" applyBorder="1" applyAlignment="1" applyProtection="1">
      <alignment horizontal="left" vertical="center" wrapText="1"/>
      <protection hidden="1"/>
    </xf>
    <xf numFmtId="0" fontId="122" fillId="11" borderId="25" xfId="0" applyFont="1" applyFill="1" applyBorder="1" applyAlignment="1" applyProtection="1">
      <alignment horizontal="left" vertical="center" wrapText="1"/>
      <protection hidden="1"/>
    </xf>
    <xf numFmtId="41" fontId="123" fillId="11" borderId="85" xfId="0" applyNumberFormat="1" applyFont="1" applyFill="1" applyBorder="1" applyAlignment="1" applyProtection="1">
      <alignment vertical="center" wrapText="1"/>
      <protection hidden="1"/>
    </xf>
    <xf numFmtId="0" fontId="123" fillId="11" borderId="22" xfId="0" applyFont="1" applyFill="1" applyBorder="1" applyAlignment="1" applyProtection="1">
      <alignment horizontal="justify" vertical="center" wrapText="1"/>
      <protection hidden="1"/>
    </xf>
    <xf numFmtId="0" fontId="123" fillId="11" borderId="23" xfId="0" applyFont="1" applyFill="1" applyBorder="1" applyAlignment="1" applyProtection="1">
      <alignment vertical="center" wrapText="1"/>
      <protection hidden="1"/>
    </xf>
    <xf numFmtId="0" fontId="123" fillId="11" borderId="24" xfId="0" applyFont="1" applyFill="1" applyBorder="1" applyAlignment="1" applyProtection="1">
      <alignment vertical="center" wrapText="1"/>
      <protection hidden="1"/>
    </xf>
    <xf numFmtId="167" fontId="123" fillId="11" borderId="91" xfId="1" applyNumberFormat="1" applyFont="1" applyFill="1" applyBorder="1" applyAlignment="1" applyProtection="1">
      <alignment horizontal="right" vertical="center" wrapText="1"/>
      <protection hidden="1"/>
    </xf>
    <xf numFmtId="0" fontId="11" fillId="11" borderId="23" xfId="0" applyFont="1" applyFill="1" applyBorder="1" applyAlignment="1" applyProtection="1">
      <alignment vertical="center"/>
      <protection hidden="1"/>
    </xf>
    <xf numFmtId="0" fontId="123" fillId="11" borderId="71" xfId="0" applyFont="1" applyFill="1" applyBorder="1" applyAlignment="1" applyProtection="1">
      <alignment horizontal="right" vertical="center" wrapText="1"/>
      <protection locked="0"/>
    </xf>
    <xf numFmtId="0" fontId="60" fillId="0" borderId="21" xfId="0" applyFont="1" applyFill="1" applyBorder="1" applyAlignment="1" applyProtection="1">
      <alignment vertical="center" wrapText="1"/>
      <protection locked="0"/>
    </xf>
    <xf numFmtId="0" fontId="60" fillId="0" borderId="0" xfId="0" applyFont="1" applyFill="1" applyBorder="1" applyAlignment="1" applyProtection="1">
      <alignment vertical="center" wrapText="1"/>
      <protection locked="0"/>
    </xf>
    <xf numFmtId="0" fontId="120" fillId="0" borderId="0" xfId="0" applyFont="1" applyFill="1" applyBorder="1" applyAlignment="1" applyProtection="1">
      <alignment horizontal="center" vertical="center" wrapText="1"/>
      <protection locked="0"/>
    </xf>
    <xf numFmtId="0" fontId="105" fillId="0" borderId="0" xfId="0" applyFont="1" applyFill="1" applyBorder="1" applyAlignment="1" applyProtection="1">
      <alignment horizontal="left" vertical="center" indent="10"/>
      <protection locked="0"/>
    </xf>
    <xf numFmtId="0" fontId="105" fillId="0" borderId="0" xfId="0" applyFont="1" applyFill="1" applyBorder="1" applyAlignment="1" applyProtection="1">
      <alignment vertical="center"/>
      <protection locked="0"/>
    </xf>
    <xf numFmtId="0" fontId="78" fillId="2" borderId="16" xfId="0" applyFont="1" applyFill="1" applyBorder="1" applyAlignment="1">
      <alignment vertical="center"/>
    </xf>
    <xf numFmtId="0" fontId="125" fillId="0" borderId="21" xfId="0" applyFont="1" applyBorder="1" applyAlignment="1">
      <alignment horizontal="center" vertical="center" wrapText="1"/>
    </xf>
    <xf numFmtId="0" fontId="125" fillId="0" borderId="0" xfId="0" applyFont="1" applyBorder="1" applyAlignment="1">
      <alignment horizontal="center" vertical="center" wrapText="1"/>
    </xf>
    <xf numFmtId="0" fontId="125" fillId="0" borderId="65" xfId="0" applyFont="1" applyBorder="1" applyAlignment="1">
      <alignment horizontal="center" vertical="center" wrapText="1"/>
    </xf>
    <xf numFmtId="0" fontId="123" fillId="11" borderId="92" xfId="0" applyFont="1" applyFill="1" applyBorder="1" applyAlignment="1" applyProtection="1">
      <alignment horizontal="left" vertical="center" wrapText="1"/>
      <protection hidden="1"/>
    </xf>
    <xf numFmtId="167" fontId="123" fillId="11" borderId="91" xfId="1" applyNumberFormat="1" applyFont="1" applyFill="1" applyBorder="1" applyAlignment="1" applyProtection="1">
      <alignment horizontal="center" vertical="center" wrapText="1"/>
      <protection hidden="1"/>
    </xf>
    <xf numFmtId="0" fontId="123" fillId="11" borderId="22" xfId="0" applyFont="1" applyFill="1" applyBorder="1" applyAlignment="1" applyProtection="1">
      <alignment horizontal="left" vertical="center" wrapText="1"/>
      <protection hidden="1"/>
    </xf>
    <xf numFmtId="0" fontId="123" fillId="11" borderId="26" xfId="0" applyFont="1" applyFill="1" applyBorder="1" applyAlignment="1" applyProtection="1">
      <alignment horizontal="left" vertical="center" wrapText="1"/>
      <protection hidden="1"/>
    </xf>
    <xf numFmtId="0" fontId="123" fillId="11" borderId="27" xfId="0" applyFont="1" applyFill="1" applyBorder="1" applyAlignment="1" applyProtection="1">
      <alignment horizontal="left" vertical="center" wrapText="1"/>
      <protection hidden="1"/>
    </xf>
    <xf numFmtId="164" fontId="11" fillId="11" borderId="90" xfId="0" applyNumberFormat="1" applyFont="1" applyFill="1" applyBorder="1" applyAlignment="1" applyProtection="1">
      <alignment vertical="center"/>
      <protection hidden="1"/>
    </xf>
    <xf numFmtId="0" fontId="11" fillId="11" borderId="26" xfId="0" applyFont="1" applyFill="1" applyBorder="1" applyAlignment="1" applyProtection="1">
      <alignment vertical="center"/>
      <protection hidden="1"/>
    </xf>
    <xf numFmtId="0" fontId="118" fillId="12" borderId="2" xfId="0" applyFont="1" applyFill="1" applyBorder="1" applyAlignment="1" applyProtection="1">
      <alignment horizontal="center" vertical="center"/>
      <protection locked="0"/>
    </xf>
    <xf numFmtId="0" fontId="2" fillId="2" borderId="4" xfId="0" applyFont="1" applyFill="1" applyBorder="1" applyAlignment="1">
      <alignment horizontal="right" vertical="center"/>
    </xf>
    <xf numFmtId="0" fontId="2" fillId="2" borderId="61" xfId="0" applyFont="1" applyFill="1" applyBorder="1" applyAlignment="1">
      <alignment vertical="center"/>
    </xf>
    <xf numFmtId="0" fontId="2" fillId="18" borderId="7" xfId="0" applyFont="1" applyFill="1" applyBorder="1" applyAlignment="1">
      <alignment vertical="center"/>
    </xf>
    <xf numFmtId="0" fontId="2" fillId="18" borderId="4" xfId="0" applyFont="1" applyFill="1" applyBorder="1" applyAlignment="1">
      <alignment vertical="center"/>
    </xf>
    <xf numFmtId="0" fontId="2" fillId="12" borderId="7" xfId="0" applyFont="1" applyFill="1" applyBorder="1" applyAlignment="1" applyProtection="1">
      <alignment vertical="center"/>
      <protection locked="0"/>
    </xf>
    <xf numFmtId="0" fontId="2" fillId="12" borderId="61" xfId="0" applyFont="1" applyFill="1" applyBorder="1" applyAlignment="1" applyProtection="1">
      <alignment vertical="center"/>
      <protection locked="0"/>
    </xf>
    <xf numFmtId="0" fontId="2" fillId="18" borderId="61" xfId="0" applyFont="1" applyFill="1" applyBorder="1" applyAlignment="1">
      <alignment vertical="center"/>
    </xf>
    <xf numFmtId="0" fontId="2" fillId="24" borderId="7" xfId="0" applyFont="1" applyFill="1" applyBorder="1" applyAlignment="1">
      <alignment horizontal="center" vertical="center" wrapText="1"/>
    </xf>
    <xf numFmtId="0" fontId="126" fillId="24" borderId="2" xfId="0" applyFont="1" applyFill="1" applyBorder="1" applyAlignment="1">
      <alignment vertical="center"/>
    </xf>
    <xf numFmtId="0" fontId="2" fillId="18" borderId="2" xfId="0" applyFont="1" applyFill="1" applyBorder="1" applyAlignment="1">
      <alignment vertical="center" wrapText="1"/>
    </xf>
    <xf numFmtId="0" fontId="83" fillId="2" borderId="7" xfId="0" applyFont="1" applyFill="1" applyBorder="1" applyAlignment="1">
      <alignment vertical="center"/>
    </xf>
    <xf numFmtId="164" fontId="123" fillId="11" borderId="26" xfId="0" applyNumberFormat="1" applyFont="1" applyFill="1" applyBorder="1" applyAlignment="1" applyProtection="1">
      <alignment vertical="center" wrapText="1"/>
      <protection hidden="1"/>
    </xf>
    <xf numFmtId="164" fontId="123" fillId="11" borderId="27" xfId="0" applyNumberFormat="1" applyFont="1" applyFill="1" applyBorder="1" applyAlignment="1" applyProtection="1">
      <alignment vertical="center" wrapText="1"/>
      <protection hidden="1"/>
    </xf>
    <xf numFmtId="164" fontId="127" fillId="11" borderId="26" xfId="0" applyNumberFormat="1" applyFont="1" applyFill="1" applyBorder="1" applyAlignment="1" applyProtection="1">
      <alignment vertical="center" wrapText="1"/>
      <protection hidden="1"/>
    </xf>
    <xf numFmtId="0" fontId="54" fillId="25" borderId="0" xfId="0" applyFont="1" applyFill="1" applyAlignment="1" applyProtection="1">
      <alignment vertical="center"/>
      <protection locked="0"/>
    </xf>
    <xf numFmtId="0" fontId="54" fillId="22" borderId="0" xfId="0" applyFont="1" applyFill="1" applyAlignment="1" applyProtection="1">
      <alignment vertical="center"/>
      <protection locked="0"/>
    </xf>
    <xf numFmtId="0" fontId="56" fillId="22" borderId="0" xfId="0" applyFont="1" applyFill="1" applyAlignment="1" applyProtection="1">
      <alignment horizontal="left" vertical="center" wrapText="1"/>
      <protection locked="0"/>
    </xf>
    <xf numFmtId="0" fontId="105" fillId="22" borderId="0" xfId="0" applyFont="1" applyFill="1" applyAlignment="1" applyProtection="1">
      <alignment vertical="center"/>
      <protection locked="0"/>
    </xf>
    <xf numFmtId="0" fontId="106" fillId="22" borderId="8" xfId="0" applyFont="1" applyFill="1" applyBorder="1" applyAlignment="1" applyProtection="1">
      <alignment horizontal="left" vertical="center" wrapText="1"/>
      <protection locked="0"/>
    </xf>
    <xf numFmtId="0" fontId="105" fillId="22" borderId="8" xfId="0" applyFont="1" applyFill="1" applyBorder="1" applyAlignment="1" applyProtection="1">
      <alignment vertical="center"/>
      <protection locked="0"/>
    </xf>
    <xf numFmtId="0" fontId="105" fillId="22" borderId="8" xfId="0" applyFont="1" applyFill="1" applyBorder="1" applyAlignment="1" applyProtection="1">
      <alignment horizontal="right" vertical="center"/>
      <protection locked="0"/>
    </xf>
    <xf numFmtId="0" fontId="105" fillId="22" borderId="0" xfId="0" applyFont="1" applyFill="1" applyAlignment="1">
      <alignment vertical="center"/>
    </xf>
    <xf numFmtId="0" fontId="105" fillId="22" borderId="0" xfId="0" applyFont="1" applyFill="1" applyBorder="1" applyAlignment="1" applyProtection="1">
      <alignment horizontal="right" vertical="center"/>
      <protection locked="0"/>
    </xf>
    <xf numFmtId="0" fontId="105" fillId="22" borderId="20" xfId="0" applyFont="1" applyFill="1" applyBorder="1" applyAlignment="1" applyProtection="1">
      <alignment horizontal="center" vertical="center"/>
      <protection locked="0"/>
    </xf>
    <xf numFmtId="0" fontId="105" fillId="22" borderId="66" xfId="0" applyFont="1" applyFill="1" applyBorder="1" applyAlignment="1" applyProtection="1">
      <alignment vertical="center"/>
      <protection locked="0"/>
    </xf>
    <xf numFmtId="0" fontId="105" fillId="22" borderId="20" xfId="0" applyFont="1" applyFill="1" applyBorder="1" applyAlignment="1" applyProtection="1">
      <alignment vertical="center"/>
      <protection locked="0"/>
    </xf>
    <xf numFmtId="0" fontId="105" fillId="22" borderId="21" xfId="0" applyFont="1" applyFill="1" applyBorder="1" applyAlignment="1" applyProtection="1">
      <alignment vertical="center"/>
      <protection locked="0"/>
    </xf>
    <xf numFmtId="0" fontId="111" fillId="22" borderId="4" xfId="0" applyFont="1" applyFill="1" applyBorder="1" applyAlignment="1" applyProtection="1">
      <alignment vertical="center"/>
      <protection locked="0"/>
    </xf>
    <xf numFmtId="0" fontId="111" fillId="22" borderId="0" xfId="0" applyFont="1" applyFill="1" applyBorder="1" applyAlignment="1" applyProtection="1">
      <alignment vertical="center"/>
      <protection locked="0"/>
    </xf>
    <xf numFmtId="0" fontId="111" fillId="22" borderId="71" xfId="0" applyFont="1" applyFill="1" applyBorder="1" applyAlignment="1" applyProtection="1">
      <alignment vertical="center"/>
      <protection locked="0"/>
    </xf>
    <xf numFmtId="0" fontId="111" fillId="22" borderId="0" xfId="0" applyFont="1" applyFill="1" applyAlignment="1" applyProtection="1">
      <alignment vertical="center"/>
      <protection locked="0"/>
    </xf>
    <xf numFmtId="0" fontId="128" fillId="24" borderId="61" xfId="0" applyFont="1" applyFill="1" applyBorder="1" applyAlignment="1">
      <alignment vertical="center" wrapText="1"/>
    </xf>
    <xf numFmtId="0" fontId="4" fillId="2" borderId="7" xfId="0" applyFont="1" applyFill="1" applyBorder="1" applyAlignment="1">
      <alignment vertical="center"/>
    </xf>
    <xf numFmtId="0" fontId="4" fillId="2" borderId="61" xfId="0" applyFont="1" applyFill="1" applyBorder="1" applyAlignment="1">
      <alignment vertical="center"/>
    </xf>
    <xf numFmtId="0" fontId="129" fillId="2" borderId="2" xfId="0" applyFont="1" applyFill="1" applyBorder="1" applyAlignment="1">
      <alignment vertical="center" wrapText="1"/>
    </xf>
    <xf numFmtId="1" fontId="2" fillId="12" borderId="2" xfId="0" applyNumberFormat="1" applyFont="1" applyFill="1" applyBorder="1" applyAlignment="1" applyProtection="1">
      <alignment vertical="center"/>
      <protection locked="0"/>
    </xf>
    <xf numFmtId="0" fontId="106" fillId="8" borderId="8" xfId="0" applyFont="1" applyFill="1" applyBorder="1" applyAlignment="1" applyProtection="1">
      <alignment vertical="center"/>
      <protection locked="0"/>
    </xf>
    <xf numFmtId="0" fontId="105" fillId="8" borderId="12" xfId="0" applyFont="1" applyFill="1" applyBorder="1" applyAlignment="1" applyProtection="1">
      <alignment vertical="center"/>
      <protection locked="0"/>
    </xf>
    <xf numFmtId="0" fontId="54" fillId="16" borderId="0" xfId="0" applyFont="1" applyFill="1" applyAlignment="1" applyProtection="1">
      <alignment vertical="center"/>
      <protection locked="0"/>
    </xf>
    <xf numFmtId="0" fontId="105" fillId="16" borderId="0" xfId="0" applyFont="1" applyFill="1" applyAlignment="1" applyProtection="1">
      <alignment vertical="center"/>
      <protection locked="0"/>
    </xf>
    <xf numFmtId="0" fontId="106" fillId="16" borderId="8" xfId="0" applyFont="1" applyFill="1" applyBorder="1" applyAlignment="1" applyProtection="1">
      <alignment horizontal="left" vertical="center" wrapText="1"/>
      <protection locked="0"/>
    </xf>
    <xf numFmtId="0" fontId="105" fillId="16" borderId="8" xfId="0" applyFont="1" applyFill="1" applyBorder="1" applyAlignment="1" applyProtection="1">
      <alignment horizontal="right" vertical="center"/>
      <protection locked="0"/>
    </xf>
    <xf numFmtId="0" fontId="105" fillId="16" borderId="0" xfId="0" applyFont="1" applyFill="1" applyAlignment="1">
      <alignment vertical="center"/>
    </xf>
    <xf numFmtId="0" fontId="105" fillId="16" borderId="0" xfId="0" applyFont="1" applyFill="1" applyBorder="1" applyAlignment="1" applyProtection="1">
      <alignment horizontal="right" vertical="center"/>
      <protection locked="0"/>
    </xf>
    <xf numFmtId="0" fontId="105" fillId="16" borderId="0" xfId="0" applyFont="1" applyFill="1" applyAlignment="1" applyProtection="1">
      <alignment horizontal="right" vertical="center"/>
      <protection locked="0"/>
    </xf>
    <xf numFmtId="0" fontId="105" fillId="16" borderId="8" xfId="0" applyFont="1" applyFill="1" applyBorder="1" applyAlignment="1" applyProtection="1">
      <alignment vertical="center"/>
      <protection locked="0"/>
    </xf>
    <xf numFmtId="0" fontId="105" fillId="16" borderId="12" xfId="0" applyFont="1" applyFill="1" applyBorder="1" applyAlignment="1" applyProtection="1">
      <alignment vertical="center"/>
      <protection locked="0"/>
    </xf>
    <xf numFmtId="0" fontId="106" fillId="16" borderId="8" xfId="0" applyFont="1" applyFill="1" applyBorder="1" applyAlignment="1" applyProtection="1">
      <alignment vertical="center"/>
      <protection locked="0"/>
    </xf>
    <xf numFmtId="0" fontId="107" fillId="16" borderId="72" xfId="0" applyFont="1" applyFill="1" applyBorder="1" applyAlignment="1" applyProtection="1">
      <alignment horizontal="left" vertical="center"/>
      <protection locked="0"/>
    </xf>
    <xf numFmtId="1" fontId="105" fillId="16" borderId="64" xfId="0" applyNumberFormat="1" applyFont="1" applyFill="1" applyBorder="1" applyAlignment="1" applyProtection="1">
      <alignment vertical="center"/>
      <protection locked="0"/>
    </xf>
    <xf numFmtId="0" fontId="107" fillId="16" borderId="0" xfId="0" applyFont="1" applyFill="1" applyBorder="1" applyAlignment="1" applyProtection="1">
      <alignment horizontal="left" vertical="center"/>
      <protection locked="0"/>
    </xf>
    <xf numFmtId="1" fontId="107" fillId="16" borderId="0" xfId="0" applyNumberFormat="1" applyFont="1" applyFill="1" applyBorder="1" applyAlignment="1" applyProtection="1">
      <alignment horizontal="left" vertical="center"/>
      <protection locked="0"/>
    </xf>
    <xf numFmtId="0" fontId="107" fillId="16" borderId="71" xfId="0" applyFont="1" applyFill="1" applyBorder="1" applyAlignment="1" applyProtection="1">
      <alignment horizontal="left" vertical="center"/>
      <protection locked="0"/>
    </xf>
    <xf numFmtId="1" fontId="107" fillId="16" borderId="71" xfId="0" applyNumberFormat="1" applyFont="1" applyFill="1" applyBorder="1" applyAlignment="1" applyProtection="1">
      <alignment horizontal="left" vertical="center"/>
      <protection locked="0"/>
    </xf>
    <xf numFmtId="1" fontId="107" fillId="16" borderId="72" xfId="0" applyNumberFormat="1" applyFont="1" applyFill="1" applyBorder="1" applyAlignment="1" applyProtection="1">
      <alignment horizontal="left" vertical="center"/>
      <protection locked="0"/>
    </xf>
    <xf numFmtId="0" fontId="105" fillId="16" borderId="65" xfId="0" applyFont="1" applyFill="1" applyBorder="1" applyAlignment="1" applyProtection="1">
      <alignment vertical="center"/>
      <protection locked="0"/>
    </xf>
    <xf numFmtId="0" fontId="105" fillId="16" borderId="60" xfId="0" applyFont="1" applyFill="1" applyBorder="1" applyAlignment="1" applyProtection="1">
      <alignment vertical="center"/>
      <protection locked="0"/>
    </xf>
    <xf numFmtId="0" fontId="105" fillId="16" borderId="64" xfId="0" applyFont="1" applyFill="1" applyBorder="1" applyAlignment="1" applyProtection="1">
      <alignment vertical="center"/>
      <protection locked="0"/>
    </xf>
    <xf numFmtId="0" fontId="105" fillId="16" borderId="0" xfId="0" applyFont="1" applyFill="1" applyBorder="1" applyAlignment="1" applyProtection="1">
      <alignment vertical="center"/>
      <protection locked="0"/>
    </xf>
    <xf numFmtId="1" fontId="105" fillId="16" borderId="65" xfId="0" applyNumberFormat="1" applyFont="1" applyFill="1" applyBorder="1" applyAlignment="1" applyProtection="1">
      <alignment vertical="center"/>
      <protection locked="0"/>
    </xf>
    <xf numFmtId="1" fontId="105" fillId="16" borderId="0" xfId="0" applyNumberFormat="1" applyFont="1" applyFill="1" applyBorder="1" applyAlignment="1" applyProtection="1">
      <alignment vertical="center"/>
      <protection locked="0"/>
    </xf>
    <xf numFmtId="0" fontId="105" fillId="16" borderId="71" xfId="0" applyFont="1" applyFill="1" applyBorder="1" applyAlignment="1" applyProtection="1">
      <alignment vertical="center"/>
      <protection locked="0"/>
    </xf>
    <xf numFmtId="1" fontId="105" fillId="16" borderId="60" xfId="0" applyNumberFormat="1" applyFont="1" applyFill="1" applyBorder="1" applyAlignment="1" applyProtection="1">
      <alignment vertical="center"/>
      <protection locked="0"/>
    </xf>
    <xf numFmtId="0" fontId="130" fillId="16" borderId="0" xfId="0" applyFont="1" applyFill="1" applyAlignment="1" applyProtection="1">
      <alignment vertical="center"/>
      <protection locked="0"/>
    </xf>
    <xf numFmtId="0" fontId="111" fillId="16" borderId="0" xfId="0" applyFont="1" applyFill="1" applyAlignment="1" applyProtection="1">
      <alignment vertical="center"/>
      <protection locked="0"/>
    </xf>
    <xf numFmtId="0" fontId="131" fillId="16" borderId="0" xfId="0" applyFont="1" applyFill="1" applyAlignment="1" applyProtection="1">
      <alignment vertical="center"/>
      <protection locked="0"/>
    </xf>
    <xf numFmtId="0" fontId="109" fillId="16" borderId="0" xfId="0" applyFont="1" applyFill="1" applyAlignment="1" applyProtection="1">
      <alignment horizontal="center"/>
      <protection locked="0"/>
    </xf>
    <xf numFmtId="0" fontId="111" fillId="16" borderId="7" xfId="0" applyFont="1" applyFill="1" applyBorder="1" applyAlignment="1" applyProtection="1">
      <alignment vertical="center"/>
      <protection locked="0"/>
    </xf>
    <xf numFmtId="0" fontId="111" fillId="16" borderId="21" xfId="0" applyFont="1" applyFill="1" applyBorder="1" applyAlignment="1" applyProtection="1">
      <alignment vertical="center"/>
      <protection locked="0"/>
    </xf>
    <xf numFmtId="0" fontId="111" fillId="16" borderId="66" xfId="0" applyFont="1" applyFill="1" applyBorder="1" applyAlignment="1" applyProtection="1">
      <alignment vertical="center"/>
      <protection locked="0"/>
    </xf>
    <xf numFmtId="0" fontId="105" fillId="12" borderId="8" xfId="0" applyFont="1" applyFill="1" applyBorder="1" applyAlignment="1" applyProtection="1">
      <alignment horizontal="center" vertical="center"/>
      <protection locked="0"/>
    </xf>
    <xf numFmtId="0" fontId="105" fillId="12" borderId="8" xfId="0" applyFont="1" applyFill="1" applyBorder="1" applyAlignment="1">
      <alignment horizontal="center" vertical="center"/>
    </xf>
    <xf numFmtId="0" fontId="118" fillId="12" borderId="8" xfId="0" applyFont="1" applyFill="1" applyBorder="1" applyAlignment="1" applyProtection="1">
      <alignment horizontal="center" vertical="center"/>
      <protection locked="0"/>
    </xf>
    <xf numFmtId="0" fontId="2" fillId="12" borderId="3" xfId="0" applyFont="1" applyFill="1" applyBorder="1" applyAlignment="1" applyProtection="1">
      <alignment vertical="center"/>
      <protection locked="0"/>
    </xf>
    <xf numFmtId="1" fontId="54" fillId="8" borderId="0" xfId="0" applyNumberFormat="1" applyFont="1" applyFill="1" applyAlignment="1" applyProtection="1">
      <alignment vertical="center"/>
      <protection locked="0"/>
    </xf>
    <xf numFmtId="0" fontId="90" fillId="8" borderId="0" xfId="0" applyFont="1" applyFill="1" applyAlignment="1" applyProtection="1">
      <alignment horizontal="right" vertical="center" wrapText="1"/>
      <protection locked="0"/>
    </xf>
    <xf numFmtId="0" fontId="93" fillId="8" borderId="0" xfId="0" applyFont="1" applyFill="1" applyAlignment="1" applyProtection="1">
      <alignment horizontal="right" vertical="center" wrapText="1"/>
      <protection locked="0"/>
    </xf>
    <xf numFmtId="17" fontId="4" fillId="2" borderId="3" xfId="0" applyNumberFormat="1" applyFont="1" applyFill="1" applyBorder="1" applyAlignment="1">
      <alignment horizontal="left" vertical="center" wrapText="1"/>
    </xf>
    <xf numFmtId="0" fontId="2" fillId="12" borderId="0" xfId="0" applyFont="1" applyFill="1" applyAlignment="1" applyProtection="1">
      <alignment horizontal="center" vertical="center"/>
      <protection locked="0"/>
    </xf>
    <xf numFmtId="0" fontId="11" fillId="0" borderId="0" xfId="0" applyFont="1" applyBorder="1" applyAlignment="1" applyProtection="1">
      <alignment horizontal="left" shrinkToFit="1"/>
      <protection hidden="1"/>
    </xf>
    <xf numFmtId="0" fontId="0" fillId="0" borderId="0" xfId="0" applyAlignment="1">
      <alignment vertical="center"/>
    </xf>
    <xf numFmtId="0" fontId="2" fillId="22" borderId="0" xfId="0" applyFont="1" applyFill="1" applyAlignment="1">
      <alignment vertical="center"/>
    </xf>
    <xf numFmtId="0" fontId="2" fillId="7" borderId="66" xfId="0" applyFont="1" applyFill="1" applyBorder="1" applyAlignment="1">
      <alignment vertical="center"/>
    </xf>
    <xf numFmtId="0" fontId="2" fillId="24" borderId="20" xfId="0" applyFont="1" applyFill="1" applyBorder="1" applyAlignment="1">
      <alignment horizontal="center" vertical="center"/>
    </xf>
    <xf numFmtId="0" fontId="2" fillId="24" borderId="72" xfId="0" applyFont="1" applyFill="1" applyBorder="1" applyAlignment="1">
      <alignment horizontal="center" vertical="center"/>
    </xf>
    <xf numFmtId="0" fontId="19" fillId="2" borderId="73" xfId="0" applyFont="1" applyFill="1" applyBorder="1" applyAlignment="1">
      <alignment vertical="center"/>
    </xf>
    <xf numFmtId="0" fontId="100" fillId="2" borderId="3" xfId="0" applyFont="1" applyFill="1" applyBorder="1" applyAlignment="1">
      <alignment vertical="center"/>
    </xf>
    <xf numFmtId="0" fontId="4" fillId="2" borderId="2" xfId="0" applyFont="1" applyFill="1" applyBorder="1" applyAlignment="1">
      <alignment vertical="center"/>
    </xf>
    <xf numFmtId="0" fontId="109" fillId="0" borderId="20" xfId="0" applyFont="1" applyBorder="1" applyAlignment="1"/>
    <xf numFmtId="0" fontId="109" fillId="0" borderId="72" xfId="0" applyFont="1" applyBorder="1" applyAlignment="1"/>
    <xf numFmtId="0" fontId="109" fillId="0" borderId="64" xfId="0" applyFont="1" applyBorder="1" applyAlignment="1"/>
    <xf numFmtId="0" fontId="109" fillId="0" borderId="21" xfId="0" applyFont="1" applyBorder="1" applyAlignment="1"/>
    <xf numFmtId="41" fontId="109" fillId="0" borderId="0" xfId="0" applyNumberFormat="1" applyFont="1" applyBorder="1" applyAlignment="1"/>
    <xf numFmtId="0" fontId="112" fillId="0" borderId="21" xfId="0" applyFont="1" applyBorder="1" applyAlignment="1"/>
    <xf numFmtId="0" fontId="112" fillId="0" borderId="65" xfId="0" applyFont="1" applyBorder="1" applyAlignment="1"/>
    <xf numFmtId="0" fontId="109" fillId="0" borderId="66" xfId="0" applyFont="1" applyBorder="1" applyAlignment="1"/>
    <xf numFmtId="0" fontId="109" fillId="0" borderId="71" xfId="0" applyFont="1" applyBorder="1" applyAlignment="1"/>
    <xf numFmtId="0" fontId="109" fillId="0" borderId="60" xfId="0" applyFont="1" applyBorder="1" applyAlignment="1"/>
    <xf numFmtId="0" fontId="118" fillId="12" borderId="20" xfId="0" applyFont="1" applyFill="1" applyBorder="1" applyAlignment="1" applyProtection="1">
      <alignment vertical="center"/>
      <protection locked="0"/>
    </xf>
    <xf numFmtId="0" fontId="105" fillId="8" borderId="2" xfId="0" applyFont="1" applyFill="1" applyBorder="1" applyAlignment="1" applyProtection="1">
      <alignment vertical="center"/>
      <protection locked="0"/>
    </xf>
    <xf numFmtId="0" fontId="76" fillId="20" borderId="8" xfId="0" applyFont="1" applyFill="1" applyBorder="1" applyAlignment="1" applyProtection="1">
      <alignment vertical="center" wrapText="1"/>
      <protection locked="0" hidden="1"/>
    </xf>
    <xf numFmtId="0" fontId="76" fillId="20" borderId="8" xfId="0" applyFont="1" applyFill="1" applyBorder="1" applyAlignment="1" applyProtection="1">
      <alignment horizontal="center" vertical="center" wrapText="1"/>
      <protection locked="0" hidden="1"/>
    </xf>
    <xf numFmtId="0" fontId="63" fillId="20" borderId="8" xfId="0" applyFont="1" applyFill="1" applyBorder="1" applyAlignment="1" applyProtection="1">
      <alignment horizontal="center" vertical="center" wrapText="1"/>
      <protection locked="0" hidden="1"/>
    </xf>
    <xf numFmtId="0" fontId="77" fillId="20" borderId="8" xfId="0" applyFont="1" applyFill="1" applyBorder="1" applyAlignment="1" applyProtection="1">
      <alignment horizontal="center" vertical="center" wrapText="1"/>
      <protection locked="0" hidden="1"/>
    </xf>
    <xf numFmtId="0" fontId="118" fillId="12" borderId="7" xfId="0" applyFont="1" applyFill="1" applyBorder="1" applyAlignment="1" applyProtection="1">
      <alignment vertical="center"/>
      <protection locked="0"/>
    </xf>
    <xf numFmtId="0" fontId="54" fillId="2" borderId="20" xfId="0" applyFont="1" applyFill="1" applyBorder="1" applyAlignment="1">
      <alignment vertical="center"/>
    </xf>
    <xf numFmtId="0" fontId="54" fillId="2" borderId="61" xfId="0" applyFont="1" applyFill="1" applyBorder="1" applyAlignment="1">
      <alignment vertical="center"/>
    </xf>
    <xf numFmtId="0" fontId="54" fillId="2" borderId="0" xfId="0" applyFont="1" applyFill="1" applyBorder="1" applyAlignment="1">
      <alignment vertical="center"/>
    </xf>
    <xf numFmtId="0" fontId="54" fillId="12" borderId="7" xfId="0" applyFont="1" applyFill="1" applyBorder="1" applyAlignment="1" applyProtection="1">
      <alignment vertical="center"/>
      <protection locked="0"/>
    </xf>
    <xf numFmtId="0" fontId="78" fillId="12" borderId="61" xfId="0" applyFont="1" applyFill="1" applyBorder="1" applyAlignment="1" applyProtection="1">
      <alignment vertical="center"/>
      <protection locked="0"/>
    </xf>
    <xf numFmtId="0" fontId="54" fillId="12" borderId="20" xfId="0" applyFont="1" applyFill="1" applyBorder="1" applyAlignment="1" applyProtection="1">
      <alignment vertical="center"/>
      <protection locked="0"/>
    </xf>
    <xf numFmtId="0" fontId="88" fillId="16" borderId="64" xfId="0" applyFont="1" applyFill="1" applyBorder="1" applyAlignment="1" applyProtection="1">
      <alignment vertical="center" wrapText="1"/>
      <protection hidden="1"/>
    </xf>
    <xf numFmtId="0" fontId="54" fillId="17" borderId="16" xfId="0" applyFont="1" applyFill="1" applyBorder="1" applyAlignment="1" applyProtection="1">
      <alignment vertical="center"/>
      <protection locked="0"/>
    </xf>
    <xf numFmtId="0" fontId="54" fillId="17" borderId="73" xfId="0" applyFont="1" applyFill="1" applyBorder="1" applyAlignment="1" applyProtection="1">
      <alignment vertical="center"/>
      <protection locked="0"/>
    </xf>
    <xf numFmtId="0" fontId="56" fillId="17" borderId="73" xfId="0" applyFont="1" applyFill="1" applyBorder="1" applyAlignment="1" applyProtection="1">
      <alignment horizontal="left" vertical="center" wrapText="1"/>
      <protection locked="0"/>
    </xf>
    <xf numFmtId="0" fontId="54" fillId="17" borderId="3" xfId="0" applyFont="1" applyFill="1" applyBorder="1" applyAlignment="1" applyProtection="1">
      <alignment vertical="center"/>
      <protection locked="0"/>
    </xf>
    <xf numFmtId="1" fontId="109" fillId="0" borderId="0" xfId="0" applyNumberFormat="1" applyFont="1" applyBorder="1" applyAlignment="1"/>
    <xf numFmtId="0" fontId="105" fillId="28" borderId="2" xfId="0" applyFont="1" applyFill="1" applyBorder="1" applyAlignment="1" applyProtection="1">
      <alignment vertical="center"/>
      <protection locked="0"/>
    </xf>
    <xf numFmtId="0" fontId="11" fillId="0" borderId="0" xfId="0" applyFont="1" applyBorder="1" applyAlignment="1" applyProtection="1">
      <alignment vertical="center"/>
      <protection hidden="1"/>
    </xf>
    <xf numFmtId="0" fontId="0" fillId="0" borderId="20" xfId="0" applyFont="1" applyFill="1" applyBorder="1" applyAlignment="1" applyProtection="1">
      <alignment vertical="center"/>
      <protection hidden="1"/>
    </xf>
    <xf numFmtId="0" fontId="0" fillId="0" borderId="72" xfId="0" applyFont="1" applyFill="1" applyBorder="1" applyAlignment="1" applyProtection="1">
      <alignment vertical="center"/>
      <protection hidden="1"/>
    </xf>
    <xf numFmtId="0" fontId="0" fillId="0" borderId="64" xfId="0" applyFont="1" applyFill="1" applyBorder="1" applyAlignment="1" applyProtection="1">
      <alignment vertical="center"/>
      <protection hidden="1"/>
    </xf>
    <xf numFmtId="0" fontId="0" fillId="0" borderId="0" xfId="0" applyAlignment="1" applyProtection="1">
      <alignment vertical="center"/>
      <protection hidden="1"/>
    </xf>
    <xf numFmtId="0" fontId="11" fillId="20" borderId="77" xfId="0" applyFont="1" applyFill="1" applyBorder="1" applyAlignment="1" applyProtection="1">
      <alignment horizontal="left" vertical="center" wrapText="1"/>
    </xf>
    <xf numFmtId="0" fontId="0" fillId="20" borderId="77" xfId="0" applyFill="1" applyBorder="1" applyAlignment="1" applyProtection="1">
      <alignment horizontal="left" vertical="center"/>
    </xf>
    <xf numFmtId="0" fontId="0" fillId="20" borderId="83" xfId="0" applyFill="1" applyBorder="1" applyAlignment="1" applyProtection="1">
      <alignment horizontal="left" vertical="center"/>
    </xf>
    <xf numFmtId="0" fontId="11" fillId="20" borderId="82" xfId="0" applyFont="1" applyFill="1" applyBorder="1" applyAlignment="1" applyProtection="1">
      <alignment horizontal="left" vertical="center"/>
    </xf>
    <xf numFmtId="0" fontId="0" fillId="20" borderId="83" xfId="0" applyFill="1" applyBorder="1" applyAlignment="1" applyProtection="1">
      <alignment horizontal="left" vertical="center" wrapText="1"/>
    </xf>
    <xf numFmtId="0" fontId="0" fillId="20" borderId="82" xfId="0" applyFill="1" applyBorder="1" applyAlignment="1" applyProtection="1">
      <alignment horizontal="left" vertical="center" wrapText="1"/>
    </xf>
    <xf numFmtId="0" fontId="0" fillId="20" borderId="82" xfId="0" applyFill="1" applyBorder="1" applyAlignment="1" applyProtection="1">
      <alignment horizontal="left" vertical="center"/>
    </xf>
    <xf numFmtId="0" fontId="24" fillId="20" borderId="77" xfId="0" applyFont="1" applyFill="1" applyBorder="1" applyAlignment="1" applyProtection="1">
      <alignment horizontal="left" vertical="center" wrapText="1"/>
    </xf>
    <xf numFmtId="0" fontId="23" fillId="20" borderId="88" xfId="0" applyFont="1" applyFill="1" applyBorder="1" applyAlignment="1" applyProtection="1">
      <alignment horizontal="left" vertical="center" wrapText="1"/>
    </xf>
    <xf numFmtId="0" fontId="11" fillId="20" borderId="83" xfId="0" applyFont="1" applyFill="1" applyBorder="1" applyAlignment="1" applyProtection="1">
      <alignment vertical="center" wrapText="1"/>
    </xf>
    <xf numFmtId="0" fontId="27" fillId="27" borderId="93" xfId="0" applyFont="1" applyFill="1" applyBorder="1" applyAlignment="1" applyProtection="1">
      <alignment horizontal="left" vertical="center" wrapText="1"/>
    </xf>
    <xf numFmtId="0" fontId="0" fillId="0" borderId="0" xfId="0" applyAlignment="1" applyProtection="1">
      <alignment vertical="center"/>
    </xf>
    <xf numFmtId="0" fontId="0" fillId="26" borderId="93" xfId="0" applyFill="1" applyBorder="1" applyAlignment="1" applyProtection="1">
      <alignment horizontal="left" vertical="center"/>
    </xf>
    <xf numFmtId="0" fontId="0" fillId="26" borderId="94" xfId="0" applyFill="1" applyBorder="1" applyAlignment="1" applyProtection="1">
      <alignment horizontal="center" vertical="center"/>
    </xf>
    <xf numFmtId="0" fontId="0" fillId="26" borderId="94" xfId="0" applyFill="1" applyBorder="1" applyAlignment="1" applyProtection="1">
      <alignment horizontal="left" vertical="center"/>
    </xf>
    <xf numFmtId="0" fontId="0" fillId="0" borderId="64" xfId="0" applyBorder="1" applyAlignment="1" applyProtection="1">
      <alignment vertical="center"/>
    </xf>
    <xf numFmtId="0" fontId="0" fillId="0" borderId="65" xfId="0" applyBorder="1" applyAlignment="1" applyProtection="1">
      <alignment horizontal="center" vertical="center"/>
    </xf>
    <xf numFmtId="0" fontId="0" fillId="0" borderId="21" xfId="0" applyFont="1" applyFill="1" applyBorder="1" applyAlignment="1" applyProtection="1">
      <alignment vertical="center"/>
    </xf>
    <xf numFmtId="0" fontId="0" fillId="0" borderId="0" xfId="0" applyFont="1" applyFill="1" applyBorder="1" applyAlignment="1" applyProtection="1">
      <alignment vertical="center"/>
    </xf>
    <xf numFmtId="43" fontId="102" fillId="0" borderId="13" xfId="1" applyFont="1" applyBorder="1" applyAlignment="1" applyProtection="1">
      <alignment horizontal="right" vertical="center"/>
    </xf>
    <xf numFmtId="43" fontId="102" fillId="0" borderId="13" xfId="1" applyFont="1" applyBorder="1" applyAlignment="1" applyProtection="1">
      <alignment vertical="center"/>
    </xf>
    <xf numFmtId="43" fontId="102" fillId="0" borderId="17" xfId="1" applyFont="1" applyBorder="1" applyAlignment="1" applyProtection="1">
      <alignment horizontal="center" vertical="center"/>
    </xf>
    <xf numFmtId="0" fontId="0" fillId="20" borderId="17" xfId="0" applyFill="1" applyBorder="1" applyAlignment="1" applyProtection="1">
      <alignment horizontal="left" vertical="center"/>
    </xf>
    <xf numFmtId="0" fontId="0" fillId="0" borderId="65" xfId="0" applyFont="1" applyFill="1" applyBorder="1" applyAlignment="1" applyProtection="1">
      <alignment vertical="center"/>
    </xf>
    <xf numFmtId="43" fontId="11" fillId="0" borderId="8" xfId="1" applyFont="1" applyBorder="1" applyAlignment="1" applyProtection="1">
      <alignment horizontal="center" vertical="center"/>
    </xf>
    <xf numFmtId="0" fontId="11" fillId="20" borderId="8" xfId="0" applyFont="1" applyFill="1" applyBorder="1" applyAlignment="1" applyProtection="1">
      <alignment horizontal="left" vertical="center"/>
    </xf>
    <xf numFmtId="43" fontId="11" fillId="0" borderId="13" xfId="1" applyFont="1" applyBorder="1" applyAlignment="1" applyProtection="1">
      <alignment horizontal="center" vertical="center"/>
    </xf>
    <xf numFmtId="0" fontId="11" fillId="20" borderId="13" xfId="0" applyFont="1" applyFill="1" applyBorder="1" applyAlignment="1" applyProtection="1">
      <alignment horizontal="left" vertical="center" wrapText="1"/>
    </xf>
    <xf numFmtId="0" fontId="0" fillId="20" borderId="17" xfId="0" applyFill="1" applyBorder="1" applyAlignment="1" applyProtection="1">
      <alignment horizontal="left" vertical="center" wrapText="1"/>
    </xf>
    <xf numFmtId="0" fontId="0" fillId="0" borderId="21" xfId="0" applyFont="1" applyFill="1" applyBorder="1" applyAlignment="1" applyProtection="1">
      <alignment horizontal="right" vertical="center" wrapText="1"/>
    </xf>
    <xf numFmtId="0" fontId="0" fillId="0" borderId="0" xfId="0" applyFont="1" applyFill="1" applyBorder="1" applyAlignment="1" applyProtection="1">
      <alignment horizontal="center" vertical="center" wrapText="1"/>
    </xf>
    <xf numFmtId="0" fontId="0" fillId="0" borderId="65" xfId="0" applyFont="1" applyFill="1" applyBorder="1" applyAlignment="1" applyProtection="1">
      <alignment horizontal="center" vertical="center" wrapText="1"/>
    </xf>
    <xf numFmtId="43" fontId="102" fillId="0" borderId="8" xfId="1" applyFont="1" applyBorder="1" applyAlignment="1" applyProtection="1">
      <alignment horizontal="center" vertical="center"/>
    </xf>
    <xf numFmtId="0" fontId="0" fillId="20" borderId="8" xfId="0" applyFill="1" applyBorder="1" applyAlignment="1" applyProtection="1">
      <alignment horizontal="left" vertical="center" wrapText="1"/>
    </xf>
    <xf numFmtId="0" fontId="0" fillId="20" borderId="8" xfId="0" applyFill="1" applyBorder="1" applyAlignment="1" applyProtection="1">
      <alignment horizontal="left" vertical="center"/>
    </xf>
    <xf numFmtId="43" fontId="104" fillId="0" borderId="13" xfId="1" applyFont="1" applyBorder="1" applyAlignment="1" applyProtection="1">
      <alignment horizontal="center" vertical="center"/>
    </xf>
    <xf numFmtId="0" fontId="24" fillId="20" borderId="13" xfId="0" applyFont="1" applyFill="1" applyBorder="1" applyAlignment="1" applyProtection="1">
      <alignment horizontal="left" vertical="center" wrapText="1"/>
    </xf>
    <xf numFmtId="0" fontId="0" fillId="0" borderId="65" xfId="0" applyBorder="1" applyAlignment="1" applyProtection="1">
      <alignment vertical="center"/>
    </xf>
    <xf numFmtId="43" fontId="102" fillId="0" borderId="18" xfId="1" applyFont="1" applyBorder="1" applyAlignment="1" applyProtection="1">
      <alignment horizontal="center" vertical="center"/>
    </xf>
    <xf numFmtId="0" fontId="23" fillId="20" borderId="18" xfId="0" applyFont="1" applyFill="1" applyBorder="1" applyAlignment="1" applyProtection="1">
      <alignment horizontal="left" vertical="center" wrapText="1"/>
    </xf>
    <xf numFmtId="43" fontId="102" fillId="0" borderId="17" xfId="1" applyFont="1" applyBorder="1" applyAlignment="1" applyProtection="1">
      <alignment vertical="center"/>
    </xf>
    <xf numFmtId="0" fontId="11" fillId="20" borderId="17" xfId="0" applyFont="1" applyFill="1" applyBorder="1" applyAlignment="1" applyProtection="1">
      <alignment vertical="center" wrapText="1"/>
    </xf>
    <xf numFmtId="43" fontId="126" fillId="27" borderId="94" xfId="1" applyFont="1" applyFill="1" applyBorder="1" applyAlignment="1" applyProtection="1">
      <alignment horizontal="center" vertical="center"/>
    </xf>
    <xf numFmtId="0" fontId="27" fillId="27" borderId="94" xfId="0" applyFont="1" applyFill="1" applyBorder="1" applyAlignment="1" applyProtection="1">
      <alignment horizontal="left" vertical="center" wrapText="1"/>
    </xf>
    <xf numFmtId="0" fontId="0" fillId="0" borderId="21" xfId="0" applyBorder="1" applyAlignment="1" applyProtection="1">
      <alignment vertical="center"/>
    </xf>
    <xf numFmtId="0" fontId="0" fillId="0" borderId="0" xfId="0" applyBorder="1" applyAlignment="1" applyProtection="1">
      <alignment vertical="center"/>
    </xf>
    <xf numFmtId="0" fontId="0" fillId="20" borderId="77" xfId="0" applyFill="1" applyBorder="1" applyAlignment="1" applyProtection="1">
      <alignment vertical="center"/>
    </xf>
    <xf numFmtId="0" fontId="0" fillId="20" borderId="13" xfId="0" applyFill="1" applyBorder="1" applyAlignment="1" applyProtection="1">
      <alignment vertical="center"/>
    </xf>
    <xf numFmtId="0" fontId="0" fillId="0" borderId="21" xfId="0" applyFont="1" applyFill="1" applyBorder="1" applyAlignment="1" applyProtection="1">
      <alignment horizontal="center" vertical="center" wrapText="1"/>
    </xf>
    <xf numFmtId="0" fontId="0" fillId="0" borderId="0" xfId="0" applyFont="1" applyFill="1" applyBorder="1" applyAlignment="1" applyProtection="1">
      <alignment vertical="center" wrapText="1"/>
    </xf>
    <xf numFmtId="0" fontId="0" fillId="0" borderId="21" xfId="0" applyFont="1" applyFill="1" applyBorder="1" applyAlignment="1" applyProtection="1">
      <alignment vertical="center" wrapText="1"/>
    </xf>
    <xf numFmtId="168" fontId="0" fillId="0" borderId="0" xfId="0" applyNumberFormat="1" applyFont="1" applyFill="1" applyBorder="1" applyAlignment="1" applyProtection="1">
      <alignment vertical="center" wrapText="1"/>
    </xf>
    <xf numFmtId="0" fontId="0" fillId="0" borderId="21" xfId="0" applyFont="1" applyFill="1" applyBorder="1" applyAlignment="1" applyProtection="1">
      <alignment horizontal="left" vertical="center" wrapText="1"/>
    </xf>
    <xf numFmtId="0" fontId="0" fillId="0" borderId="0" xfId="0" applyFont="1" applyFill="1" applyBorder="1" applyAlignment="1" applyProtection="1">
      <alignment horizontal="left" vertical="center" wrapText="1"/>
    </xf>
    <xf numFmtId="0" fontId="0" fillId="0" borderId="66" xfId="0" applyFont="1" applyFill="1" applyBorder="1" applyAlignment="1" applyProtection="1">
      <alignment horizontal="center" vertical="center" wrapText="1"/>
    </xf>
    <xf numFmtId="0" fontId="0" fillId="0" borderId="71" xfId="0" applyFont="1" applyFill="1" applyBorder="1" applyAlignment="1" applyProtection="1">
      <alignment horizontal="center" vertical="center" wrapText="1"/>
    </xf>
    <xf numFmtId="0" fontId="0" fillId="0" borderId="60" xfId="0" applyFont="1" applyFill="1" applyBorder="1" applyAlignment="1" applyProtection="1">
      <alignment horizontal="center" vertical="center" wrapText="1"/>
    </xf>
    <xf numFmtId="0" fontId="0" fillId="0" borderId="82" xfId="0" applyFont="1" applyFill="1" applyBorder="1" applyAlignment="1" applyProtection="1">
      <alignment horizontal="center" vertical="center" wrapText="1"/>
    </xf>
    <xf numFmtId="3" fontId="0" fillId="0" borderId="8" xfId="0" applyNumberFormat="1" applyFont="1" applyFill="1" applyBorder="1" applyAlignment="1" applyProtection="1">
      <alignment vertical="center" wrapText="1"/>
    </xf>
    <xf numFmtId="0" fontId="0" fillId="0" borderId="66" xfId="0" applyFont="1" applyFill="1" applyBorder="1" applyAlignment="1" applyProtection="1">
      <alignment vertical="center"/>
    </xf>
    <xf numFmtId="0" fontId="0" fillId="0" borderId="71" xfId="0" applyFont="1" applyFill="1" applyBorder="1" applyAlignment="1" applyProtection="1">
      <alignment vertical="center"/>
    </xf>
    <xf numFmtId="0" fontId="0" fillId="0" borderId="60" xfId="0" applyFont="1" applyFill="1" applyBorder="1" applyAlignment="1" applyProtection="1">
      <alignment vertical="center"/>
    </xf>
    <xf numFmtId="43" fontId="102" fillId="0" borderId="35" xfId="1" applyFont="1" applyBorder="1" applyAlignment="1" applyProtection="1">
      <alignment horizontal="right" vertical="center"/>
    </xf>
    <xf numFmtId="0" fontId="83" fillId="2" borderId="2" xfId="0" applyFont="1" applyFill="1" applyBorder="1" applyAlignment="1">
      <alignment vertical="center"/>
    </xf>
    <xf numFmtId="2" fontId="132" fillId="15" borderId="2" xfId="0" applyNumberFormat="1" applyFont="1" applyFill="1" applyBorder="1" applyAlignment="1" applyProtection="1">
      <alignment horizontal="center" vertical="center" shrinkToFit="1"/>
    </xf>
    <xf numFmtId="43" fontId="126" fillId="27" borderId="95" xfId="1" applyFont="1" applyFill="1" applyBorder="1" applyAlignment="1" applyProtection="1">
      <alignment horizontal="center" vertical="center"/>
    </xf>
    <xf numFmtId="0" fontId="161" fillId="8" borderId="0" xfId="0" applyFont="1" applyFill="1" applyAlignment="1" applyProtection="1">
      <alignment horizontal="right" vertical="center" wrapText="1"/>
      <protection locked="0"/>
    </xf>
    <xf numFmtId="0" fontId="21" fillId="0" borderId="27" xfId="0" applyNumberFormat="1" applyFont="1" applyBorder="1" applyAlignment="1" applyProtection="1">
      <alignment horizontal="right" vertical="center"/>
      <protection hidden="1"/>
    </xf>
    <xf numFmtId="0" fontId="105" fillId="13" borderId="0" xfId="0" applyFont="1" applyFill="1" applyAlignment="1" applyProtection="1">
      <alignment vertical="center"/>
      <protection locked="0"/>
    </xf>
    <xf numFmtId="0" fontId="107" fillId="13" borderId="72" xfId="0" applyFont="1" applyFill="1" applyBorder="1" applyAlignment="1" applyProtection="1">
      <alignment horizontal="left" vertical="center"/>
      <protection locked="0"/>
    </xf>
    <xf numFmtId="0" fontId="105" fillId="13" borderId="72" xfId="0" applyFont="1" applyFill="1" applyBorder="1" applyAlignment="1" applyProtection="1">
      <alignment vertical="center"/>
      <protection locked="0"/>
    </xf>
    <xf numFmtId="1" fontId="105" fillId="13" borderId="64" xfId="0" applyNumberFormat="1" applyFont="1" applyFill="1" applyBorder="1" applyAlignment="1" applyProtection="1">
      <alignment vertical="center"/>
      <protection locked="0"/>
    </xf>
    <xf numFmtId="0" fontId="107" fillId="13" borderId="0" xfId="0" applyFont="1" applyFill="1" applyBorder="1" applyAlignment="1" applyProtection="1">
      <alignment horizontal="left" vertical="center"/>
      <protection locked="0"/>
    </xf>
    <xf numFmtId="0" fontId="107" fillId="13" borderId="71" xfId="0" applyFont="1" applyFill="1" applyBorder="1" applyAlignment="1" applyProtection="1">
      <alignment horizontal="left" vertical="center"/>
      <protection locked="0"/>
    </xf>
    <xf numFmtId="0" fontId="108" fillId="13" borderId="72" xfId="0" applyFont="1" applyFill="1" applyBorder="1" applyAlignment="1" applyProtection="1">
      <alignment horizontal="left" vertical="center"/>
      <protection locked="0"/>
    </xf>
    <xf numFmtId="1" fontId="107" fillId="13" borderId="0" xfId="0" applyNumberFormat="1" applyFont="1" applyFill="1" applyBorder="1" applyAlignment="1" applyProtection="1">
      <alignment horizontal="left" vertical="center"/>
      <protection locked="0"/>
    </xf>
    <xf numFmtId="1" fontId="107" fillId="13" borderId="71" xfId="0" applyNumberFormat="1" applyFont="1" applyFill="1" applyBorder="1" applyAlignment="1" applyProtection="1">
      <alignment horizontal="left" vertical="center"/>
      <protection locked="0"/>
    </xf>
    <xf numFmtId="0" fontId="11" fillId="0" borderId="0" xfId="0" applyFont="1" applyBorder="1" applyAlignment="1" applyProtection="1">
      <alignment horizontal="left"/>
      <protection hidden="1"/>
    </xf>
    <xf numFmtId="0" fontId="11" fillId="0" borderId="0" xfId="0" applyFont="1" applyBorder="1" applyAlignment="1" applyProtection="1">
      <protection hidden="1"/>
    </xf>
    <xf numFmtId="0" fontId="11" fillId="0" borderId="15" xfId="0" applyFont="1" applyBorder="1" applyAlignment="1" applyProtection="1">
      <alignment horizontal="center"/>
      <protection hidden="1"/>
    </xf>
    <xf numFmtId="3" fontId="25" fillId="0" borderId="0" xfId="0" applyNumberFormat="1" applyFont="1" applyBorder="1" applyAlignment="1" applyProtection="1">
      <alignment vertical="center"/>
      <protection hidden="1"/>
    </xf>
    <xf numFmtId="3" fontId="11" fillId="0" borderId="15" xfId="0" applyNumberFormat="1" applyFont="1" applyBorder="1" applyAlignment="1" applyProtection="1">
      <alignment vertical="center"/>
      <protection hidden="1"/>
    </xf>
    <xf numFmtId="0" fontId="0" fillId="0" borderId="83" xfId="0" applyFont="1" applyFill="1" applyBorder="1" applyAlignment="1" applyProtection="1">
      <alignment horizontal="center" vertical="center" wrapText="1"/>
    </xf>
    <xf numFmtId="0" fontId="0" fillId="0" borderId="10" xfId="0" applyFont="1" applyFill="1" applyBorder="1" applyAlignment="1" applyProtection="1">
      <alignment horizontal="center" vertical="center" wrapText="1"/>
    </xf>
    <xf numFmtId="0" fontId="0" fillId="0" borderId="35" xfId="0" applyFont="1" applyFill="1" applyBorder="1" applyAlignment="1" applyProtection="1">
      <alignment horizontal="center" vertical="center" wrapText="1"/>
    </xf>
    <xf numFmtId="0" fontId="0" fillId="0" borderId="17" xfId="0" applyFont="1" applyFill="1" applyBorder="1" applyAlignment="1" applyProtection="1">
      <alignment horizontal="center" vertical="center" wrapText="1"/>
    </xf>
    <xf numFmtId="0" fontId="0" fillId="0" borderId="13" xfId="0" applyFont="1" applyFill="1" applyBorder="1" applyAlignment="1" applyProtection="1">
      <alignment horizontal="center" vertical="center" wrapText="1"/>
    </xf>
    <xf numFmtId="0" fontId="10" fillId="0" borderId="8" xfId="0" applyFont="1" applyBorder="1" applyAlignment="1" applyProtection="1">
      <alignment horizontal="center" vertical="center" shrinkToFit="1"/>
      <protection locked="0" hidden="1"/>
    </xf>
    <xf numFmtId="0" fontId="67" fillId="0" borderId="0" xfId="0" applyFont="1" applyBorder="1" applyAlignment="1" applyProtection="1">
      <alignment horizontal="left" vertical="center"/>
      <protection hidden="1"/>
    </xf>
    <xf numFmtId="0" fontId="0" fillId="0" borderId="21" xfId="0" applyBorder="1" applyAlignment="1" applyProtection="1"/>
    <xf numFmtId="0" fontId="0" fillId="0" borderId="0" xfId="0" applyBorder="1" applyAlignment="1" applyProtection="1"/>
    <xf numFmtId="0" fontId="0" fillId="0" borderId="65" xfId="0" applyBorder="1" applyAlignment="1" applyProtection="1"/>
    <xf numFmtId="0" fontId="0" fillId="0" borderId="16" xfId="0" applyBorder="1" applyAlignment="1" applyProtection="1"/>
    <xf numFmtId="0" fontId="0" fillId="0" borderId="73" xfId="0" applyBorder="1" applyAlignment="1" applyProtection="1"/>
    <xf numFmtId="0" fontId="0" fillId="0" borderId="3" xfId="0" applyBorder="1" applyAlignment="1" applyProtection="1"/>
    <xf numFmtId="49" fontId="0" fillId="0" borderId="0" xfId="0" applyNumberFormat="1" applyBorder="1" applyAlignment="1" applyProtection="1"/>
    <xf numFmtId="0" fontId="0" fillId="0" borderId="66" xfId="0" applyBorder="1" applyAlignment="1" applyProtection="1"/>
    <xf numFmtId="0" fontId="0" fillId="0" borderId="71" xfId="0" applyBorder="1" applyAlignment="1" applyProtection="1"/>
    <xf numFmtId="0" fontId="0" fillId="0" borderId="60" xfId="0" applyBorder="1" applyAlignment="1" applyProtection="1"/>
    <xf numFmtId="0" fontId="10" fillId="20" borderId="8" xfId="0" applyFont="1" applyFill="1" applyBorder="1" applyAlignment="1" applyProtection="1">
      <alignment horizontal="center" vertical="center" shrinkToFit="1"/>
      <protection hidden="1"/>
    </xf>
    <xf numFmtId="1" fontId="10" fillId="20" borderId="8" xfId="0" applyNumberFormat="1" applyFont="1" applyFill="1" applyBorder="1" applyAlignment="1" applyProtection="1">
      <alignment horizontal="center" vertical="center" shrinkToFit="1"/>
      <protection hidden="1"/>
    </xf>
    <xf numFmtId="0" fontId="76" fillId="20" borderId="8" xfId="0" applyFont="1" applyFill="1" applyBorder="1" applyAlignment="1" applyProtection="1">
      <alignment horizontal="center" vertical="center" wrapText="1"/>
      <protection hidden="1"/>
    </xf>
    <xf numFmtId="0" fontId="75" fillId="20" borderId="8" xfId="0" applyFont="1" applyFill="1" applyBorder="1" applyAlignment="1" applyProtection="1">
      <alignment horizontal="center" vertical="center" wrapText="1"/>
      <protection locked="0" hidden="1"/>
    </xf>
    <xf numFmtId="0" fontId="11" fillId="0" borderId="0" xfId="0" applyFont="1" applyBorder="1" applyAlignment="1" applyProtection="1">
      <alignment horizontal="left"/>
      <protection hidden="1"/>
    </xf>
    <xf numFmtId="0" fontId="24" fillId="0" borderId="0" xfId="0" applyFont="1" applyBorder="1" applyAlignment="1" applyProtection="1">
      <alignment horizontal="left"/>
      <protection hidden="1"/>
    </xf>
    <xf numFmtId="0" fontId="11" fillId="0" borderId="0" xfId="0" applyFont="1" applyBorder="1" applyAlignment="1" applyProtection="1">
      <protection hidden="1"/>
    </xf>
    <xf numFmtId="0" fontId="25" fillId="0" borderId="0" xfId="0" applyFont="1" applyBorder="1" applyAlignment="1" applyProtection="1">
      <alignment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vertical="center"/>
      <protection hidden="1"/>
    </xf>
    <xf numFmtId="0" fontId="11" fillId="0" borderId="36" xfId="0" applyFont="1" applyBorder="1" applyAlignment="1" applyProtection="1">
      <alignment horizontal="left"/>
      <protection hidden="1"/>
    </xf>
    <xf numFmtId="165" fontId="11" fillId="0" borderId="0" xfId="0" applyNumberFormat="1" applyFont="1" applyBorder="1" applyAlignment="1" applyProtection="1">
      <alignment horizontal="left"/>
      <protection hidden="1"/>
    </xf>
    <xf numFmtId="0" fontId="25" fillId="0" borderId="49" xfId="0" applyFont="1" applyBorder="1" applyAlignment="1" applyProtection="1">
      <alignment horizontal="center"/>
      <protection locked="0" hidden="1"/>
    </xf>
    <xf numFmtId="0" fontId="25" fillId="0" borderId="127" xfId="0" applyFont="1" applyBorder="1" applyAlignment="1" applyProtection="1">
      <alignment horizontal="center"/>
      <protection locked="0" hidden="1"/>
    </xf>
    <xf numFmtId="0" fontId="25" fillId="0" borderId="48" xfId="0" applyFont="1" applyBorder="1" applyAlignment="1" applyProtection="1">
      <alignment horizontal="center"/>
      <protection locked="0" hidden="1"/>
    </xf>
    <xf numFmtId="41" fontId="11" fillId="0" borderId="0" xfId="0" applyNumberFormat="1" applyFont="1" applyFill="1" applyBorder="1" applyAlignment="1" applyProtection="1">
      <protection hidden="1"/>
    </xf>
    <xf numFmtId="1" fontId="11" fillId="0" borderId="0" xfId="0" applyNumberFormat="1" applyFont="1" applyBorder="1" applyAlignment="1" applyProtection="1">
      <protection hidden="1"/>
    </xf>
    <xf numFmtId="0" fontId="25" fillId="0" borderId="128" xfId="0" applyFont="1" applyBorder="1" applyAlignment="1" applyProtection="1">
      <alignment horizontal="center"/>
      <protection hidden="1"/>
    </xf>
    <xf numFmtId="0" fontId="25" fillId="0" borderId="132" xfId="0" applyFont="1" applyBorder="1" applyAlignment="1" applyProtection="1">
      <alignment horizontal="center"/>
      <protection hidden="1"/>
    </xf>
    <xf numFmtId="0" fontId="25" fillId="0" borderId="130" xfId="0" applyFont="1" applyBorder="1" applyAlignment="1" applyProtection="1">
      <alignment horizontal="center"/>
      <protection hidden="1"/>
    </xf>
    <xf numFmtId="0" fontId="25" fillId="0" borderId="110" xfId="0" applyFont="1" applyBorder="1" applyAlignment="1" applyProtection="1">
      <protection hidden="1"/>
    </xf>
    <xf numFmtId="0" fontId="25" fillId="0" borderId="111" xfId="0" applyFont="1" applyBorder="1" applyAlignment="1" applyProtection="1">
      <protection hidden="1"/>
    </xf>
    <xf numFmtId="0" fontId="25" fillId="0" borderId="112" xfId="0" applyFont="1" applyBorder="1" applyAlignment="1" applyProtection="1">
      <protection hidden="1"/>
    </xf>
    <xf numFmtId="0" fontId="25" fillId="0" borderId="134" xfId="0" applyFont="1" applyBorder="1" applyAlignment="1" applyProtection="1">
      <alignment horizontal="center"/>
      <protection hidden="1"/>
    </xf>
    <xf numFmtId="0" fontId="25" fillId="0" borderId="50" xfId="0" applyFont="1" applyBorder="1" applyAlignment="1" applyProtection="1">
      <alignment horizontal="center"/>
      <protection locked="0" hidden="1"/>
    </xf>
    <xf numFmtId="0" fontId="2" fillId="7" borderId="20" xfId="0" applyFont="1" applyFill="1" applyBorder="1" applyAlignment="1">
      <alignment horizontal="center" vertical="center"/>
    </xf>
    <xf numFmtId="0" fontId="2" fillId="2" borderId="101" xfId="0" applyFont="1" applyFill="1" applyBorder="1" applyAlignment="1">
      <alignment vertical="center"/>
    </xf>
    <xf numFmtId="0" fontId="2" fillId="2" borderId="12" xfId="0" applyFont="1" applyFill="1" applyBorder="1" applyAlignment="1">
      <alignment vertical="center"/>
    </xf>
    <xf numFmtId="0" fontId="105" fillId="26" borderId="2" xfId="0" applyFont="1" applyFill="1" applyBorder="1" applyAlignment="1" applyProtection="1">
      <alignment horizontal="left" vertical="center"/>
      <protection locked="0"/>
    </xf>
    <xf numFmtId="0" fontId="105" fillId="15" borderId="2" xfId="0" applyFont="1" applyFill="1" applyBorder="1" applyAlignment="1" applyProtection="1">
      <alignment horizontal="left" vertical="center"/>
      <protection locked="0"/>
    </xf>
    <xf numFmtId="0" fontId="111" fillId="8" borderId="73" xfId="0" applyFont="1" applyFill="1" applyBorder="1" applyAlignment="1" applyProtection="1">
      <alignment vertical="center"/>
      <protection locked="0"/>
    </xf>
    <xf numFmtId="0" fontId="111" fillId="8" borderId="3" xfId="0" applyFont="1" applyFill="1" applyBorder="1" applyAlignment="1" applyProtection="1">
      <alignment vertical="center"/>
      <protection locked="0"/>
    </xf>
    <xf numFmtId="0" fontId="105" fillId="15" borderId="0" xfId="0" applyFont="1" applyFill="1" applyAlignment="1" applyProtection="1">
      <alignment horizontal="left" vertical="center" indent="10"/>
      <protection locked="0"/>
    </xf>
    <xf numFmtId="49" fontId="105" fillId="15" borderId="0" xfId="0" applyNumberFormat="1" applyFont="1" applyFill="1" applyAlignment="1" applyProtection="1">
      <alignment horizontal="left" vertical="center" indent="10"/>
      <protection locked="0"/>
    </xf>
    <xf numFmtId="0" fontId="54" fillId="15" borderId="0" xfId="0" applyFont="1" applyFill="1" applyAlignment="1" applyProtection="1">
      <alignment vertical="center"/>
      <protection locked="0"/>
    </xf>
    <xf numFmtId="0" fontId="54" fillId="15" borderId="3" xfId="0" applyFont="1" applyFill="1" applyBorder="1" applyAlignment="1" applyProtection="1">
      <alignment vertical="center"/>
      <protection locked="0"/>
    </xf>
    <xf numFmtId="0" fontId="54" fillId="15" borderId="3" xfId="0" applyFont="1" applyFill="1" applyBorder="1" applyAlignment="1" applyProtection="1">
      <alignment horizontal="center" vertical="center"/>
      <protection locked="0"/>
    </xf>
    <xf numFmtId="0" fontId="105" fillId="15" borderId="2" xfId="0" applyNumberFormat="1" applyFont="1" applyFill="1" applyBorder="1" applyAlignment="1" applyProtection="1">
      <alignment horizontal="center" vertical="center"/>
      <protection locked="0"/>
    </xf>
    <xf numFmtId="0" fontId="54" fillId="15" borderId="16" xfId="0" applyFont="1" applyFill="1" applyBorder="1" applyAlignment="1" applyProtection="1">
      <alignment horizontal="center" vertical="center"/>
      <protection locked="0"/>
    </xf>
    <xf numFmtId="0" fontId="54" fillId="15" borderId="73" xfId="0" applyFont="1" applyFill="1" applyBorder="1" applyAlignment="1" applyProtection="1">
      <alignment horizontal="center" vertical="center"/>
      <protection locked="0"/>
    </xf>
    <xf numFmtId="0" fontId="40" fillId="15" borderId="0" xfId="0" applyFont="1" applyFill="1" applyAlignment="1" applyProtection="1">
      <alignment vertical="center"/>
      <protection locked="0"/>
    </xf>
    <xf numFmtId="0" fontId="111" fillId="8" borderId="65" xfId="0" applyFont="1" applyFill="1" applyBorder="1" applyAlignment="1" applyProtection="1">
      <alignment horizontal="right" vertical="center"/>
      <protection locked="0"/>
    </xf>
    <xf numFmtId="49" fontId="111" fillId="8" borderId="65" xfId="0" applyNumberFormat="1" applyFont="1" applyFill="1" applyBorder="1" applyAlignment="1" applyProtection="1">
      <alignment horizontal="right" vertical="center"/>
      <protection locked="0"/>
    </xf>
    <xf numFmtId="0" fontId="111" fillId="15" borderId="2" xfId="0" applyFont="1" applyFill="1" applyBorder="1" applyAlignment="1" applyProtection="1">
      <alignment horizontal="right" vertical="center"/>
      <protection locked="0"/>
    </xf>
    <xf numFmtId="49" fontId="111" fillId="15" borderId="4" xfId="0" applyNumberFormat="1" applyFont="1" applyFill="1" applyBorder="1" applyAlignment="1" applyProtection="1">
      <alignment horizontal="right" vertical="center"/>
      <protection locked="0"/>
    </xf>
    <xf numFmtId="0" fontId="111" fillId="15" borderId="4" xfId="0" applyFont="1" applyFill="1" applyBorder="1" applyAlignment="1" applyProtection="1">
      <alignment horizontal="right" vertical="center"/>
      <protection locked="0"/>
    </xf>
    <xf numFmtId="0" fontId="105" fillId="15" borderId="16" xfId="0" applyFont="1" applyFill="1" applyBorder="1" applyAlignment="1" applyProtection="1">
      <alignment horizontal="right" vertical="center" indent="1"/>
      <protection locked="0"/>
    </xf>
    <xf numFmtId="0" fontId="105" fillId="15" borderId="73" xfId="0" applyFont="1" applyFill="1" applyBorder="1" applyAlignment="1" applyProtection="1">
      <alignment horizontal="right" vertical="center" indent="1"/>
      <protection locked="0"/>
    </xf>
    <xf numFmtId="0" fontId="105" fillId="15" borderId="3" xfId="0" applyFont="1" applyFill="1" applyBorder="1" applyAlignment="1" applyProtection="1">
      <alignment horizontal="right" vertical="center" indent="1"/>
      <protection locked="0"/>
    </xf>
    <xf numFmtId="0" fontId="54" fillId="12" borderId="7" xfId="0" applyFont="1" applyFill="1" applyBorder="1" applyAlignment="1" applyProtection="1">
      <alignment horizontal="center" vertical="center"/>
      <protection locked="0"/>
    </xf>
    <xf numFmtId="0" fontId="54" fillId="12" borderId="4" xfId="0" applyFont="1" applyFill="1" applyBorder="1" applyAlignment="1" applyProtection="1">
      <alignment horizontal="center" vertical="center"/>
      <protection locked="0"/>
    </xf>
    <xf numFmtId="0" fontId="54" fillId="12" borderId="16" xfId="0" applyFont="1" applyFill="1" applyBorder="1" applyAlignment="1" applyProtection="1">
      <alignment horizontal="center" vertical="center"/>
      <protection locked="0"/>
    </xf>
    <xf numFmtId="0" fontId="54" fillId="12" borderId="3" xfId="0" applyFont="1" applyFill="1" applyBorder="1" applyAlignment="1" applyProtection="1">
      <alignment horizontal="center" vertical="center"/>
      <protection locked="0"/>
    </xf>
    <xf numFmtId="0" fontId="19" fillId="24" borderId="72" xfId="0" applyFont="1" applyFill="1" applyBorder="1" applyAlignment="1" applyProtection="1">
      <alignment horizontal="center" vertical="center"/>
      <protection hidden="1"/>
    </xf>
    <xf numFmtId="0" fontId="54" fillId="17" borderId="21" xfId="0" applyFont="1" applyFill="1" applyBorder="1" applyAlignment="1" applyProtection="1">
      <alignment vertical="center"/>
      <protection locked="0"/>
    </xf>
    <xf numFmtId="0" fontId="25" fillId="0" borderId="8" xfId="0" applyFont="1" applyBorder="1" applyAlignment="1" applyProtection="1">
      <alignment horizontal="center"/>
      <protection hidden="1"/>
    </xf>
    <xf numFmtId="0" fontId="25" fillId="0" borderId="8" xfId="0" applyFont="1" applyBorder="1" applyAlignment="1" applyProtection="1">
      <protection hidden="1"/>
    </xf>
    <xf numFmtId="0" fontId="25" fillId="0" borderId="114" xfId="0" applyFont="1" applyBorder="1" applyAlignment="1" applyProtection="1">
      <alignment horizontal="center"/>
      <protection hidden="1"/>
    </xf>
    <xf numFmtId="0" fontId="25" fillId="0" borderId="136" xfId="0" applyFont="1" applyBorder="1" applyAlignment="1" applyProtection="1">
      <protection hidden="1"/>
    </xf>
    <xf numFmtId="0" fontId="105" fillId="8" borderId="10" xfId="0" applyFont="1" applyFill="1" applyBorder="1" applyAlignment="1" applyProtection="1">
      <alignment vertical="center"/>
      <protection locked="0"/>
    </xf>
    <xf numFmtId="0" fontId="105" fillId="8" borderId="17" xfId="0" applyFont="1" applyFill="1" applyBorder="1" applyAlignment="1" applyProtection="1">
      <alignment vertical="center"/>
      <protection locked="0"/>
    </xf>
    <xf numFmtId="0" fontId="167" fillId="16" borderId="4" xfId="0" applyFont="1" applyFill="1" applyBorder="1" applyAlignment="1" applyProtection="1">
      <alignment vertical="center"/>
      <protection hidden="1"/>
    </xf>
    <xf numFmtId="0" fontId="167" fillId="16" borderId="64" xfId="0" applyFont="1" applyFill="1" applyBorder="1" applyAlignment="1" applyProtection="1">
      <alignment vertical="center"/>
      <protection hidden="1"/>
    </xf>
    <xf numFmtId="0" fontId="27" fillId="0" borderId="15" xfId="0" applyFont="1" applyBorder="1" applyAlignment="1" applyProtection="1">
      <alignment horizontal="center" vertical="center"/>
      <protection hidden="1"/>
    </xf>
    <xf numFmtId="0" fontId="40" fillId="16" borderId="0" xfId="0" applyFont="1" applyFill="1" applyAlignment="1" applyProtection="1">
      <alignment vertical="center"/>
      <protection locked="0"/>
    </xf>
    <xf numFmtId="0" fontId="105" fillId="0" borderId="0" xfId="0" applyFont="1" applyFill="1" applyAlignment="1" applyProtection="1">
      <alignment vertical="center"/>
      <protection locked="0"/>
    </xf>
    <xf numFmtId="41" fontId="22" fillId="0" borderId="27" xfId="0" applyNumberFormat="1" applyFont="1" applyBorder="1" applyAlignment="1" applyProtection="1">
      <alignment vertical="center"/>
      <protection hidden="1"/>
    </xf>
    <xf numFmtId="41" fontId="22" fillId="0" borderId="65" xfId="0" applyNumberFormat="1" applyFont="1" applyBorder="1" applyAlignment="1" applyProtection="1">
      <alignment vertical="center"/>
      <protection hidden="1"/>
    </xf>
    <xf numFmtId="41" fontId="21" fillId="0" borderId="24" xfId="0" applyNumberFormat="1" applyFont="1" applyBorder="1" applyAlignment="1" applyProtection="1">
      <alignment vertical="center"/>
      <protection locked="0"/>
    </xf>
    <xf numFmtId="41" fontId="24" fillId="0" borderId="65" xfId="0" applyNumberFormat="1" applyFont="1" applyBorder="1" applyAlignment="1" applyProtection="1">
      <alignment vertical="center"/>
      <protection hidden="1"/>
    </xf>
    <xf numFmtId="41" fontId="21" fillId="0" borderId="6" xfId="0" applyNumberFormat="1" applyFont="1" applyBorder="1" applyAlignment="1" applyProtection="1">
      <alignment vertical="center"/>
      <protection hidden="1"/>
    </xf>
    <xf numFmtId="41" fontId="21" fillId="0" borderId="65" xfId="0" applyNumberFormat="1" applyFont="1" applyBorder="1" applyAlignment="1" applyProtection="1">
      <alignment vertical="center"/>
      <protection hidden="1"/>
    </xf>
    <xf numFmtId="41" fontId="21" fillId="0" borderId="67" xfId="0" applyNumberFormat="1" applyFont="1" applyBorder="1" applyAlignment="1" applyProtection="1">
      <alignment vertical="center"/>
      <protection hidden="1"/>
    </xf>
    <xf numFmtId="41" fontId="21" fillId="0" borderId="24" xfId="0" applyNumberFormat="1" applyFont="1" applyBorder="1" applyAlignment="1" applyProtection="1">
      <alignment vertical="center"/>
      <protection hidden="1"/>
    </xf>
    <xf numFmtId="41" fontId="27" fillId="0" borderId="65" xfId="0" applyNumberFormat="1" applyFont="1" applyBorder="1" applyAlignment="1" applyProtection="1">
      <alignment horizontal="right" vertical="center"/>
      <protection hidden="1"/>
    </xf>
    <xf numFmtId="0" fontId="48" fillId="0" borderId="125" xfId="0" applyFont="1" applyBorder="1" applyAlignment="1">
      <alignment vertical="center"/>
    </xf>
    <xf numFmtId="0" fontId="48" fillId="0" borderId="65" xfId="0" applyFont="1" applyBorder="1" applyAlignment="1">
      <alignment vertical="center"/>
    </xf>
    <xf numFmtId="0" fontId="109" fillId="0" borderId="65" xfId="0" applyFont="1" applyBorder="1" applyAlignment="1">
      <alignment vertical="center"/>
    </xf>
    <xf numFmtId="41" fontId="21" fillId="0" borderId="33" xfId="0" applyNumberFormat="1" applyFont="1" applyBorder="1" applyAlignment="1" applyProtection="1">
      <alignment vertical="center"/>
      <protection hidden="1"/>
    </xf>
    <xf numFmtId="41" fontId="21" fillId="0" borderId="125" xfId="0" applyNumberFormat="1" applyFont="1" applyBorder="1" applyAlignment="1" applyProtection="1">
      <alignment vertical="center"/>
      <protection hidden="1"/>
    </xf>
    <xf numFmtId="41" fontId="21" fillId="0" borderId="9" xfId="0" applyNumberFormat="1" applyFont="1" applyBorder="1" applyAlignment="1" applyProtection="1">
      <alignment vertical="center"/>
      <protection hidden="1"/>
    </xf>
    <xf numFmtId="41" fontId="24" fillId="0" borderId="126" xfId="0" applyNumberFormat="1" applyFont="1" applyBorder="1" applyAlignment="1" applyProtection="1">
      <alignment vertical="center"/>
      <protection hidden="1"/>
    </xf>
    <xf numFmtId="41" fontId="24" fillId="0" borderId="67" xfId="0" applyNumberFormat="1" applyFont="1" applyBorder="1" applyAlignment="1" applyProtection="1">
      <alignment vertical="center"/>
      <protection hidden="1"/>
    </xf>
    <xf numFmtId="41" fontId="21" fillId="0" borderId="6" xfId="0" applyNumberFormat="1" applyFont="1" applyBorder="1" applyAlignment="1" applyProtection="1">
      <alignment vertical="center"/>
      <protection locked="0"/>
    </xf>
    <xf numFmtId="41" fontId="24" fillId="0" borderId="68" xfId="0" applyNumberFormat="1" applyFont="1" applyBorder="1" applyAlignment="1" applyProtection="1">
      <alignment vertical="center"/>
      <protection hidden="1"/>
    </xf>
    <xf numFmtId="41" fontId="21" fillId="0" borderId="69" xfId="0" applyNumberFormat="1" applyFont="1" applyBorder="1" applyAlignment="1" applyProtection="1">
      <alignment vertical="center"/>
      <protection hidden="1"/>
    </xf>
    <xf numFmtId="41" fontId="21" fillId="0" borderId="69" xfId="0" applyNumberFormat="1" applyFont="1" applyBorder="1" applyAlignment="1" applyProtection="1">
      <alignment horizontal="right" vertical="center"/>
      <protection hidden="1"/>
    </xf>
    <xf numFmtId="3" fontId="21" fillId="0" borderId="11" xfId="0" applyNumberFormat="1" applyFont="1" applyBorder="1" applyAlignment="1" applyProtection="1">
      <alignment vertical="center"/>
      <protection hidden="1"/>
    </xf>
    <xf numFmtId="3" fontId="27" fillId="0" borderId="70" xfId="0" applyNumberFormat="1" applyFont="1" applyBorder="1" applyAlignment="1" applyProtection="1">
      <alignment vertical="center"/>
      <protection hidden="1"/>
    </xf>
    <xf numFmtId="1" fontId="105" fillId="8" borderId="0" xfId="0" applyNumberFormat="1" applyFont="1" applyFill="1" applyAlignment="1" applyProtection="1">
      <alignment vertical="center"/>
      <protection locked="0"/>
    </xf>
    <xf numFmtId="0" fontId="11" fillId="0" borderId="0" xfId="0" applyFont="1" applyBorder="1" applyAlignment="1" applyProtection="1">
      <alignment vertical="center"/>
      <protection hidden="1"/>
    </xf>
    <xf numFmtId="3" fontId="25" fillId="0" borderId="0" xfId="0" applyNumberFormat="1" applyFont="1" applyBorder="1" applyAlignment="1" applyProtection="1">
      <alignment vertical="center"/>
      <protection hidden="1"/>
    </xf>
    <xf numFmtId="0" fontId="11" fillId="0" borderId="15" xfId="0" applyFont="1" applyBorder="1" applyAlignment="1" applyProtection="1">
      <alignment vertical="center"/>
      <protection hidden="1"/>
    </xf>
    <xf numFmtId="0" fontId="11" fillId="0" borderId="6" xfId="0" applyFont="1" applyBorder="1" applyAlignment="1" applyProtection="1">
      <alignment vertical="center"/>
      <protection hidden="1"/>
    </xf>
    <xf numFmtId="43" fontId="102" fillId="0" borderId="18" xfId="1" applyFont="1" applyBorder="1" applyAlignment="1" applyProtection="1">
      <alignment horizontal="center" vertical="center"/>
    </xf>
    <xf numFmtId="0" fontId="0" fillId="4" borderId="0" xfId="0" applyFill="1" applyAlignment="1">
      <alignment horizontal="left" vertical="center" wrapText="1"/>
    </xf>
    <xf numFmtId="0" fontId="37" fillId="2" borderId="8" xfId="0" applyFont="1" applyFill="1" applyBorder="1" applyAlignment="1">
      <alignment horizontal="left" vertical="center" wrapText="1"/>
    </xf>
    <xf numFmtId="0" fontId="35" fillId="4" borderId="0" xfId="0" applyFont="1" applyFill="1" applyAlignment="1">
      <alignment horizontal="left" vertical="center" wrapText="1"/>
    </xf>
    <xf numFmtId="0" fontId="60" fillId="29" borderId="21" xfId="0" applyFont="1" applyFill="1" applyBorder="1" applyAlignment="1" applyProtection="1">
      <alignment horizontal="center" vertical="center" wrapText="1"/>
      <protection locked="0"/>
    </xf>
    <xf numFmtId="0" fontId="60" fillId="29" borderId="0" xfId="0" applyFont="1" applyFill="1" applyBorder="1" applyAlignment="1" applyProtection="1">
      <alignment horizontal="center" vertical="center" wrapText="1"/>
      <protection locked="0"/>
    </xf>
    <xf numFmtId="0" fontId="33" fillId="2" borderId="59" xfId="0" applyFont="1" applyFill="1" applyBorder="1" applyAlignment="1">
      <alignment horizontal="left" vertical="center" wrapText="1"/>
    </xf>
    <xf numFmtId="0" fontId="33" fillId="2" borderId="6" xfId="0" applyFont="1" applyFill="1" applyBorder="1" applyAlignment="1">
      <alignment horizontal="left" vertical="center" wrapText="1"/>
    </xf>
    <xf numFmtId="0" fontId="33" fillId="2" borderId="17" xfId="0" applyFont="1" applyFill="1" applyBorder="1" applyAlignment="1">
      <alignment horizontal="left" vertical="center" wrapText="1"/>
    </xf>
    <xf numFmtId="0" fontId="33" fillId="2" borderId="18" xfId="0" applyFont="1" applyFill="1" applyBorder="1" applyAlignment="1">
      <alignment horizontal="left" vertical="center" wrapText="1"/>
    </xf>
    <xf numFmtId="0" fontId="34" fillId="4" borderId="0" xfId="0" applyFont="1" applyFill="1" applyAlignment="1">
      <alignment horizontal="left" vertical="center"/>
    </xf>
    <xf numFmtId="0" fontId="2" fillId="12" borderId="7" xfId="0" applyFont="1" applyFill="1" applyBorder="1" applyAlignment="1" applyProtection="1">
      <alignment horizontal="center" vertical="center"/>
      <protection locked="0"/>
    </xf>
    <xf numFmtId="0" fontId="2" fillId="12" borderId="4" xfId="0" applyFont="1" applyFill="1" applyBorder="1" applyAlignment="1" applyProtection="1">
      <alignment horizontal="center" vertical="center"/>
      <protection locked="0"/>
    </xf>
    <xf numFmtId="0" fontId="133" fillId="22" borderId="7" xfId="0" applyFont="1" applyFill="1" applyBorder="1" applyAlignment="1">
      <alignment horizontal="center" vertical="center"/>
    </xf>
    <xf numFmtId="0" fontId="133" fillId="22" borderId="61" xfId="0" applyFont="1" applyFill="1" applyBorder="1" applyAlignment="1">
      <alignment horizontal="center" vertical="center"/>
    </xf>
    <xf numFmtId="0" fontId="133" fillId="22" borderId="4" xfId="0" applyFont="1" applyFill="1" applyBorder="1" applyAlignment="1">
      <alignment horizontal="center" vertical="center"/>
    </xf>
    <xf numFmtId="0" fontId="141" fillId="19" borderId="7" xfId="2" applyFont="1" applyFill="1" applyBorder="1" applyAlignment="1" applyProtection="1">
      <alignment horizontal="center" vertical="center" wrapText="1"/>
      <protection locked="0"/>
    </xf>
    <xf numFmtId="0" fontId="142" fillId="19" borderId="61" xfId="0" applyFont="1" applyFill="1" applyBorder="1" applyAlignment="1" applyProtection="1">
      <alignment horizontal="center" vertical="center" wrapText="1"/>
      <protection locked="0"/>
    </xf>
    <xf numFmtId="169" fontId="2" fillId="12" borderId="20" xfId="1" applyNumberFormat="1" applyFont="1" applyFill="1" applyBorder="1" applyAlignment="1" applyProtection="1">
      <alignment horizontal="center" vertical="center"/>
      <protection locked="0"/>
    </xf>
    <xf numFmtId="169" fontId="2" fillId="12" borderId="72" xfId="1" applyNumberFormat="1" applyFont="1" applyFill="1" applyBorder="1" applyAlignment="1" applyProtection="1">
      <alignment horizontal="center" vertical="center"/>
      <protection locked="0"/>
    </xf>
    <xf numFmtId="0" fontId="105" fillId="29" borderId="7" xfId="0" applyFont="1" applyFill="1" applyBorder="1" applyAlignment="1">
      <alignment horizontal="center" vertical="center"/>
    </xf>
    <xf numFmtId="0" fontId="105" fillId="29" borderId="61" xfId="0" applyFont="1" applyFill="1" applyBorder="1" applyAlignment="1">
      <alignment horizontal="center" vertical="center"/>
    </xf>
    <xf numFmtId="0" fontId="105" fillId="29" borderId="4" xfId="0" applyFont="1" applyFill="1" applyBorder="1" applyAlignment="1">
      <alignment horizontal="center" vertical="center"/>
    </xf>
    <xf numFmtId="169" fontId="2" fillId="12" borderId="20" xfId="1" applyNumberFormat="1" applyFont="1" applyFill="1" applyBorder="1" applyAlignment="1" applyProtection="1">
      <alignment horizontal="left" vertical="center" indent="1"/>
      <protection locked="0"/>
    </xf>
    <xf numFmtId="169" fontId="2" fillId="12" borderId="72" xfId="1" applyNumberFormat="1" applyFont="1" applyFill="1" applyBorder="1" applyAlignment="1" applyProtection="1">
      <alignment horizontal="left" vertical="center" indent="1"/>
      <protection locked="0"/>
    </xf>
    <xf numFmtId="0" fontId="118" fillId="29" borderId="16" xfId="0" applyFont="1" applyFill="1" applyBorder="1" applyAlignment="1" applyProtection="1">
      <alignment horizontal="center" vertical="center"/>
      <protection locked="0"/>
    </xf>
    <xf numFmtId="0" fontId="118" fillId="29" borderId="73" xfId="0" applyFont="1" applyFill="1" applyBorder="1" applyAlignment="1" applyProtection="1">
      <alignment horizontal="center" vertical="center"/>
      <protection locked="0"/>
    </xf>
    <xf numFmtId="0" fontId="118" fillId="29" borderId="3" xfId="0" applyFont="1" applyFill="1" applyBorder="1" applyAlignment="1" applyProtection="1">
      <alignment horizontal="center" vertical="center"/>
      <protection locked="0"/>
    </xf>
    <xf numFmtId="0" fontId="118" fillId="18" borderId="7" xfId="0" applyFont="1" applyFill="1" applyBorder="1" applyAlignment="1">
      <alignment horizontal="center" vertical="center" wrapText="1"/>
    </xf>
    <xf numFmtId="0" fontId="118" fillId="18" borderId="61" xfId="0" applyFont="1" applyFill="1" applyBorder="1" applyAlignment="1">
      <alignment horizontal="center" vertical="center" wrapText="1"/>
    </xf>
    <xf numFmtId="0" fontId="118" fillId="12" borderId="7" xfId="0" applyFont="1" applyFill="1" applyBorder="1" applyAlignment="1" applyProtection="1">
      <alignment horizontal="left" vertical="center"/>
      <protection locked="0"/>
    </xf>
    <xf numFmtId="0" fontId="118" fillId="12" borderId="61" xfId="0" applyFont="1" applyFill="1" applyBorder="1" applyAlignment="1" applyProtection="1">
      <alignment horizontal="left" vertical="center"/>
      <protection locked="0"/>
    </xf>
    <xf numFmtId="0" fontId="118" fillId="12" borderId="4" xfId="0" applyFont="1" applyFill="1" applyBorder="1" applyAlignment="1" applyProtection="1">
      <alignment horizontal="left" vertical="center"/>
      <protection locked="0"/>
    </xf>
    <xf numFmtId="0" fontId="118" fillId="12" borderId="20" xfId="0" applyFont="1" applyFill="1" applyBorder="1" applyAlignment="1" applyProtection="1">
      <alignment horizontal="left" vertical="center"/>
      <protection locked="0"/>
    </xf>
    <xf numFmtId="0" fontId="118" fillId="12" borderId="72" xfId="0" applyFont="1" applyFill="1" applyBorder="1" applyAlignment="1" applyProtection="1">
      <alignment horizontal="left" vertical="center"/>
      <protection locked="0"/>
    </xf>
    <xf numFmtId="0" fontId="118" fillId="12" borderId="64" xfId="0" applyFont="1" applyFill="1" applyBorder="1" applyAlignment="1" applyProtection="1">
      <alignment horizontal="left" vertical="center"/>
      <protection locked="0"/>
    </xf>
    <xf numFmtId="0" fontId="2" fillId="33" borderId="7" xfId="0" applyFont="1" applyFill="1" applyBorder="1" applyAlignment="1">
      <alignment horizontal="center" vertical="center"/>
    </xf>
    <xf numFmtId="0" fontId="2" fillId="33" borderId="4" xfId="0" applyFont="1" applyFill="1" applyBorder="1" applyAlignment="1">
      <alignment horizontal="center" vertical="center"/>
    </xf>
    <xf numFmtId="0" fontId="6" fillId="33" borderId="61" xfId="0" applyFont="1" applyFill="1" applyBorder="1" applyAlignment="1">
      <alignment horizontal="center" vertical="top" wrapText="1"/>
    </xf>
    <xf numFmtId="0" fontId="140" fillId="33" borderId="61" xfId="0" applyFont="1" applyFill="1" applyBorder="1" applyAlignment="1">
      <alignment horizontal="center"/>
    </xf>
    <xf numFmtId="0" fontId="140" fillId="33" borderId="4" xfId="0" applyFont="1" applyFill="1" applyBorder="1" applyAlignment="1">
      <alignment horizontal="center"/>
    </xf>
    <xf numFmtId="0" fontId="2" fillId="18" borderId="7" xfId="0" applyFont="1" applyFill="1" applyBorder="1" applyAlignment="1">
      <alignment horizontal="center" vertical="center"/>
    </xf>
    <xf numFmtId="0" fontId="2" fillId="18" borderId="4" xfId="0" applyFont="1" applyFill="1" applyBorder="1" applyAlignment="1">
      <alignment horizontal="center" vertical="center"/>
    </xf>
    <xf numFmtId="0" fontId="170" fillId="29" borderId="16" xfId="0" applyFont="1" applyFill="1" applyBorder="1" applyAlignment="1">
      <alignment horizontal="center" vertical="center" textRotation="90" wrapText="1"/>
    </xf>
    <xf numFmtId="0" fontId="170" fillId="29" borderId="73" xfId="0" applyFont="1" applyFill="1" applyBorder="1" applyAlignment="1">
      <alignment horizontal="center" vertical="center" textRotation="90" wrapText="1"/>
    </xf>
    <xf numFmtId="0" fontId="170" fillId="29" borderId="3" xfId="0" applyFont="1" applyFill="1" applyBorder="1" applyAlignment="1">
      <alignment horizontal="center" vertical="center" textRotation="90" wrapText="1"/>
    </xf>
    <xf numFmtId="0" fontId="171" fillId="29" borderId="7" xfId="0" applyFont="1" applyFill="1" applyBorder="1" applyAlignment="1">
      <alignment horizontal="center" vertical="center"/>
    </xf>
    <xf numFmtId="0" fontId="171" fillId="29" borderId="61" xfId="0" applyFont="1" applyFill="1" applyBorder="1" applyAlignment="1">
      <alignment horizontal="center" vertical="center"/>
    </xf>
    <xf numFmtId="169" fontId="2" fillId="12" borderId="20" xfId="1" applyNumberFormat="1" applyFont="1" applyFill="1" applyBorder="1" applyAlignment="1" applyProtection="1">
      <alignment horizontal="right" vertical="center"/>
      <protection locked="0"/>
    </xf>
    <xf numFmtId="169" fontId="2" fillId="12" borderId="72" xfId="1" applyNumberFormat="1" applyFont="1" applyFill="1" applyBorder="1" applyAlignment="1" applyProtection="1">
      <alignment horizontal="right" vertical="center"/>
      <protection locked="0"/>
    </xf>
    <xf numFmtId="0" fontId="118" fillId="12" borderId="20" xfId="0" applyFont="1" applyFill="1" applyBorder="1" applyAlignment="1" applyProtection="1">
      <alignment vertical="center"/>
      <protection locked="0"/>
    </xf>
    <xf numFmtId="0" fontId="118" fillId="12" borderId="72" xfId="0" applyFont="1" applyFill="1" applyBorder="1" applyAlignment="1" applyProtection="1">
      <alignment vertical="center"/>
      <protection locked="0"/>
    </xf>
    <xf numFmtId="0" fontId="105" fillId="8" borderId="14" xfId="0" applyFont="1" applyFill="1" applyBorder="1" applyAlignment="1" applyProtection="1">
      <alignment horizontal="center" vertical="center"/>
      <protection locked="0"/>
    </xf>
    <xf numFmtId="0" fontId="105" fillId="8" borderId="9" xfId="0" applyFont="1" applyFill="1" applyBorder="1" applyAlignment="1" applyProtection="1">
      <alignment horizontal="center" vertical="center"/>
      <protection locked="0"/>
    </xf>
    <xf numFmtId="0" fontId="92" fillId="24" borderId="16" xfId="0" applyFont="1" applyFill="1" applyBorder="1" applyAlignment="1" applyProtection="1">
      <alignment horizontal="center" vertical="center"/>
      <protection hidden="1"/>
    </xf>
    <xf numFmtId="0" fontId="92" fillId="24" borderId="3" xfId="0" applyFont="1" applyFill="1" applyBorder="1" applyAlignment="1" applyProtection="1">
      <alignment horizontal="center" vertical="center"/>
      <protection hidden="1"/>
    </xf>
    <xf numFmtId="0" fontId="88" fillId="24" borderId="20" xfId="0" applyFont="1" applyFill="1" applyBorder="1" applyAlignment="1" applyProtection="1">
      <alignment horizontal="center" vertical="center" wrapText="1"/>
      <protection hidden="1"/>
    </xf>
    <xf numFmtId="0" fontId="88" fillId="24" borderId="64" xfId="0" applyFont="1" applyFill="1" applyBorder="1" applyAlignment="1" applyProtection="1">
      <alignment horizontal="center" vertical="center" wrapText="1"/>
      <protection hidden="1"/>
    </xf>
    <xf numFmtId="0" fontId="88" fillId="24" borderId="66" xfId="0" applyFont="1" applyFill="1" applyBorder="1" applyAlignment="1" applyProtection="1">
      <alignment horizontal="center" vertical="center" wrapText="1"/>
      <protection hidden="1"/>
    </xf>
    <xf numFmtId="0" fontId="88" fillId="24" borderId="60" xfId="0" applyFont="1" applyFill="1" applyBorder="1" applyAlignment="1" applyProtection="1">
      <alignment horizontal="center" vertical="center" wrapText="1"/>
      <protection hidden="1"/>
    </xf>
    <xf numFmtId="0" fontId="89" fillId="16" borderId="88" xfId="0" applyFont="1" applyFill="1" applyBorder="1" applyAlignment="1" applyProtection="1">
      <alignment horizontal="center" vertical="center" textRotation="90" wrapText="1"/>
      <protection hidden="1"/>
    </xf>
    <xf numFmtId="0" fontId="89" fillId="16" borderId="135" xfId="0" applyFont="1" applyFill="1" applyBorder="1" applyAlignment="1" applyProtection="1">
      <alignment horizontal="center" vertical="center" textRotation="90" wrapText="1"/>
      <protection hidden="1"/>
    </xf>
    <xf numFmtId="0" fontId="19" fillId="16" borderId="20" xfId="0" applyFont="1" applyFill="1" applyBorder="1" applyAlignment="1" applyProtection="1">
      <alignment horizontal="center" vertical="center" wrapText="1"/>
      <protection hidden="1"/>
    </xf>
    <xf numFmtId="0" fontId="19" fillId="16" borderId="72" xfId="0" applyFont="1" applyFill="1" applyBorder="1" applyAlignment="1" applyProtection="1">
      <alignment horizontal="center" vertical="center" wrapText="1"/>
      <protection hidden="1"/>
    </xf>
    <xf numFmtId="0" fontId="19" fillId="16" borderId="64" xfId="0" applyFont="1" applyFill="1" applyBorder="1" applyAlignment="1" applyProtection="1">
      <alignment horizontal="center" vertical="center" wrapText="1"/>
      <protection hidden="1"/>
    </xf>
    <xf numFmtId="0" fontId="19" fillId="16" borderId="66" xfId="0" applyFont="1" applyFill="1" applyBorder="1" applyAlignment="1" applyProtection="1">
      <alignment horizontal="center" vertical="center" wrapText="1"/>
      <protection hidden="1"/>
    </xf>
    <xf numFmtId="0" fontId="19" fillId="16" borderId="71" xfId="0" applyFont="1" applyFill="1" applyBorder="1" applyAlignment="1" applyProtection="1">
      <alignment horizontal="center" vertical="center" wrapText="1"/>
      <protection hidden="1"/>
    </xf>
    <xf numFmtId="0" fontId="19" fillId="16" borderId="60" xfId="0" applyFont="1" applyFill="1" applyBorder="1" applyAlignment="1" applyProtection="1">
      <alignment horizontal="center" vertical="center" wrapText="1"/>
      <protection hidden="1"/>
    </xf>
    <xf numFmtId="0" fontId="91" fillId="16" borderId="20" xfId="0" applyFont="1" applyFill="1" applyBorder="1" applyAlignment="1" applyProtection="1">
      <alignment horizontal="center" vertical="center" wrapText="1"/>
      <protection hidden="1"/>
    </xf>
    <xf numFmtId="0" fontId="91" fillId="16" borderId="64" xfId="0" applyFont="1" applyFill="1" applyBorder="1" applyAlignment="1" applyProtection="1">
      <alignment horizontal="center" vertical="center" wrapText="1"/>
      <protection hidden="1"/>
    </xf>
    <xf numFmtId="0" fontId="91" fillId="16" borderId="66" xfId="0" applyFont="1" applyFill="1" applyBorder="1" applyAlignment="1" applyProtection="1">
      <alignment horizontal="center" vertical="center" wrapText="1"/>
      <protection hidden="1"/>
    </xf>
    <xf numFmtId="0" fontId="91" fillId="16" borderId="60" xfId="0" applyFont="1" applyFill="1" applyBorder="1" applyAlignment="1" applyProtection="1">
      <alignment horizontal="center" vertical="center" wrapText="1"/>
      <protection hidden="1"/>
    </xf>
    <xf numFmtId="0" fontId="92" fillId="16" borderId="7" xfId="0" applyFont="1" applyFill="1" applyBorder="1" applyAlignment="1" applyProtection="1">
      <alignment horizontal="center" vertical="center"/>
      <protection hidden="1"/>
    </xf>
    <xf numFmtId="0" fontId="92" fillId="16" borderId="4" xfId="0" applyFont="1" applyFill="1" applyBorder="1" applyAlignment="1" applyProtection="1">
      <alignment horizontal="center" vertical="center"/>
      <protection hidden="1"/>
    </xf>
    <xf numFmtId="0" fontId="92" fillId="16" borderId="7" xfId="0" applyFont="1" applyFill="1" applyBorder="1" applyAlignment="1" applyProtection="1">
      <alignment horizontal="center" vertical="center" wrapText="1"/>
      <protection hidden="1"/>
    </xf>
    <xf numFmtId="0" fontId="92" fillId="16" borderId="4" xfId="0" applyFont="1" applyFill="1" applyBorder="1" applyAlignment="1" applyProtection="1">
      <alignment horizontal="center" vertical="center" wrapText="1"/>
      <protection hidden="1"/>
    </xf>
    <xf numFmtId="0" fontId="165" fillId="18" borderId="0" xfId="0" applyFont="1" applyFill="1" applyBorder="1" applyAlignment="1" applyProtection="1">
      <alignment horizontal="center" vertical="center"/>
      <protection locked="0"/>
    </xf>
    <xf numFmtId="0" fontId="165" fillId="18" borderId="65" xfId="0" applyFont="1" applyFill="1" applyBorder="1" applyAlignment="1" applyProtection="1">
      <alignment horizontal="center" vertical="center"/>
      <protection locked="0"/>
    </xf>
    <xf numFmtId="0" fontId="165" fillId="18" borderId="71" xfId="0" applyFont="1" applyFill="1" applyBorder="1" applyAlignment="1" applyProtection="1">
      <alignment horizontal="center" vertical="center"/>
      <protection locked="0"/>
    </xf>
    <xf numFmtId="0" fontId="165" fillId="18" borderId="60" xfId="0" applyFont="1" applyFill="1" applyBorder="1" applyAlignment="1" applyProtection="1">
      <alignment horizontal="center" vertical="center"/>
      <protection locked="0"/>
    </xf>
    <xf numFmtId="1" fontId="106" fillId="8" borderId="0" xfId="0" applyNumberFormat="1" applyFont="1" applyFill="1" applyBorder="1" applyAlignment="1" applyProtection="1">
      <alignment horizontal="center" vertical="center"/>
      <protection locked="0"/>
    </xf>
    <xf numFmtId="1" fontId="56" fillId="8" borderId="0" xfId="0" applyNumberFormat="1" applyFont="1" applyFill="1" applyBorder="1" applyAlignment="1" applyProtection="1">
      <alignment horizontal="center" vertical="center"/>
      <protection locked="0"/>
    </xf>
    <xf numFmtId="0" fontId="2" fillId="12" borderId="7" xfId="0" applyFont="1" applyFill="1" applyBorder="1" applyAlignment="1" applyProtection="1">
      <alignment horizontal="left" vertical="center"/>
      <protection locked="0"/>
    </xf>
    <xf numFmtId="0" fontId="2" fillId="12" borderId="61" xfId="0" applyFont="1" applyFill="1" applyBorder="1" applyAlignment="1" applyProtection="1">
      <alignment horizontal="left" vertical="center"/>
      <protection locked="0"/>
    </xf>
    <xf numFmtId="0" fontId="164" fillId="31" borderId="71" xfId="0" applyFont="1" applyFill="1" applyBorder="1" applyAlignment="1">
      <alignment horizontal="center" vertical="center"/>
    </xf>
    <xf numFmtId="0" fontId="164" fillId="31" borderId="60" xfId="0" applyFont="1" applyFill="1" applyBorder="1" applyAlignment="1">
      <alignment horizontal="center" vertical="center"/>
    </xf>
    <xf numFmtId="0" fontId="144" fillId="19" borderId="72" xfId="2" applyFont="1" applyFill="1" applyBorder="1" applyAlignment="1">
      <alignment horizontal="center" vertical="center" wrapText="1"/>
    </xf>
    <xf numFmtId="0" fontId="144" fillId="19" borderId="71" xfId="2"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4" xfId="0" applyFont="1" applyFill="1" applyBorder="1" applyAlignment="1">
      <alignment horizontal="center" vertical="center"/>
    </xf>
    <xf numFmtId="0" fontId="19" fillId="9" borderId="7" xfId="0" applyFont="1" applyFill="1" applyBorder="1" applyAlignment="1">
      <alignment horizontal="left" vertical="center" wrapText="1"/>
    </xf>
    <xf numFmtId="0" fontId="19" fillId="9" borderId="61" xfId="0" applyFont="1" applyFill="1" applyBorder="1" applyAlignment="1">
      <alignment horizontal="left" vertical="center" wrapText="1"/>
    </xf>
    <xf numFmtId="0" fontId="19" fillId="9" borderId="4" xfId="0" applyFont="1" applyFill="1" applyBorder="1" applyAlignment="1">
      <alignment horizontal="left" vertical="center" wrapText="1"/>
    </xf>
    <xf numFmtId="0" fontId="94" fillId="15" borderId="0" xfId="0" applyFont="1" applyFill="1" applyBorder="1" applyAlignment="1">
      <alignment horizontal="center" vertical="center"/>
    </xf>
    <xf numFmtId="0" fontId="2" fillId="2" borderId="7" xfId="0" applyFont="1" applyFill="1" applyBorder="1" applyAlignment="1">
      <alignment horizontal="left" vertical="center" wrapText="1"/>
    </xf>
    <xf numFmtId="0" fontId="2" fillId="2" borderId="6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12" borderId="16" xfId="0" applyFont="1" applyFill="1" applyBorder="1" applyAlignment="1" applyProtection="1">
      <alignment horizontal="right" vertical="center"/>
      <protection locked="0"/>
    </xf>
    <xf numFmtId="0" fontId="2" fillId="12" borderId="3" xfId="0" applyFont="1" applyFill="1" applyBorder="1" applyAlignment="1" applyProtection="1">
      <alignment horizontal="right" vertical="center"/>
      <protection locked="0"/>
    </xf>
    <xf numFmtId="0" fontId="64" fillId="3" borderId="16" xfId="0" applyFont="1" applyFill="1" applyBorder="1" applyAlignment="1">
      <alignment horizontal="center" vertical="center" textRotation="255"/>
    </xf>
    <xf numFmtId="0" fontId="64" fillId="3" borderId="73" xfId="0" applyFont="1" applyFill="1" applyBorder="1" applyAlignment="1">
      <alignment horizontal="center" vertical="center" textRotation="255"/>
    </xf>
    <xf numFmtId="0" fontId="64" fillId="3" borderId="3" xfId="0" applyFont="1" applyFill="1" applyBorder="1" applyAlignment="1">
      <alignment horizontal="center" vertical="center" textRotation="255"/>
    </xf>
    <xf numFmtId="0" fontId="2" fillId="2" borderId="20" xfId="0" applyFont="1" applyFill="1" applyBorder="1" applyAlignment="1">
      <alignment horizontal="left" vertical="center" wrapText="1"/>
    </xf>
    <xf numFmtId="0" fontId="2" fillId="2" borderId="72" xfId="0" applyFont="1" applyFill="1" applyBorder="1" applyAlignment="1">
      <alignment horizontal="left" vertical="center" wrapText="1"/>
    </xf>
    <xf numFmtId="0" fontId="2" fillId="2" borderId="64" xfId="0" applyFont="1" applyFill="1" applyBorder="1" applyAlignment="1">
      <alignment horizontal="left" vertical="center" wrapText="1"/>
    </xf>
    <xf numFmtId="0" fontId="2" fillId="2" borderId="66" xfId="0" applyFont="1" applyFill="1" applyBorder="1" applyAlignment="1">
      <alignment horizontal="left" vertical="center" wrapText="1"/>
    </xf>
    <xf numFmtId="0" fontId="2" fillId="2" borderId="71" xfId="0" applyFont="1" applyFill="1" applyBorder="1" applyAlignment="1">
      <alignment horizontal="left" vertical="center" wrapText="1"/>
    </xf>
    <xf numFmtId="0" fontId="2" fillId="2" borderId="60" xfId="0" applyFont="1" applyFill="1" applyBorder="1" applyAlignment="1">
      <alignment horizontal="left" vertical="center" wrapText="1"/>
    </xf>
    <xf numFmtId="0" fontId="2" fillId="2" borderId="16" xfId="0" applyFont="1" applyFill="1" applyBorder="1" applyAlignment="1">
      <alignment horizontal="center" vertical="center"/>
    </xf>
    <xf numFmtId="0" fontId="2" fillId="2" borderId="3" xfId="0" applyFont="1" applyFill="1" applyBorder="1" applyAlignment="1">
      <alignment horizontal="center" vertical="center"/>
    </xf>
    <xf numFmtId="0" fontId="135" fillId="16" borderId="16" xfId="0" applyFont="1" applyFill="1" applyBorder="1" applyAlignment="1">
      <alignment horizontal="center" vertical="center" textRotation="90" wrapText="1"/>
    </xf>
    <xf numFmtId="0" fontId="135" fillId="16" borderId="73" xfId="0" applyFont="1" applyFill="1" applyBorder="1" applyAlignment="1">
      <alignment horizontal="center" vertical="center" textRotation="90" wrapText="1"/>
    </xf>
    <xf numFmtId="0" fontId="135" fillId="16" borderId="3" xfId="0" applyFont="1" applyFill="1" applyBorder="1" applyAlignment="1">
      <alignment horizontal="center" vertical="center" textRotation="90" wrapText="1"/>
    </xf>
    <xf numFmtId="0" fontId="119" fillId="22" borderId="7" xfId="0" applyFont="1" applyFill="1" applyBorder="1" applyAlignment="1" applyProtection="1">
      <alignment horizontal="center" vertical="center"/>
      <protection locked="0"/>
    </xf>
    <xf numFmtId="0" fontId="119" fillId="22" borderId="4" xfId="0" applyFont="1" applyFill="1" applyBorder="1" applyAlignment="1" applyProtection="1">
      <alignment horizontal="center" vertical="center"/>
      <protection locked="0"/>
    </xf>
    <xf numFmtId="0" fontId="19" fillId="9" borderId="7" xfId="0" applyFont="1" applyFill="1" applyBorder="1" applyAlignment="1">
      <alignment horizontal="left" vertical="center"/>
    </xf>
    <xf numFmtId="0" fontId="19" fillId="9" borderId="61" xfId="0" applyFont="1" applyFill="1" applyBorder="1" applyAlignment="1">
      <alignment horizontal="left" vertical="center"/>
    </xf>
    <xf numFmtId="0" fontId="19" fillId="9" borderId="4" xfId="0" applyFont="1" applyFill="1" applyBorder="1" applyAlignment="1">
      <alignment horizontal="left" vertical="center"/>
    </xf>
    <xf numFmtId="0" fontId="134" fillId="16" borderId="16" xfId="0" applyFont="1" applyFill="1" applyBorder="1" applyAlignment="1">
      <alignment horizontal="center" vertical="center" textRotation="90" wrapText="1"/>
    </xf>
    <xf numFmtId="0" fontId="134" fillId="16" borderId="73" xfId="0" applyFont="1" applyFill="1" applyBorder="1" applyAlignment="1">
      <alignment horizontal="center" vertical="center" textRotation="90" wrapText="1"/>
    </xf>
    <xf numFmtId="0" fontId="134" fillId="16" borderId="3" xfId="0" applyFont="1" applyFill="1" applyBorder="1" applyAlignment="1">
      <alignment horizontal="center" vertical="center" textRotation="90" wrapText="1"/>
    </xf>
    <xf numFmtId="0" fontId="118" fillId="12" borderId="64" xfId="0" applyFont="1" applyFill="1" applyBorder="1" applyAlignment="1" applyProtection="1">
      <alignment vertical="center"/>
      <protection locked="0"/>
    </xf>
    <xf numFmtId="0" fontId="105" fillId="9" borderId="7" xfId="0" applyFont="1" applyFill="1" applyBorder="1" applyAlignment="1">
      <alignment horizontal="center" vertical="center" wrapText="1"/>
    </xf>
    <xf numFmtId="0" fontId="105" fillId="9" borderId="71"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61" xfId="0" applyFont="1" applyFill="1" applyBorder="1" applyAlignment="1">
      <alignment horizontal="center" vertical="center"/>
    </xf>
    <xf numFmtId="0" fontId="4" fillId="2" borderId="4" xfId="0" applyFont="1" applyFill="1" applyBorder="1" applyAlignment="1">
      <alignment horizontal="center" vertical="center"/>
    </xf>
    <xf numFmtId="0" fontId="2" fillId="2" borderId="66"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41" fillId="2" borderId="7" xfId="0" applyFont="1" applyFill="1" applyBorder="1" applyAlignment="1">
      <alignment horizontal="center" vertical="center"/>
    </xf>
    <xf numFmtId="0" fontId="41" fillId="2" borderId="4" xfId="0" applyFont="1" applyFill="1" applyBorder="1" applyAlignment="1">
      <alignment horizontal="center" vertical="center"/>
    </xf>
    <xf numFmtId="0" fontId="2" fillId="2" borderId="7" xfId="0" applyFont="1" applyFill="1" applyBorder="1" applyAlignment="1">
      <alignment horizontal="left" vertical="center"/>
    </xf>
    <xf numFmtId="0" fontId="2" fillId="2" borderId="4" xfId="0" applyFont="1" applyFill="1" applyBorder="1" applyAlignment="1">
      <alignment horizontal="left" vertical="center"/>
    </xf>
    <xf numFmtId="0" fontId="2" fillId="2" borderId="6" xfId="0" applyFont="1" applyFill="1" applyBorder="1" applyAlignment="1">
      <alignment horizontal="left" vertical="center"/>
    </xf>
    <xf numFmtId="0" fontId="2" fillId="2" borderId="15" xfId="0" applyFont="1" applyFill="1" applyBorder="1" applyAlignment="1">
      <alignment horizontal="left" vertical="center"/>
    </xf>
    <xf numFmtId="0" fontId="3" fillId="2" borderId="66" xfId="0" applyFont="1" applyFill="1" applyBorder="1" applyAlignment="1">
      <alignment horizontal="left" vertical="center"/>
    </xf>
    <xf numFmtId="0" fontId="3" fillId="2" borderId="60" xfId="0" applyFont="1" applyFill="1" applyBorder="1" applyAlignment="1">
      <alignment horizontal="left" vertical="center"/>
    </xf>
    <xf numFmtId="0" fontId="137" fillId="25" borderId="7" xfId="0" applyFont="1" applyFill="1" applyBorder="1" applyAlignment="1" applyProtection="1">
      <alignment horizontal="center" vertical="center"/>
    </xf>
    <xf numFmtId="0" fontId="137" fillId="25" borderId="61" xfId="0" applyFont="1" applyFill="1" applyBorder="1" applyAlignment="1" applyProtection="1">
      <alignment horizontal="center" vertical="center"/>
    </xf>
    <xf numFmtId="0" fontId="137" fillId="25" borderId="4" xfId="0" applyFont="1" applyFill="1" applyBorder="1" applyAlignment="1" applyProtection="1">
      <alignment horizontal="center" vertical="center"/>
    </xf>
    <xf numFmtId="1" fontId="2" fillId="12" borderId="66" xfId="0" applyNumberFormat="1" applyFont="1" applyFill="1" applyBorder="1" applyAlignment="1" applyProtection="1">
      <alignment horizontal="center" vertical="center"/>
      <protection locked="0"/>
    </xf>
    <xf numFmtId="1" fontId="2" fillId="12" borderId="71" xfId="0" applyNumberFormat="1" applyFont="1" applyFill="1" applyBorder="1" applyAlignment="1" applyProtection="1">
      <alignment horizontal="center" vertical="center"/>
      <protection locked="0"/>
    </xf>
    <xf numFmtId="1" fontId="2" fillId="12" borderId="60" xfId="0" applyNumberFormat="1" applyFont="1" applyFill="1" applyBorder="1" applyAlignment="1" applyProtection="1">
      <alignment horizontal="center" vertical="center"/>
      <protection locked="0"/>
    </xf>
    <xf numFmtId="0" fontId="53" fillId="14" borderId="16" xfId="0" applyFont="1" applyFill="1" applyBorder="1" applyAlignment="1">
      <alignment horizontal="center" vertical="center" wrapText="1"/>
    </xf>
    <xf numFmtId="0" fontId="53" fillId="14" borderId="73" xfId="0" applyFont="1" applyFill="1" applyBorder="1" applyAlignment="1">
      <alignment horizontal="center" vertical="center" wrapText="1"/>
    </xf>
    <xf numFmtId="0" fontId="53" fillId="14" borderId="3" xfId="0" applyFont="1" applyFill="1" applyBorder="1" applyAlignment="1">
      <alignment horizontal="center" vertical="center" wrapText="1"/>
    </xf>
    <xf numFmtId="0" fontId="119" fillId="25" borderId="7" xfId="0" applyFont="1" applyFill="1" applyBorder="1" applyAlignment="1" applyProtection="1">
      <alignment horizontal="center" vertical="center"/>
    </xf>
    <xf numFmtId="0" fontId="119" fillId="25" borderId="61" xfId="0" applyFont="1" applyFill="1" applyBorder="1" applyAlignment="1" applyProtection="1">
      <alignment horizontal="center" vertical="center"/>
    </xf>
    <xf numFmtId="0" fontId="119" fillId="25" borderId="4" xfId="0" applyFont="1" applyFill="1" applyBorder="1" applyAlignment="1" applyProtection="1">
      <alignment horizontal="center" vertical="center"/>
    </xf>
    <xf numFmtId="0" fontId="6" fillId="2" borderId="7"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2" borderId="61" xfId="0" applyFont="1" applyFill="1" applyBorder="1" applyAlignment="1">
      <alignment horizontal="center" vertical="center"/>
    </xf>
    <xf numFmtId="0" fontId="6" fillId="2" borderId="4" xfId="0" applyFont="1" applyFill="1" applyBorder="1" applyAlignment="1">
      <alignment horizontal="center" vertical="center"/>
    </xf>
    <xf numFmtId="0" fontId="2" fillId="2" borderId="61" xfId="0" applyFont="1" applyFill="1" applyBorder="1" applyAlignment="1">
      <alignment horizontal="left" vertical="center"/>
    </xf>
    <xf numFmtId="0" fontId="84" fillId="18" borderId="7" xfId="0" applyFont="1" applyFill="1" applyBorder="1" applyAlignment="1">
      <alignment horizontal="center" vertical="center" wrapText="1"/>
    </xf>
    <xf numFmtId="0" fontId="84" fillId="18" borderId="61" xfId="0" applyFont="1" applyFill="1" applyBorder="1" applyAlignment="1">
      <alignment horizontal="center" vertical="center" wrapText="1"/>
    </xf>
    <xf numFmtId="0" fontId="84" fillId="18" borderId="4" xfId="0" applyFont="1" applyFill="1" applyBorder="1" applyAlignment="1">
      <alignment horizontal="center" vertical="center" wrapText="1"/>
    </xf>
    <xf numFmtId="0" fontId="4" fillId="12" borderId="7" xfId="0" applyFont="1" applyFill="1" applyBorder="1" applyAlignment="1" applyProtection="1">
      <alignment horizontal="left" vertical="center"/>
      <protection locked="0"/>
    </xf>
    <xf numFmtId="0" fontId="4" fillId="12" borderId="4" xfId="0" applyFont="1" applyFill="1" applyBorder="1" applyAlignment="1" applyProtection="1">
      <alignment horizontal="left" vertical="center"/>
      <protection locked="0"/>
    </xf>
    <xf numFmtId="0" fontId="106" fillId="8" borderId="8" xfId="0" applyFont="1" applyFill="1" applyBorder="1" applyAlignment="1" applyProtection="1">
      <alignment horizontal="left" vertical="center"/>
      <protection locked="0"/>
    </xf>
    <xf numFmtId="0" fontId="137" fillId="10" borderId="7" xfId="0" applyFont="1" applyFill="1" applyBorder="1" applyAlignment="1">
      <alignment horizontal="center" vertical="center"/>
    </xf>
    <xf numFmtId="0" fontId="137" fillId="10" borderId="61" xfId="0" applyFont="1" applyFill="1" applyBorder="1" applyAlignment="1">
      <alignment horizontal="center" vertical="center"/>
    </xf>
    <xf numFmtId="0" fontId="148" fillId="3" borderId="20" xfId="2" applyFont="1" applyFill="1" applyBorder="1" applyAlignment="1">
      <alignment horizontal="center"/>
    </xf>
    <xf numFmtId="0" fontId="148" fillId="3" borderId="72" xfId="0" applyFont="1" applyFill="1" applyBorder="1" applyAlignment="1">
      <alignment horizontal="center"/>
    </xf>
    <xf numFmtId="0" fontId="105" fillId="8" borderId="8" xfId="0" applyFont="1" applyFill="1" applyBorder="1" applyAlignment="1" applyProtection="1">
      <alignment horizontal="left" vertical="center"/>
      <protection locked="0"/>
    </xf>
    <xf numFmtId="0" fontId="2" fillId="12" borderId="4" xfId="0" applyFont="1" applyFill="1" applyBorder="1" applyAlignment="1" applyProtection="1">
      <alignment horizontal="left" vertical="center"/>
      <protection locked="0"/>
    </xf>
    <xf numFmtId="0" fontId="2" fillId="12" borderId="7" xfId="0" applyFont="1" applyFill="1" applyBorder="1" applyAlignment="1" applyProtection="1">
      <alignment horizontal="left" vertical="center" indent="1"/>
      <protection locked="0"/>
    </xf>
    <xf numFmtId="0" fontId="2" fillId="12" borderId="61" xfId="0" applyFont="1" applyFill="1" applyBorder="1" applyAlignment="1" applyProtection="1">
      <alignment horizontal="left" vertical="center" indent="1"/>
      <protection locked="0"/>
    </xf>
    <xf numFmtId="0" fontId="2" fillId="12" borderId="4" xfId="0" applyFont="1" applyFill="1" applyBorder="1" applyAlignment="1" applyProtection="1">
      <alignment horizontal="left" vertical="center" indent="1"/>
      <protection locked="0"/>
    </xf>
    <xf numFmtId="0" fontId="53" fillId="28" borderId="66" xfId="0" applyFont="1" applyFill="1" applyBorder="1" applyAlignment="1">
      <alignment horizontal="center" vertical="center"/>
    </xf>
    <xf numFmtId="0" fontId="53" fillId="28" borderId="71" xfId="0" applyFont="1" applyFill="1" applyBorder="1" applyAlignment="1">
      <alignment horizontal="center" vertical="center"/>
    </xf>
    <xf numFmtId="0" fontId="53" fillId="28" borderId="60" xfId="0" applyFont="1" applyFill="1" applyBorder="1" applyAlignment="1">
      <alignment horizontal="center" vertical="center"/>
    </xf>
    <xf numFmtId="0" fontId="3" fillId="12" borderId="7" xfId="0" applyFont="1" applyFill="1" applyBorder="1" applyAlignment="1" applyProtection="1">
      <alignment horizontal="center" vertical="center" wrapText="1"/>
      <protection locked="0"/>
    </xf>
    <xf numFmtId="0" fontId="3" fillId="12" borderId="4" xfId="0" applyFont="1" applyFill="1" applyBorder="1" applyAlignment="1" applyProtection="1">
      <alignment horizontal="center" vertical="center" wrapText="1"/>
      <protection locked="0"/>
    </xf>
    <xf numFmtId="0" fontId="145" fillId="28" borderId="20" xfId="2" applyFont="1" applyFill="1" applyBorder="1" applyAlignment="1" applyProtection="1">
      <alignment horizontal="center" vertical="center" textRotation="90" wrapText="1"/>
    </xf>
    <xf numFmtId="0" fontId="145" fillId="28" borderId="64" xfId="2" applyFont="1" applyFill="1" applyBorder="1" applyAlignment="1" applyProtection="1">
      <alignment horizontal="center" vertical="center" textRotation="90" wrapText="1"/>
    </xf>
    <xf numFmtId="0" fontId="145" fillId="28" borderId="21" xfId="2" applyFont="1" applyFill="1" applyBorder="1" applyAlignment="1" applyProtection="1">
      <alignment horizontal="center" vertical="center" textRotation="90" wrapText="1"/>
    </xf>
    <xf numFmtId="0" fontId="145" fillId="28" borderId="65" xfId="2" applyFont="1" applyFill="1" applyBorder="1" applyAlignment="1" applyProtection="1">
      <alignment horizontal="center" vertical="center" textRotation="90" wrapText="1"/>
    </xf>
    <xf numFmtId="0" fontId="145" fillId="28" borderId="66" xfId="2" applyFont="1" applyFill="1" applyBorder="1" applyAlignment="1" applyProtection="1">
      <alignment horizontal="center" vertical="center" textRotation="90" wrapText="1"/>
    </xf>
    <xf numFmtId="0" fontId="145" fillId="28" borderId="60" xfId="2" applyFont="1" applyFill="1" applyBorder="1" applyAlignment="1" applyProtection="1">
      <alignment horizontal="center" vertical="center" textRotation="90" wrapText="1"/>
    </xf>
    <xf numFmtId="0" fontId="146" fillId="28" borderId="21" xfId="2" applyFont="1" applyFill="1" applyBorder="1" applyAlignment="1">
      <alignment horizontal="right" vertical="center" wrapText="1"/>
    </xf>
    <xf numFmtId="0" fontId="147" fillId="28" borderId="0" xfId="0" applyFont="1" applyFill="1" applyAlignment="1">
      <alignment horizontal="right" vertical="center" wrapText="1"/>
    </xf>
    <xf numFmtId="0" fontId="147" fillId="28" borderId="65" xfId="0" applyFont="1" applyFill="1" applyBorder="1" applyAlignment="1">
      <alignment horizontal="right" vertical="center" wrapText="1"/>
    </xf>
    <xf numFmtId="0" fontId="105" fillId="8" borderId="0" xfId="0" applyFont="1" applyFill="1" applyAlignment="1" applyProtection="1">
      <alignment horizontal="center" vertical="center"/>
      <protection locked="0"/>
    </xf>
    <xf numFmtId="0" fontId="163" fillId="28" borderId="21" xfId="0" applyFont="1" applyFill="1" applyBorder="1" applyAlignment="1">
      <alignment horizontal="center" vertical="center" wrapText="1"/>
    </xf>
    <xf numFmtId="0" fontId="163" fillId="28" borderId="0" xfId="0" applyFont="1" applyFill="1" applyBorder="1" applyAlignment="1">
      <alignment horizontal="center" vertical="center" wrapText="1"/>
    </xf>
    <xf numFmtId="0" fontId="163" fillId="28" borderId="65" xfId="0" applyFont="1" applyFill="1" applyBorder="1" applyAlignment="1">
      <alignment horizontal="center" vertical="center" wrapText="1"/>
    </xf>
    <xf numFmtId="0" fontId="162" fillId="28" borderId="21" xfId="0" applyFont="1" applyFill="1" applyBorder="1" applyAlignment="1">
      <alignment horizontal="center" vertical="center" wrapText="1"/>
    </xf>
    <xf numFmtId="0" fontId="162" fillId="28" borderId="0" xfId="0" applyFont="1" applyFill="1" applyBorder="1" applyAlignment="1">
      <alignment horizontal="center" vertical="center" wrapText="1"/>
    </xf>
    <xf numFmtId="0" fontId="162" fillId="28" borderId="65" xfId="0" applyFont="1" applyFill="1" applyBorder="1" applyAlignment="1">
      <alignment horizontal="center" vertical="center" wrapText="1"/>
    </xf>
    <xf numFmtId="0" fontId="52" fillId="8" borderId="20" xfId="0" applyFont="1" applyFill="1" applyBorder="1" applyAlignment="1">
      <alignment horizontal="center" vertical="center"/>
    </xf>
    <xf numFmtId="0" fontId="52" fillId="8" borderId="64" xfId="0" applyFont="1" applyFill="1" applyBorder="1" applyAlignment="1">
      <alignment horizontal="center" vertical="center"/>
    </xf>
    <xf numFmtId="0" fontId="52" fillId="8" borderId="21" xfId="0" applyFont="1" applyFill="1" applyBorder="1" applyAlignment="1">
      <alignment horizontal="center" vertical="center"/>
    </xf>
    <xf numFmtId="0" fontId="52" fillId="8" borderId="65" xfId="0" applyFont="1" applyFill="1" applyBorder="1" applyAlignment="1">
      <alignment horizontal="center" vertical="center"/>
    </xf>
    <xf numFmtId="0" fontId="168" fillId="15" borderId="7" xfId="2" applyFont="1" applyFill="1" applyBorder="1" applyAlignment="1">
      <alignment horizontal="center"/>
    </xf>
    <xf numFmtId="0" fontId="169" fillId="15" borderId="61" xfId="0" applyFont="1" applyFill="1" applyBorder="1" applyAlignment="1">
      <alignment horizontal="center"/>
    </xf>
    <xf numFmtId="0" fontId="169" fillId="15" borderId="4" xfId="0" applyFont="1" applyFill="1" applyBorder="1" applyAlignment="1">
      <alignment horizontal="center"/>
    </xf>
    <xf numFmtId="0" fontId="69" fillId="28" borderId="20" xfId="0" applyFont="1" applyFill="1" applyBorder="1" applyAlignment="1">
      <alignment horizontal="center" vertical="center"/>
    </xf>
    <xf numFmtId="0" fontId="69" fillId="28" borderId="72" xfId="0" applyFont="1" applyFill="1" applyBorder="1" applyAlignment="1">
      <alignment horizontal="center" vertical="center"/>
    </xf>
    <xf numFmtId="0" fontId="69" fillId="28" borderId="64" xfId="0" applyFont="1" applyFill="1" applyBorder="1" applyAlignment="1">
      <alignment horizontal="center" vertical="center"/>
    </xf>
    <xf numFmtId="0" fontId="19" fillId="32" borderId="7" xfId="0" applyFont="1" applyFill="1" applyBorder="1" applyAlignment="1">
      <alignment horizontal="center" vertical="center"/>
    </xf>
    <xf numFmtId="0" fontId="19" fillId="32" borderId="61" xfId="0" applyFont="1" applyFill="1" applyBorder="1" applyAlignment="1">
      <alignment horizontal="center" vertical="center"/>
    </xf>
    <xf numFmtId="0" fontId="150" fillId="16" borderId="16" xfId="0" applyFont="1" applyFill="1" applyBorder="1" applyAlignment="1">
      <alignment horizontal="center" vertical="center" textRotation="255"/>
    </xf>
    <xf numFmtId="0" fontId="150" fillId="16" borderId="73" xfId="0" applyFont="1" applyFill="1" applyBorder="1" applyAlignment="1">
      <alignment horizontal="center" vertical="center" textRotation="255"/>
    </xf>
    <xf numFmtId="0" fontId="150" fillId="24" borderId="73" xfId="0" applyFont="1" applyFill="1" applyBorder="1" applyAlignment="1">
      <alignment horizontal="center" vertical="center" textRotation="255"/>
    </xf>
    <xf numFmtId="0" fontId="150" fillId="24" borderId="3" xfId="0" applyFont="1" applyFill="1" applyBorder="1" applyAlignment="1">
      <alignment horizontal="center" vertical="center" textRotation="255"/>
    </xf>
    <xf numFmtId="0" fontId="2" fillId="12" borderId="61" xfId="0" applyFont="1" applyFill="1" applyBorder="1" applyAlignment="1" applyProtection="1">
      <alignment horizontal="center" vertical="center"/>
      <protection locked="0"/>
    </xf>
    <xf numFmtId="0" fontId="118" fillId="12" borderId="66" xfId="0" applyFont="1" applyFill="1" applyBorder="1" applyAlignment="1" applyProtection="1">
      <alignment horizontal="left" vertical="center"/>
      <protection locked="0"/>
    </xf>
    <xf numFmtId="0" fontId="118" fillId="12" borderId="71" xfId="0" applyFont="1" applyFill="1" applyBorder="1" applyAlignment="1" applyProtection="1">
      <alignment horizontal="left" vertical="center"/>
      <protection locked="0"/>
    </xf>
    <xf numFmtId="0" fontId="118" fillId="12" borderId="60" xfId="0" applyFont="1" applyFill="1" applyBorder="1" applyAlignment="1" applyProtection="1">
      <alignment horizontal="left" vertical="center"/>
      <protection locked="0"/>
    </xf>
    <xf numFmtId="0" fontId="70" fillId="23" borderId="7" xfId="0" applyFont="1" applyFill="1" applyBorder="1" applyAlignment="1">
      <alignment horizontal="center" vertical="center" wrapText="1"/>
    </xf>
    <xf numFmtId="0" fontId="137" fillId="23" borderId="61" xfId="0" applyFont="1" applyFill="1" applyBorder="1" applyAlignment="1">
      <alignment horizontal="center" vertical="center" wrapText="1"/>
    </xf>
    <xf numFmtId="0" fontId="118" fillId="18"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61" xfId="0" applyFont="1" applyFill="1" applyBorder="1" applyAlignment="1">
      <alignment horizontal="center" vertical="center" wrapText="1"/>
    </xf>
    <xf numFmtId="0" fontId="2" fillId="13" borderId="16" xfId="0" applyFont="1" applyFill="1" applyBorder="1" applyAlignment="1" applyProtection="1">
      <alignment horizontal="center" vertical="center"/>
      <protection locked="0"/>
    </xf>
    <xf numFmtId="0" fontId="2" fillId="13" borderId="73" xfId="0" applyFont="1" applyFill="1" applyBorder="1" applyAlignment="1" applyProtection="1">
      <alignment horizontal="center" vertical="center"/>
      <protection locked="0"/>
    </xf>
    <xf numFmtId="0" fontId="2" fillId="13" borderId="3" xfId="0" applyFont="1" applyFill="1" applyBorder="1" applyAlignment="1" applyProtection="1">
      <alignment horizontal="center" vertical="center"/>
      <protection locked="0"/>
    </xf>
    <xf numFmtId="0" fontId="53" fillId="14" borderId="20" xfId="0" applyFont="1" applyFill="1" applyBorder="1" applyAlignment="1">
      <alignment horizontal="center" vertical="center" wrapText="1"/>
    </xf>
    <xf numFmtId="0" fontId="53" fillId="14" borderId="72" xfId="0" applyFont="1" applyFill="1" applyBorder="1" applyAlignment="1">
      <alignment horizontal="center" vertical="center" wrapText="1"/>
    </xf>
    <xf numFmtId="0" fontId="53" fillId="14" borderId="64" xfId="0" applyFont="1" applyFill="1" applyBorder="1" applyAlignment="1">
      <alignment horizontal="center" vertical="center" wrapText="1"/>
    </xf>
    <xf numFmtId="0" fontId="53" fillId="14" borderId="21" xfId="0" applyFont="1" applyFill="1" applyBorder="1" applyAlignment="1">
      <alignment horizontal="center" vertical="center" wrapText="1"/>
    </xf>
    <xf numFmtId="0" fontId="53" fillId="14" borderId="0" xfId="0" applyFont="1" applyFill="1" applyBorder="1" applyAlignment="1">
      <alignment horizontal="center" vertical="center" wrapText="1"/>
    </xf>
    <xf numFmtId="0" fontId="53" fillId="14" borderId="65" xfId="0" applyFont="1" applyFill="1" applyBorder="1" applyAlignment="1">
      <alignment horizontal="center" vertical="center" wrapText="1"/>
    </xf>
    <xf numFmtId="0" fontId="53" fillId="14" borderId="66" xfId="0" applyFont="1" applyFill="1" applyBorder="1" applyAlignment="1">
      <alignment horizontal="center" vertical="center" wrapText="1"/>
    </xf>
    <xf numFmtId="0" fontId="53" fillId="14" borderId="71" xfId="0" applyFont="1" applyFill="1" applyBorder="1" applyAlignment="1">
      <alignment horizontal="center" vertical="center" wrapText="1"/>
    </xf>
    <xf numFmtId="0" fontId="53" fillId="14" borderId="60" xfId="0" applyFont="1" applyFill="1" applyBorder="1" applyAlignment="1">
      <alignment horizontal="center" vertical="center" wrapText="1"/>
    </xf>
    <xf numFmtId="0" fontId="136" fillId="12" borderId="7" xfId="0" applyFont="1" applyFill="1" applyBorder="1" applyAlignment="1" applyProtection="1">
      <alignment horizontal="center" vertical="center" wrapText="1"/>
      <protection locked="0"/>
    </xf>
    <xf numFmtId="0" fontId="136" fillId="12" borderId="4" xfId="0" applyFont="1" applyFill="1" applyBorder="1" applyAlignment="1" applyProtection="1">
      <alignment horizontal="center" vertical="center" wrapText="1"/>
      <protection locked="0"/>
    </xf>
    <xf numFmtId="0" fontId="136" fillId="12" borderId="20" xfId="0" applyFont="1" applyFill="1" applyBorder="1" applyAlignment="1" applyProtection="1">
      <alignment horizontal="center" vertical="center" wrapText="1"/>
      <protection locked="0"/>
    </xf>
    <xf numFmtId="0" fontId="136" fillId="12" borderId="64" xfId="0" applyFont="1" applyFill="1" applyBorder="1" applyAlignment="1" applyProtection="1">
      <alignment horizontal="center" vertical="center" wrapText="1"/>
      <protection locked="0"/>
    </xf>
    <xf numFmtId="0" fontId="118" fillId="24" borderId="16" xfId="0" applyFont="1" applyFill="1" applyBorder="1" applyAlignment="1">
      <alignment horizontal="center" vertical="center" textRotation="90" wrapText="1"/>
    </xf>
    <xf numFmtId="0" fontId="118" fillId="24" borderId="73" xfId="0" applyFont="1" applyFill="1" applyBorder="1" applyAlignment="1">
      <alignment horizontal="center" vertical="center" textRotation="90" wrapText="1"/>
    </xf>
    <xf numFmtId="49" fontId="88" fillId="12" borderId="7" xfId="0" applyNumberFormat="1" applyFont="1" applyFill="1" applyBorder="1" applyAlignment="1" applyProtection="1">
      <alignment horizontal="center" vertical="center"/>
      <protection locked="0"/>
    </xf>
    <xf numFmtId="49" fontId="88" fillId="12" borderId="61" xfId="0" applyNumberFormat="1" applyFont="1" applyFill="1" applyBorder="1" applyAlignment="1" applyProtection="1">
      <alignment horizontal="center" vertical="center"/>
      <protection locked="0"/>
    </xf>
    <xf numFmtId="0" fontId="143" fillId="24" borderId="7" xfId="0" applyFont="1" applyFill="1" applyBorder="1" applyAlignment="1">
      <alignment horizontal="center" vertical="center" wrapText="1"/>
    </xf>
    <xf numFmtId="0" fontId="143" fillId="24" borderId="4" xfId="0" applyFont="1" applyFill="1" applyBorder="1" applyAlignment="1">
      <alignment horizontal="center" vertical="center" wrapText="1"/>
    </xf>
    <xf numFmtId="0" fontId="2" fillId="12" borderId="66" xfId="0" applyFont="1" applyFill="1" applyBorder="1" applyAlignment="1" applyProtection="1">
      <alignment horizontal="left" vertical="center"/>
      <protection locked="0"/>
    </xf>
    <xf numFmtId="0" fontId="2" fillId="12" borderId="71" xfId="0" applyFont="1" applyFill="1" applyBorder="1" applyAlignment="1" applyProtection="1">
      <alignment horizontal="left" vertical="center"/>
      <protection locked="0"/>
    </xf>
    <xf numFmtId="0" fontId="151" fillId="16" borderId="73" xfId="0" applyFont="1" applyFill="1" applyBorder="1" applyAlignment="1">
      <alignment horizontal="center" vertical="center" textRotation="90" wrapText="1"/>
    </xf>
    <xf numFmtId="0" fontId="151" fillId="16" borderId="3" xfId="0" applyFont="1" applyFill="1" applyBorder="1" applyAlignment="1">
      <alignment horizontal="center" vertical="center" textRotation="90" wrapText="1"/>
    </xf>
    <xf numFmtId="0" fontId="119" fillId="18" borderId="16" xfId="0" applyFont="1" applyFill="1" applyBorder="1" applyAlignment="1">
      <alignment horizontal="center" vertical="center" textRotation="90" wrapText="1"/>
    </xf>
    <xf numFmtId="0" fontId="119" fillId="18" borderId="3" xfId="0" applyFont="1" applyFill="1" applyBorder="1" applyAlignment="1">
      <alignment horizontal="center" vertical="center" textRotation="90" wrapText="1"/>
    </xf>
    <xf numFmtId="0" fontId="2" fillId="18" borderId="7" xfId="0" applyFont="1" applyFill="1" applyBorder="1" applyAlignment="1">
      <alignment horizontal="left" vertical="center"/>
    </xf>
    <xf numFmtId="0" fontId="2" fillId="18" borderId="61" xfId="0" applyFont="1" applyFill="1" applyBorder="1" applyAlignment="1">
      <alignment horizontal="left" vertical="center"/>
    </xf>
    <xf numFmtId="0" fontId="2" fillId="18" borderId="4" xfId="0" applyFont="1" applyFill="1" applyBorder="1" applyAlignment="1">
      <alignment horizontal="left" vertical="center"/>
    </xf>
    <xf numFmtId="0" fontId="85" fillId="22" borderId="0" xfId="0" applyFont="1" applyFill="1" applyBorder="1" applyAlignment="1" applyProtection="1">
      <alignment horizontal="center" vertical="center"/>
      <protection locked="0"/>
    </xf>
    <xf numFmtId="0" fontId="2" fillId="12" borderId="71" xfId="0" applyFont="1" applyFill="1" applyBorder="1" applyAlignment="1" applyProtection="1">
      <alignment horizontal="center" vertical="center"/>
      <protection locked="0"/>
    </xf>
    <xf numFmtId="0" fontId="5" fillId="2" borderId="7" xfId="0" applyFont="1" applyFill="1" applyBorder="1" applyAlignment="1">
      <alignment horizontal="center" vertical="center"/>
    </xf>
    <xf numFmtId="0" fontId="5" fillId="2" borderId="61" xfId="0" applyFont="1" applyFill="1" applyBorder="1" applyAlignment="1">
      <alignment horizontal="center" vertical="center"/>
    </xf>
    <xf numFmtId="0" fontId="5" fillId="2" borderId="64" xfId="0" applyFont="1" applyFill="1" applyBorder="1" applyAlignment="1">
      <alignment horizontal="center" vertical="center"/>
    </xf>
    <xf numFmtId="0" fontId="6" fillId="2" borderId="97" xfId="0" applyFont="1" applyFill="1" applyBorder="1" applyAlignment="1">
      <alignment horizontal="center" vertical="center"/>
    </xf>
    <xf numFmtId="0" fontId="2" fillId="2" borderId="61" xfId="0" applyFont="1" applyFill="1" applyBorder="1" applyAlignment="1">
      <alignment horizontal="center" vertical="center"/>
    </xf>
    <xf numFmtId="0" fontId="2" fillId="12" borderId="93" xfId="0" applyFont="1" applyFill="1" applyBorder="1" applyAlignment="1" applyProtection="1">
      <alignment horizontal="left" vertical="center"/>
      <protection locked="0"/>
    </xf>
    <xf numFmtId="0" fontId="2" fillId="12" borderId="94" xfId="0" applyFont="1" applyFill="1" applyBorder="1" applyAlignment="1" applyProtection="1">
      <alignment horizontal="left" vertical="center"/>
      <protection locked="0"/>
    </xf>
    <xf numFmtId="0" fontId="2" fillId="12" borderId="95" xfId="0" applyFont="1" applyFill="1" applyBorder="1" applyAlignment="1" applyProtection="1">
      <alignment horizontal="left" vertical="center"/>
      <protection locked="0"/>
    </xf>
    <xf numFmtId="0" fontId="149" fillId="32" borderId="7" xfId="0" applyFont="1" applyFill="1" applyBorder="1" applyAlignment="1">
      <alignment horizontal="center" vertical="center"/>
    </xf>
    <xf numFmtId="0" fontId="149" fillId="32" borderId="61" xfId="0" applyFont="1" applyFill="1" applyBorder="1" applyAlignment="1">
      <alignment horizontal="center" vertical="center"/>
    </xf>
    <xf numFmtId="0" fontId="139" fillId="25" borderId="20" xfId="0" applyFont="1" applyFill="1" applyBorder="1" applyAlignment="1" applyProtection="1">
      <alignment horizontal="center" vertical="center" textRotation="255"/>
    </xf>
    <xf numFmtId="0" fontId="139" fillId="25" borderId="21" xfId="0" applyFont="1" applyFill="1" applyBorder="1" applyAlignment="1" applyProtection="1">
      <alignment horizontal="center" vertical="center" textRotation="255"/>
    </xf>
    <xf numFmtId="0" fontId="2" fillId="12" borderId="60" xfId="0" applyFont="1" applyFill="1" applyBorder="1" applyAlignment="1" applyProtection="1">
      <alignment horizontal="left" vertical="center"/>
      <protection locked="0"/>
    </xf>
    <xf numFmtId="0" fontId="166" fillId="2" borderId="7" xfId="0" applyFont="1" applyFill="1" applyBorder="1" applyAlignment="1">
      <alignment horizontal="center" vertical="center"/>
    </xf>
    <xf numFmtId="0" fontId="166" fillId="2" borderId="61" xfId="0" applyFont="1" applyFill="1" applyBorder="1" applyAlignment="1">
      <alignment horizontal="center" vertical="center"/>
    </xf>
    <xf numFmtId="0" fontId="166" fillId="2" borderId="4"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64" xfId="0" applyFont="1" applyFill="1" applyBorder="1" applyAlignment="1">
      <alignment horizontal="center" vertical="center"/>
    </xf>
    <xf numFmtId="0" fontId="6" fillId="2" borderId="61" xfId="0" applyFont="1" applyFill="1" applyBorder="1" applyAlignment="1">
      <alignment horizontal="center" vertical="center" wrapText="1"/>
    </xf>
    <xf numFmtId="0" fontId="53" fillId="2" borderId="7" xfId="0" applyFont="1" applyFill="1" applyBorder="1" applyAlignment="1">
      <alignment horizontal="right" vertical="center"/>
    </xf>
    <xf numFmtId="0" fontId="53" fillId="2" borderId="4" xfId="0" applyFont="1" applyFill="1" applyBorder="1" applyAlignment="1">
      <alignment horizontal="right" vertical="center"/>
    </xf>
    <xf numFmtId="0" fontId="138" fillId="25" borderId="20" xfId="0" applyFont="1" applyFill="1" applyBorder="1" applyAlignment="1">
      <alignment horizontal="center" vertical="center" wrapText="1"/>
    </xf>
    <xf numFmtId="0" fontId="138" fillId="25" borderId="72" xfId="0" applyFont="1" applyFill="1" applyBorder="1" applyAlignment="1">
      <alignment horizontal="center" vertical="center" wrapText="1"/>
    </xf>
    <xf numFmtId="0" fontId="138" fillId="25" borderId="64" xfId="0" applyFont="1" applyFill="1" applyBorder="1" applyAlignment="1">
      <alignment horizontal="center" vertical="center" wrapText="1"/>
    </xf>
    <xf numFmtId="14" fontId="61" fillId="30" borderId="20" xfId="0" applyNumberFormat="1" applyFont="1" applyFill="1" applyBorder="1" applyAlignment="1">
      <alignment horizontal="left" vertical="center" wrapText="1"/>
    </xf>
    <xf numFmtId="14" fontId="61" fillId="30" borderId="72" xfId="0" applyNumberFormat="1" applyFont="1" applyFill="1" applyBorder="1" applyAlignment="1">
      <alignment horizontal="left" vertical="center" wrapText="1"/>
    </xf>
    <xf numFmtId="14" fontId="61" fillId="30" borderId="64" xfId="0" applyNumberFormat="1" applyFont="1" applyFill="1" applyBorder="1" applyAlignment="1">
      <alignment horizontal="left" vertical="center" wrapText="1"/>
    </xf>
    <xf numFmtId="0" fontId="67" fillId="20" borderId="0" xfId="0" applyFont="1" applyFill="1" applyAlignment="1" applyProtection="1">
      <alignment horizontal="center" vertical="center"/>
      <protection hidden="1"/>
    </xf>
    <xf numFmtId="0" fontId="9" fillId="0" borderId="0" xfId="0" applyFont="1" applyAlignment="1" applyProtection="1">
      <alignment horizontal="center" vertical="center" shrinkToFit="1"/>
      <protection hidden="1"/>
    </xf>
    <xf numFmtId="0" fontId="10" fillId="20" borderId="14" xfId="0" applyFont="1" applyFill="1" applyBorder="1" applyAlignment="1" applyProtection="1">
      <alignment horizontal="center" vertical="center"/>
      <protection hidden="1"/>
    </xf>
    <xf numFmtId="0" fontId="10" fillId="20" borderId="9" xfId="0" applyFont="1" applyFill="1" applyBorder="1" applyAlignment="1" applyProtection="1">
      <alignment horizontal="center" vertical="center"/>
      <protection hidden="1"/>
    </xf>
    <xf numFmtId="0" fontId="42" fillId="0" borderId="14" xfId="0" applyFont="1" applyBorder="1" applyAlignment="1" applyProtection="1">
      <alignment horizontal="center" vertical="center" wrapText="1"/>
      <protection locked="0" hidden="1"/>
    </xf>
    <xf numFmtId="0" fontId="42" fillId="0" borderId="9" xfId="0" applyFont="1" applyBorder="1" applyAlignment="1" applyProtection="1">
      <alignment horizontal="center" vertical="center" wrapText="1"/>
      <protection locked="0" hidden="1"/>
    </xf>
    <xf numFmtId="0" fontId="43" fillId="0" borderId="14" xfId="0" applyFont="1" applyBorder="1" applyAlignment="1" applyProtection="1">
      <alignment horizontal="center" vertical="center" wrapText="1"/>
      <protection locked="0" hidden="1"/>
    </xf>
    <xf numFmtId="0" fontId="43" fillId="0" borderId="9" xfId="0" applyFont="1" applyBorder="1" applyAlignment="1" applyProtection="1">
      <alignment horizontal="center" vertical="center" wrapText="1"/>
      <protection locked="0" hidden="1"/>
    </xf>
    <xf numFmtId="0" fontId="44" fillId="0" borderId="14" xfId="0" applyFont="1" applyBorder="1" applyAlignment="1" applyProtection="1">
      <alignment horizontal="center" vertical="center" wrapText="1"/>
      <protection locked="0" hidden="1"/>
    </xf>
    <xf numFmtId="0" fontId="44" fillId="0" borderId="9" xfId="0" applyFont="1" applyBorder="1" applyAlignment="1" applyProtection="1">
      <alignment horizontal="center" vertical="center" wrapText="1"/>
      <protection locked="0" hidden="1"/>
    </xf>
    <xf numFmtId="0" fontId="43" fillId="0" borderId="1" xfId="0" applyFont="1" applyBorder="1" applyAlignment="1" applyProtection="1">
      <alignment horizontal="center" vertical="center" wrapText="1"/>
      <protection locked="0" hidden="1"/>
    </xf>
    <xf numFmtId="167" fontId="152" fillId="11" borderId="22" xfId="1" applyNumberFormat="1" applyFont="1" applyFill="1" applyBorder="1" applyAlignment="1" applyProtection="1">
      <alignment horizontal="left" vertical="center" wrapText="1"/>
      <protection locked="0"/>
    </xf>
    <xf numFmtId="167" fontId="152" fillId="11" borderId="98" xfId="1" applyNumberFormat="1" applyFont="1" applyFill="1" applyBorder="1" applyAlignment="1" applyProtection="1">
      <alignment horizontal="left" vertical="center" wrapText="1"/>
      <protection locked="0"/>
    </xf>
    <xf numFmtId="0" fontId="123" fillId="11" borderId="71" xfId="0" applyFont="1" applyFill="1" applyBorder="1" applyAlignment="1" applyProtection="1">
      <alignment horizontal="left" vertical="center" wrapText="1"/>
      <protection locked="0"/>
    </xf>
    <xf numFmtId="0" fontId="123" fillId="11" borderId="60" xfId="0" applyFont="1" applyFill="1" applyBorder="1" applyAlignment="1" applyProtection="1">
      <alignment horizontal="left" vertical="center" wrapText="1"/>
      <protection locked="0"/>
    </xf>
    <xf numFmtId="14" fontId="123" fillId="11" borderId="0" xfId="0" applyNumberFormat="1" applyFont="1" applyFill="1" applyBorder="1" applyAlignment="1" applyProtection="1">
      <alignment horizontal="left" vertical="center" wrapText="1"/>
      <protection locked="0"/>
    </xf>
    <xf numFmtId="0" fontId="123" fillId="11" borderId="0" xfId="0" applyFont="1" applyFill="1" applyBorder="1" applyAlignment="1" applyProtection="1">
      <alignment horizontal="left" vertical="center" wrapText="1"/>
      <protection locked="0"/>
    </xf>
    <xf numFmtId="0" fontId="123" fillId="11" borderId="65" xfId="0" applyFont="1" applyFill="1" applyBorder="1" applyAlignment="1" applyProtection="1">
      <alignment horizontal="left" vertical="center" wrapText="1"/>
      <protection locked="0"/>
    </xf>
    <xf numFmtId="0" fontId="123" fillId="11" borderId="31" xfId="0" applyFont="1" applyFill="1" applyBorder="1" applyAlignment="1">
      <alignment horizontal="left" vertical="center" shrinkToFit="1"/>
    </xf>
    <xf numFmtId="0" fontId="123" fillId="11" borderId="68" xfId="0" applyFont="1" applyFill="1" applyBorder="1" applyAlignment="1">
      <alignment horizontal="left" vertical="center" shrinkToFit="1"/>
    </xf>
    <xf numFmtId="0" fontId="123" fillId="11" borderId="29" xfId="0" applyFont="1" applyFill="1" applyBorder="1" applyAlignment="1" applyProtection="1">
      <alignment horizontal="left" vertical="center" shrinkToFit="1"/>
      <protection hidden="1"/>
    </xf>
    <xf numFmtId="0" fontId="123" fillId="11" borderId="30" xfId="0" applyFont="1" applyFill="1" applyBorder="1" applyAlignment="1" applyProtection="1">
      <alignment horizontal="left" vertical="center" shrinkToFit="1"/>
      <protection hidden="1"/>
    </xf>
    <xf numFmtId="0" fontId="123" fillId="11" borderId="0" xfId="0" applyFont="1" applyFill="1" applyBorder="1" applyAlignment="1" applyProtection="1">
      <alignment horizontal="center" vertical="center" wrapText="1"/>
      <protection locked="0"/>
    </xf>
    <xf numFmtId="0" fontId="123" fillId="11" borderId="65" xfId="0" applyFont="1" applyFill="1" applyBorder="1" applyAlignment="1" applyProtection="1">
      <alignment horizontal="center" vertical="center" wrapText="1"/>
      <protection locked="0"/>
    </xf>
    <xf numFmtId="0" fontId="123" fillId="11" borderId="12" xfId="0" applyFont="1" applyFill="1" applyBorder="1" applyAlignment="1" applyProtection="1">
      <alignment horizontal="left" vertical="center" wrapText="1"/>
      <protection locked="0"/>
    </xf>
    <xf numFmtId="167" fontId="152" fillId="11" borderId="28" xfId="1" applyNumberFormat="1" applyFont="1" applyFill="1" applyBorder="1" applyAlignment="1" applyProtection="1">
      <alignment horizontal="left" vertical="center" wrapText="1"/>
      <protection locked="0"/>
    </xf>
    <xf numFmtId="167" fontId="152" fillId="11" borderId="99" xfId="1" applyNumberFormat="1" applyFont="1" applyFill="1" applyBorder="1" applyAlignment="1" applyProtection="1">
      <alignment horizontal="left" vertical="center" wrapText="1"/>
      <protection locked="0"/>
    </xf>
    <xf numFmtId="0" fontId="121" fillId="11" borderId="88" xfId="0" applyFont="1" applyFill="1" applyBorder="1" applyAlignment="1">
      <alignment horizontal="center" vertical="center" wrapText="1"/>
    </xf>
    <xf numFmtId="0" fontId="121" fillId="11" borderId="18" xfId="0" applyFont="1" applyFill="1" applyBorder="1" applyAlignment="1">
      <alignment horizontal="center" vertical="center" wrapText="1"/>
    </xf>
    <xf numFmtId="0" fontId="121" fillId="11" borderId="100" xfId="0" applyFont="1" applyFill="1" applyBorder="1" applyAlignment="1">
      <alignment horizontal="center" vertical="center" wrapText="1"/>
    </xf>
    <xf numFmtId="0" fontId="123" fillId="11" borderId="89" xfId="0" applyFont="1" applyFill="1" applyBorder="1" applyAlignment="1" applyProtection="1">
      <alignment horizontal="left" vertical="center" wrapText="1"/>
      <protection hidden="1"/>
    </xf>
    <xf numFmtId="0" fontId="123" fillId="11" borderId="12" xfId="0" applyFont="1" applyFill="1" applyBorder="1" applyAlignment="1" applyProtection="1">
      <alignment horizontal="left" vertical="center" wrapText="1"/>
      <protection hidden="1"/>
    </xf>
    <xf numFmtId="0" fontId="123" fillId="11" borderId="101" xfId="0" applyFont="1" applyFill="1" applyBorder="1" applyAlignment="1" applyProtection="1">
      <alignment horizontal="left" vertical="center" wrapText="1"/>
      <protection hidden="1"/>
    </xf>
    <xf numFmtId="0" fontId="123" fillId="11" borderId="102" xfId="0" applyFont="1" applyFill="1" applyBorder="1" applyAlignment="1" applyProtection="1">
      <alignment horizontal="left" vertical="center" wrapText="1"/>
      <protection hidden="1"/>
    </xf>
    <xf numFmtId="0" fontId="123" fillId="11" borderId="5" xfId="0" applyFont="1" applyFill="1" applyBorder="1" applyAlignment="1" applyProtection="1">
      <alignment horizontal="left" vertical="center" wrapText="1"/>
      <protection hidden="1"/>
    </xf>
    <xf numFmtId="0" fontId="123" fillId="11" borderId="70" xfId="0" applyFont="1" applyFill="1" applyBorder="1" applyAlignment="1" applyProtection="1">
      <alignment horizontal="left" vertical="center" wrapText="1"/>
      <protection hidden="1"/>
    </xf>
    <xf numFmtId="167" fontId="152" fillId="11" borderId="25" xfId="1" applyNumberFormat="1" applyFont="1" applyFill="1" applyBorder="1" applyAlignment="1" applyProtection="1">
      <alignment horizontal="left" vertical="center" wrapText="1"/>
      <protection locked="0"/>
    </xf>
    <xf numFmtId="167" fontId="152" fillId="11" borderId="69" xfId="1" applyNumberFormat="1" applyFont="1" applyFill="1" applyBorder="1" applyAlignment="1" applyProtection="1">
      <alignment horizontal="left" vertical="center" wrapText="1"/>
      <protection locked="0"/>
    </xf>
    <xf numFmtId="0" fontId="123" fillId="11" borderId="12" xfId="0" applyFont="1" applyFill="1" applyBorder="1" applyAlignment="1" applyProtection="1">
      <alignment horizontal="justify" vertical="center" wrapText="1"/>
    </xf>
    <xf numFmtId="0" fontId="123" fillId="11" borderId="101" xfId="0" applyFont="1" applyFill="1" applyBorder="1" applyAlignment="1" applyProtection="1">
      <alignment horizontal="justify" vertical="center" wrapText="1"/>
    </xf>
    <xf numFmtId="0" fontId="123" fillId="11" borderId="26" xfId="0" applyFont="1" applyFill="1" applyBorder="1" applyAlignment="1" applyProtection="1">
      <alignment horizontal="left" vertical="center"/>
      <protection hidden="1"/>
    </xf>
    <xf numFmtId="167" fontId="152" fillId="11" borderId="25" xfId="1" applyNumberFormat="1" applyFont="1" applyFill="1" applyBorder="1" applyAlignment="1" applyProtection="1">
      <alignment horizontal="center" vertical="center" wrapText="1"/>
      <protection locked="0"/>
    </xf>
    <xf numFmtId="167" fontId="152" fillId="11" borderId="69" xfId="1" applyNumberFormat="1" applyFont="1" applyFill="1" applyBorder="1" applyAlignment="1" applyProtection="1">
      <alignment horizontal="center" vertical="center" wrapText="1"/>
      <protection locked="0"/>
    </xf>
    <xf numFmtId="0" fontId="123" fillId="11" borderId="26" xfId="0" applyFont="1" applyFill="1" applyBorder="1" applyAlignment="1" applyProtection="1">
      <alignment horizontal="center" vertical="center" wrapText="1"/>
      <protection hidden="1"/>
    </xf>
    <xf numFmtId="0" fontId="123" fillId="11" borderId="27" xfId="0" applyFont="1" applyFill="1" applyBorder="1" applyAlignment="1" applyProtection="1">
      <alignment horizontal="center" vertical="center" wrapText="1"/>
      <protection hidden="1"/>
    </xf>
    <xf numFmtId="0" fontId="122" fillId="11" borderId="26" xfId="0" applyFont="1" applyFill="1" applyBorder="1" applyAlignment="1" applyProtection="1">
      <alignment horizontal="left" vertical="center" wrapText="1"/>
      <protection hidden="1"/>
    </xf>
    <xf numFmtId="0" fontId="122" fillId="11" borderId="27" xfId="0" applyFont="1" applyFill="1" applyBorder="1" applyAlignment="1" applyProtection="1">
      <alignment horizontal="left" vertical="center" wrapText="1"/>
      <protection hidden="1"/>
    </xf>
    <xf numFmtId="0" fontId="123" fillId="11" borderId="25" xfId="0" applyFont="1" applyFill="1" applyBorder="1" applyAlignment="1">
      <alignment horizontal="left" vertical="center" shrinkToFit="1"/>
    </xf>
    <xf numFmtId="0" fontId="123" fillId="11" borderId="69" xfId="0" applyFont="1" applyFill="1" applyBorder="1" applyAlignment="1">
      <alignment horizontal="left" vertical="center" shrinkToFit="1"/>
    </xf>
    <xf numFmtId="164" fontId="122" fillId="11" borderId="22" xfId="0" applyNumberFormat="1" applyFont="1" applyFill="1" applyBorder="1" applyAlignment="1" applyProtection="1">
      <alignment vertical="center" wrapText="1"/>
      <protection hidden="1"/>
    </xf>
    <xf numFmtId="164" fontId="122" fillId="11" borderId="23" xfId="0" applyNumberFormat="1" applyFont="1" applyFill="1" applyBorder="1" applyAlignment="1" applyProtection="1">
      <alignment vertical="center" wrapText="1"/>
      <protection hidden="1"/>
    </xf>
    <xf numFmtId="164" fontId="122" fillId="11" borderId="24" xfId="0" applyNumberFormat="1" applyFont="1" applyFill="1" applyBorder="1" applyAlignment="1" applyProtection="1">
      <alignment vertical="center" wrapText="1"/>
      <protection hidden="1"/>
    </xf>
    <xf numFmtId="164" fontId="123" fillId="11" borderId="55" xfId="0" applyNumberFormat="1" applyFont="1" applyFill="1" applyBorder="1" applyAlignment="1" applyProtection="1">
      <alignment horizontal="left" vertical="center"/>
      <protection hidden="1"/>
    </xf>
    <xf numFmtId="164" fontId="123" fillId="11" borderId="27" xfId="0" applyNumberFormat="1" applyFont="1" applyFill="1" applyBorder="1" applyAlignment="1" applyProtection="1">
      <alignment horizontal="left" vertical="center"/>
      <protection hidden="1"/>
    </xf>
    <xf numFmtId="164" fontId="123" fillId="11" borderId="55" xfId="0" applyNumberFormat="1" applyFont="1" applyFill="1" applyBorder="1" applyAlignment="1" applyProtection="1">
      <alignment horizontal="left" vertical="center" wrapText="1"/>
      <protection hidden="1"/>
    </xf>
    <xf numFmtId="164" fontId="123" fillId="11" borderId="26" xfId="0" applyNumberFormat="1" applyFont="1" applyFill="1" applyBorder="1" applyAlignment="1" applyProtection="1">
      <alignment horizontal="left" vertical="center" wrapText="1"/>
      <protection hidden="1"/>
    </xf>
    <xf numFmtId="164" fontId="153" fillId="11" borderId="28" xfId="0" applyNumberFormat="1" applyFont="1" applyFill="1" applyBorder="1" applyAlignment="1" applyProtection="1">
      <alignment horizontal="center" vertical="center" wrapText="1"/>
      <protection hidden="1"/>
    </xf>
    <xf numFmtId="164" fontId="153" fillId="11" borderId="29" xfId="0" applyNumberFormat="1" applyFont="1" applyFill="1" applyBorder="1" applyAlignment="1" applyProtection="1">
      <alignment horizontal="center" vertical="center" wrapText="1"/>
      <protection hidden="1"/>
    </xf>
    <xf numFmtId="167" fontId="123" fillId="11" borderId="31" xfId="1" applyNumberFormat="1" applyFont="1" applyFill="1" applyBorder="1" applyAlignment="1" applyProtection="1">
      <alignment horizontal="left" vertical="center" shrinkToFit="1"/>
      <protection locked="0"/>
    </xf>
    <xf numFmtId="167" fontId="123" fillId="11" borderId="68" xfId="1" applyNumberFormat="1" applyFont="1" applyFill="1" applyBorder="1" applyAlignment="1" applyProtection="1">
      <alignment horizontal="left" vertical="center" shrinkToFit="1"/>
      <protection locked="0"/>
    </xf>
    <xf numFmtId="0" fontId="123" fillId="11" borderId="26" xfId="0" applyFont="1" applyFill="1" applyBorder="1" applyAlignment="1" applyProtection="1">
      <alignment horizontal="left" vertical="center" wrapText="1"/>
      <protection hidden="1"/>
    </xf>
    <xf numFmtId="0" fontId="123" fillId="11" borderId="27" xfId="0" applyFont="1" applyFill="1" applyBorder="1" applyAlignment="1" applyProtection="1">
      <alignment horizontal="left" vertical="center" wrapText="1"/>
      <protection hidden="1"/>
    </xf>
    <xf numFmtId="164" fontId="123" fillId="11" borderId="27" xfId="0" applyNumberFormat="1" applyFont="1" applyFill="1" applyBorder="1" applyAlignment="1" applyProtection="1">
      <alignment horizontal="left" vertical="center" wrapText="1"/>
      <protection hidden="1"/>
    </xf>
    <xf numFmtId="164" fontId="123" fillId="11" borderId="29" xfId="0" applyNumberFormat="1" applyFont="1" applyFill="1" applyBorder="1" applyAlignment="1" applyProtection="1">
      <alignment horizontal="left" vertical="center" wrapText="1"/>
      <protection hidden="1"/>
    </xf>
    <xf numFmtId="164" fontId="123" fillId="11" borderId="30" xfId="0" applyNumberFormat="1" applyFont="1" applyFill="1" applyBorder="1" applyAlignment="1" applyProtection="1">
      <alignment horizontal="left" vertical="center" wrapText="1"/>
      <protection hidden="1"/>
    </xf>
    <xf numFmtId="0" fontId="123" fillId="11" borderId="31" xfId="0" applyFont="1" applyFill="1" applyBorder="1" applyAlignment="1" applyProtection="1">
      <alignment horizontal="left" vertical="center" wrapText="1"/>
      <protection hidden="1"/>
    </xf>
    <xf numFmtId="0" fontId="123" fillId="11" borderId="32" xfId="0" applyFont="1" applyFill="1" applyBorder="1" applyAlignment="1" applyProtection="1">
      <alignment horizontal="left" vertical="center" wrapText="1"/>
      <protection hidden="1"/>
    </xf>
    <xf numFmtId="0" fontId="123" fillId="11" borderId="33" xfId="0" applyFont="1" applyFill="1" applyBorder="1" applyAlignment="1" applyProtection="1">
      <alignment horizontal="left" vertical="center" wrapText="1"/>
      <protection hidden="1"/>
    </xf>
    <xf numFmtId="167" fontId="123" fillId="11" borderId="35" xfId="1" applyNumberFormat="1" applyFont="1" applyFill="1" applyBorder="1" applyAlignment="1" applyProtection="1">
      <alignment horizontal="left" vertical="center" shrinkToFit="1"/>
      <protection locked="0"/>
    </xf>
    <xf numFmtId="167" fontId="123" fillId="11" borderId="70" xfId="1" applyNumberFormat="1" applyFont="1" applyFill="1" applyBorder="1" applyAlignment="1" applyProtection="1">
      <alignment horizontal="left" vertical="center" shrinkToFit="1"/>
      <protection locked="0"/>
    </xf>
    <xf numFmtId="0" fontId="122" fillId="11" borderId="14" xfId="0" applyNumberFormat="1" applyFont="1" applyFill="1" applyBorder="1" applyAlignment="1" applyProtection="1">
      <alignment horizontal="left" vertical="center" wrapText="1"/>
      <protection hidden="1"/>
    </xf>
    <xf numFmtId="0" fontId="122" fillId="11" borderId="1" xfId="0" applyNumberFormat="1" applyFont="1" applyFill="1" applyBorder="1" applyAlignment="1" applyProtection="1">
      <alignment horizontal="left" vertical="center" wrapText="1"/>
      <protection hidden="1"/>
    </xf>
    <xf numFmtId="164" fontId="127" fillId="11" borderId="26" xfId="0" applyNumberFormat="1" applyFont="1" applyFill="1" applyBorder="1" applyAlignment="1" applyProtection="1">
      <alignment horizontal="left" vertical="center" wrapText="1"/>
      <protection hidden="1"/>
    </xf>
    <xf numFmtId="164" fontId="127" fillId="11" borderId="27" xfId="0" applyNumberFormat="1" applyFont="1" applyFill="1" applyBorder="1" applyAlignment="1" applyProtection="1">
      <alignment horizontal="left" vertical="center" wrapText="1"/>
      <protection hidden="1"/>
    </xf>
    <xf numFmtId="0" fontId="123" fillId="11" borderId="92" xfId="0" applyFont="1" applyFill="1" applyBorder="1" applyAlignment="1" applyProtection="1">
      <alignment horizontal="left" vertical="center" wrapText="1"/>
      <protection hidden="1"/>
    </xf>
    <xf numFmtId="0" fontId="123" fillId="11" borderId="104" xfId="0" applyFont="1" applyFill="1" applyBorder="1" applyAlignment="1" applyProtection="1">
      <alignment horizontal="left" vertical="center" wrapText="1"/>
      <protection hidden="1"/>
    </xf>
    <xf numFmtId="167" fontId="123" fillId="11" borderId="91" xfId="1" applyNumberFormat="1" applyFont="1" applyFill="1" applyBorder="1" applyAlignment="1" applyProtection="1">
      <alignment horizontal="center" vertical="center" wrapText="1"/>
      <protection hidden="1"/>
    </xf>
    <xf numFmtId="167" fontId="123" fillId="11" borderId="87" xfId="1" applyNumberFormat="1" applyFont="1" applyFill="1" applyBorder="1" applyAlignment="1" applyProtection="1">
      <alignment horizontal="center" vertical="center" wrapText="1"/>
      <protection hidden="1"/>
    </xf>
    <xf numFmtId="164" fontId="123" fillId="11" borderId="55" xfId="0" applyNumberFormat="1" applyFont="1" applyFill="1" applyBorder="1" applyAlignment="1" applyProtection="1">
      <alignment horizontal="center" vertical="center" shrinkToFit="1"/>
      <protection hidden="1"/>
    </xf>
    <xf numFmtId="164" fontId="123" fillId="11" borderId="26" xfId="0" applyNumberFormat="1" applyFont="1" applyFill="1" applyBorder="1" applyAlignment="1" applyProtection="1">
      <alignment horizontal="center" vertical="center" shrinkToFit="1"/>
      <protection hidden="1"/>
    </xf>
    <xf numFmtId="164" fontId="123" fillId="11" borderId="27" xfId="0" applyNumberFormat="1" applyFont="1" applyFill="1" applyBorder="1" applyAlignment="1" applyProtection="1">
      <alignment horizontal="center" vertical="center" shrinkToFit="1"/>
      <protection hidden="1"/>
    </xf>
    <xf numFmtId="164" fontId="123" fillId="11" borderId="55" xfId="0" applyNumberFormat="1" applyFont="1" applyFill="1" applyBorder="1" applyAlignment="1" applyProtection="1">
      <alignment horizontal="left" vertical="center" shrinkToFit="1"/>
      <protection hidden="1"/>
    </xf>
    <xf numFmtId="164" fontId="123" fillId="11" borderId="26" xfId="0" applyNumberFormat="1" applyFont="1" applyFill="1" applyBorder="1" applyAlignment="1" applyProtection="1">
      <alignment horizontal="left" vertical="center" shrinkToFit="1"/>
      <protection hidden="1"/>
    </xf>
    <xf numFmtId="164" fontId="123" fillId="11" borderId="27" xfId="0" applyNumberFormat="1" applyFont="1" applyFill="1" applyBorder="1" applyAlignment="1" applyProtection="1">
      <alignment horizontal="left" vertical="center" shrinkToFit="1"/>
      <protection hidden="1"/>
    </xf>
    <xf numFmtId="0" fontId="121" fillId="11" borderId="1" xfId="0" applyFont="1" applyFill="1" applyBorder="1" applyAlignment="1" applyProtection="1">
      <alignment horizontal="left" vertical="center"/>
      <protection hidden="1"/>
    </xf>
    <xf numFmtId="0" fontId="121" fillId="11" borderId="79" xfId="0" applyFont="1" applyFill="1" applyBorder="1" applyAlignment="1" applyProtection="1">
      <alignment horizontal="left" vertical="center"/>
      <protection hidden="1"/>
    </xf>
    <xf numFmtId="164" fontId="123" fillId="11" borderId="99" xfId="0" applyNumberFormat="1" applyFont="1" applyFill="1" applyBorder="1" applyAlignment="1" applyProtection="1">
      <alignment horizontal="left" vertical="center" wrapText="1"/>
      <protection hidden="1"/>
    </xf>
    <xf numFmtId="0" fontId="123" fillId="11" borderId="39" xfId="0" applyFont="1" applyFill="1" applyBorder="1" applyAlignment="1">
      <alignment horizontal="left" vertical="center" shrinkToFit="1"/>
    </xf>
    <xf numFmtId="0" fontId="123" fillId="11" borderId="103" xfId="0" applyFont="1" applyFill="1" applyBorder="1" applyAlignment="1">
      <alignment horizontal="left" vertical="center" shrinkToFit="1"/>
    </xf>
    <xf numFmtId="164" fontId="122" fillId="11" borderId="25" xfId="0" applyNumberFormat="1" applyFont="1" applyFill="1" applyBorder="1" applyAlignment="1" applyProtection="1">
      <alignment horizontal="left" vertical="center" wrapText="1"/>
      <protection hidden="1"/>
    </xf>
    <xf numFmtId="164" fontId="122" fillId="11" borderId="26" xfId="0" applyNumberFormat="1" applyFont="1" applyFill="1" applyBorder="1" applyAlignment="1" applyProtection="1">
      <alignment horizontal="left" vertical="center" wrapText="1"/>
      <protection hidden="1"/>
    </xf>
    <xf numFmtId="164" fontId="122" fillId="11" borderId="27" xfId="0" applyNumberFormat="1" applyFont="1" applyFill="1" applyBorder="1" applyAlignment="1" applyProtection="1">
      <alignment horizontal="left" vertical="center" wrapText="1"/>
      <protection hidden="1"/>
    </xf>
    <xf numFmtId="167" fontId="123" fillId="11" borderId="14" xfId="1" applyNumberFormat="1" applyFont="1" applyFill="1" applyBorder="1" applyAlignment="1" applyProtection="1">
      <alignment horizontal="left" vertical="center" wrapText="1"/>
      <protection locked="0"/>
    </xf>
    <xf numFmtId="167" fontId="123" fillId="11" borderId="79" xfId="1" applyNumberFormat="1" applyFont="1" applyFill="1" applyBorder="1" applyAlignment="1" applyProtection="1">
      <alignment horizontal="left" vertical="center" wrapText="1"/>
      <protection locked="0"/>
    </xf>
    <xf numFmtId="0" fontId="122" fillId="11" borderId="10" xfId="0" applyNumberFormat="1" applyFont="1" applyFill="1" applyBorder="1" applyAlignment="1" applyProtection="1">
      <alignment horizontal="left" vertical="center" wrapText="1"/>
      <protection hidden="1"/>
    </xf>
    <xf numFmtId="0" fontId="122" fillId="11" borderId="12" xfId="0" applyNumberFormat="1" applyFont="1" applyFill="1" applyBorder="1" applyAlignment="1" applyProtection="1">
      <alignment horizontal="left" vertical="center" wrapText="1"/>
      <protection hidden="1"/>
    </xf>
    <xf numFmtId="167" fontId="123" fillId="11" borderId="39" xfId="1" applyNumberFormat="1" applyFont="1" applyFill="1" applyBorder="1" applyAlignment="1" applyProtection="1">
      <alignment horizontal="left" vertical="center" shrinkToFit="1"/>
      <protection locked="0"/>
    </xf>
    <xf numFmtId="167" fontId="123" fillId="11" borderId="103" xfId="1" applyNumberFormat="1" applyFont="1" applyFill="1" applyBorder="1" applyAlignment="1" applyProtection="1">
      <alignment horizontal="left" vertical="center" shrinkToFit="1"/>
      <protection locked="0"/>
    </xf>
    <xf numFmtId="167" fontId="123" fillId="11" borderId="22" xfId="1" applyNumberFormat="1" applyFont="1" applyFill="1" applyBorder="1" applyAlignment="1" applyProtection="1">
      <alignment horizontal="center" vertical="center" shrinkToFit="1"/>
      <protection locked="0"/>
    </xf>
    <xf numFmtId="167" fontId="123" fillId="11" borderId="98" xfId="1" applyNumberFormat="1" applyFont="1" applyFill="1" applyBorder="1" applyAlignment="1" applyProtection="1">
      <alignment horizontal="center" vertical="center" shrinkToFit="1"/>
      <protection locked="0"/>
    </xf>
    <xf numFmtId="167" fontId="123" fillId="11" borderId="15" xfId="1" applyNumberFormat="1" applyFont="1" applyFill="1" applyBorder="1" applyAlignment="1" applyProtection="1">
      <alignment horizontal="center" vertical="center" shrinkToFit="1"/>
      <protection locked="0"/>
    </xf>
    <xf numFmtId="167" fontId="123" fillId="11" borderId="65" xfId="1" applyNumberFormat="1" applyFont="1" applyFill="1" applyBorder="1" applyAlignment="1" applyProtection="1">
      <alignment horizontal="center" vertical="center" shrinkToFit="1"/>
      <protection locked="0"/>
    </xf>
    <xf numFmtId="167" fontId="152" fillId="11" borderId="15" xfId="1" applyNumberFormat="1" applyFont="1" applyFill="1" applyBorder="1" applyAlignment="1" applyProtection="1">
      <alignment horizontal="left" vertical="center" wrapText="1"/>
      <protection locked="0"/>
    </xf>
    <xf numFmtId="167" fontId="152" fillId="11" borderId="65" xfId="1" applyNumberFormat="1" applyFont="1" applyFill="1" applyBorder="1" applyAlignment="1" applyProtection="1">
      <alignment horizontal="left" vertical="center" wrapText="1"/>
      <protection locked="0"/>
    </xf>
    <xf numFmtId="164" fontId="123" fillId="11" borderId="55" xfId="0" applyNumberFormat="1" applyFont="1" applyFill="1" applyBorder="1" applyAlignment="1" applyProtection="1">
      <alignment horizontal="center" vertical="center" wrapText="1"/>
      <protection hidden="1"/>
    </xf>
    <xf numFmtId="164" fontId="123" fillId="11" borderId="27" xfId="0" applyNumberFormat="1" applyFont="1" applyFill="1" applyBorder="1" applyAlignment="1" applyProtection="1">
      <alignment horizontal="center" vertical="center" wrapText="1"/>
      <protection hidden="1"/>
    </xf>
    <xf numFmtId="0" fontId="125" fillId="0" borderId="20" xfId="0" applyFont="1" applyBorder="1" applyAlignment="1">
      <alignment horizontal="center" vertical="center" wrapText="1"/>
    </xf>
    <xf numFmtId="0" fontId="125" fillId="0" borderId="72" xfId="0" applyFont="1" applyBorder="1" applyAlignment="1">
      <alignment horizontal="center" vertical="center" wrapText="1"/>
    </xf>
    <xf numFmtId="0" fontId="125" fillId="0" borderId="64" xfId="0" applyFont="1" applyBorder="1" applyAlignment="1">
      <alignment horizontal="center" vertical="center" wrapText="1"/>
    </xf>
    <xf numFmtId="0" fontId="125" fillId="0" borderId="21" xfId="0" applyFont="1" applyBorder="1" applyAlignment="1">
      <alignment horizontal="center" vertical="center" wrapText="1"/>
    </xf>
    <xf numFmtId="0" fontId="125" fillId="0" borderId="0" xfId="0" applyFont="1" applyBorder="1" applyAlignment="1">
      <alignment horizontal="center" vertical="center" wrapText="1"/>
    </xf>
    <xf numFmtId="0" fontId="125" fillId="0" borderId="65" xfId="0" applyFont="1" applyBorder="1" applyAlignment="1">
      <alignment horizontal="center" vertical="center" wrapText="1"/>
    </xf>
    <xf numFmtId="0" fontId="121" fillId="0" borderId="21" xfId="0" applyFont="1" applyBorder="1" applyAlignment="1">
      <alignment horizontal="center" vertical="center"/>
    </xf>
    <xf numFmtId="0" fontId="121" fillId="0" borderId="0" xfId="0" applyFont="1" applyBorder="1" applyAlignment="1">
      <alignment horizontal="center" vertical="center"/>
    </xf>
    <xf numFmtId="0" fontId="121" fillId="0" borderId="65" xfId="0" applyFont="1" applyBorder="1" applyAlignment="1">
      <alignment horizontal="center" vertical="center"/>
    </xf>
    <xf numFmtId="0" fontId="127" fillId="11" borderId="81" xfId="0" applyFont="1" applyFill="1" applyBorder="1" applyAlignment="1" applyProtection="1">
      <alignment vertical="center"/>
      <protection hidden="1"/>
    </xf>
    <xf numFmtId="0" fontId="127" fillId="11" borderId="1" xfId="0" applyFont="1" applyFill="1" applyBorder="1" applyAlignment="1" applyProtection="1">
      <alignment vertical="center"/>
      <protection hidden="1"/>
    </xf>
    <xf numFmtId="0" fontId="127" fillId="11" borderId="79" xfId="0" applyFont="1" applyFill="1" applyBorder="1" applyAlignment="1" applyProtection="1">
      <alignment vertical="center"/>
      <protection hidden="1"/>
    </xf>
    <xf numFmtId="164" fontId="123" fillId="11" borderId="50" xfId="0" applyNumberFormat="1" applyFont="1" applyFill="1" applyBorder="1" applyAlignment="1" applyProtection="1">
      <alignment horizontal="left" vertical="center" wrapText="1"/>
      <protection hidden="1"/>
    </xf>
    <xf numFmtId="0" fontId="154" fillId="11" borderId="82" xfId="0" applyFont="1" applyFill="1" applyBorder="1" applyAlignment="1">
      <alignment horizontal="center" vertical="center" wrapText="1"/>
    </xf>
    <xf numFmtId="0" fontId="154" fillId="11" borderId="8" xfId="0" applyFont="1" applyFill="1" applyBorder="1" applyAlignment="1">
      <alignment horizontal="center" vertical="center" wrapText="1"/>
    </xf>
    <xf numFmtId="0" fontId="154" fillId="11" borderId="75" xfId="0" applyFont="1" applyFill="1" applyBorder="1" applyAlignment="1">
      <alignment horizontal="center" vertical="center" wrapText="1"/>
    </xf>
    <xf numFmtId="49" fontId="124" fillId="11" borderId="14" xfId="0" quotePrefix="1" applyNumberFormat="1" applyFont="1" applyFill="1" applyBorder="1" applyAlignment="1">
      <alignment horizontal="center" vertical="center" wrapText="1"/>
    </xf>
    <xf numFmtId="49" fontId="124" fillId="11" borderId="1" xfId="0" quotePrefix="1" applyNumberFormat="1" applyFont="1" applyFill="1" applyBorder="1" applyAlignment="1">
      <alignment horizontal="center" vertical="center" wrapText="1"/>
    </xf>
    <xf numFmtId="49" fontId="124" fillId="11" borderId="9" xfId="0" quotePrefix="1" applyNumberFormat="1" applyFont="1" applyFill="1" applyBorder="1" applyAlignment="1">
      <alignment horizontal="center" vertical="center" wrapText="1"/>
    </xf>
    <xf numFmtId="0" fontId="122" fillId="11" borderId="14" xfId="0" applyFont="1" applyFill="1" applyBorder="1" applyAlignment="1">
      <alignment horizontal="center" vertical="center" wrapText="1"/>
    </xf>
    <xf numFmtId="0" fontId="122" fillId="11" borderId="1" xfId="0" applyFont="1" applyFill="1" applyBorder="1" applyAlignment="1">
      <alignment horizontal="center" vertical="center" wrapText="1"/>
    </xf>
    <xf numFmtId="0" fontId="122" fillId="11" borderId="9" xfId="0" applyFont="1" applyFill="1" applyBorder="1" applyAlignment="1">
      <alignment horizontal="center" vertical="center" wrapText="1"/>
    </xf>
    <xf numFmtId="0" fontId="122" fillId="11" borderId="79" xfId="0" applyFont="1" applyFill="1" applyBorder="1" applyAlignment="1">
      <alignment horizontal="center" vertical="center" wrapText="1"/>
    </xf>
    <xf numFmtId="0" fontId="122" fillId="11" borderId="10" xfId="0" applyFont="1" applyFill="1" applyBorder="1" applyAlignment="1" applyProtection="1">
      <alignment horizontal="left" vertical="center" wrapText="1"/>
      <protection hidden="1"/>
    </xf>
    <xf numFmtId="0" fontId="122" fillId="11" borderId="12" xfId="0" applyFont="1" applyFill="1" applyBorder="1" applyAlignment="1" applyProtection="1">
      <alignment horizontal="left" vertical="center" wrapText="1"/>
      <protection hidden="1"/>
    </xf>
    <xf numFmtId="0" fontId="123" fillId="11" borderId="10" xfId="0" applyFont="1" applyFill="1" applyBorder="1" applyAlignment="1">
      <alignment horizontal="center" vertical="center" wrapText="1"/>
    </xf>
    <xf numFmtId="0" fontId="123" fillId="11" borderId="101" xfId="0" applyFont="1" applyFill="1" applyBorder="1" applyAlignment="1">
      <alignment horizontal="center" vertical="center" wrapText="1"/>
    </xf>
    <xf numFmtId="0" fontId="123" fillId="11" borderId="15" xfId="0" applyFont="1" applyFill="1" applyBorder="1" applyAlignment="1">
      <alignment horizontal="center" vertical="center" wrapText="1"/>
    </xf>
    <xf numFmtId="0" fontId="123" fillId="11" borderId="65" xfId="0" applyFont="1" applyFill="1" applyBorder="1" applyAlignment="1">
      <alignment horizontal="center" vertical="center" wrapText="1"/>
    </xf>
    <xf numFmtId="164" fontId="123" fillId="11" borderId="105" xfId="0" applyNumberFormat="1" applyFont="1" applyFill="1" applyBorder="1" applyAlignment="1" applyProtection="1">
      <alignment horizontal="left" vertical="center"/>
      <protection hidden="1"/>
    </xf>
    <xf numFmtId="164" fontId="123" fillId="11" borderId="106" xfId="0" applyNumberFormat="1" applyFont="1" applyFill="1" applyBorder="1" applyAlignment="1" applyProtection="1">
      <alignment horizontal="left" vertical="center"/>
      <protection hidden="1"/>
    </xf>
    <xf numFmtId="164" fontId="123" fillId="11" borderId="107" xfId="0" applyNumberFormat="1" applyFont="1" applyFill="1" applyBorder="1" applyAlignment="1" applyProtection="1">
      <alignment horizontal="left" vertical="center"/>
      <protection hidden="1"/>
    </xf>
    <xf numFmtId="164" fontId="123" fillId="11" borderId="108" xfId="0" applyNumberFormat="1" applyFont="1" applyFill="1" applyBorder="1" applyAlignment="1" applyProtection="1">
      <alignment horizontal="left" vertical="center"/>
      <protection hidden="1"/>
    </xf>
    <xf numFmtId="49" fontId="124" fillId="11" borderId="79" xfId="0" quotePrefix="1" applyNumberFormat="1" applyFont="1" applyFill="1" applyBorder="1" applyAlignment="1">
      <alignment horizontal="center" vertical="center" wrapText="1"/>
    </xf>
    <xf numFmtId="0" fontId="121" fillId="11" borderId="1" xfId="0" applyFont="1" applyFill="1" applyBorder="1" applyAlignment="1" applyProtection="1">
      <alignment horizontal="left" vertical="center" wrapText="1"/>
      <protection hidden="1"/>
    </xf>
    <xf numFmtId="0" fontId="121" fillId="11" borderId="79" xfId="0" applyFont="1" applyFill="1" applyBorder="1" applyAlignment="1" applyProtection="1">
      <alignment horizontal="left" vertical="center" wrapText="1"/>
      <protection hidden="1"/>
    </xf>
    <xf numFmtId="0" fontId="28" fillId="0" borderId="20" xfId="0" applyFont="1" applyBorder="1" applyAlignment="1" applyProtection="1">
      <alignment horizontal="center"/>
      <protection hidden="1"/>
    </xf>
    <xf numFmtId="0" fontId="28" fillId="0" borderId="72" xfId="0" applyFont="1" applyBorder="1" applyAlignment="1" applyProtection="1">
      <alignment horizontal="center"/>
      <protection hidden="1"/>
    </xf>
    <xf numFmtId="0" fontId="28" fillId="0" borderId="64" xfId="0" applyFont="1" applyBorder="1" applyAlignment="1" applyProtection="1">
      <alignment horizontal="center"/>
      <protection hidden="1"/>
    </xf>
    <xf numFmtId="0" fontId="21" fillId="0" borderId="72" xfId="0" applyFont="1" applyBorder="1" applyAlignment="1" applyProtection="1">
      <alignment horizontal="left" vertical="center" shrinkToFit="1"/>
      <protection hidden="1"/>
    </xf>
    <xf numFmtId="0" fontId="21" fillId="0" borderId="64" xfId="0" applyFont="1" applyBorder="1" applyAlignment="1" applyProtection="1">
      <alignment horizontal="left" vertical="center" shrinkToFit="1"/>
      <protection hidden="1"/>
    </xf>
    <xf numFmtId="0" fontId="21" fillId="0" borderId="71" xfId="0" applyFont="1" applyBorder="1" applyAlignment="1" applyProtection="1">
      <alignment horizontal="left" vertical="center" shrinkToFit="1"/>
      <protection hidden="1"/>
    </xf>
    <xf numFmtId="0" fontId="21" fillId="0" borderId="60" xfId="0" applyFont="1" applyBorder="1" applyAlignment="1" applyProtection="1">
      <alignment horizontal="left" vertical="center" shrinkToFit="1"/>
      <protection hidden="1"/>
    </xf>
    <xf numFmtId="0" fontId="11" fillId="0" borderId="0" xfId="0" applyFont="1" applyBorder="1" applyAlignment="1" applyProtection="1">
      <alignment horizontal="left"/>
      <protection hidden="1"/>
    </xf>
    <xf numFmtId="0" fontId="21" fillId="0" borderId="0" xfId="0" applyFont="1" applyBorder="1" applyAlignment="1" applyProtection="1">
      <alignment horizontal="center"/>
      <protection hidden="1"/>
    </xf>
    <xf numFmtId="0" fontId="24" fillId="0" borderId="15" xfId="0" applyFont="1" applyBorder="1" applyAlignment="1" applyProtection="1">
      <alignment horizontal="left"/>
      <protection hidden="1"/>
    </xf>
    <xf numFmtId="0" fontId="24" fillId="0" borderId="0" xfId="0" applyFont="1" applyBorder="1" applyAlignment="1" applyProtection="1">
      <alignment horizontal="left"/>
      <protection hidden="1"/>
    </xf>
    <xf numFmtId="0" fontId="11" fillId="0" borderId="6" xfId="0" applyFont="1" applyBorder="1" applyAlignment="1" applyProtection="1">
      <alignment horizontal="left"/>
      <protection hidden="1"/>
    </xf>
    <xf numFmtId="0" fontId="11" fillId="0" borderId="15" xfId="0" applyFont="1" applyBorder="1" applyAlignment="1" applyProtection="1">
      <alignment horizontal="left"/>
      <protection hidden="1"/>
    </xf>
    <xf numFmtId="0" fontId="21" fillId="0" borderId="15" xfId="0" applyFont="1" applyBorder="1" applyAlignment="1" applyProtection="1">
      <alignment horizontal="left"/>
      <protection hidden="1"/>
    </xf>
    <xf numFmtId="0" fontId="21" fillId="0" borderId="0" xfId="0" applyFont="1" applyBorder="1" applyAlignment="1" applyProtection="1">
      <alignment horizontal="left"/>
      <protection hidden="1"/>
    </xf>
    <xf numFmtId="0" fontId="114" fillId="0" borderId="72" xfId="0" applyFont="1" applyBorder="1" applyAlignment="1">
      <alignment horizontal="center"/>
    </xf>
    <xf numFmtId="0" fontId="21" fillId="0" borderId="6" xfId="0" applyFont="1" applyBorder="1" applyAlignment="1" applyProtection="1">
      <alignment horizontal="left"/>
      <protection hidden="1"/>
    </xf>
    <xf numFmtId="0" fontId="11" fillId="0" borderId="0" xfId="0" applyFont="1" applyBorder="1" applyAlignment="1" applyProtection="1">
      <protection hidden="1"/>
    </xf>
    <xf numFmtId="0" fontId="24" fillId="0" borderId="32" xfId="0" applyFont="1" applyBorder="1" applyAlignment="1" applyProtection="1">
      <alignment horizontal="left" vertical="center"/>
      <protection hidden="1"/>
    </xf>
    <xf numFmtId="0" fontId="24" fillId="0" borderId="68" xfId="0" applyFont="1" applyBorder="1" applyAlignment="1" applyProtection="1">
      <alignment horizontal="left" vertical="center"/>
      <protection hidden="1"/>
    </xf>
    <xf numFmtId="0" fontId="11" fillId="0" borderId="0" xfId="0" applyFont="1" applyBorder="1" applyAlignment="1" applyProtection="1">
      <alignment horizontal="left" wrapText="1"/>
      <protection hidden="1"/>
    </xf>
    <xf numFmtId="0" fontId="11" fillId="0" borderId="6" xfId="0" applyFont="1" applyBorder="1" applyAlignment="1" applyProtection="1">
      <alignment horizontal="left" wrapText="1"/>
      <protection hidden="1"/>
    </xf>
    <xf numFmtId="0" fontId="11" fillId="0" borderId="0" xfId="0" applyFont="1" applyBorder="1" applyAlignment="1" applyProtection="1">
      <alignment horizontal="left" shrinkToFit="1"/>
      <protection hidden="1"/>
    </xf>
    <xf numFmtId="0" fontId="22" fillId="20" borderId="7" xfId="0" applyFont="1" applyFill="1" applyBorder="1" applyAlignment="1">
      <alignment horizontal="center"/>
    </xf>
    <xf numFmtId="0" fontId="22" fillId="20" borderId="61" xfId="0" applyFont="1" applyFill="1" applyBorder="1" applyAlignment="1">
      <alignment horizontal="center"/>
    </xf>
    <xf numFmtId="0" fontId="22" fillId="20" borderId="4" xfId="0" applyFont="1" applyFill="1" applyBorder="1" applyAlignment="1">
      <alignment horizontal="center"/>
    </xf>
    <xf numFmtId="0" fontId="21" fillId="0" borderId="71" xfId="0" applyFont="1" applyBorder="1" applyAlignment="1">
      <alignment horizontal="center"/>
    </xf>
    <xf numFmtId="0" fontId="21" fillId="0" borderId="60" xfId="0" applyFont="1" applyBorder="1" applyAlignment="1">
      <alignment horizontal="center"/>
    </xf>
    <xf numFmtId="0" fontId="18" fillId="0" borderId="0" xfId="0" applyFont="1" applyBorder="1" applyAlignment="1" applyProtection="1">
      <protection hidden="1"/>
    </xf>
    <xf numFmtId="0" fontId="24" fillId="0" borderId="35" xfId="0" applyFont="1" applyBorder="1" applyAlignment="1" applyProtection="1">
      <alignment horizontal="left"/>
      <protection hidden="1"/>
    </xf>
    <xf numFmtId="0" fontId="24" fillId="0" borderId="5" xfId="0" applyFont="1" applyBorder="1" applyAlignment="1" applyProtection="1">
      <alignment horizontal="left"/>
      <protection hidden="1"/>
    </xf>
    <xf numFmtId="0" fontId="21" fillId="0" borderId="66" xfId="0" applyFont="1" applyBorder="1" applyAlignment="1">
      <alignment horizontal="left"/>
    </xf>
    <xf numFmtId="0" fontId="21" fillId="0" borderId="71" xfId="0" applyFont="1" applyBorder="1" applyAlignment="1">
      <alignment horizontal="left"/>
    </xf>
    <xf numFmtId="0" fontId="22" fillId="0" borderId="15" xfId="0" applyFont="1" applyBorder="1" applyAlignment="1" applyProtection="1">
      <alignment horizontal="left" vertical="center"/>
      <protection hidden="1"/>
    </xf>
    <xf numFmtId="0" fontId="22" fillId="0" borderId="0" xfId="0" applyFont="1" applyBorder="1" applyAlignment="1" applyProtection="1">
      <alignment horizontal="left" vertical="center"/>
      <protection hidden="1"/>
    </xf>
    <xf numFmtId="0" fontId="22" fillId="0" borderId="6" xfId="0" applyFont="1" applyBorder="1" applyAlignment="1" applyProtection="1">
      <alignment horizontal="left" vertical="center"/>
      <protection hidden="1"/>
    </xf>
    <xf numFmtId="17" fontId="11" fillId="0" borderId="26" xfId="0" applyNumberFormat="1" applyFont="1" applyBorder="1" applyAlignment="1" applyProtection="1">
      <alignment horizontal="center"/>
      <protection hidden="1"/>
    </xf>
    <xf numFmtId="0" fontId="11" fillId="0" borderId="0" xfId="0" applyFont="1" applyAlignment="1">
      <alignment horizontal="center"/>
    </xf>
    <xf numFmtId="0" fontId="109" fillId="0" borderId="0" xfId="0" applyFont="1" applyBorder="1" applyAlignment="1">
      <alignment horizontal="center"/>
    </xf>
    <xf numFmtId="0" fontId="47" fillId="0" borderId="0" xfId="0" applyFont="1" applyFill="1" applyBorder="1" applyAlignment="1">
      <alignment horizontal="center"/>
    </xf>
    <xf numFmtId="0" fontId="11" fillId="0" borderId="65" xfId="0" applyFont="1" applyBorder="1" applyAlignment="1">
      <alignment horizontal="center"/>
    </xf>
    <xf numFmtId="0" fontId="27" fillId="0" borderId="21" xfId="0" applyFont="1" applyBorder="1" applyAlignment="1" applyProtection="1">
      <alignment horizontal="center" vertical="center"/>
      <protection hidden="1"/>
    </xf>
    <xf numFmtId="0" fontId="27" fillId="0" borderId="0" xfId="0" applyFont="1" applyBorder="1" applyAlignment="1" applyProtection="1">
      <alignment horizontal="center" vertical="center"/>
      <protection hidden="1"/>
    </xf>
    <xf numFmtId="0" fontId="27" fillId="0" borderId="65" xfId="0" applyFont="1" applyBorder="1" applyAlignment="1" applyProtection="1">
      <alignment horizontal="center" vertical="center"/>
      <protection hidden="1"/>
    </xf>
    <xf numFmtId="0" fontId="21" fillId="0" borderId="72" xfId="0" applyFont="1" applyBorder="1" applyAlignment="1" applyProtection="1">
      <alignment horizontal="left" vertical="center"/>
      <protection hidden="1"/>
    </xf>
    <xf numFmtId="0" fontId="21" fillId="0" borderId="31" xfId="0" applyFont="1" applyBorder="1" applyAlignment="1" applyProtection="1">
      <alignment horizontal="left" vertical="center"/>
      <protection hidden="1"/>
    </xf>
    <xf numFmtId="0" fontId="21" fillId="0" borderId="32" xfId="0" applyFont="1" applyBorder="1" applyAlignment="1" applyProtection="1">
      <alignment horizontal="left" vertical="center"/>
      <protection hidden="1"/>
    </xf>
    <xf numFmtId="0" fontId="24" fillId="0" borderId="32" xfId="0" applyFont="1" applyBorder="1" applyAlignment="1" applyProtection="1">
      <alignment horizontal="right" vertical="center"/>
      <protection hidden="1"/>
    </xf>
    <xf numFmtId="0" fontId="23" fillId="0" borderId="20" xfId="0" applyFont="1" applyBorder="1" applyAlignment="1" applyProtection="1">
      <alignment horizontal="left" vertical="center"/>
      <protection hidden="1"/>
    </xf>
    <xf numFmtId="0" fontId="23" fillId="0" borderId="72" xfId="0" applyFont="1" applyBorder="1" applyAlignment="1" applyProtection="1">
      <alignment horizontal="left" vertical="center"/>
      <protection hidden="1"/>
    </xf>
    <xf numFmtId="0" fontId="21" fillId="0" borderId="71" xfId="0" applyFont="1" applyBorder="1" applyAlignment="1" applyProtection="1">
      <alignment horizontal="left" vertical="center" wrapText="1"/>
      <protection hidden="1"/>
    </xf>
    <xf numFmtId="0" fontId="11" fillId="0" borderId="66" xfId="0" applyFont="1" applyBorder="1" applyAlignment="1" applyProtection="1">
      <alignment horizontal="left" vertical="center"/>
      <protection hidden="1"/>
    </xf>
    <xf numFmtId="0" fontId="11" fillId="0" borderId="71" xfId="0" applyFont="1" applyBorder="1" applyAlignment="1" applyProtection="1">
      <alignment horizontal="left" vertical="center"/>
      <protection hidden="1"/>
    </xf>
    <xf numFmtId="0" fontId="28" fillId="0" borderId="36" xfId="0" applyFont="1" applyBorder="1" applyAlignment="1" applyProtection="1">
      <alignment vertical="center"/>
      <protection hidden="1"/>
    </xf>
    <xf numFmtId="0" fontId="28" fillId="0" borderId="0" xfId="0" applyFont="1" applyBorder="1" applyAlignment="1" applyProtection="1">
      <alignment vertical="center"/>
      <protection hidden="1"/>
    </xf>
    <xf numFmtId="0" fontId="25" fillId="0" borderId="0" xfId="0" applyFont="1" applyBorder="1" applyAlignment="1" applyProtection="1">
      <alignment vertical="center"/>
      <protection hidden="1"/>
    </xf>
    <xf numFmtId="0" fontId="25" fillId="0" borderId="37" xfId="0" applyFont="1" applyBorder="1" applyAlignment="1" applyProtection="1">
      <alignment vertical="center"/>
      <protection hidden="1"/>
    </xf>
    <xf numFmtId="0" fontId="11" fillId="0" borderId="15" xfId="0" applyFont="1" applyBorder="1" applyAlignment="1" applyProtection="1">
      <alignment horizontal="center" vertical="center"/>
      <protection hidden="1"/>
    </xf>
    <xf numFmtId="0" fontId="11" fillId="0" borderId="6" xfId="0" applyFont="1" applyBorder="1" applyAlignment="1" applyProtection="1">
      <alignment horizontal="center" vertical="center"/>
      <protection hidden="1"/>
    </xf>
    <xf numFmtId="0" fontId="24" fillId="0" borderId="15" xfId="0" applyFont="1" applyBorder="1" applyAlignment="1" applyProtection="1">
      <alignment vertical="center"/>
      <protection hidden="1"/>
    </xf>
    <xf numFmtId="0" fontId="24" fillId="0" borderId="0" xfId="0" applyFont="1" applyBorder="1" applyAlignment="1" applyProtection="1">
      <alignment vertical="center"/>
      <protection hidden="1"/>
    </xf>
    <xf numFmtId="0" fontId="21" fillId="0" borderId="15" xfId="0" applyFont="1" applyBorder="1" applyAlignment="1" applyProtection="1">
      <alignment vertical="center"/>
      <protection hidden="1"/>
    </xf>
    <xf numFmtId="0" fontId="21" fillId="0" borderId="0" xfId="0" applyFont="1" applyBorder="1" applyAlignment="1" applyProtection="1">
      <alignment vertical="center"/>
      <protection hidden="1"/>
    </xf>
    <xf numFmtId="3" fontId="25" fillId="0" borderId="0" xfId="0" applyNumberFormat="1" applyFont="1" applyBorder="1" applyAlignment="1" applyProtection="1">
      <alignment horizontal="left" vertical="center"/>
      <protection hidden="1"/>
    </xf>
    <xf numFmtId="3" fontId="25" fillId="0" borderId="0" xfId="0" applyNumberFormat="1" applyFont="1" applyBorder="1" applyAlignment="1" applyProtection="1">
      <alignment vertical="center"/>
      <protection hidden="1"/>
    </xf>
    <xf numFmtId="0" fontId="11" fillId="0" borderId="15" xfId="0" applyFont="1" applyBorder="1" applyAlignment="1" applyProtection="1">
      <alignment vertical="center"/>
      <protection hidden="1"/>
    </xf>
    <xf numFmtId="0" fontId="11" fillId="0" borderId="0" xfId="0" applyFont="1" applyBorder="1" applyAlignment="1" applyProtection="1">
      <alignment vertical="center"/>
      <protection hidden="1"/>
    </xf>
    <xf numFmtId="0" fontId="24" fillId="0" borderId="6" xfId="0" applyFont="1" applyBorder="1" applyAlignment="1" applyProtection="1">
      <alignment vertical="center"/>
      <protection hidden="1"/>
    </xf>
    <xf numFmtId="0" fontId="27" fillId="0" borderId="36" xfId="0" applyFont="1" applyBorder="1" applyAlignment="1" applyProtection="1">
      <alignment horizontal="center" vertical="center"/>
      <protection hidden="1"/>
    </xf>
    <xf numFmtId="0" fontId="27" fillId="0" borderId="37" xfId="0" applyFont="1" applyBorder="1" applyAlignment="1" applyProtection="1">
      <alignment horizontal="center" vertical="center"/>
      <protection hidden="1"/>
    </xf>
    <xf numFmtId="0" fontId="25" fillId="0" borderId="119" xfId="0" applyFont="1" applyBorder="1" applyAlignment="1" applyProtection="1">
      <alignment horizontal="center"/>
      <protection hidden="1"/>
    </xf>
    <xf numFmtId="0" fontId="25" fillId="0" borderId="12" xfId="0" applyFont="1" applyBorder="1" applyAlignment="1" applyProtection="1">
      <alignment horizontal="center"/>
      <protection hidden="1"/>
    </xf>
    <xf numFmtId="0" fontId="25" fillId="0" borderId="42" xfId="0" applyFont="1" applyBorder="1" applyAlignment="1" applyProtection="1">
      <alignment horizontal="center"/>
      <protection hidden="1"/>
    </xf>
    <xf numFmtId="41" fontId="21" fillId="0" borderId="36" xfId="0" applyNumberFormat="1" applyFont="1" applyBorder="1" applyAlignment="1" applyProtection="1">
      <alignment horizontal="center"/>
      <protection hidden="1"/>
    </xf>
    <xf numFmtId="41" fontId="21" fillId="0" borderId="0" xfId="0" applyNumberFormat="1" applyFont="1" applyBorder="1" applyAlignment="1" applyProtection="1">
      <alignment horizontal="center"/>
      <protection hidden="1"/>
    </xf>
    <xf numFmtId="0" fontId="21" fillId="0" borderId="37" xfId="0" applyFont="1" applyBorder="1" applyAlignment="1" applyProtection="1">
      <alignment horizontal="left"/>
      <protection hidden="1"/>
    </xf>
    <xf numFmtId="41" fontId="21" fillId="0" borderId="6" xfId="0" applyNumberFormat="1" applyFont="1" applyBorder="1" applyAlignment="1" applyProtection="1">
      <alignment horizontal="center"/>
      <protection hidden="1"/>
    </xf>
    <xf numFmtId="3" fontId="24" fillId="0" borderId="15" xfId="0" applyNumberFormat="1" applyFont="1" applyBorder="1" applyAlignment="1" applyProtection="1">
      <alignment vertical="center"/>
      <protection hidden="1"/>
    </xf>
    <xf numFmtId="3" fontId="24" fillId="0" borderId="0" xfId="0" applyNumberFormat="1" applyFont="1" applyBorder="1" applyAlignment="1" applyProtection="1">
      <alignment vertical="center"/>
      <protection hidden="1"/>
    </xf>
    <xf numFmtId="3" fontId="24" fillId="0" borderId="6" xfId="0" applyNumberFormat="1" applyFont="1" applyBorder="1" applyAlignment="1" applyProtection="1">
      <alignment vertical="center"/>
      <protection hidden="1"/>
    </xf>
    <xf numFmtId="0" fontId="28" fillId="0" borderId="110" xfId="0" applyFont="1" applyBorder="1" applyAlignment="1" applyProtection="1">
      <alignment vertical="center"/>
      <protection hidden="1"/>
    </xf>
    <xf numFmtId="0" fontId="28" fillId="0" borderId="111" xfId="0" applyFont="1" applyBorder="1" applyAlignment="1" applyProtection="1">
      <alignment vertical="center"/>
      <protection hidden="1"/>
    </xf>
    <xf numFmtId="0" fontId="25" fillId="0" borderId="111" xfId="0" applyFont="1" applyBorder="1" applyAlignment="1" applyProtection="1">
      <alignment vertical="center"/>
      <protection hidden="1"/>
    </xf>
    <xf numFmtId="0" fontId="25" fillId="0" borderId="112" xfId="0" applyFont="1" applyBorder="1" applyAlignment="1" applyProtection="1">
      <alignment vertical="center"/>
      <protection hidden="1"/>
    </xf>
    <xf numFmtId="3" fontId="21" fillId="0" borderId="15" xfId="0" applyNumberFormat="1" applyFont="1" applyBorder="1" applyAlignment="1" applyProtection="1">
      <alignment horizontal="left" vertical="center"/>
      <protection hidden="1"/>
    </xf>
    <xf numFmtId="3" fontId="21" fillId="0" borderId="0" xfId="0" applyNumberFormat="1" applyFont="1" applyBorder="1" applyAlignment="1" applyProtection="1">
      <alignment horizontal="left" vertical="center"/>
      <protection hidden="1"/>
    </xf>
    <xf numFmtId="3" fontId="21" fillId="0" borderId="6" xfId="0" applyNumberFormat="1" applyFont="1" applyBorder="1" applyAlignment="1" applyProtection="1">
      <alignment horizontal="left" vertical="center"/>
      <protection hidden="1"/>
    </xf>
    <xf numFmtId="17" fontId="24" fillId="0" borderId="10" xfId="0" applyNumberFormat="1" applyFont="1" applyBorder="1" applyAlignment="1" applyProtection="1">
      <alignment horizontal="center" vertical="center"/>
      <protection hidden="1"/>
    </xf>
    <xf numFmtId="0" fontId="24" fillId="0" borderId="12" xfId="0" applyFont="1" applyBorder="1" applyAlignment="1" applyProtection="1">
      <alignment horizontal="center" vertical="center"/>
      <protection hidden="1"/>
    </xf>
    <xf numFmtId="0" fontId="24" fillId="0" borderId="15" xfId="0" applyFont="1" applyBorder="1" applyAlignment="1" applyProtection="1">
      <alignment horizontal="center" vertical="center"/>
      <protection hidden="1"/>
    </xf>
    <xf numFmtId="0" fontId="24" fillId="0" borderId="0" xfId="0" applyFont="1" applyBorder="1" applyAlignment="1" applyProtection="1">
      <alignment horizontal="center" vertical="center"/>
      <protection hidden="1"/>
    </xf>
    <xf numFmtId="0" fontId="24" fillId="0" borderId="35" xfId="0" applyFont="1" applyBorder="1" applyAlignment="1" applyProtection="1">
      <alignment horizontal="center" vertical="center"/>
      <protection hidden="1"/>
    </xf>
    <xf numFmtId="0" fontId="24" fillId="0" borderId="5" xfId="0" applyFont="1" applyBorder="1" applyAlignment="1" applyProtection="1">
      <alignment horizontal="center" vertical="center"/>
      <protection hidden="1"/>
    </xf>
    <xf numFmtId="0" fontId="11" fillId="0" borderId="109" xfId="0" applyFont="1" applyBorder="1" applyAlignment="1" applyProtection="1">
      <alignment horizontal="center" vertical="center"/>
      <protection hidden="1"/>
    </xf>
    <xf numFmtId="0" fontId="11" fillId="0" borderId="8" xfId="0" applyFont="1" applyBorder="1" applyAlignment="1" applyProtection="1">
      <alignment horizontal="center" vertical="center"/>
      <protection hidden="1"/>
    </xf>
    <xf numFmtId="0" fontId="11" fillId="0" borderId="36" xfId="0" applyFont="1" applyBorder="1" applyAlignment="1" applyProtection="1">
      <alignment horizontal="center"/>
      <protection hidden="1"/>
    </xf>
    <xf numFmtId="0" fontId="11" fillId="0" borderId="0" xfId="0" applyFont="1" applyBorder="1" applyAlignment="1" applyProtection="1">
      <alignment horizontal="center"/>
      <protection hidden="1"/>
    </xf>
    <xf numFmtId="0" fontId="11" fillId="0" borderId="5" xfId="0" applyFont="1" applyBorder="1" applyAlignment="1" applyProtection="1">
      <alignment horizontal="center"/>
      <protection hidden="1"/>
    </xf>
    <xf numFmtId="0" fontId="11" fillId="0" borderId="56" xfId="0" applyFont="1" applyBorder="1" applyAlignment="1" applyProtection="1">
      <alignment horizontal="center" vertical="center"/>
      <protection hidden="1"/>
    </xf>
    <xf numFmtId="0" fontId="11" fillId="0" borderId="13" xfId="0" applyFont="1" applyBorder="1" applyAlignment="1" applyProtection="1">
      <alignment horizontal="center" vertical="center"/>
      <protection hidden="1"/>
    </xf>
    <xf numFmtId="0" fontId="45" fillId="0" borderId="113" xfId="0" applyFont="1" applyBorder="1" applyAlignment="1" applyProtection="1">
      <alignment horizontal="center" vertical="center" wrapText="1"/>
      <protection hidden="1"/>
    </xf>
    <xf numFmtId="0" fontId="30" fillId="0" borderId="45" xfId="0" applyFont="1" applyBorder="1" applyAlignment="1" applyProtection="1">
      <alignment horizontal="center" vertical="center" wrapText="1"/>
      <protection hidden="1"/>
    </xf>
    <xf numFmtId="0" fontId="30" fillId="0" borderId="46" xfId="0" applyFont="1" applyBorder="1" applyAlignment="1" applyProtection="1">
      <alignment horizontal="center" vertical="center" wrapText="1"/>
      <protection hidden="1"/>
    </xf>
    <xf numFmtId="0" fontId="11" fillId="0" borderId="36"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37" xfId="0" applyFont="1" applyBorder="1" applyAlignment="1" applyProtection="1">
      <alignment horizontal="center" vertical="center" wrapText="1"/>
      <protection hidden="1"/>
    </xf>
    <xf numFmtId="0" fontId="25" fillId="0" borderId="114" xfId="0" applyFont="1" applyBorder="1" applyAlignment="1" applyProtection="1">
      <alignment horizontal="center" vertical="center"/>
      <protection hidden="1"/>
    </xf>
    <xf numFmtId="0" fontId="25" fillId="0" borderId="115" xfId="0" applyFont="1" applyBorder="1" applyAlignment="1" applyProtection="1">
      <alignment horizontal="center" vertical="center"/>
      <protection hidden="1"/>
    </xf>
    <xf numFmtId="0" fontId="25" fillId="0" borderId="39" xfId="0" applyFont="1" applyBorder="1" applyAlignment="1" applyProtection="1">
      <alignment horizontal="center" vertical="center"/>
      <protection hidden="1"/>
    </xf>
    <xf numFmtId="0" fontId="25" fillId="0" borderId="40" xfId="0" applyFont="1" applyBorder="1" applyAlignment="1" applyProtection="1">
      <alignment horizontal="center" vertical="center"/>
      <protection hidden="1"/>
    </xf>
    <xf numFmtId="0" fontId="21" fillId="0" borderId="116" xfId="0" applyFont="1" applyBorder="1" applyAlignment="1" applyProtection="1">
      <alignment horizontal="center" vertical="center"/>
      <protection hidden="1"/>
    </xf>
    <xf numFmtId="0" fontId="21" fillId="0" borderId="61" xfId="0" applyFont="1" applyBorder="1" applyAlignment="1" applyProtection="1">
      <alignment horizontal="center" vertical="center"/>
      <protection hidden="1"/>
    </xf>
    <xf numFmtId="0" fontId="21" fillId="0" borderId="4" xfId="0" applyFont="1" applyBorder="1" applyAlignment="1" applyProtection="1">
      <alignment horizontal="center" vertical="center"/>
      <protection hidden="1"/>
    </xf>
    <xf numFmtId="0" fontId="22" fillId="0" borderId="7" xfId="0" applyFont="1" applyBorder="1" applyAlignment="1" applyProtection="1">
      <alignment horizontal="center" vertical="center"/>
      <protection hidden="1"/>
    </xf>
    <xf numFmtId="0" fontId="22" fillId="0" borderId="61" xfId="0" applyFont="1" applyBorder="1" applyAlignment="1" applyProtection="1">
      <alignment horizontal="center" vertical="center"/>
      <protection hidden="1"/>
    </xf>
    <xf numFmtId="0" fontId="22" fillId="0" borderId="4" xfId="0" applyFont="1" applyBorder="1" applyAlignment="1" applyProtection="1">
      <alignment horizontal="center" vertical="center"/>
      <protection hidden="1"/>
    </xf>
    <xf numFmtId="0" fontId="11" fillId="0" borderId="35" xfId="0" applyFont="1" applyBorder="1" applyAlignment="1" applyProtection="1">
      <alignment horizontal="center" vertical="center"/>
      <protection hidden="1"/>
    </xf>
    <xf numFmtId="0" fontId="11" fillId="0" borderId="38" xfId="0" applyFont="1" applyBorder="1" applyAlignment="1" applyProtection="1">
      <alignment horizontal="center" vertical="center"/>
      <protection hidden="1"/>
    </xf>
    <xf numFmtId="0" fontId="11" fillId="0" borderId="15" xfId="0" applyFont="1" applyBorder="1" applyAlignment="1" applyProtection="1">
      <alignment horizontal="center"/>
      <protection hidden="1"/>
    </xf>
    <xf numFmtId="0" fontId="11" fillId="0" borderId="37" xfId="0" applyFont="1" applyBorder="1" applyAlignment="1" applyProtection="1">
      <alignment horizontal="center"/>
      <protection hidden="1"/>
    </xf>
    <xf numFmtId="0" fontId="21" fillId="0" borderId="7" xfId="0" applyFont="1" applyBorder="1" applyAlignment="1" applyProtection="1">
      <alignment horizontal="center" vertical="center"/>
      <protection hidden="1"/>
    </xf>
    <xf numFmtId="0" fontId="21" fillId="0" borderId="117" xfId="0" applyFont="1" applyBorder="1" applyAlignment="1" applyProtection="1">
      <alignment horizontal="center" vertical="center"/>
      <protection hidden="1"/>
    </xf>
    <xf numFmtId="0" fontId="11" fillId="0" borderId="10" xfId="0" applyFont="1" applyBorder="1" applyAlignment="1" applyProtection="1">
      <alignment horizontal="center" vertical="center"/>
      <protection hidden="1"/>
    </xf>
    <xf numFmtId="0" fontId="11" fillId="0" borderId="42" xfId="0" applyFont="1" applyBorder="1" applyAlignment="1" applyProtection="1">
      <alignment horizontal="center" vertical="center"/>
      <protection hidden="1"/>
    </xf>
    <xf numFmtId="0" fontId="11" fillId="0" borderId="118" xfId="0" applyFont="1" applyBorder="1" applyAlignment="1" applyProtection="1">
      <alignment horizontal="center" vertical="center" wrapText="1"/>
      <protection hidden="1"/>
    </xf>
    <xf numFmtId="0" fontId="11" fillId="0" borderId="5"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8" xfId="0" applyFont="1" applyBorder="1" applyAlignment="1" applyProtection="1">
      <alignment horizontal="center" vertical="center" wrapText="1"/>
      <protection hidden="1"/>
    </xf>
    <xf numFmtId="0" fontId="24" fillId="0" borderId="59" xfId="0" applyFont="1" applyBorder="1" applyAlignment="1" applyProtection="1">
      <alignment horizontal="center" vertical="center"/>
      <protection hidden="1"/>
    </xf>
    <xf numFmtId="0" fontId="24" fillId="0" borderId="6" xfId="0" applyFont="1" applyBorder="1" applyAlignment="1" applyProtection="1">
      <alignment horizontal="center" vertical="center"/>
      <protection hidden="1"/>
    </xf>
    <xf numFmtId="0" fontId="24" fillId="0" borderId="11" xfId="0" applyFont="1" applyBorder="1" applyAlignment="1" applyProtection="1">
      <alignment horizontal="center" vertical="center"/>
      <protection hidden="1"/>
    </xf>
    <xf numFmtId="0" fontId="24" fillId="0" borderId="37" xfId="0" applyFont="1" applyBorder="1" applyAlignment="1" applyProtection="1">
      <alignment horizontal="center" vertical="center"/>
      <protection hidden="1"/>
    </xf>
    <xf numFmtId="0" fontId="24" fillId="0" borderId="38" xfId="0" applyFont="1" applyBorder="1" applyAlignment="1" applyProtection="1">
      <alignment horizontal="center" vertical="center"/>
      <protection hidden="1"/>
    </xf>
    <xf numFmtId="0" fontId="45" fillId="0" borderId="45" xfId="0" applyFont="1" applyBorder="1" applyAlignment="1" applyProtection="1">
      <alignment horizontal="center" vertical="center" wrapText="1"/>
      <protection hidden="1"/>
    </xf>
    <xf numFmtId="0" fontId="45" fillId="0" borderId="46" xfId="0" applyFont="1" applyBorder="1" applyAlignment="1" applyProtection="1">
      <alignment horizontal="center" vertical="center" wrapText="1"/>
      <protection hidden="1"/>
    </xf>
    <xf numFmtId="0" fontId="25" fillId="0" borderId="120" xfId="0" applyFont="1" applyBorder="1" applyAlignment="1" applyProtection="1">
      <alignment horizontal="center" vertical="center"/>
      <protection hidden="1"/>
    </xf>
    <xf numFmtId="41" fontId="21" fillId="0" borderId="36" xfId="0" applyNumberFormat="1" applyFont="1" applyBorder="1" applyAlignment="1" applyProtection="1">
      <alignment horizontal="left" indent="1"/>
      <protection hidden="1"/>
    </xf>
    <xf numFmtId="41" fontId="21" fillId="0" borderId="0" xfId="0" applyNumberFormat="1" applyFont="1" applyBorder="1" applyAlignment="1" applyProtection="1">
      <alignment horizontal="left" indent="1"/>
      <protection hidden="1"/>
    </xf>
    <xf numFmtId="41" fontId="21" fillId="0" borderId="6" xfId="0" applyNumberFormat="1" applyFont="1" applyBorder="1" applyAlignment="1" applyProtection="1">
      <alignment horizontal="left" indent="1"/>
      <protection hidden="1"/>
    </xf>
    <xf numFmtId="0" fontId="21" fillId="0" borderId="15" xfId="0" applyFont="1" applyBorder="1" applyAlignment="1" applyProtection="1">
      <alignment horizontal="left" indent="1"/>
      <protection hidden="1"/>
    </xf>
    <xf numFmtId="0" fontId="21" fillId="0" borderId="0" xfId="0" applyFont="1" applyBorder="1" applyAlignment="1" applyProtection="1">
      <alignment horizontal="left" indent="1"/>
      <protection hidden="1"/>
    </xf>
    <xf numFmtId="0" fontId="21" fillId="0" borderId="37" xfId="0" applyFont="1" applyBorder="1" applyAlignment="1" applyProtection="1">
      <alignment horizontal="left" indent="1"/>
      <protection hidden="1"/>
    </xf>
    <xf numFmtId="0" fontId="11" fillId="0" borderId="6" xfId="0" applyFont="1" applyBorder="1" applyAlignment="1" applyProtection="1">
      <alignment horizontal="center"/>
      <protection hidden="1"/>
    </xf>
    <xf numFmtId="0" fontId="11" fillId="0" borderId="121" xfId="0" applyFont="1" applyBorder="1" applyAlignment="1" applyProtection="1">
      <alignment horizontal="center"/>
      <protection hidden="1"/>
    </xf>
    <xf numFmtId="0" fontId="11" fillId="0" borderId="71" xfId="0" applyFont="1" applyBorder="1" applyAlignment="1" applyProtection="1">
      <alignment horizontal="center"/>
      <protection hidden="1"/>
    </xf>
    <xf numFmtId="0" fontId="11" fillId="0" borderId="122" xfId="0" applyFont="1" applyBorder="1" applyAlignment="1" applyProtection="1">
      <alignment horizontal="center"/>
      <protection hidden="1"/>
    </xf>
    <xf numFmtId="0" fontId="11" fillId="0" borderId="118" xfId="0" applyFont="1" applyBorder="1" applyAlignment="1" applyProtection="1">
      <alignment horizontal="left" vertical="center" wrapText="1"/>
      <protection hidden="1"/>
    </xf>
    <xf numFmtId="0" fontId="11" fillId="0" borderId="5" xfId="0" applyFont="1" applyBorder="1" applyAlignment="1" applyProtection="1">
      <alignment horizontal="left" vertical="center" wrapText="1"/>
      <protection hidden="1"/>
    </xf>
    <xf numFmtId="0" fontId="11" fillId="0" borderId="38" xfId="0" applyFont="1" applyBorder="1" applyAlignment="1" applyProtection="1">
      <alignment horizontal="left" vertical="center" wrapText="1"/>
      <protection hidden="1"/>
    </xf>
    <xf numFmtId="0" fontId="11" fillId="0" borderId="57" xfId="0" applyFont="1" applyBorder="1" applyAlignment="1" applyProtection="1">
      <alignment horizontal="center" vertical="center"/>
      <protection hidden="1"/>
    </xf>
    <xf numFmtId="0" fontId="11" fillId="0" borderId="1" xfId="0" applyFont="1" applyBorder="1" applyAlignment="1" applyProtection="1">
      <alignment horizontal="center" vertical="center"/>
      <protection hidden="1"/>
    </xf>
    <xf numFmtId="0" fontId="11" fillId="0" borderId="9" xfId="0" applyFont="1" applyBorder="1" applyAlignment="1" applyProtection="1">
      <alignment horizontal="center" vertical="center"/>
      <protection hidden="1"/>
    </xf>
    <xf numFmtId="0" fontId="11" fillId="0" borderId="14" xfId="0" applyFont="1" applyBorder="1" applyAlignment="1" applyProtection="1">
      <alignment horizontal="center" vertical="center"/>
      <protection hidden="1"/>
    </xf>
    <xf numFmtId="0" fontId="11" fillId="0" borderId="14" xfId="0" applyFont="1" applyBorder="1" applyAlignment="1" applyProtection="1">
      <alignment horizontal="center" vertical="center"/>
      <protection locked="0" hidden="1"/>
    </xf>
    <xf numFmtId="0" fontId="11" fillId="0" borderId="1" xfId="0" applyFont="1" applyBorder="1" applyAlignment="1" applyProtection="1">
      <alignment horizontal="center" vertical="center"/>
      <protection locked="0" hidden="1"/>
    </xf>
    <xf numFmtId="0" fontId="11" fillId="0" borderId="9" xfId="0" applyFont="1" applyBorder="1" applyAlignment="1" applyProtection="1">
      <alignment horizontal="center" vertical="center"/>
      <protection locked="0" hidden="1"/>
    </xf>
    <xf numFmtId="0" fontId="11" fillId="0" borderId="6" xfId="0" applyFont="1" applyBorder="1" applyAlignment="1" applyProtection="1">
      <alignment vertical="center"/>
      <protection hidden="1"/>
    </xf>
    <xf numFmtId="0" fontId="24" fillId="0" borderId="57" xfId="0" applyFont="1" applyBorder="1" applyAlignment="1" applyProtection="1">
      <alignment horizontal="center" vertical="center"/>
      <protection hidden="1"/>
    </xf>
    <xf numFmtId="0" fontId="24" fillId="0" borderId="1" xfId="0" applyFont="1" applyBorder="1" applyAlignment="1" applyProtection="1">
      <alignment horizontal="center" vertical="center"/>
      <protection hidden="1"/>
    </xf>
    <xf numFmtId="0" fontId="24" fillId="0" borderId="54" xfId="0" applyFont="1" applyBorder="1" applyAlignment="1" applyProtection="1">
      <alignment horizontal="center" vertical="center"/>
      <protection hidden="1"/>
    </xf>
    <xf numFmtId="17" fontId="24" fillId="0" borderId="10" xfId="0" applyNumberFormat="1" applyFont="1" applyBorder="1" applyAlignment="1" applyProtection="1">
      <alignment horizontal="center" vertical="center"/>
      <protection locked="0"/>
    </xf>
    <xf numFmtId="17" fontId="24" fillId="0" borderId="59" xfId="0" applyNumberFormat="1" applyFont="1" applyBorder="1" applyAlignment="1" applyProtection="1">
      <alignment horizontal="center" vertical="center"/>
      <protection locked="0"/>
    </xf>
    <xf numFmtId="17" fontId="24" fillId="0" borderId="15" xfId="0" applyNumberFormat="1" applyFont="1" applyBorder="1" applyAlignment="1" applyProtection="1">
      <alignment horizontal="center" vertical="center"/>
      <protection locked="0"/>
    </xf>
    <xf numFmtId="17" fontId="24" fillId="0" borderId="6" xfId="0" applyNumberFormat="1" applyFont="1" applyBorder="1" applyAlignment="1" applyProtection="1">
      <alignment horizontal="center" vertical="center"/>
      <protection locked="0"/>
    </xf>
    <xf numFmtId="17" fontId="24" fillId="0" borderId="35" xfId="0" applyNumberFormat="1" applyFont="1" applyBorder="1" applyAlignment="1" applyProtection="1">
      <alignment horizontal="center" vertical="center"/>
      <protection locked="0"/>
    </xf>
    <xf numFmtId="17" fontId="24" fillId="0" borderId="11" xfId="0" applyNumberFormat="1" applyFont="1" applyBorder="1" applyAlignment="1" applyProtection="1">
      <alignment horizontal="center" vertical="center"/>
      <protection locked="0"/>
    </xf>
    <xf numFmtId="0" fontId="24" fillId="0" borderId="10" xfId="0" applyFont="1" applyBorder="1" applyAlignment="1" applyProtection="1">
      <alignment horizontal="center" vertical="center"/>
      <protection hidden="1"/>
    </xf>
    <xf numFmtId="0" fontId="24" fillId="0" borderId="42" xfId="0" applyFont="1" applyBorder="1" applyAlignment="1" applyProtection="1">
      <alignment horizontal="center" vertical="center"/>
      <protection hidden="1"/>
    </xf>
    <xf numFmtId="0" fontId="11" fillId="0" borderId="15" xfId="0" applyFont="1" applyBorder="1" applyAlignment="1" applyProtection="1">
      <alignment horizontal="left" vertical="center"/>
      <protection hidden="1"/>
    </xf>
    <xf numFmtId="0" fontId="11" fillId="0" borderId="0" xfId="0" applyFont="1" applyBorder="1" applyAlignment="1" applyProtection="1">
      <alignment horizontal="left" vertical="center"/>
      <protection hidden="1"/>
    </xf>
    <xf numFmtId="0" fontId="11" fillId="0" borderId="6" xfId="0" applyFont="1" applyBorder="1" applyAlignment="1" applyProtection="1">
      <alignment horizontal="left" vertical="center"/>
      <protection hidden="1"/>
    </xf>
    <xf numFmtId="0" fontId="23" fillId="20" borderId="45" xfId="0" applyFont="1" applyFill="1" applyBorder="1" applyAlignment="1">
      <alignment horizontal="center"/>
    </xf>
    <xf numFmtId="0" fontId="25" fillId="0" borderId="49" xfId="0" applyFont="1" applyBorder="1" applyAlignment="1" applyProtection="1">
      <alignment horizontal="center"/>
      <protection locked="0" hidden="1"/>
    </xf>
    <xf numFmtId="0" fontId="25" fillId="0" borderId="48" xfId="0" applyFont="1" applyBorder="1" applyAlignment="1" applyProtection="1">
      <alignment horizontal="center"/>
      <protection locked="0" hidden="1"/>
    </xf>
    <xf numFmtId="0" fontId="25" fillId="0" borderId="133" xfId="0" applyFont="1" applyBorder="1" applyAlignment="1" applyProtection="1">
      <alignment horizontal="center"/>
      <protection locked="0" hidden="1"/>
    </xf>
    <xf numFmtId="0" fontId="25" fillId="0" borderId="129" xfId="0" applyFont="1" applyBorder="1" applyAlignment="1" applyProtection="1">
      <alignment horizontal="center"/>
      <protection locked="0" hidden="1"/>
    </xf>
    <xf numFmtId="0" fontId="11" fillId="0" borderId="45" xfId="0" applyFont="1" applyBorder="1" applyAlignment="1" applyProtection="1">
      <alignment horizontal="center"/>
      <protection hidden="1"/>
    </xf>
    <xf numFmtId="0" fontId="24" fillId="0" borderId="0" xfId="0" applyFont="1" applyBorder="1" applyAlignment="1" applyProtection="1">
      <alignment horizontal="left" vertical="top"/>
      <protection hidden="1"/>
    </xf>
    <xf numFmtId="0" fontId="11" fillId="0" borderId="0" xfId="0" applyFont="1" applyBorder="1" applyAlignment="1" applyProtection="1">
      <alignment horizontal="center" vertical="top"/>
      <protection hidden="1"/>
    </xf>
    <xf numFmtId="0" fontId="25" fillId="0" borderId="15" xfId="0" applyFont="1" applyBorder="1" applyAlignment="1" applyProtection="1">
      <alignment horizontal="left" indent="1"/>
      <protection hidden="1"/>
    </xf>
    <xf numFmtId="0" fontId="25" fillId="0" borderId="0" xfId="0" applyFont="1" applyBorder="1" applyAlignment="1" applyProtection="1">
      <alignment horizontal="left" indent="1"/>
      <protection hidden="1"/>
    </xf>
    <xf numFmtId="0" fontId="25" fillId="0" borderId="15" xfId="0" applyFont="1" applyBorder="1" applyAlignment="1" applyProtection="1">
      <alignment horizontal="left" indent="1" shrinkToFit="1"/>
      <protection hidden="1"/>
    </xf>
    <xf numFmtId="0" fontId="25" fillId="0" borderId="0" xfId="0" applyFont="1" applyBorder="1" applyAlignment="1" applyProtection="1">
      <alignment horizontal="left" indent="1" shrinkToFit="1"/>
      <protection hidden="1"/>
    </xf>
    <xf numFmtId="0" fontId="24" fillId="0" borderId="45" xfId="0" applyFont="1" applyBorder="1" applyAlignment="1" applyProtection="1">
      <alignment horizontal="left"/>
      <protection hidden="1"/>
    </xf>
    <xf numFmtId="0" fontId="25" fillId="0" borderId="15" xfId="0" applyFont="1" applyFill="1" applyBorder="1" applyAlignment="1" applyProtection="1">
      <alignment horizontal="left" indent="1"/>
      <protection hidden="1"/>
    </xf>
    <xf numFmtId="0" fontId="25" fillId="0" borderId="0" xfId="0" applyFont="1" applyFill="1" applyBorder="1" applyAlignment="1" applyProtection="1">
      <alignment horizontal="left" indent="1"/>
      <protection hidden="1"/>
    </xf>
    <xf numFmtId="0" fontId="26" fillId="0" borderId="50" xfId="0" applyFont="1" applyBorder="1" applyAlignment="1" applyProtection="1">
      <alignment horizontal="center"/>
      <protection hidden="1"/>
    </xf>
    <xf numFmtId="0" fontId="26" fillId="0" borderId="129" xfId="0" applyFont="1" applyBorder="1" applyAlignment="1" applyProtection="1">
      <alignment horizontal="center"/>
      <protection hidden="1"/>
    </xf>
    <xf numFmtId="0" fontId="25" fillId="0" borderId="8" xfId="0" applyFont="1" applyBorder="1" applyAlignment="1" applyProtection="1">
      <alignment horizontal="center"/>
      <protection hidden="1"/>
    </xf>
    <xf numFmtId="0" fontId="24" fillId="0" borderId="52" xfId="0" applyFont="1" applyBorder="1" applyAlignment="1" applyProtection="1">
      <alignment horizontal="left"/>
      <protection hidden="1"/>
    </xf>
    <xf numFmtId="0" fontId="24" fillId="0" borderId="0" xfId="0" applyFont="1" applyBorder="1" applyAlignment="1" applyProtection="1">
      <alignment horizontal="left" vertical="center"/>
      <protection hidden="1"/>
    </xf>
    <xf numFmtId="0" fontId="24" fillId="0" borderId="36" xfId="0" applyFont="1" applyBorder="1" applyAlignment="1" applyProtection="1">
      <alignment horizontal="center" shrinkToFit="1"/>
      <protection hidden="1"/>
    </xf>
    <xf numFmtId="0" fontId="24" fillId="0" borderId="0" xfId="0" applyFont="1" applyBorder="1" applyAlignment="1" applyProtection="1">
      <alignment horizontal="center" shrinkToFit="1"/>
      <protection hidden="1"/>
    </xf>
    <xf numFmtId="0" fontId="24" fillId="0" borderId="37" xfId="0" applyFont="1" applyBorder="1" applyAlignment="1" applyProtection="1">
      <alignment horizontal="center" shrinkToFit="1"/>
      <protection hidden="1"/>
    </xf>
    <xf numFmtId="0" fontId="26" fillId="0" borderId="12" xfId="0" applyFont="1" applyBorder="1" applyAlignment="1" applyProtection="1">
      <alignment horizontal="center"/>
      <protection hidden="1"/>
    </xf>
    <xf numFmtId="0" fontId="26" fillId="0" borderId="42" xfId="0" applyFont="1" applyBorder="1" applyAlignment="1" applyProtection="1">
      <alignment horizontal="center"/>
      <protection hidden="1"/>
    </xf>
    <xf numFmtId="0" fontId="21" fillId="0" borderId="52" xfId="0" applyFont="1" applyBorder="1" applyAlignment="1" applyProtection="1">
      <alignment horizontal="left"/>
      <protection hidden="1"/>
    </xf>
    <xf numFmtId="0" fontId="26" fillId="0" borderId="137" xfId="0" applyFont="1" applyBorder="1" applyAlignment="1" applyProtection="1">
      <alignment horizontal="center"/>
      <protection hidden="1"/>
    </xf>
    <xf numFmtId="0" fontId="26" fillId="0" borderId="131" xfId="0" applyFont="1" applyBorder="1" applyAlignment="1" applyProtection="1">
      <alignment horizontal="center"/>
      <protection hidden="1"/>
    </xf>
    <xf numFmtId="0" fontId="23" fillId="20" borderId="66" xfId="0" applyFont="1" applyFill="1" applyBorder="1" applyAlignment="1" applyProtection="1">
      <alignment horizontal="center"/>
      <protection hidden="1"/>
    </xf>
    <xf numFmtId="0" fontId="23" fillId="20" borderId="71" xfId="0" applyFont="1" applyFill="1" applyBorder="1" applyAlignment="1" applyProtection="1">
      <alignment horizontal="center"/>
      <protection hidden="1"/>
    </xf>
    <xf numFmtId="0" fontId="23" fillId="20" borderId="60" xfId="0" applyFont="1" applyFill="1" applyBorder="1" applyAlignment="1" applyProtection="1">
      <alignment horizontal="center"/>
      <protection hidden="1"/>
    </xf>
    <xf numFmtId="0" fontId="25" fillId="0" borderId="127" xfId="0" applyFont="1" applyBorder="1" applyAlignment="1" applyProtection="1">
      <alignment horizontal="center"/>
      <protection locked="0" hidden="1"/>
    </xf>
    <xf numFmtId="0" fontId="25" fillId="0" borderId="131" xfId="0" applyFont="1" applyBorder="1" applyAlignment="1" applyProtection="1">
      <alignment horizontal="center"/>
      <protection locked="0" hidden="1"/>
    </xf>
    <xf numFmtId="0" fontId="25" fillId="0" borderId="0" xfId="0" applyFont="1" applyBorder="1" applyAlignment="1" applyProtection="1">
      <alignment horizontal="center"/>
      <protection hidden="1"/>
    </xf>
    <xf numFmtId="0" fontId="21" fillId="0" borderId="36" xfId="0" applyFont="1" applyBorder="1" applyAlignment="1" applyProtection="1">
      <alignment horizontal="left" vertical="center" wrapText="1"/>
      <protection hidden="1"/>
    </xf>
    <xf numFmtId="0" fontId="21" fillId="0" borderId="0" xfId="0" applyFont="1" applyBorder="1" applyAlignment="1" applyProtection="1">
      <alignment horizontal="left" vertical="center" wrapText="1"/>
      <protection hidden="1"/>
    </xf>
    <xf numFmtId="0" fontId="21" fillId="0" borderId="37" xfId="0" applyFont="1" applyBorder="1" applyAlignment="1" applyProtection="1">
      <alignment horizontal="left" vertical="center" wrapText="1"/>
      <protection hidden="1"/>
    </xf>
    <xf numFmtId="0" fontId="11" fillId="0" borderId="36" xfId="0" applyFont="1" applyBorder="1" applyAlignment="1" applyProtection="1">
      <alignment horizontal="left"/>
      <protection hidden="1"/>
    </xf>
    <xf numFmtId="165" fontId="11" fillId="0" borderId="0" xfId="0" applyNumberFormat="1" applyFont="1" applyBorder="1" applyAlignment="1" applyProtection="1">
      <alignment horizontal="left"/>
      <protection hidden="1"/>
    </xf>
    <xf numFmtId="43" fontId="16" fillId="0" borderId="8" xfId="1" applyFont="1" applyFill="1" applyBorder="1" applyAlignment="1" applyProtection="1">
      <alignment horizontal="right" vertical="center" wrapText="1"/>
    </xf>
    <xf numFmtId="43" fontId="16" fillId="0" borderId="8" xfId="1" applyFont="1" applyFill="1" applyBorder="1" applyAlignment="1" applyProtection="1">
      <alignment horizontal="center" vertical="center" wrapText="1"/>
    </xf>
    <xf numFmtId="43" fontId="16" fillId="0" borderId="75" xfId="1" applyFont="1" applyFill="1" applyBorder="1" applyAlignment="1" applyProtection="1">
      <alignment horizontal="center" vertical="center" wrapText="1"/>
    </xf>
    <xf numFmtId="0" fontId="16" fillId="0" borderId="82" xfId="0" applyFont="1" applyFill="1" applyBorder="1" applyAlignment="1" applyProtection="1">
      <alignment horizontal="center" vertical="center" wrapText="1"/>
    </xf>
    <xf numFmtId="0" fontId="16" fillId="0" borderId="8" xfId="0" applyFont="1" applyFill="1" applyBorder="1" applyAlignment="1" applyProtection="1">
      <alignment horizontal="center" vertical="center" wrapText="1"/>
    </xf>
    <xf numFmtId="0" fontId="0" fillId="0" borderId="21" xfId="0" applyFont="1" applyFill="1" applyBorder="1" applyAlignment="1" applyProtection="1">
      <alignment horizontal="left" vertical="center" wrapText="1"/>
    </xf>
    <xf numFmtId="0" fontId="0" fillId="0" borderId="0" xfId="0" applyFont="1" applyFill="1" applyBorder="1" applyAlignment="1" applyProtection="1">
      <alignment horizontal="left" vertical="center" wrapText="1"/>
    </xf>
    <xf numFmtId="0" fontId="0" fillId="0" borderId="0" xfId="0" applyFont="1" applyFill="1" applyBorder="1" applyAlignment="1" applyProtection="1">
      <alignment horizontal="center" vertical="center" wrapText="1"/>
    </xf>
    <xf numFmtId="0" fontId="0" fillId="0" borderId="65" xfId="0" applyFont="1" applyFill="1" applyBorder="1" applyAlignment="1" applyProtection="1">
      <alignment horizontal="center" vertical="center" wrapText="1"/>
    </xf>
    <xf numFmtId="14" fontId="0" fillId="0" borderId="0" xfId="0" applyNumberFormat="1" applyFont="1" applyFill="1" applyBorder="1" applyAlignment="1" applyProtection="1">
      <alignment horizontal="left" vertical="center" wrapText="1"/>
    </xf>
    <xf numFmtId="0" fontId="0" fillId="0" borderId="12" xfId="0" applyFont="1" applyFill="1" applyBorder="1" applyAlignment="1" applyProtection="1">
      <alignment horizontal="left" vertical="center" wrapText="1"/>
    </xf>
    <xf numFmtId="0" fontId="0" fillId="0" borderId="59" xfId="0" applyFont="1" applyFill="1" applyBorder="1" applyAlignment="1" applyProtection="1">
      <alignment horizontal="left" vertical="center" wrapText="1"/>
    </xf>
    <xf numFmtId="0" fontId="0" fillId="0" borderId="6" xfId="0" applyFont="1" applyFill="1" applyBorder="1" applyAlignment="1" applyProtection="1">
      <alignment horizontal="left" vertical="center" wrapText="1"/>
    </xf>
    <xf numFmtId="0" fontId="0" fillId="0" borderId="10" xfId="0" applyFont="1" applyFill="1" applyBorder="1" applyAlignment="1" applyProtection="1">
      <alignment horizontal="left" vertical="center" wrapText="1"/>
    </xf>
    <xf numFmtId="3" fontId="0" fillId="0" borderId="9" xfId="0" applyNumberFormat="1" applyFont="1" applyFill="1" applyBorder="1" applyAlignment="1" applyProtection="1">
      <alignment horizontal="center" vertical="center" wrapText="1"/>
    </xf>
    <xf numFmtId="0" fontId="0" fillId="0" borderId="8" xfId="0" applyFont="1" applyFill="1" applyBorder="1" applyAlignment="1" applyProtection="1">
      <alignment horizontal="left" vertical="center" wrapText="1"/>
    </xf>
    <xf numFmtId="43" fontId="17" fillId="0" borderId="8" xfId="1" applyFont="1" applyFill="1" applyBorder="1" applyAlignment="1" applyProtection="1">
      <alignment horizontal="right" vertical="center" wrapText="1"/>
    </xf>
    <xf numFmtId="43" fontId="17" fillId="0" borderId="75" xfId="1" applyFont="1" applyFill="1" applyBorder="1" applyAlignment="1" applyProtection="1">
      <alignment horizontal="right" vertical="center" wrapText="1"/>
    </xf>
    <xf numFmtId="0" fontId="0" fillId="0" borderId="17" xfId="0" applyFont="1" applyFill="1" applyBorder="1" applyAlignment="1" applyProtection="1">
      <alignment horizontal="left" vertical="center" wrapText="1"/>
    </xf>
    <xf numFmtId="0" fontId="17" fillId="0" borderId="82" xfId="0" applyFont="1" applyFill="1" applyBorder="1" applyAlignment="1" applyProtection="1">
      <alignment horizontal="right" vertical="center" wrapText="1" indent="1"/>
    </xf>
    <xf numFmtId="0" fontId="17" fillId="0" borderId="8" xfId="0" applyFont="1" applyFill="1" applyBorder="1" applyAlignment="1" applyProtection="1">
      <alignment horizontal="right" vertical="center" wrapText="1" indent="1"/>
    </xf>
    <xf numFmtId="0" fontId="16" fillId="0" borderId="81" xfId="0" applyFont="1" applyFill="1" applyBorder="1" applyAlignment="1" applyProtection="1">
      <alignment horizontal="center" vertical="center" wrapText="1"/>
    </xf>
    <xf numFmtId="0" fontId="16" fillId="0" borderId="1" xfId="0" applyFont="1" applyFill="1" applyBorder="1" applyAlignment="1" applyProtection="1">
      <alignment horizontal="center" vertical="center" wrapText="1"/>
    </xf>
    <xf numFmtId="0" fontId="16" fillId="0" borderId="9" xfId="0" applyFont="1" applyFill="1" applyBorder="1" applyAlignment="1" applyProtection="1">
      <alignment horizontal="center" vertical="center" wrapText="1"/>
    </xf>
    <xf numFmtId="0" fontId="16" fillId="0" borderId="75" xfId="0" applyFont="1" applyFill="1" applyBorder="1" applyAlignment="1" applyProtection="1">
      <alignment horizontal="center" vertical="center" wrapText="1"/>
    </xf>
    <xf numFmtId="0" fontId="0" fillId="0" borderId="35" xfId="0" applyFont="1" applyFill="1" applyBorder="1" applyAlignment="1" applyProtection="1">
      <alignment horizontal="left" vertical="center" wrapText="1"/>
    </xf>
    <xf numFmtId="0" fontId="0" fillId="0" borderId="5" xfId="0" applyFont="1" applyFill="1" applyBorder="1" applyAlignment="1" applyProtection="1">
      <alignment horizontal="left" vertical="center" wrapText="1"/>
    </xf>
    <xf numFmtId="0" fontId="0" fillId="0" borderId="11" xfId="0" applyFont="1" applyFill="1" applyBorder="1" applyAlignment="1" applyProtection="1">
      <alignment horizontal="left" vertical="center" wrapText="1"/>
    </xf>
    <xf numFmtId="0" fontId="97" fillId="0" borderId="21" xfId="0" applyFont="1" applyFill="1" applyBorder="1" applyAlignment="1" applyProtection="1">
      <alignment horizontal="center" vertical="center" wrapText="1"/>
    </xf>
    <xf numFmtId="0" fontId="97" fillId="0" borderId="0" xfId="0" applyFont="1" applyFill="1" applyBorder="1" applyAlignment="1" applyProtection="1">
      <alignment horizontal="center" vertical="center" wrapText="1"/>
    </xf>
    <xf numFmtId="0" fontId="97" fillId="0" borderId="65" xfId="0" applyFont="1" applyFill="1" applyBorder="1" applyAlignment="1" applyProtection="1">
      <alignment horizontal="center" vertical="center" wrapText="1"/>
    </xf>
    <xf numFmtId="0" fontId="17" fillId="0" borderId="21"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xf>
    <xf numFmtId="0" fontId="17" fillId="0" borderId="65" xfId="0" applyFont="1" applyFill="1" applyBorder="1" applyAlignment="1" applyProtection="1">
      <alignment horizontal="center" vertical="center" wrapText="1"/>
    </xf>
    <xf numFmtId="0" fontId="132" fillId="0" borderId="0" xfId="0" applyFont="1" applyBorder="1" applyAlignment="1" applyProtection="1">
      <alignment horizontal="center" vertical="center"/>
    </xf>
    <xf numFmtId="0" fontId="132" fillId="0" borderId="71" xfId="0" applyFont="1" applyBorder="1" applyAlignment="1" applyProtection="1">
      <alignment horizontal="center" vertical="center"/>
    </xf>
    <xf numFmtId="0" fontId="0" fillId="0" borderId="0" xfId="0" applyBorder="1" applyAlignment="1" applyProtection="1">
      <alignment horizontal="center" vertical="center"/>
    </xf>
    <xf numFmtId="0" fontId="0" fillId="0" borderId="71" xfId="0" applyBorder="1" applyAlignment="1" applyProtection="1">
      <alignment horizontal="center" vertical="center"/>
    </xf>
    <xf numFmtId="0" fontId="126" fillId="0" borderId="7" xfId="0" applyFont="1" applyBorder="1" applyAlignment="1" applyProtection="1">
      <alignment horizontal="left" vertical="center"/>
    </xf>
    <xf numFmtId="0" fontId="126" fillId="0" borderId="61" xfId="0" applyFont="1" applyBorder="1" applyAlignment="1" applyProtection="1">
      <alignment horizontal="left" vertical="center"/>
    </xf>
    <xf numFmtId="0" fontId="126" fillId="0" borderId="4" xfId="0" applyFont="1" applyBorder="1" applyAlignment="1" applyProtection="1">
      <alignment horizontal="left" vertical="center"/>
    </xf>
    <xf numFmtId="0" fontId="0" fillId="0" borderId="13" xfId="0" applyFont="1" applyFill="1" applyBorder="1" applyAlignment="1" applyProtection="1">
      <alignment horizontal="left" vertical="center" wrapText="1"/>
    </xf>
    <xf numFmtId="0" fontId="95" fillId="0" borderId="21" xfId="0" applyFont="1" applyFill="1" applyBorder="1" applyAlignment="1" applyProtection="1">
      <alignment horizontal="center" vertical="center"/>
    </xf>
    <xf numFmtId="0" fontId="95" fillId="0" borderId="0" xfId="0" applyFont="1" applyFill="1" applyBorder="1" applyAlignment="1" applyProtection="1">
      <alignment horizontal="center" vertical="center"/>
    </xf>
    <xf numFmtId="0" fontId="95" fillId="0" borderId="65" xfId="0" applyFont="1" applyFill="1" applyBorder="1" applyAlignment="1" applyProtection="1">
      <alignment horizontal="center" vertical="center"/>
    </xf>
    <xf numFmtId="0" fontId="0" fillId="0" borderId="21"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65" xfId="0" applyFont="1" applyFill="1" applyBorder="1" applyAlignment="1" applyProtection="1">
      <alignment horizontal="center" vertical="center"/>
    </xf>
    <xf numFmtId="0" fontId="0" fillId="0" borderId="0" xfId="0" applyFont="1" applyFill="1" applyBorder="1" applyAlignment="1" applyProtection="1">
      <alignment horizontal="left" vertical="center"/>
    </xf>
    <xf numFmtId="0" fontId="0" fillId="0" borderId="65" xfId="0" applyFont="1" applyFill="1" applyBorder="1" applyAlignment="1" applyProtection="1">
      <alignment horizontal="left" vertical="center"/>
    </xf>
    <xf numFmtId="0" fontId="31" fillId="0" borderId="0" xfId="0" applyFont="1" applyFill="1" applyBorder="1" applyAlignment="1" applyProtection="1">
      <alignment horizontal="center" vertical="center" wrapText="1"/>
    </xf>
    <xf numFmtId="0" fontId="31" fillId="0" borderId="65" xfId="0" applyFont="1" applyFill="1" applyBorder="1" applyAlignment="1" applyProtection="1">
      <alignment horizontal="center" vertical="center" wrapText="1"/>
    </xf>
    <xf numFmtId="0" fontId="0" fillId="0" borderId="65" xfId="0" applyFont="1" applyFill="1" applyBorder="1" applyAlignment="1" applyProtection="1">
      <alignment horizontal="left" vertical="center" wrapText="1"/>
    </xf>
    <xf numFmtId="0" fontId="17" fillId="0" borderId="0" xfId="0" applyFont="1" applyFill="1" applyBorder="1" applyAlignment="1" applyProtection="1">
      <alignment horizontal="left" vertical="center" wrapText="1"/>
    </xf>
    <xf numFmtId="0" fontId="0" fillId="0" borderId="0" xfId="0" applyFont="1" applyFill="1" applyBorder="1" applyAlignment="1" applyProtection="1">
      <alignment horizontal="left" vertical="center" shrinkToFit="1"/>
    </xf>
    <xf numFmtId="0" fontId="0" fillId="0" borderId="65" xfId="0" applyFont="1" applyFill="1" applyBorder="1" applyAlignment="1" applyProtection="1">
      <alignment horizontal="left" vertical="center" shrinkToFit="1"/>
    </xf>
    <xf numFmtId="3" fontId="17" fillId="0" borderId="0" xfId="0" applyNumberFormat="1" applyFont="1" applyFill="1" applyBorder="1" applyAlignment="1" applyProtection="1">
      <alignment horizontal="center" vertical="center" wrapText="1"/>
    </xf>
    <xf numFmtId="0" fontId="0" fillId="20" borderId="77" xfId="0" applyFill="1" applyBorder="1" applyAlignment="1" applyProtection="1">
      <alignment horizontal="left" vertical="center" wrapText="1"/>
    </xf>
    <xf numFmtId="0" fontId="0" fillId="20" borderId="82" xfId="0" applyFill="1" applyBorder="1" applyAlignment="1" applyProtection="1">
      <alignment horizontal="left" vertical="center" wrapText="1"/>
    </xf>
    <xf numFmtId="43" fontId="102" fillId="0" borderId="13" xfId="1" applyFont="1" applyBorder="1" applyAlignment="1" applyProtection="1">
      <alignment horizontal="center" vertical="center"/>
    </xf>
    <xf numFmtId="43" fontId="102" fillId="0" borderId="8" xfId="1" applyFont="1" applyBorder="1" applyAlignment="1" applyProtection="1">
      <alignment horizontal="center" vertical="center"/>
    </xf>
    <xf numFmtId="0" fontId="0" fillId="20" borderId="13" xfId="0" applyFill="1" applyBorder="1" applyAlignment="1" applyProtection="1">
      <alignment horizontal="center" vertical="center"/>
    </xf>
    <xf numFmtId="0" fontId="0" fillId="20" borderId="8" xfId="0" applyFill="1" applyBorder="1" applyAlignment="1" applyProtection="1">
      <alignment horizontal="center" vertical="center"/>
    </xf>
    <xf numFmtId="0" fontId="96" fillId="0" borderId="21" xfId="0" applyFont="1" applyFill="1" applyBorder="1" applyAlignment="1" applyProtection="1">
      <alignment horizontal="center" vertical="center" wrapText="1"/>
    </xf>
    <xf numFmtId="0" fontId="96" fillId="0" borderId="0" xfId="0" applyFont="1" applyFill="1" applyBorder="1" applyAlignment="1" applyProtection="1">
      <alignment horizontal="center" vertical="center" wrapText="1"/>
    </xf>
    <xf numFmtId="0" fontId="96" fillId="0" borderId="65" xfId="0" applyFont="1" applyFill="1" applyBorder="1" applyAlignment="1" applyProtection="1">
      <alignment horizontal="center" vertical="center" wrapText="1"/>
    </xf>
    <xf numFmtId="14" fontId="0" fillId="0" borderId="0" xfId="0" applyNumberFormat="1" applyFont="1" applyFill="1" applyBorder="1" applyAlignment="1" applyProtection="1">
      <alignment vertical="center" wrapText="1"/>
    </xf>
    <xf numFmtId="0" fontId="0" fillId="0" borderId="0" xfId="0" applyFont="1" applyFill="1" applyBorder="1" applyAlignment="1" applyProtection="1">
      <alignment vertical="center" wrapText="1"/>
    </xf>
    <xf numFmtId="0" fontId="0" fillId="0" borderId="65" xfId="0" applyFont="1" applyFill="1" applyBorder="1" applyAlignment="1" applyProtection="1">
      <alignment vertical="center" wrapText="1"/>
    </xf>
    <xf numFmtId="0" fontId="11" fillId="20" borderId="83" xfId="0" applyFont="1" applyFill="1" applyBorder="1" applyAlignment="1" applyProtection="1">
      <alignment horizontal="left" vertical="center" wrapText="1"/>
    </xf>
    <xf numFmtId="0" fontId="11" fillId="20" borderId="88" xfId="0" applyFont="1" applyFill="1" applyBorder="1" applyAlignment="1" applyProtection="1">
      <alignment horizontal="left" vertical="center" wrapText="1"/>
    </xf>
    <xf numFmtId="43" fontId="102" fillId="0" borderId="17" xfId="1" applyFont="1" applyBorder="1" applyAlignment="1" applyProtection="1">
      <alignment horizontal="center" vertical="center"/>
    </xf>
    <xf numFmtId="43" fontId="102" fillId="0" borderId="18" xfId="1" applyFont="1" applyBorder="1" applyAlignment="1" applyProtection="1">
      <alignment horizontal="center" vertical="center"/>
    </xf>
    <xf numFmtId="0" fontId="11" fillId="20" borderId="17" xfId="0" applyFont="1" applyFill="1" applyBorder="1" applyAlignment="1" applyProtection="1">
      <alignment horizontal="left" vertical="center" wrapText="1"/>
    </xf>
    <xf numFmtId="0" fontId="11" fillId="20" borderId="18" xfId="0" applyFont="1" applyFill="1" applyBorder="1" applyAlignment="1" applyProtection="1">
      <alignment horizontal="left" vertical="center" wrapText="1"/>
    </xf>
    <xf numFmtId="0" fontId="156" fillId="20" borderId="0" xfId="0" applyFont="1" applyFill="1" applyBorder="1" applyAlignment="1" applyProtection="1">
      <alignment horizontal="center" vertical="center"/>
    </xf>
    <xf numFmtId="0" fontId="157" fillId="26" borderId="7" xfId="0" applyFont="1" applyFill="1" applyBorder="1" applyAlignment="1" applyProtection="1">
      <alignment horizontal="center" vertical="center"/>
    </xf>
    <xf numFmtId="0" fontId="157" fillId="26" borderId="61" xfId="0" applyFont="1" applyFill="1" applyBorder="1" applyAlignment="1" applyProtection="1">
      <alignment horizontal="center" vertical="center"/>
    </xf>
    <xf numFmtId="0" fontId="157" fillId="26" borderId="4" xfId="0" applyFont="1" applyFill="1" applyBorder="1" applyAlignment="1" applyProtection="1">
      <alignment horizontal="center" vertical="center"/>
    </xf>
    <xf numFmtId="0" fontId="155" fillId="0" borderId="65" xfId="0" applyFont="1" applyBorder="1" applyAlignment="1" applyProtection="1">
      <alignment horizontal="right" vertical="center"/>
    </xf>
    <xf numFmtId="0" fontId="155" fillId="0" borderId="100" xfId="0" applyFont="1" applyBorder="1" applyAlignment="1" applyProtection="1">
      <alignment horizontal="right" vertical="center"/>
    </xf>
    <xf numFmtId="0" fontId="98" fillId="0" borderId="82" xfId="0" applyFont="1" applyFill="1" applyBorder="1" applyAlignment="1" applyProtection="1">
      <alignment horizontal="center" vertical="center" wrapText="1"/>
    </xf>
    <xf numFmtId="0" fontId="98" fillId="0" borderId="8" xfId="0" applyFont="1" applyFill="1" applyBorder="1" applyAlignment="1" applyProtection="1">
      <alignment horizontal="center" vertical="center" wrapText="1"/>
    </xf>
    <xf numFmtId="0" fontId="98" fillId="0" borderId="75" xfId="0" applyFont="1" applyFill="1" applyBorder="1" applyAlignment="1" applyProtection="1">
      <alignment horizontal="center" vertical="center" wrapText="1"/>
    </xf>
    <xf numFmtId="0" fontId="0" fillId="20" borderId="72" xfId="0" applyFont="1" applyFill="1" applyBorder="1" applyAlignment="1" applyProtection="1">
      <alignment horizontal="center" vertical="center" wrapText="1"/>
    </xf>
    <xf numFmtId="0" fontId="95" fillId="0" borderId="20" xfId="0" applyFont="1" applyFill="1" applyBorder="1" applyAlignment="1" applyProtection="1">
      <alignment horizontal="center" vertical="center" wrapText="1"/>
    </xf>
    <xf numFmtId="0" fontId="95" fillId="0" borderId="72" xfId="0" applyFont="1" applyFill="1" applyBorder="1" applyAlignment="1" applyProtection="1">
      <alignment horizontal="center" vertical="center" wrapText="1"/>
    </xf>
    <xf numFmtId="0" fontId="95" fillId="0" borderId="64" xfId="0" applyFont="1" applyFill="1" applyBorder="1" applyAlignment="1" applyProtection="1">
      <alignment horizontal="center" vertical="center" wrapText="1"/>
    </xf>
    <xf numFmtId="0" fontId="0" fillId="0" borderId="21" xfId="0" applyFont="1" applyFill="1" applyBorder="1" applyAlignment="1" applyProtection="1">
      <alignment horizontal="center" vertical="center" wrapText="1"/>
    </xf>
    <xf numFmtId="0" fontId="99" fillId="0" borderId="21" xfId="0" applyFont="1" applyFill="1" applyBorder="1" applyAlignment="1" applyProtection="1">
      <alignment horizontal="center" vertical="center" wrapText="1"/>
    </xf>
    <xf numFmtId="0" fontId="99" fillId="0" borderId="0" xfId="0" applyFont="1" applyFill="1" applyBorder="1" applyAlignment="1" applyProtection="1">
      <alignment horizontal="center" vertical="center" wrapText="1"/>
    </xf>
    <xf numFmtId="0" fontId="99" fillId="0" borderId="65" xfId="0" applyFont="1" applyFill="1" applyBorder="1" applyAlignment="1" applyProtection="1">
      <alignment horizontal="center" vertical="center" wrapText="1"/>
    </xf>
    <xf numFmtId="0" fontId="158" fillId="32" borderId="71" xfId="0" applyFont="1" applyFill="1" applyBorder="1" applyAlignment="1">
      <alignment horizontal="center" vertical="center"/>
    </xf>
    <xf numFmtId="0" fontId="159" fillId="12" borderId="123" xfId="0" applyFont="1" applyFill="1" applyBorder="1" applyAlignment="1" applyProtection="1">
      <alignment horizontal="left" vertical="center"/>
      <protection locked="0" hidden="1"/>
    </xf>
    <xf numFmtId="0" fontId="159" fillId="12" borderId="62" xfId="0" applyFont="1" applyFill="1" applyBorder="1" applyAlignment="1" applyProtection="1">
      <alignment horizontal="left" vertical="center"/>
      <protection locked="0" hidden="1"/>
    </xf>
    <xf numFmtId="0" fontId="159" fillId="12" borderId="63" xfId="0" applyFont="1" applyFill="1" applyBorder="1" applyAlignment="1" applyProtection="1">
      <alignment horizontal="left" vertical="center"/>
      <protection locked="0" hidden="1"/>
    </xf>
    <xf numFmtId="0" fontId="159" fillId="18" borderId="7" xfId="0" applyFont="1" applyFill="1" applyBorder="1" applyAlignment="1" applyProtection="1">
      <alignment horizontal="left" vertical="center"/>
      <protection hidden="1"/>
    </xf>
    <xf numFmtId="0" fontId="159" fillId="18" borderId="61" xfId="0" applyFont="1" applyFill="1" applyBorder="1" applyAlignment="1" applyProtection="1">
      <alignment horizontal="left" vertical="center"/>
      <protection hidden="1"/>
    </xf>
    <xf numFmtId="0" fontId="159" fillId="12" borderId="124" xfId="0" applyFont="1" applyFill="1" applyBorder="1" applyAlignment="1" applyProtection="1">
      <alignment horizontal="left" vertical="center"/>
      <protection locked="0" hidden="1"/>
    </xf>
    <xf numFmtId="0" fontId="159" fillId="12" borderId="96" xfId="0" applyFont="1" applyFill="1" applyBorder="1" applyAlignment="1" applyProtection="1">
      <alignment horizontal="left" vertical="center"/>
      <protection locked="0" hidden="1"/>
    </xf>
    <xf numFmtId="0" fontId="159" fillId="12" borderId="74" xfId="0" applyFont="1" applyFill="1" applyBorder="1" applyAlignment="1" applyProtection="1">
      <alignment horizontal="left" vertical="center"/>
      <protection locked="0" hidden="1"/>
    </xf>
    <xf numFmtId="0" fontId="159" fillId="12" borderId="82" xfId="0" applyFont="1" applyFill="1" applyBorder="1" applyAlignment="1" applyProtection="1">
      <alignment horizontal="left" vertical="center"/>
      <protection locked="0" hidden="1"/>
    </xf>
    <xf numFmtId="0" fontId="159" fillId="12" borderId="8" xfId="0" applyFont="1" applyFill="1" applyBorder="1" applyAlignment="1" applyProtection="1">
      <alignment horizontal="left" vertical="center"/>
      <protection locked="0" hidden="1"/>
    </xf>
    <xf numFmtId="0" fontId="159" fillId="12" borderId="75" xfId="0" applyFont="1" applyFill="1" applyBorder="1" applyAlignment="1" applyProtection="1">
      <alignment horizontal="left" vertical="center"/>
      <protection locked="0" hidden="1"/>
    </xf>
    <xf numFmtId="0" fontId="159" fillId="12" borderId="82" xfId="0" applyNumberFormat="1" applyFont="1" applyFill="1" applyBorder="1" applyAlignment="1" applyProtection="1">
      <alignment horizontal="left" vertical="center"/>
      <protection locked="0" hidden="1"/>
    </xf>
    <xf numFmtId="0" fontId="159" fillId="12" borderId="8" xfId="0" applyNumberFormat="1" applyFont="1" applyFill="1" applyBorder="1" applyAlignment="1" applyProtection="1">
      <alignment horizontal="left" vertical="center"/>
      <protection locked="0" hidden="1"/>
    </xf>
    <xf numFmtId="0" fontId="159" fillId="12" borderId="75" xfId="0" applyNumberFormat="1" applyFont="1" applyFill="1" applyBorder="1" applyAlignment="1" applyProtection="1">
      <alignment horizontal="left" vertical="center"/>
      <protection locked="0" hidden="1"/>
    </xf>
    <xf numFmtId="0" fontId="160" fillId="0" borderId="21" xfId="0" applyFont="1" applyBorder="1" applyAlignment="1" applyProtection="1">
      <alignment horizontal="left" vertical="center" wrapText="1"/>
    </xf>
    <xf numFmtId="0" fontId="0" fillId="0" borderId="0" xfId="0" applyAlignment="1" applyProtection="1"/>
    <xf numFmtId="0" fontId="0" fillId="0" borderId="65" xfId="0" applyBorder="1" applyAlignment="1" applyProtection="1"/>
    <xf numFmtId="0" fontId="74" fillId="0" borderId="21" xfId="0" applyFont="1" applyFill="1" applyBorder="1" applyAlignment="1" applyProtection="1">
      <alignment horizontal="center"/>
    </xf>
    <xf numFmtId="0" fontId="73" fillId="0" borderId="21" xfId="0" applyFont="1" applyFill="1" applyBorder="1" applyAlignment="1" applyProtection="1">
      <alignment horizontal="center" vertical="center"/>
    </xf>
    <xf numFmtId="0" fontId="73" fillId="0" borderId="0" xfId="0" applyFont="1" applyFill="1" applyBorder="1" applyAlignment="1" applyProtection="1">
      <alignment horizontal="center" vertical="center"/>
    </xf>
    <xf numFmtId="0" fontId="73" fillId="0" borderId="65" xfId="0" applyFont="1" applyFill="1" applyBorder="1" applyAlignment="1" applyProtection="1">
      <alignment horizontal="center" vertical="center"/>
    </xf>
    <xf numFmtId="0" fontId="159" fillId="18" borderId="4" xfId="0" applyFont="1" applyFill="1" applyBorder="1" applyAlignment="1" applyProtection="1">
      <alignment horizontal="left" vertical="center"/>
      <protection hidden="1"/>
    </xf>
  </cellXfs>
  <cellStyles count="4">
    <cellStyle name="Comma" xfId="1" builtinId="3"/>
    <cellStyle name="Hyperlink" xfId="2" builtinId="8"/>
    <cellStyle name="Normal" xfId="0" builtinId="0"/>
    <cellStyle name="Warning Text" xfId="3" builtinId="11" customBuiltin="1"/>
  </cellStyles>
  <dxfs count="0"/>
  <tableStyles count="0" defaultTableStyle="TableStyleMedium9" defaultPivotStyle="PivotStyleLight16"/>
  <colors>
    <mruColors>
      <color rgb="FFF9CD61"/>
      <color rgb="FFFAD13C"/>
      <color rgb="FFF9CD2B"/>
      <color rgb="FFF8DB2C"/>
      <color rgb="FFF9DF45"/>
      <color rgb="FFFFFF66"/>
      <color rgb="FFCCFF33"/>
      <color rgb="FF0099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37</xdr:row>
      <xdr:rowOff>9526</xdr:rowOff>
    </xdr:from>
    <xdr:to>
      <xdr:col>10</xdr:col>
      <xdr:colOff>571499</xdr:colOff>
      <xdr:row>41</xdr:row>
      <xdr:rowOff>0</xdr:rowOff>
    </xdr:to>
    <xdr:pic>
      <xdr:nvPicPr>
        <xdr:cNvPr id="15866" name="Picture 2" descr="Putta.JP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401858" y="13058776"/>
          <a:ext cx="1249891" cy="137689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14</xdr:col>
      <xdr:colOff>139514</xdr:colOff>
      <xdr:row>18</xdr:row>
      <xdr:rowOff>143997</xdr:rowOff>
    </xdr:from>
    <xdr:to>
      <xdr:col>15</xdr:col>
      <xdr:colOff>603437</xdr:colOff>
      <xdr:row>19</xdr:row>
      <xdr:rowOff>0</xdr:rowOff>
    </xdr:to>
    <xdr:sp macro="" textlink="">
      <xdr:nvSpPr>
        <xdr:cNvPr id="3" name="Right Arrow 2"/>
        <xdr:cNvSpPr/>
      </xdr:nvSpPr>
      <xdr:spPr>
        <a:xfrm>
          <a:off x="8797739" y="6125697"/>
          <a:ext cx="1035423" cy="179853"/>
        </a:xfrm>
        <a:prstGeom prst="rightArrow">
          <a:avLst/>
        </a:prstGeom>
        <a:solidFill>
          <a:srgbClr val="FF0000"/>
        </a:solidFill>
        <a:ln>
          <a:solidFill>
            <a:srgbClr val="002060"/>
          </a:solidFill>
        </a:ln>
      </xdr:spPr>
      <xdr:style>
        <a:lnRef idx="0">
          <a:schemeClr val="accent2"/>
        </a:lnRef>
        <a:fillRef idx="3">
          <a:schemeClr val="accent2"/>
        </a:fillRef>
        <a:effectRef idx="3">
          <a:schemeClr val="accent2"/>
        </a:effectRef>
        <a:fontRef idx="minor">
          <a:schemeClr val="lt1"/>
        </a:fontRef>
      </xdr:style>
      <xdr:txBody>
        <a:bodyPr rtlCol="0" anchor="ctr"/>
        <a:lstStyle/>
        <a:p>
          <a:endParaRPr lang="en-IN"/>
        </a:p>
      </xdr:txBody>
    </xdr:sp>
    <xdr:clientData/>
  </xdr:twoCellAnchor>
  <xdr:oneCellAnchor>
    <xdr:from>
      <xdr:col>1</xdr:col>
      <xdr:colOff>21166</xdr:colOff>
      <xdr:row>0</xdr:row>
      <xdr:rowOff>84667</xdr:rowOff>
    </xdr:from>
    <xdr:ext cx="11684001" cy="550333"/>
    <xdr:sp macro="" textlink="">
      <xdr:nvSpPr>
        <xdr:cNvPr id="4" name="Rectangle 3"/>
        <xdr:cNvSpPr/>
      </xdr:nvSpPr>
      <xdr:spPr>
        <a:xfrm>
          <a:off x="116416" y="84667"/>
          <a:ext cx="11684001" cy="550333"/>
        </a:xfrm>
        <a:prstGeom prst="rect">
          <a:avLst/>
        </a:prstGeom>
      </xdr:spPr>
      <xdr:style>
        <a:lnRef idx="0">
          <a:schemeClr val="accent5"/>
        </a:lnRef>
        <a:fillRef idx="3">
          <a:schemeClr val="accent5"/>
        </a:fillRef>
        <a:effectRef idx="3">
          <a:schemeClr val="accent5"/>
        </a:effectRef>
        <a:fontRef idx="minor">
          <a:schemeClr val="lt1"/>
        </a:fontRef>
      </xdr:style>
      <xdr:txBody>
        <a:bodyPr wrap="square" lIns="91440" tIns="45720" rIns="91440" bIns="45720" anchor="b">
          <a:noAutofit/>
        </a:bodyPr>
        <a:lstStyle/>
        <a:p>
          <a:pPr algn="ctr"/>
          <a:r>
            <a:rPr lang="en-US" sz="2800" b="1" cap="none" spc="200">
              <a:ln w="29210">
                <a:solidFill>
                  <a:schemeClr val="accent3">
                    <a:tint val="10000"/>
                  </a:schemeClr>
                </a:solidFill>
              </a:ln>
              <a:solidFill>
                <a:schemeClr val="accent3">
                  <a:satMod val="200000"/>
                  <a:alpha val="50000"/>
                </a:schemeClr>
              </a:solidFill>
              <a:effectLst>
                <a:innerShdw blurRad="50800" dist="50800" dir="8100000">
                  <a:srgbClr val="7D7D7D">
                    <a:alpha val="73000"/>
                  </a:srgbClr>
                </a:innerShdw>
              </a:effectLst>
            </a:rPr>
            <a:t>Telangana State Employees</a:t>
          </a:r>
        </a:p>
      </xdr:txBody>
    </xdr:sp>
    <xdr:clientData/>
  </xdr:oneCellAnchor>
  <xdr:oneCellAnchor>
    <xdr:from>
      <xdr:col>1</xdr:col>
      <xdr:colOff>45510</xdr:colOff>
      <xdr:row>44</xdr:row>
      <xdr:rowOff>58208</xdr:rowOff>
    </xdr:from>
    <xdr:ext cx="13786907" cy="576791"/>
    <xdr:sp macro="" textlink="">
      <xdr:nvSpPr>
        <xdr:cNvPr id="5" name="Rectangle 4"/>
        <xdr:cNvSpPr/>
      </xdr:nvSpPr>
      <xdr:spPr>
        <a:xfrm>
          <a:off x="140760" y="15573375"/>
          <a:ext cx="13786907" cy="576791"/>
        </a:xfrm>
        <a:prstGeom prst="rect">
          <a:avLst/>
        </a:prstGeom>
      </xdr:spPr>
      <xdr:style>
        <a:lnRef idx="0">
          <a:schemeClr val="accent1"/>
        </a:lnRef>
        <a:fillRef idx="3">
          <a:schemeClr val="accent1"/>
        </a:fillRef>
        <a:effectRef idx="3">
          <a:schemeClr val="accent1"/>
        </a:effectRef>
        <a:fontRef idx="minor">
          <a:schemeClr val="lt1"/>
        </a:fontRef>
      </xdr:style>
      <xdr:txBody>
        <a:bodyPr wrap="square" lIns="91440" tIns="45720" rIns="91440" bIns="45720">
          <a:noAutofit/>
          <a:scene3d>
            <a:camera prst="orthographicFront"/>
            <a:lightRig rig="glow" dir="tl">
              <a:rot lat="0" lon="0" rev="5400000"/>
            </a:lightRig>
          </a:scene3d>
          <a:sp3d contourW="12700">
            <a:bevelT w="25400" h="25400"/>
            <a:contourClr>
              <a:schemeClr val="accent6">
                <a:shade val="73000"/>
              </a:schemeClr>
            </a:contourClr>
          </a:sp3d>
        </a:bodyPr>
        <a:lstStyle/>
        <a:p>
          <a:pPr algn="ctr">
            <a:lnSpc>
              <a:spcPts val="1700"/>
            </a:lnSpc>
          </a:pPr>
          <a:r>
            <a:rPr lang="en-US" sz="1600" b="1" cap="none" spc="0">
              <a:ln w="11430"/>
              <a:solidFill>
                <a:sysClr val="windowText" lastClr="000000"/>
              </a:solidFill>
              <a:effectLst>
                <a:outerShdw blurRad="80000" dist="40000" dir="5040000" algn="tl">
                  <a:srgbClr val="000000">
                    <a:alpha val="30000"/>
                  </a:srgbClr>
                </a:outerShdw>
              </a:effectLst>
            </a:rPr>
            <a:t>Those income</a:t>
          </a:r>
          <a:r>
            <a:rPr lang="en-US" sz="1600" b="1" cap="none" spc="0" baseline="0">
              <a:ln w="11430"/>
              <a:solidFill>
                <a:sysClr val="windowText" lastClr="000000"/>
              </a:solidFill>
              <a:effectLst>
                <a:outerShdw blurRad="80000" dist="40000" dir="5040000" algn="tl">
                  <a:srgbClr val="000000">
                    <a:alpha val="30000"/>
                  </a:srgbClr>
                </a:outerShdw>
              </a:effectLst>
            </a:rPr>
            <a:t> crossed 5Lacks Submit Your IT returns in the month of June/ before last date with near by IT Practitioner (CA), DDOs submitt your staff deducted IT through TDS e-filling by IT Practitioner (CA). </a:t>
          </a:r>
          <a:endParaRPr lang="en-US" sz="1600" b="1" cap="none" spc="0">
            <a:ln w="11430"/>
            <a:solidFill>
              <a:sysClr val="windowText" lastClr="000000"/>
            </a:solidFill>
            <a:effectLst>
              <a:outerShdw blurRad="80000" dist="40000" dir="5040000" algn="tl">
                <a:srgbClr val="000000">
                  <a:alpha val="30000"/>
                </a:srgbClr>
              </a:outerShdw>
            </a:effectLst>
          </a:endParaRPr>
        </a:p>
      </xdr:txBody>
    </xdr:sp>
    <xdr:clientData/>
  </xdr:oneCellAnchor>
  <xdr:twoCellAnchor>
    <xdr:from>
      <xdr:col>15</xdr:col>
      <xdr:colOff>0</xdr:colOff>
      <xdr:row>42</xdr:row>
      <xdr:rowOff>0</xdr:rowOff>
    </xdr:from>
    <xdr:to>
      <xdr:col>17</xdr:col>
      <xdr:colOff>0</xdr:colOff>
      <xdr:row>42</xdr:row>
      <xdr:rowOff>352425</xdr:rowOff>
    </xdr:to>
    <xdr:sp macro="" textlink="">
      <xdr:nvSpPr>
        <xdr:cNvPr id="7" name="Rectangle 6"/>
        <xdr:cNvSpPr/>
      </xdr:nvSpPr>
      <xdr:spPr>
        <a:xfrm>
          <a:off x="9229725" y="11020425"/>
          <a:ext cx="1428750" cy="352425"/>
        </a:xfrm>
        <a:prstGeom prst="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cap="none" spc="300">
              <a:ln w="11430" cmpd="sng">
                <a:solidFill>
                  <a:schemeClr val="accent1">
                    <a:tint val="10000"/>
                  </a:schemeClr>
                </a:solidFill>
                <a:prstDash val="solid"/>
                <a:miter lim="800000"/>
              </a:ln>
              <a:solidFill>
                <a:schemeClr val="bg1"/>
              </a:solidFill>
              <a:effectLst>
                <a:glow rad="45500">
                  <a:schemeClr val="accent1">
                    <a:satMod val="220000"/>
                    <a:alpha val="35000"/>
                  </a:schemeClr>
                </a:glow>
              </a:effectLst>
            </a:rPr>
            <a:t>Thank You</a:t>
          </a:r>
        </a:p>
      </xdr:txBody>
    </xdr:sp>
    <xdr:clientData/>
  </xdr:twoCellAnchor>
  <xdr:twoCellAnchor>
    <xdr:from>
      <xdr:col>2</xdr:col>
      <xdr:colOff>9525</xdr:colOff>
      <xdr:row>28</xdr:row>
      <xdr:rowOff>9525</xdr:rowOff>
    </xdr:from>
    <xdr:to>
      <xdr:col>5</xdr:col>
      <xdr:colOff>0</xdr:colOff>
      <xdr:row>28</xdr:row>
      <xdr:rowOff>352425</xdr:rowOff>
    </xdr:to>
    <xdr:sp macro="" textlink="">
      <xdr:nvSpPr>
        <xdr:cNvPr id="8" name="Rectangle 7"/>
        <xdr:cNvSpPr/>
      </xdr:nvSpPr>
      <xdr:spPr>
        <a:xfrm>
          <a:off x="171450" y="6172200"/>
          <a:ext cx="2819400" cy="342900"/>
        </a:xfrm>
        <a:prstGeom prst="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IN" sz="20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S a v i n g s</a:t>
          </a:r>
        </a:p>
      </xdr:txBody>
    </xdr:sp>
    <xdr:clientData/>
  </xdr:twoCellAnchor>
  <xdr:twoCellAnchor>
    <xdr:from>
      <xdr:col>7</xdr:col>
      <xdr:colOff>0</xdr:colOff>
      <xdr:row>28</xdr:row>
      <xdr:rowOff>9525</xdr:rowOff>
    </xdr:from>
    <xdr:to>
      <xdr:col>13</xdr:col>
      <xdr:colOff>9525</xdr:colOff>
      <xdr:row>28</xdr:row>
      <xdr:rowOff>352425</xdr:rowOff>
    </xdr:to>
    <xdr:sp macro="" textlink="">
      <xdr:nvSpPr>
        <xdr:cNvPr id="9" name="Rectangle 8"/>
        <xdr:cNvSpPr/>
      </xdr:nvSpPr>
      <xdr:spPr>
        <a:xfrm>
          <a:off x="3886200" y="6172200"/>
          <a:ext cx="3562350" cy="342900"/>
        </a:xfrm>
        <a:prstGeom prst="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IN" sz="20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D e d u c t i o n s</a:t>
          </a:r>
        </a:p>
      </xdr:txBody>
    </xdr:sp>
    <xdr:clientData/>
  </xdr:twoCellAnchor>
  <xdr:twoCellAnchor>
    <xdr:from>
      <xdr:col>14</xdr:col>
      <xdr:colOff>0</xdr:colOff>
      <xdr:row>28</xdr:row>
      <xdr:rowOff>0</xdr:rowOff>
    </xdr:from>
    <xdr:to>
      <xdr:col>16</xdr:col>
      <xdr:colOff>800100</xdr:colOff>
      <xdr:row>28</xdr:row>
      <xdr:rowOff>342900</xdr:rowOff>
    </xdr:to>
    <xdr:sp macro="" textlink="">
      <xdr:nvSpPr>
        <xdr:cNvPr id="10" name="Rectangle 9"/>
        <xdr:cNvSpPr/>
      </xdr:nvSpPr>
      <xdr:spPr>
        <a:xfrm>
          <a:off x="8658225" y="6162675"/>
          <a:ext cx="1981200" cy="342900"/>
        </a:xfrm>
        <a:prstGeom prst="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IN" sz="20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www.putta.in</a:t>
          </a:r>
        </a:p>
      </xdr:txBody>
    </xdr:sp>
    <xdr:clientData/>
  </xdr:twoCellAnchor>
  <xdr:twoCellAnchor>
    <xdr:from>
      <xdr:col>1</xdr:col>
      <xdr:colOff>21167</xdr:colOff>
      <xdr:row>37</xdr:row>
      <xdr:rowOff>19050</xdr:rowOff>
    </xdr:from>
    <xdr:to>
      <xdr:col>6</xdr:col>
      <xdr:colOff>352425</xdr:colOff>
      <xdr:row>39</xdr:row>
      <xdr:rowOff>0</xdr:rowOff>
    </xdr:to>
    <xdr:sp macro="" textlink="">
      <xdr:nvSpPr>
        <xdr:cNvPr id="11" name="Rectangle 10"/>
        <xdr:cNvSpPr/>
      </xdr:nvSpPr>
      <xdr:spPr>
        <a:xfrm>
          <a:off x="116417" y="12528550"/>
          <a:ext cx="4215341" cy="647700"/>
        </a:xfrm>
        <a:prstGeom prst="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IN" sz="40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www.putta.in</a:t>
          </a:r>
          <a:endParaRPr lang="en-IN" sz="40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twoCellAnchor>
  <xdr:twoCellAnchor editAs="oneCell">
    <xdr:from>
      <xdr:col>18</xdr:col>
      <xdr:colOff>9525</xdr:colOff>
      <xdr:row>0</xdr:row>
      <xdr:rowOff>28575</xdr:rowOff>
    </xdr:from>
    <xdr:to>
      <xdr:col>20</xdr:col>
      <xdr:colOff>666750</xdr:colOff>
      <xdr:row>7</xdr:row>
      <xdr:rowOff>295275</xdr:rowOff>
    </xdr:to>
    <xdr:pic>
      <xdr:nvPicPr>
        <xdr:cNvPr id="15875" name="Picture 11"/>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rcRect/>
        <a:stretch>
          <a:fillRect/>
        </a:stretch>
      </xdr:blipFill>
      <xdr:spPr bwMode="auto">
        <a:xfrm>
          <a:off x="11068050" y="28575"/>
          <a:ext cx="2009775" cy="2581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15</xdr:col>
      <xdr:colOff>95249</xdr:colOff>
      <xdr:row>20</xdr:row>
      <xdr:rowOff>306916</xdr:rowOff>
    </xdr:from>
    <xdr:to>
      <xdr:col>18</xdr:col>
      <xdr:colOff>63499</xdr:colOff>
      <xdr:row>22</xdr:row>
      <xdr:rowOff>95250</xdr:rowOff>
    </xdr:to>
    <xdr:sp macro="" textlink="">
      <xdr:nvSpPr>
        <xdr:cNvPr id="2" name="Right Arrow 1"/>
        <xdr:cNvSpPr/>
      </xdr:nvSpPr>
      <xdr:spPr>
        <a:xfrm>
          <a:off x="9662582" y="7037916"/>
          <a:ext cx="1492250" cy="518584"/>
        </a:xfrm>
        <a:prstGeom prst="righ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endParaRPr lang="en-IN"/>
        </a:p>
      </xdr:txBody>
    </xdr:sp>
    <xdr:clientData/>
  </xdr:twoCellAnchor>
  <xdr:twoCellAnchor>
    <xdr:from>
      <xdr:col>19</xdr:col>
      <xdr:colOff>653569</xdr:colOff>
      <xdr:row>11</xdr:row>
      <xdr:rowOff>810860</xdr:rowOff>
    </xdr:from>
    <xdr:to>
      <xdr:col>20</xdr:col>
      <xdr:colOff>396683</xdr:colOff>
      <xdr:row>12</xdr:row>
      <xdr:rowOff>179801</xdr:rowOff>
    </xdr:to>
    <xdr:sp macro="" textlink="">
      <xdr:nvSpPr>
        <xdr:cNvPr id="12" name="Down Arrow 11"/>
        <xdr:cNvSpPr/>
      </xdr:nvSpPr>
      <xdr:spPr>
        <a:xfrm rot="3186857">
          <a:off x="12535239" y="10159357"/>
          <a:ext cx="194441" cy="420447"/>
        </a:xfrm>
        <a:prstGeom prst="down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endParaRPr lang="en-IN"/>
        </a:p>
      </xdr:txBody>
    </xdr:sp>
    <xdr:clientData/>
  </xdr:twoCellAnchor>
  <xdr:twoCellAnchor editAs="oneCell">
    <xdr:from>
      <xdr:col>11</xdr:col>
      <xdr:colOff>28577</xdr:colOff>
      <xdr:row>40</xdr:row>
      <xdr:rowOff>114301</xdr:rowOff>
    </xdr:from>
    <xdr:to>
      <xdr:col>11</xdr:col>
      <xdr:colOff>203300</xdr:colOff>
      <xdr:row>40</xdr:row>
      <xdr:rowOff>247651</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753227" y="13811251"/>
          <a:ext cx="174723" cy="133350"/>
        </a:xfrm>
        <a:prstGeom prst="rect">
          <a:avLst/>
        </a:prstGeom>
      </xdr:spPr>
    </xdr:pic>
    <xdr:clientData/>
  </xdr:twoCellAnchor>
  <xdr:twoCellAnchor editAs="oneCell">
    <xdr:from>
      <xdr:col>11</xdr:col>
      <xdr:colOff>257176</xdr:colOff>
      <xdr:row>41</xdr:row>
      <xdr:rowOff>28576</xdr:rowOff>
    </xdr:from>
    <xdr:to>
      <xdr:col>11</xdr:col>
      <xdr:colOff>533400</xdr:colOff>
      <xdr:row>41</xdr:row>
      <xdr:rowOff>304800</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rot="537946">
          <a:off x="6981826" y="14087476"/>
          <a:ext cx="276224" cy="276224"/>
        </a:xfrm>
        <a:prstGeom prst="rect">
          <a:avLst/>
        </a:prstGeom>
      </xdr:spPr>
    </xdr:pic>
    <xdr:clientData/>
  </xdr:twoCellAnchor>
  <xdr:twoCellAnchor editAs="oneCell">
    <xdr:from>
      <xdr:col>1</xdr:col>
      <xdr:colOff>31750</xdr:colOff>
      <xdr:row>27</xdr:row>
      <xdr:rowOff>42335</xdr:rowOff>
    </xdr:from>
    <xdr:to>
      <xdr:col>15</xdr:col>
      <xdr:colOff>486833</xdr:colOff>
      <xdr:row>27</xdr:row>
      <xdr:rowOff>793750</xdr:rowOff>
    </xdr:to>
    <xdr:pic>
      <xdr:nvPicPr>
        <xdr:cNvPr id="18" name="Picture 17"/>
        <xdr:cNvPicPr>
          <a:picLocks noChangeAspect="1"/>
        </xdr:cNvPicPr>
      </xdr:nvPicPr>
      <xdr:blipFill>
        <a:blip xmlns:r="http://schemas.openxmlformats.org/officeDocument/2006/relationships" r:embed="rId5">
          <a:extLst>
            <a:ext uri="{28A0092B-C50C-407E-A947-70E740481C1C}">
              <a14:useLocalDpi xmlns="" xmlns:a14="http://schemas.microsoft.com/office/drawing/2010/main" val="0"/>
            </a:ext>
          </a:extLst>
        </a:blip>
        <a:stretch>
          <a:fillRect/>
        </a:stretch>
      </xdr:blipFill>
      <xdr:spPr>
        <a:xfrm>
          <a:off x="127000" y="9165168"/>
          <a:ext cx="10795000" cy="751415"/>
        </a:xfrm>
        <a:prstGeom prst="rect">
          <a:avLst/>
        </a:prstGeom>
      </xdr:spPr>
    </xdr:pic>
    <xdr:clientData/>
  </xdr:twoCellAnchor>
  <xdr:twoCellAnchor>
    <xdr:from>
      <xdr:col>15</xdr:col>
      <xdr:colOff>603250</xdr:colOff>
      <xdr:row>24</xdr:row>
      <xdr:rowOff>63500</xdr:rowOff>
    </xdr:from>
    <xdr:to>
      <xdr:col>17</xdr:col>
      <xdr:colOff>52917</xdr:colOff>
      <xdr:row>26</xdr:row>
      <xdr:rowOff>243416</xdr:rowOff>
    </xdr:to>
    <xdr:sp macro="" textlink="">
      <xdr:nvSpPr>
        <xdr:cNvPr id="6" name="7-Point Star 5"/>
        <xdr:cNvSpPr/>
      </xdr:nvSpPr>
      <xdr:spPr>
        <a:xfrm rot="21167183">
          <a:off x="11038417" y="8202083"/>
          <a:ext cx="836083" cy="825500"/>
        </a:xfrm>
        <a:prstGeom prst="star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IN" sz="1100" b="1"/>
            <a:t>New</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438150</xdr:colOff>
      <xdr:row>31</xdr:row>
      <xdr:rowOff>9525</xdr:rowOff>
    </xdr:from>
    <xdr:to>
      <xdr:col>43</xdr:col>
      <xdr:colOff>466725</xdr:colOff>
      <xdr:row>31</xdr:row>
      <xdr:rowOff>38100</xdr:rowOff>
    </xdr:to>
    <xdr:sp macro="" textlink="">
      <xdr:nvSpPr>
        <xdr:cNvPr id="16393" name="Oval 28"/>
        <xdr:cNvSpPr>
          <a:spLocks noChangeArrowheads="1"/>
        </xdr:cNvSpPr>
      </xdr:nvSpPr>
      <xdr:spPr bwMode="auto">
        <a:xfrm flipV="1">
          <a:off x="6762750" y="5581650"/>
          <a:ext cx="0" cy="28575"/>
        </a:xfrm>
        <a:prstGeom prst="ellipse">
          <a:avLst/>
        </a:prstGeom>
        <a:solidFill>
          <a:srgbClr val="CC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29</xdr:col>
      <xdr:colOff>266700</xdr:colOff>
      <xdr:row>15</xdr:row>
      <xdr:rowOff>9525</xdr:rowOff>
    </xdr:from>
    <xdr:to>
      <xdr:col>29</xdr:col>
      <xdr:colOff>571500</xdr:colOff>
      <xdr:row>28</xdr:row>
      <xdr:rowOff>257175</xdr:rowOff>
    </xdr:to>
    <xdr:sp macro="" textlink="">
      <xdr:nvSpPr>
        <xdr:cNvPr id="2" name="Down Arrow 1"/>
        <xdr:cNvSpPr/>
      </xdr:nvSpPr>
      <xdr:spPr>
        <a:xfrm>
          <a:off x="11839575" y="5038725"/>
          <a:ext cx="304800" cy="4105275"/>
        </a:xfrm>
        <a:prstGeom prst="down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endParaRPr lang="en-IN"/>
        </a:p>
      </xdr:txBody>
    </xdr:sp>
    <xdr:clientData/>
  </xdr:twoCellAnchor>
  <xdr:twoCellAnchor>
    <xdr:from>
      <xdr:col>29</xdr:col>
      <xdr:colOff>266700</xdr:colOff>
      <xdr:row>30</xdr:row>
      <xdr:rowOff>66675</xdr:rowOff>
    </xdr:from>
    <xdr:to>
      <xdr:col>29</xdr:col>
      <xdr:colOff>571500</xdr:colOff>
      <xdr:row>43</xdr:row>
      <xdr:rowOff>352425</xdr:rowOff>
    </xdr:to>
    <xdr:sp macro="" textlink="">
      <xdr:nvSpPr>
        <xdr:cNvPr id="3" name="Down Arrow 2"/>
        <xdr:cNvSpPr/>
      </xdr:nvSpPr>
      <xdr:spPr>
        <a:xfrm>
          <a:off x="12020550" y="9715500"/>
          <a:ext cx="304800" cy="4648200"/>
        </a:xfrm>
        <a:prstGeom prst="down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endParaRPr lang="en-IN"/>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167367</xdr:colOff>
      <xdr:row>0</xdr:row>
      <xdr:rowOff>12246</xdr:rowOff>
    </xdr:from>
    <xdr:to>
      <xdr:col>10</xdr:col>
      <xdr:colOff>12246</xdr:colOff>
      <xdr:row>0</xdr:row>
      <xdr:rowOff>385082</xdr:rowOff>
    </xdr:to>
    <xdr:sp macro="" textlink="">
      <xdr:nvSpPr>
        <xdr:cNvPr id="3" name="Rectangle 2"/>
        <xdr:cNvSpPr/>
      </xdr:nvSpPr>
      <xdr:spPr>
        <a:xfrm>
          <a:off x="167367" y="12246"/>
          <a:ext cx="6403522" cy="372836"/>
        </a:xfrm>
        <a:prstGeom prst="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20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Enter House Owner Particulars</a:t>
          </a:r>
        </a:p>
      </xdr:txBody>
    </xdr:sp>
    <xdr:clientData/>
  </xdr:twoCellAnchor>
  <xdr:twoCellAnchor>
    <xdr:from>
      <xdr:col>7</xdr:col>
      <xdr:colOff>480331</xdr:colOff>
      <xdr:row>0</xdr:row>
      <xdr:rowOff>110218</xdr:rowOff>
    </xdr:from>
    <xdr:to>
      <xdr:col>8</xdr:col>
      <xdr:colOff>182335</xdr:colOff>
      <xdr:row>1</xdr:row>
      <xdr:rowOff>25853</xdr:rowOff>
    </xdr:to>
    <xdr:sp macro="" textlink="">
      <xdr:nvSpPr>
        <xdr:cNvPr id="2" name="Down Arrow 1"/>
        <xdr:cNvSpPr/>
      </xdr:nvSpPr>
      <xdr:spPr>
        <a:xfrm>
          <a:off x="5030560" y="110218"/>
          <a:ext cx="371475" cy="307521"/>
        </a:xfrm>
        <a:prstGeom prst="downArrow">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endParaRPr lang="en-IN" sz="1100"/>
        </a:p>
      </xdr:txBody>
    </xdr:sp>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11.xml"/><Relationship Id="rId2" Type="http://schemas.openxmlformats.org/officeDocument/2006/relationships/revisionLog" Target="revisionLog111.xml"/><Relationship Id="rId1" Type="http://schemas.openxmlformats.org/officeDocument/2006/relationships/revisionLog" Target="revisionLog1111.xml"/><Relationship Id="rId6" Type="http://schemas.openxmlformats.org/officeDocument/2006/relationships/revisionLog" Target="revisionLog1.xml"/><Relationship Id="rId5" Type="http://schemas.openxmlformats.org/officeDocument/2006/relationships/revisionLog" Target="revisionLog12.xml"/><Relationship Id="rId4" Type="http://schemas.openxmlformats.org/officeDocument/2006/relationships/revisionLog" Target="revisionLog121.xml"/></Relationships>
</file>

<file path=xl/revisions/revisionHeaders.xml><?xml version="1.0" encoding="utf-8"?>
<headers xmlns="http://schemas.openxmlformats.org/spreadsheetml/2006/main" xmlns:r="http://schemas.openxmlformats.org/officeDocument/2006/relationships" guid="{3A8722A0-8AAD-4E3A-8BEA-CB9C61E38D99}" diskRevisions="1" revisionId="137" version="6" protected="1">
  <header guid="{AEC6D6CD-1BA3-49F0-8A46-4CD1C8C23DBA}" dateTime="2020-02-18T11:20:47" maxSheetId="11" userName="putta" r:id="rId1">
    <sheetIdMap count="10">
      <sheetId val="1"/>
      <sheetId val="2"/>
      <sheetId val="3"/>
      <sheetId val="4"/>
      <sheetId val="5"/>
      <sheetId val="6"/>
      <sheetId val="7"/>
      <sheetId val="8"/>
      <sheetId val="9"/>
      <sheetId val="10"/>
    </sheetIdMap>
  </header>
  <header guid="{1AC06F23-B191-411E-AB72-1CEF794DE564}" dateTime="2020-02-23T11:33:44" maxSheetId="11" userName="S. Rahul" r:id="rId2" minRId="1" maxRId="41">
    <sheetIdMap count="10">
      <sheetId val="1"/>
      <sheetId val="2"/>
      <sheetId val="3"/>
      <sheetId val="4"/>
      <sheetId val="5"/>
      <sheetId val="6"/>
      <sheetId val="7"/>
      <sheetId val="8"/>
      <sheetId val="9"/>
      <sheetId val="10"/>
    </sheetIdMap>
  </header>
  <header guid="{A749B860-8F24-4EF2-9B30-40E7BED037D7}" dateTime="2020-02-23T16:23:10" maxSheetId="11" userName="S. Rahul" r:id="rId3" minRId="65" maxRId="66">
    <sheetIdMap count="10">
      <sheetId val="1"/>
      <sheetId val="2"/>
      <sheetId val="3"/>
      <sheetId val="4"/>
      <sheetId val="5"/>
      <sheetId val="6"/>
      <sheetId val="7"/>
      <sheetId val="8"/>
      <sheetId val="9"/>
      <sheetId val="10"/>
    </sheetIdMap>
  </header>
  <header guid="{B03F2A11-741E-4223-93C2-E4C321965EF4}" dateTime="2020-02-23T16:58:37" maxSheetId="12" userName="S. Rahul" r:id="rId4" minRId="67">
    <sheetIdMap count="11">
      <sheetId val="1"/>
      <sheetId val="2"/>
      <sheetId val="3"/>
      <sheetId val="4"/>
      <sheetId val="5"/>
      <sheetId val="6"/>
      <sheetId val="7"/>
      <sheetId val="8"/>
      <sheetId val="9"/>
      <sheetId val="10"/>
      <sheetId val="11"/>
    </sheetIdMap>
  </header>
  <header guid="{B9A98725-506E-4B0B-BD7D-10B0955542DF}" dateTime="2020-02-23T17:37:51" maxSheetId="12" userName="S. Rahul" r:id="rId5" minRId="91">
    <sheetIdMap count="11">
      <sheetId val="1"/>
      <sheetId val="2"/>
      <sheetId val="3"/>
      <sheetId val="4"/>
      <sheetId val="5"/>
      <sheetId val="6"/>
      <sheetId val="7"/>
      <sheetId val="8"/>
      <sheetId val="9"/>
      <sheetId val="10"/>
      <sheetId val="11"/>
    </sheetIdMap>
  </header>
  <header guid="{3A8722A0-8AAD-4E3A-8BEA-CB9C61E38D99}" dateTime="2020-02-23T17:47:35" maxSheetId="12" userName="S. Rahul" r:id="rId6">
    <sheetIdMap count="11">
      <sheetId val="1"/>
      <sheetId val="2"/>
      <sheetId val="3"/>
      <sheetId val="4"/>
      <sheetId val="5"/>
      <sheetId val="6"/>
      <sheetId val="7"/>
      <sheetId val="8"/>
      <sheetId val="9"/>
      <sheetId val="10"/>
      <sheetId val="11"/>
    </sheetIdMap>
  </header>
</headers>
</file>

<file path=xl/revisions/revisionLog1.xml><?xml version="1.0" encoding="utf-8"?>
<revisions xmlns="http://schemas.openxmlformats.org/spreadsheetml/2006/main" xmlns:r="http://schemas.openxmlformats.org/officeDocument/2006/relationships">
  <rcv guid="{C9DCC1B1-1130-43C1-807F-FB357D8E7C6B}" action="delete"/>
  <rdn rId="0" localSheetId="2" customView="1" name="Z_C9DCC1B1_1130_43C1_807F_FB357D8E7C6B_.wvu.Rows" hidden="1" oldHidden="1">
    <formula>DATA!$194:$1048576,DATA!$47:$193</formula>
    <oldFormula>DATA!$194:$1048576,DATA!$47:$193</oldFormula>
  </rdn>
  <rdn rId="0" localSheetId="2" customView="1" name="Z_C9DCC1B1_1130_43C1_807F_FB357D8E7C6B_.wvu.Cols" hidden="1" oldHidden="1">
    <formula>DATA!$W:$XFD</formula>
    <oldFormula>DATA!$W:$XFD</oldFormula>
  </rdn>
  <rdn rId="0" localSheetId="3" customView="1" name="Z_C9DCC1B1_1130_43C1_807F_FB357D8E7C6B_.wvu.Rows" hidden="1" oldHidden="1">
    <formula>'Annexure -I'!$475:$1048576,'Annexure -I'!$29:$472</formula>
    <oldFormula>'Annexure -I'!$475:$1048576,'Annexure -I'!$29:$472</oldFormula>
  </rdn>
  <rdn rId="0" localSheetId="3" customView="1" name="Z_C9DCC1B1_1130_43C1_807F_FB357D8E7C6B_.wvu.Cols" hidden="1" oldHidden="1">
    <formula>'Annexure -I'!$Z:$XFD</formula>
    <oldFormula>'Annexure -I'!$Z:$XFD</oldFormula>
  </rdn>
  <rdn rId="0" localSheetId="4" customView="1" name="Z_C9DCC1B1_1130_43C1_807F_FB357D8E7C6B_.wvu.Rows" hidden="1" oldHidden="1">
    <formula>'Form 12BB'!$73:$1048576,'Form 12BB'!$59:$72</formula>
    <oldFormula>'Form 12BB'!$73:$1048576,'Form 12BB'!$59:$72</oldFormula>
  </rdn>
  <rdn rId="0" localSheetId="4" customView="1" name="Z_C9DCC1B1_1130_43C1_807F_FB357D8E7C6B_.wvu.Cols" hidden="1" oldHidden="1">
    <formula>'Form 12BB'!$L:$XFD</formula>
    <oldFormula>'Form 12BB'!$L:$XFD</oldFormula>
  </rdn>
  <rdn rId="0" localSheetId="5" customView="1" name="Z_C9DCC1B1_1130_43C1_807F_FB357D8E7C6B_.wvu.PrintArea" hidden="1" oldHidden="1">
    <formula>'Annexure -II'!$B$2:$N$77</formula>
    <oldFormula>'Annexure -II'!$B$2:$N$77</oldFormula>
  </rdn>
  <rdn rId="0" localSheetId="5" customView="1" name="Z_C9DCC1B1_1130_43C1_807F_FB357D8E7C6B_.wvu.Rows" hidden="1" oldHidden="1">
    <formula>'Annexure -II'!$99:$1048576,'Annexure -II'!$78:$98</formula>
    <oldFormula>'Annexure -II'!$99:$1048576,'Annexure -II'!$78:$98</oldFormula>
  </rdn>
  <rdn rId="0" localSheetId="5" customView="1" name="Z_C9DCC1B1_1130_43C1_807F_FB357D8E7C6B_.wvu.Cols" hidden="1" oldHidden="1">
    <formula>'Annexure -II'!$O:$XFD</formula>
    <oldFormula>'Annexure -II'!$O:$XFD</oldFormula>
  </rdn>
  <rdn rId="0" localSheetId="6" customView="1" name="Z_C9DCC1B1_1130_43C1_807F_FB357D8E7C6B_.wvu.PrintArea" hidden="1" oldHidden="1">
    <formula>'Form 16 Page1'!$B$1:$N$65</formula>
    <oldFormula>'Form 16 Page1'!$B$1:$N$65</oldFormula>
  </rdn>
  <rdn rId="0" localSheetId="6" customView="1" name="Z_C9DCC1B1_1130_43C1_807F_FB357D8E7C6B_.wvu.Rows" hidden="1" oldHidden="1">
    <formula>'Form 16 Page1'!$112:$1048576,'Form 16 Page1'!$66:$111</formula>
    <oldFormula>'Form 16 Page1'!$112:$1048576,'Form 16 Page1'!$66:$111</oldFormula>
  </rdn>
  <rdn rId="0" localSheetId="6" customView="1" name="Z_C9DCC1B1_1130_43C1_807F_FB357D8E7C6B_.wvu.Cols" hidden="1" oldHidden="1">
    <formula>'Form 16 Page1'!$P:$XFD</formula>
    <oldFormula>'Form 16 Page1'!$P:$XFD</oldFormula>
  </rdn>
  <rdn rId="0" localSheetId="7" customView="1" name="Z_C9DCC1B1_1130_43C1_807F_FB357D8E7C6B_.wvu.PrintArea" hidden="1" oldHidden="1">
    <formula>'Form 16 Page-1'!$B$2:$N$71</formula>
    <oldFormula>'Form 16 Page-1'!$B$2:$N$71</oldFormula>
  </rdn>
  <rdn rId="0" localSheetId="7" customView="1" name="Z_C9DCC1B1_1130_43C1_807F_FB357D8E7C6B_.wvu.Rows" hidden="1" oldHidden="1">
    <formula>'Form 16 Page-1'!$120:$1048576,'Form 16 Page-1'!$72:$117,'Form 16 Page-1'!$119:$119</formula>
    <oldFormula>'Form 16 Page-1'!$120:$1048576,'Form 16 Page-1'!$72:$117,'Form 16 Page-1'!$119:$119</oldFormula>
  </rdn>
  <rdn rId="0" localSheetId="7" customView="1" name="Z_C9DCC1B1_1130_43C1_807F_FB357D8E7C6B_.wvu.Cols" hidden="1" oldHidden="1">
    <formula>'Form 16 Page-1'!$P:$XFD</formula>
    <oldFormula>'Form 16 Page-1'!$P:$XFD</oldFormula>
  </rdn>
  <rdn rId="0" localSheetId="8" customView="1" name="Z_C9DCC1B1_1130_43C1_807F_FB357D8E7C6B_.wvu.PrintArea" hidden="1" oldHidden="1">
    <formula>'Form 16 Page2'!$B$2:$M$62</formula>
    <oldFormula>'Form 16 Page2'!$B$2:$M$62</oldFormula>
  </rdn>
  <rdn rId="0" localSheetId="8" customView="1" name="Z_C9DCC1B1_1130_43C1_807F_FB357D8E7C6B_.wvu.Rows" hidden="1" oldHidden="1">
    <formula>'Form 16 Page2'!$234:$1048576,'Form 16 Page2'!$63:$233</formula>
    <oldFormula>'Form 16 Page2'!$234:$1048576,'Form 16 Page2'!$63:$233</oldFormula>
  </rdn>
  <rdn rId="0" localSheetId="8" customView="1" name="Z_C9DCC1B1_1130_43C1_807F_FB357D8E7C6B_.wvu.Cols" hidden="1" oldHidden="1">
    <formula>'Form 16 Page2'!$O:$XFD</formula>
    <oldFormula>'Form 16 Page2'!$O:$XFD</oldFormula>
  </rdn>
  <rdn rId="0" localSheetId="9" customView="1" name="Z_C9DCC1B1_1130_43C1_807F_FB357D8E7C6B_.wvu.PrintArea" hidden="1" oldHidden="1">
    <formula>'10E'!$A$1:$W$59</formula>
    <oldFormula>'10E'!$A$1:$W$59</oldFormula>
  </rdn>
  <rdn rId="0" localSheetId="9" customView="1" name="Z_C9DCC1B1_1130_43C1_807F_FB357D8E7C6B_.wvu.Rows" hidden="1" oldHidden="1">
    <formula>'10E'!$100:$1048576,'10E'!$59:$99</formula>
    <oldFormula>'10E'!$100:$1048576,'10E'!$59:$99</oldFormula>
  </rdn>
  <rdn rId="0" localSheetId="10" customView="1" name="Z_C9DCC1B1_1130_43C1_807F_FB357D8E7C6B_.wvu.PrintArea" hidden="1" oldHidden="1">
    <formula>'Rent Reciept '!$B$10:$J$28</formula>
    <oldFormula>'Rent Reciept '!$B$10:$J$28</oldFormula>
  </rdn>
  <rdn rId="0" localSheetId="10" customView="1" name="Z_C9DCC1B1_1130_43C1_807F_FB357D8E7C6B_.wvu.Rows" hidden="1" oldHidden="1">
    <formula>'Rent Reciept '!$1:$8</formula>
    <oldFormula>'Rent Reciept '!$1:$8</oldFormula>
  </rdn>
  <rdn rId="0" localSheetId="10" customView="1" name="Z_C9DCC1B1_1130_43C1_807F_FB357D8E7C6B_.wvu.Cols" hidden="1" oldHidden="1">
    <formula>'Rent Reciept '!$L:$XFD</formula>
    <oldFormula>'Rent Reciept '!$L:$XFD</oldFormula>
  </rdn>
  <rcv guid="{C9DCC1B1-1130-43C1-807F-FB357D8E7C6B}" action="add"/>
</revisions>
</file>

<file path=xl/revisions/revisionLog11.xml><?xml version="1.0" encoding="utf-8"?>
<revisions xmlns="http://schemas.openxmlformats.org/spreadsheetml/2006/main" xmlns:r="http://schemas.openxmlformats.org/officeDocument/2006/relationships">
  <rcc rId="65" sId="3" numFmtId="4">
    <oc r="E17">
      <f>DATA!U27</f>
    </oc>
    <nc r="E17">
      <v>18441</v>
    </nc>
  </rcc>
  <rcc rId="66" sId="2">
    <nc r="N21">
      <v>0</v>
    </nc>
  </rcc>
</revisions>
</file>

<file path=xl/revisions/revisionLog111.xml><?xml version="1.0" encoding="utf-8"?>
<revisions xmlns="http://schemas.openxmlformats.org/spreadsheetml/2006/main" xmlns:r="http://schemas.openxmlformats.org/officeDocument/2006/relationships">
  <rcc rId="1" sId="2">
    <oc r="E4" t="inlineStr">
      <is>
        <t xml:space="preserve">Putta Srinivas Reddy </t>
      </is>
    </oc>
    <nc r="E4" t="inlineStr">
      <is>
        <t>S.KARUNAKAR</t>
      </is>
    </nc>
  </rcc>
  <rcc rId="2" sId="2">
    <oc r="M4" t="inlineStr">
      <is>
        <t>Secondary Grade Teacher</t>
      </is>
    </oc>
    <nc r="M4" t="inlineStr">
      <is>
        <t>S.A.</t>
      </is>
    </nc>
  </rcc>
  <rcc rId="3" sId="2">
    <oc r="E5" t="inlineStr">
      <is>
        <t>Bapu Reddy</t>
      </is>
    </oc>
    <nc r="E5" t="inlineStr">
      <is>
        <t>SRINIVASULU</t>
      </is>
    </nc>
  </rcc>
  <rcc rId="4" sId="2">
    <oc r="M5" t="inlineStr">
      <is>
        <t>Domakonda, Kamareddy</t>
      </is>
    </oc>
    <nc r="M5" t="inlineStr">
      <is>
        <t>SHANKARAMPET A., MEDAK</t>
      </is>
    </nc>
  </rcc>
  <rcc rId="5" sId="2">
    <oc r="D6" t="inlineStr">
      <is>
        <t>MPUPS Janagama</t>
      </is>
    </oc>
    <nc r="D6" t="inlineStr">
      <is>
        <t>ZPGHS SHANKARAMPET A</t>
      </is>
    </nc>
  </rcc>
  <rcc rId="6" sId="2">
    <oc r="AD192">
      <v>40</v>
    </oc>
    <nc r="AD192">
      <v>52</v>
    </nc>
  </rcc>
  <rcc rId="7" sId="2">
    <oc r="AE192">
      <v>40</v>
    </oc>
    <nc r="AE192">
      <v>52</v>
    </nc>
  </rcc>
  <rcc rId="8" sId="2">
    <oc r="K7">
      <v>420</v>
    </oc>
    <nc r="K7">
      <v>610</v>
    </nc>
  </rcc>
  <rcc rId="9" sId="2">
    <oc r="O7">
      <v>0</v>
    </oc>
    <nc r="O7">
      <v>130</v>
    </nc>
  </rcc>
  <rcc rId="10" sId="2">
    <oc r="AD69">
      <v>2</v>
    </oc>
    <nc r="AD69">
      <v>1</v>
    </nc>
  </rcc>
  <rcc rId="11" sId="2" numFmtId="4">
    <oc r="D117">
      <v>29</v>
    </oc>
    <nc r="D117">
      <v>19</v>
    </nc>
  </rcc>
  <rcc rId="12" sId="2">
    <oc r="AD91">
      <v>12</v>
    </oc>
    <nc r="AD91">
      <v>10</v>
    </nc>
  </rcc>
  <rcc rId="13" sId="2">
    <oc r="AD44">
      <v>3</v>
    </oc>
    <nc r="AD44">
      <v>2</v>
    </nc>
  </rcc>
  <rcc rId="14" sId="2" numFmtId="4">
    <oc r="G16">
      <v>8493</v>
    </oc>
    <nc r="G16">
      <v>8441</v>
    </nc>
  </rcc>
  <rcc rId="15" sId="2">
    <oc r="M16" t="inlineStr">
      <is>
        <t>ABCDE1234F</t>
      </is>
    </oc>
    <nc r="M16" t="inlineStr">
      <is>
        <t>BQOPS3738N</t>
      </is>
    </nc>
  </rcc>
  <rcc rId="16" sId="2">
    <oc r="D17">
      <v>4000</v>
    </oc>
    <nc r="D17">
      <v>10000</v>
    </nc>
  </rcc>
  <rcc rId="17" sId="2">
    <oc r="D18" t="inlineStr">
      <is>
        <t>L1307821</t>
      </is>
    </oc>
    <nc r="D18" t="inlineStr">
      <is>
        <t>L-1001955A</t>
      </is>
    </nc>
  </rcc>
  <rcc rId="18" sId="2">
    <oc r="H18">
      <v>4000</v>
    </oc>
    <nc r="H18">
      <v>350</v>
    </nc>
  </rcc>
  <rcc rId="19" sId="2">
    <oc r="AG32">
      <v>4</v>
    </oc>
    <nc r="AG32">
      <v>3</v>
    </nc>
  </rcc>
  <rcc rId="20" sId="2">
    <oc r="J20" t="inlineStr">
      <is>
        <t>State Bank of India</t>
      </is>
    </oc>
    <nc r="J20" t="inlineStr">
      <is>
        <t>LIC HFL</t>
      </is>
    </nc>
  </rcc>
  <rcc rId="21" sId="2">
    <oc r="O20" t="inlineStr">
      <is>
        <t>Kamareddy</t>
      </is>
    </oc>
    <nc r="O20" t="inlineStr">
      <is>
        <t>SANGAREDDY</t>
      </is>
    </nc>
  </rcc>
  <rcc rId="22" sId="2">
    <oc r="F21">
      <v>100000</v>
    </oc>
    <nc r="F21">
      <v>59926.5</v>
    </nc>
  </rcc>
  <rcc rId="23" sId="2">
    <oc r="K21">
      <v>340000</v>
    </oc>
    <nc r="K21">
      <v>158610</v>
    </nc>
  </rcc>
  <rcc rId="24" sId="2">
    <oc r="N21">
      <v>2500000</v>
    </oc>
    <nc r="N21"/>
  </rcc>
  <rcc rId="25" sId="2">
    <oc r="Q21">
      <v>4200000</v>
    </oc>
    <nc r="Q21"/>
  </rcc>
  <rcc rId="26" sId="2">
    <oc r="D23" t="inlineStr">
      <is>
        <t>ABCDEFGHIJKLM</t>
      </is>
    </oc>
    <nc r="D23" t="inlineStr">
      <is>
        <t>N.RAJU</t>
      </is>
    </nc>
  </rcc>
  <rcc rId="27" sId="2">
    <oc r="J23" t="inlineStr">
      <is>
        <t>MNBVCXZASDF</t>
      </is>
    </oc>
    <nc r="J23" t="inlineStr">
      <is>
        <t>ESHWARAIAH</t>
      </is>
    </nc>
  </rcc>
  <rcc rId="28" sId="2">
    <oc r="N23" t="inlineStr">
      <is>
        <t>WXYZ0000A</t>
      </is>
    </oc>
    <nc r="N23"/>
  </rcc>
  <rcc rId="29" sId="2">
    <oc r="P23" t="inlineStr">
      <is>
        <t>1111-1111-1111</t>
      </is>
    </oc>
    <nc r="P23"/>
  </rcc>
  <rcc rId="30" sId="2">
    <oc r="D24" t="inlineStr">
      <is>
        <t>GFZGDFSfFDFSDGF</t>
      </is>
    </oc>
    <nc r="D24" t="inlineStr">
      <is>
        <t>PATANCHERU,shanthinagar</t>
      </is>
    </nc>
  </rcc>
  <rcc rId="31" sId="2">
    <oc r="K24" t="inlineStr">
      <is>
        <t>DSFDSFGDFJHGDHD</t>
      </is>
    </oc>
    <nc r="K24" t="inlineStr">
      <is>
        <t>PATANCHERU</t>
      </is>
    </nc>
  </rcc>
  <rcc rId="32" sId="2">
    <oc r="O24" t="inlineStr">
      <is>
        <t>SEFSGFGFDGF</t>
      </is>
    </oc>
    <nc r="O24" t="inlineStr">
      <is>
        <t>SANGAREDDY</t>
      </is>
    </nc>
  </rcc>
  <rcc rId="33" sId="2">
    <oc r="F30">
      <v>70000</v>
    </oc>
    <nc r="F30"/>
  </rcc>
  <rcc rId="34" sId="2">
    <oc r="F34">
      <v>18000</v>
    </oc>
    <nc r="F34"/>
  </rcc>
  <rcc rId="35" sId="2">
    <oc r="U27">
      <f>IF(X44=2,0,Y42)</f>
    </oc>
    <nc r="U27"/>
  </rcc>
  <rcc rId="36" sId="2">
    <oc r="BM70">
      <v>9</v>
    </oc>
    <nc r="BM70">
      <v>1</v>
    </nc>
  </rcc>
  <rcc rId="37" sId="2">
    <oc r="O15">
      <v>20000</v>
    </oc>
    <nc r="O15"/>
  </rcc>
  <rcc rId="38" sId="2">
    <oc r="D41" t="inlineStr">
      <is>
        <t>M.Sevla</t>
      </is>
    </oc>
    <nc r="D41" t="inlineStr">
      <is>
        <t>P.SUJATHA</t>
      </is>
    </nc>
  </rcc>
  <rcc rId="39" sId="2">
    <oc r="D42" t="inlineStr">
      <is>
        <t>Mandal Educational Officer</t>
      </is>
    </oc>
    <nc r="D42" t="inlineStr">
      <is>
        <t>Gaz.H,M</t>
      </is>
    </nc>
  </rcc>
  <rcc rId="40" sId="2">
    <oc r="D43" t="inlineStr">
      <is>
        <t>SSSDF11223S</t>
      </is>
    </oc>
    <nc r="D43" t="inlineStr">
      <is>
        <t>HYDZO5861C</t>
      </is>
    </nc>
  </rcc>
  <rcc rId="41" sId="2">
    <oc r="Q19">
      <v>12000</v>
    </oc>
    <nc r="Q19">
      <v>14100</v>
    </nc>
  </rcc>
  <rdn rId="0" localSheetId="2" customView="1" name="Z_C9DCC1B1_1130_43C1_807F_FB357D8E7C6B_.wvu.Rows" hidden="1" oldHidden="1">
    <formula>DATA!$194:$1048576,DATA!$47:$193</formula>
  </rdn>
  <rdn rId="0" localSheetId="2" customView="1" name="Z_C9DCC1B1_1130_43C1_807F_FB357D8E7C6B_.wvu.Cols" hidden="1" oldHidden="1">
    <formula>DATA!$W:$XFD</formula>
  </rdn>
  <rdn rId="0" localSheetId="3" customView="1" name="Z_C9DCC1B1_1130_43C1_807F_FB357D8E7C6B_.wvu.Rows" hidden="1" oldHidden="1">
    <formula>'Annexure -I'!$475:$1048576,'Annexure -I'!$29:$472</formula>
  </rdn>
  <rdn rId="0" localSheetId="3" customView="1" name="Z_C9DCC1B1_1130_43C1_807F_FB357D8E7C6B_.wvu.Cols" hidden="1" oldHidden="1">
    <formula>'Annexure -I'!$Z:$XFD</formula>
  </rdn>
  <rdn rId="0" localSheetId="4" customView="1" name="Z_C9DCC1B1_1130_43C1_807F_FB357D8E7C6B_.wvu.Rows" hidden="1" oldHidden="1">
    <formula>'Form 12BB'!$73:$1048576,'Form 12BB'!$59:$72</formula>
  </rdn>
  <rdn rId="0" localSheetId="4" customView="1" name="Z_C9DCC1B1_1130_43C1_807F_FB357D8E7C6B_.wvu.Cols" hidden="1" oldHidden="1">
    <formula>'Form 12BB'!$L:$XFD</formula>
  </rdn>
  <rdn rId="0" localSheetId="5" customView="1" name="Z_C9DCC1B1_1130_43C1_807F_FB357D8E7C6B_.wvu.PrintArea" hidden="1" oldHidden="1">
    <formula>'Annexure -II'!$B$2:$N$77</formula>
  </rdn>
  <rdn rId="0" localSheetId="5" customView="1" name="Z_C9DCC1B1_1130_43C1_807F_FB357D8E7C6B_.wvu.Rows" hidden="1" oldHidden="1">
    <formula>'Annexure -II'!$99:$1048576,'Annexure -II'!$78:$98</formula>
  </rdn>
  <rdn rId="0" localSheetId="5" customView="1" name="Z_C9DCC1B1_1130_43C1_807F_FB357D8E7C6B_.wvu.Cols" hidden="1" oldHidden="1">
    <formula>'Annexure -II'!$O:$XFD</formula>
  </rdn>
  <rdn rId="0" localSheetId="6" customView="1" name="Z_C9DCC1B1_1130_43C1_807F_FB357D8E7C6B_.wvu.PrintArea" hidden="1" oldHidden="1">
    <formula>'Form 16 Page1'!$B$1:$N$65</formula>
  </rdn>
  <rdn rId="0" localSheetId="6" customView="1" name="Z_C9DCC1B1_1130_43C1_807F_FB357D8E7C6B_.wvu.Rows" hidden="1" oldHidden="1">
    <formula>'Form 16 Page1'!$112:$1048576,'Form 16 Page1'!$66:$111</formula>
  </rdn>
  <rdn rId="0" localSheetId="6" customView="1" name="Z_C9DCC1B1_1130_43C1_807F_FB357D8E7C6B_.wvu.Cols" hidden="1" oldHidden="1">
    <formula>'Form 16 Page1'!$P:$XFD</formula>
  </rdn>
  <rdn rId="0" localSheetId="7" customView="1" name="Z_C9DCC1B1_1130_43C1_807F_FB357D8E7C6B_.wvu.PrintArea" hidden="1" oldHidden="1">
    <formula>'Form 16 Page-1'!$B$2:$N$71</formula>
  </rdn>
  <rdn rId="0" localSheetId="7" customView="1" name="Z_C9DCC1B1_1130_43C1_807F_FB357D8E7C6B_.wvu.Rows" hidden="1" oldHidden="1">
    <formula>'Form 16 Page-1'!$120:$1048576,'Form 16 Page-1'!$72:$117,'Form 16 Page-1'!$119:$119</formula>
  </rdn>
  <rdn rId="0" localSheetId="7" customView="1" name="Z_C9DCC1B1_1130_43C1_807F_FB357D8E7C6B_.wvu.Cols" hidden="1" oldHidden="1">
    <formula>'Form 16 Page-1'!$P:$XFD</formula>
  </rdn>
  <rdn rId="0" localSheetId="8" customView="1" name="Z_C9DCC1B1_1130_43C1_807F_FB357D8E7C6B_.wvu.PrintArea" hidden="1" oldHidden="1">
    <formula>'Form 16 Page2'!$B$2:$M$62</formula>
  </rdn>
  <rdn rId="0" localSheetId="8" customView="1" name="Z_C9DCC1B1_1130_43C1_807F_FB357D8E7C6B_.wvu.Rows" hidden="1" oldHidden="1">
    <formula>'Form 16 Page2'!$234:$1048576,'Form 16 Page2'!$63:$233</formula>
  </rdn>
  <rdn rId="0" localSheetId="8" customView="1" name="Z_C9DCC1B1_1130_43C1_807F_FB357D8E7C6B_.wvu.Cols" hidden="1" oldHidden="1">
    <formula>'Form 16 Page2'!$O:$XFD</formula>
  </rdn>
  <rdn rId="0" localSheetId="9" customView="1" name="Z_C9DCC1B1_1130_43C1_807F_FB357D8E7C6B_.wvu.PrintArea" hidden="1" oldHidden="1">
    <formula>'10E'!$A$1:$W$59</formula>
  </rdn>
  <rdn rId="0" localSheetId="9" customView="1" name="Z_C9DCC1B1_1130_43C1_807F_FB357D8E7C6B_.wvu.Rows" hidden="1" oldHidden="1">
    <formula>'10E'!$100:$1048576,'10E'!$59:$99</formula>
  </rdn>
  <rdn rId="0" localSheetId="10" customView="1" name="Z_C9DCC1B1_1130_43C1_807F_FB357D8E7C6B_.wvu.PrintArea" hidden="1" oldHidden="1">
    <formula>'Rent Reciept '!$B$10:$J$28</formula>
  </rdn>
  <rdn rId="0" localSheetId="10" customView="1" name="Z_C9DCC1B1_1130_43C1_807F_FB357D8E7C6B_.wvu.Rows" hidden="1" oldHidden="1">
    <formula>'Rent Reciept '!$1:$8</formula>
  </rdn>
  <rdn rId="0" localSheetId="10" customView="1" name="Z_C9DCC1B1_1130_43C1_807F_FB357D8E7C6B_.wvu.Cols" hidden="1" oldHidden="1">
    <formula>'Rent Reciept '!$L:$XFD</formula>
  </rdn>
  <rcv guid="{C9DCC1B1-1130-43C1-807F-FB357D8E7C6B}"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2.xml><?xml version="1.0" encoding="utf-8"?>
<revisions xmlns="http://schemas.openxmlformats.org/spreadsheetml/2006/main" xmlns:r="http://schemas.openxmlformats.org/officeDocument/2006/relationships">
  <rcc rId="91" sId="3">
    <oc r="R14">
      <f>R13</f>
    </oc>
    <nc r="R14">
      <v>120</v>
    </nc>
  </rcc>
  <rcv guid="{C9DCC1B1-1130-43C1-807F-FB357D8E7C6B}" action="delete"/>
  <rdn rId="0" localSheetId="2" customView="1" name="Z_C9DCC1B1_1130_43C1_807F_FB357D8E7C6B_.wvu.Rows" hidden="1" oldHidden="1">
    <formula>DATA!$194:$1048576,DATA!$47:$193</formula>
    <oldFormula>DATA!$194:$1048576,DATA!$47:$193</oldFormula>
  </rdn>
  <rdn rId="0" localSheetId="2" customView="1" name="Z_C9DCC1B1_1130_43C1_807F_FB357D8E7C6B_.wvu.Cols" hidden="1" oldHidden="1">
    <formula>DATA!$W:$XFD</formula>
    <oldFormula>DATA!$W:$XFD</oldFormula>
  </rdn>
  <rdn rId="0" localSheetId="3" customView="1" name="Z_C9DCC1B1_1130_43C1_807F_FB357D8E7C6B_.wvu.Rows" hidden="1" oldHidden="1">
    <formula>'Annexure -I'!$475:$1048576,'Annexure -I'!$29:$472</formula>
    <oldFormula>'Annexure -I'!$475:$1048576,'Annexure -I'!$29:$472</oldFormula>
  </rdn>
  <rdn rId="0" localSheetId="3" customView="1" name="Z_C9DCC1B1_1130_43C1_807F_FB357D8E7C6B_.wvu.Cols" hidden="1" oldHidden="1">
    <formula>'Annexure -I'!$Z:$XFD</formula>
    <oldFormula>'Annexure -I'!$Z:$XFD</oldFormula>
  </rdn>
  <rdn rId="0" localSheetId="4" customView="1" name="Z_C9DCC1B1_1130_43C1_807F_FB357D8E7C6B_.wvu.Rows" hidden="1" oldHidden="1">
    <formula>'Form 12BB'!$73:$1048576,'Form 12BB'!$59:$72</formula>
    <oldFormula>'Form 12BB'!$73:$1048576,'Form 12BB'!$59:$72</oldFormula>
  </rdn>
  <rdn rId="0" localSheetId="4" customView="1" name="Z_C9DCC1B1_1130_43C1_807F_FB357D8E7C6B_.wvu.Cols" hidden="1" oldHidden="1">
    <formula>'Form 12BB'!$L:$XFD</formula>
    <oldFormula>'Form 12BB'!$L:$XFD</oldFormula>
  </rdn>
  <rdn rId="0" localSheetId="5" customView="1" name="Z_C9DCC1B1_1130_43C1_807F_FB357D8E7C6B_.wvu.PrintArea" hidden="1" oldHidden="1">
    <formula>'Annexure -II'!$B$2:$N$77</formula>
    <oldFormula>'Annexure -II'!$B$2:$N$77</oldFormula>
  </rdn>
  <rdn rId="0" localSheetId="5" customView="1" name="Z_C9DCC1B1_1130_43C1_807F_FB357D8E7C6B_.wvu.Rows" hidden="1" oldHidden="1">
    <formula>'Annexure -II'!$99:$1048576,'Annexure -II'!$78:$98</formula>
    <oldFormula>'Annexure -II'!$99:$1048576,'Annexure -II'!$78:$98</oldFormula>
  </rdn>
  <rdn rId="0" localSheetId="5" customView="1" name="Z_C9DCC1B1_1130_43C1_807F_FB357D8E7C6B_.wvu.Cols" hidden="1" oldHidden="1">
    <formula>'Annexure -II'!$O:$XFD</formula>
    <oldFormula>'Annexure -II'!$O:$XFD</oldFormula>
  </rdn>
  <rdn rId="0" localSheetId="6" customView="1" name="Z_C9DCC1B1_1130_43C1_807F_FB357D8E7C6B_.wvu.PrintArea" hidden="1" oldHidden="1">
    <formula>'Form 16 Page1'!$B$1:$N$65</formula>
    <oldFormula>'Form 16 Page1'!$B$1:$N$65</oldFormula>
  </rdn>
  <rdn rId="0" localSheetId="6" customView="1" name="Z_C9DCC1B1_1130_43C1_807F_FB357D8E7C6B_.wvu.Rows" hidden="1" oldHidden="1">
    <formula>'Form 16 Page1'!$112:$1048576,'Form 16 Page1'!$66:$111</formula>
    <oldFormula>'Form 16 Page1'!$112:$1048576,'Form 16 Page1'!$66:$111</oldFormula>
  </rdn>
  <rdn rId="0" localSheetId="6" customView="1" name="Z_C9DCC1B1_1130_43C1_807F_FB357D8E7C6B_.wvu.Cols" hidden="1" oldHidden="1">
    <formula>'Form 16 Page1'!$P:$XFD</formula>
    <oldFormula>'Form 16 Page1'!$P:$XFD</oldFormula>
  </rdn>
  <rdn rId="0" localSheetId="7" customView="1" name="Z_C9DCC1B1_1130_43C1_807F_FB357D8E7C6B_.wvu.PrintArea" hidden="1" oldHidden="1">
    <formula>'Form 16 Page-1'!$B$2:$N$71</formula>
    <oldFormula>'Form 16 Page-1'!$B$2:$N$71</oldFormula>
  </rdn>
  <rdn rId="0" localSheetId="7" customView="1" name="Z_C9DCC1B1_1130_43C1_807F_FB357D8E7C6B_.wvu.Rows" hidden="1" oldHidden="1">
    <formula>'Form 16 Page-1'!$120:$1048576,'Form 16 Page-1'!$72:$117,'Form 16 Page-1'!$119:$119</formula>
    <oldFormula>'Form 16 Page-1'!$120:$1048576,'Form 16 Page-1'!$72:$117,'Form 16 Page-1'!$119:$119</oldFormula>
  </rdn>
  <rdn rId="0" localSheetId="7" customView="1" name="Z_C9DCC1B1_1130_43C1_807F_FB357D8E7C6B_.wvu.Cols" hidden="1" oldHidden="1">
    <formula>'Form 16 Page-1'!$P:$XFD</formula>
    <oldFormula>'Form 16 Page-1'!$P:$XFD</oldFormula>
  </rdn>
  <rdn rId="0" localSheetId="8" customView="1" name="Z_C9DCC1B1_1130_43C1_807F_FB357D8E7C6B_.wvu.PrintArea" hidden="1" oldHidden="1">
    <formula>'Form 16 Page2'!$B$2:$M$62</formula>
    <oldFormula>'Form 16 Page2'!$B$2:$M$62</oldFormula>
  </rdn>
  <rdn rId="0" localSheetId="8" customView="1" name="Z_C9DCC1B1_1130_43C1_807F_FB357D8E7C6B_.wvu.Rows" hidden="1" oldHidden="1">
    <formula>'Form 16 Page2'!$234:$1048576,'Form 16 Page2'!$63:$233</formula>
    <oldFormula>'Form 16 Page2'!$234:$1048576,'Form 16 Page2'!$63:$233</oldFormula>
  </rdn>
  <rdn rId="0" localSheetId="8" customView="1" name="Z_C9DCC1B1_1130_43C1_807F_FB357D8E7C6B_.wvu.Cols" hidden="1" oldHidden="1">
    <formula>'Form 16 Page2'!$O:$XFD</formula>
    <oldFormula>'Form 16 Page2'!$O:$XFD</oldFormula>
  </rdn>
  <rdn rId="0" localSheetId="9" customView="1" name="Z_C9DCC1B1_1130_43C1_807F_FB357D8E7C6B_.wvu.PrintArea" hidden="1" oldHidden="1">
    <formula>'10E'!$A$1:$W$59</formula>
    <oldFormula>'10E'!$A$1:$W$59</oldFormula>
  </rdn>
  <rdn rId="0" localSheetId="9" customView="1" name="Z_C9DCC1B1_1130_43C1_807F_FB357D8E7C6B_.wvu.Rows" hidden="1" oldHidden="1">
    <formula>'10E'!$100:$1048576,'10E'!$59:$99</formula>
    <oldFormula>'10E'!$100:$1048576,'10E'!$59:$99</oldFormula>
  </rdn>
  <rdn rId="0" localSheetId="10" customView="1" name="Z_C9DCC1B1_1130_43C1_807F_FB357D8E7C6B_.wvu.PrintArea" hidden="1" oldHidden="1">
    <formula>'Rent Reciept '!$B$10:$J$28</formula>
    <oldFormula>'Rent Reciept '!$B$10:$J$28</oldFormula>
  </rdn>
  <rdn rId="0" localSheetId="10" customView="1" name="Z_C9DCC1B1_1130_43C1_807F_FB357D8E7C6B_.wvu.Rows" hidden="1" oldHidden="1">
    <formula>'Rent Reciept '!$1:$8</formula>
    <oldFormula>'Rent Reciept '!$1:$8</oldFormula>
  </rdn>
  <rdn rId="0" localSheetId="10" customView="1" name="Z_C9DCC1B1_1130_43C1_807F_FB357D8E7C6B_.wvu.Cols" hidden="1" oldHidden="1">
    <formula>'Rent Reciept '!$L:$XFD</formula>
    <oldFormula>'Rent Reciept '!$L:$XFD</oldFormula>
  </rdn>
  <rcv guid="{C9DCC1B1-1130-43C1-807F-FB357D8E7C6B}" action="add"/>
</revisions>
</file>

<file path=xl/revisions/revisionLog121.xml><?xml version="1.0" encoding="utf-8"?>
<revisions xmlns="http://schemas.openxmlformats.org/spreadsheetml/2006/main" xmlns:r="http://schemas.openxmlformats.org/officeDocument/2006/relationships">
  <ris rId="67" sheetId="11" name="[KARUN IT.xlsx]Sheet1" sheetPosition="10"/>
  <rcv guid="{C9DCC1B1-1130-43C1-807F-FB357D8E7C6B}" action="delete"/>
  <rdn rId="0" localSheetId="2" customView="1" name="Z_C9DCC1B1_1130_43C1_807F_FB357D8E7C6B_.wvu.Rows" hidden="1" oldHidden="1">
    <formula>DATA!$194:$1048576,DATA!$47:$193</formula>
    <oldFormula>DATA!$194:$1048576,DATA!$47:$193</oldFormula>
  </rdn>
  <rdn rId="0" localSheetId="2" customView="1" name="Z_C9DCC1B1_1130_43C1_807F_FB357D8E7C6B_.wvu.Cols" hidden="1" oldHidden="1">
    <formula>DATA!$W:$XFD</formula>
    <oldFormula>DATA!$W:$XFD</oldFormula>
  </rdn>
  <rdn rId="0" localSheetId="3" customView="1" name="Z_C9DCC1B1_1130_43C1_807F_FB357D8E7C6B_.wvu.Rows" hidden="1" oldHidden="1">
    <formula>'Annexure -I'!$475:$1048576,'Annexure -I'!$29:$472</formula>
    <oldFormula>'Annexure -I'!$475:$1048576,'Annexure -I'!$29:$472</oldFormula>
  </rdn>
  <rdn rId="0" localSheetId="3" customView="1" name="Z_C9DCC1B1_1130_43C1_807F_FB357D8E7C6B_.wvu.Cols" hidden="1" oldHidden="1">
    <formula>'Annexure -I'!$Z:$XFD</formula>
    <oldFormula>'Annexure -I'!$Z:$XFD</oldFormula>
  </rdn>
  <rdn rId="0" localSheetId="4" customView="1" name="Z_C9DCC1B1_1130_43C1_807F_FB357D8E7C6B_.wvu.Rows" hidden="1" oldHidden="1">
    <formula>'Form 12BB'!$73:$1048576,'Form 12BB'!$59:$72</formula>
    <oldFormula>'Form 12BB'!$73:$1048576,'Form 12BB'!$59:$72</oldFormula>
  </rdn>
  <rdn rId="0" localSheetId="4" customView="1" name="Z_C9DCC1B1_1130_43C1_807F_FB357D8E7C6B_.wvu.Cols" hidden="1" oldHidden="1">
    <formula>'Form 12BB'!$L:$XFD</formula>
    <oldFormula>'Form 12BB'!$L:$XFD</oldFormula>
  </rdn>
  <rdn rId="0" localSheetId="5" customView="1" name="Z_C9DCC1B1_1130_43C1_807F_FB357D8E7C6B_.wvu.PrintArea" hidden="1" oldHidden="1">
    <formula>'Annexure -II'!$B$2:$N$77</formula>
    <oldFormula>'Annexure -II'!$B$2:$N$77</oldFormula>
  </rdn>
  <rdn rId="0" localSheetId="5" customView="1" name="Z_C9DCC1B1_1130_43C1_807F_FB357D8E7C6B_.wvu.Rows" hidden="1" oldHidden="1">
    <formula>'Annexure -II'!$99:$1048576,'Annexure -II'!$78:$98</formula>
    <oldFormula>'Annexure -II'!$99:$1048576,'Annexure -II'!$78:$98</oldFormula>
  </rdn>
  <rdn rId="0" localSheetId="5" customView="1" name="Z_C9DCC1B1_1130_43C1_807F_FB357D8E7C6B_.wvu.Cols" hidden="1" oldHidden="1">
    <formula>'Annexure -II'!$O:$XFD</formula>
    <oldFormula>'Annexure -II'!$O:$XFD</oldFormula>
  </rdn>
  <rdn rId="0" localSheetId="6" customView="1" name="Z_C9DCC1B1_1130_43C1_807F_FB357D8E7C6B_.wvu.PrintArea" hidden="1" oldHidden="1">
    <formula>'Form 16 Page1'!$B$1:$N$65</formula>
    <oldFormula>'Form 16 Page1'!$B$1:$N$65</oldFormula>
  </rdn>
  <rdn rId="0" localSheetId="6" customView="1" name="Z_C9DCC1B1_1130_43C1_807F_FB357D8E7C6B_.wvu.Rows" hidden="1" oldHidden="1">
    <formula>'Form 16 Page1'!$112:$1048576,'Form 16 Page1'!$66:$111</formula>
    <oldFormula>'Form 16 Page1'!$112:$1048576,'Form 16 Page1'!$66:$111</oldFormula>
  </rdn>
  <rdn rId="0" localSheetId="6" customView="1" name="Z_C9DCC1B1_1130_43C1_807F_FB357D8E7C6B_.wvu.Cols" hidden="1" oldHidden="1">
    <formula>'Form 16 Page1'!$P:$XFD</formula>
    <oldFormula>'Form 16 Page1'!$P:$XFD</oldFormula>
  </rdn>
  <rdn rId="0" localSheetId="7" customView="1" name="Z_C9DCC1B1_1130_43C1_807F_FB357D8E7C6B_.wvu.PrintArea" hidden="1" oldHidden="1">
    <formula>'Form 16 Page-1'!$B$2:$N$71</formula>
    <oldFormula>'Form 16 Page-1'!$B$2:$N$71</oldFormula>
  </rdn>
  <rdn rId="0" localSheetId="7" customView="1" name="Z_C9DCC1B1_1130_43C1_807F_FB357D8E7C6B_.wvu.Rows" hidden="1" oldHidden="1">
    <formula>'Form 16 Page-1'!$120:$1048576,'Form 16 Page-1'!$72:$117,'Form 16 Page-1'!$119:$119</formula>
    <oldFormula>'Form 16 Page-1'!$120:$1048576,'Form 16 Page-1'!$72:$117,'Form 16 Page-1'!$119:$119</oldFormula>
  </rdn>
  <rdn rId="0" localSheetId="7" customView="1" name="Z_C9DCC1B1_1130_43C1_807F_FB357D8E7C6B_.wvu.Cols" hidden="1" oldHidden="1">
    <formula>'Form 16 Page-1'!$P:$XFD</formula>
    <oldFormula>'Form 16 Page-1'!$P:$XFD</oldFormula>
  </rdn>
  <rdn rId="0" localSheetId="8" customView="1" name="Z_C9DCC1B1_1130_43C1_807F_FB357D8E7C6B_.wvu.PrintArea" hidden="1" oldHidden="1">
    <formula>'Form 16 Page2'!$B$2:$M$62</formula>
    <oldFormula>'Form 16 Page2'!$B$2:$M$62</oldFormula>
  </rdn>
  <rdn rId="0" localSheetId="8" customView="1" name="Z_C9DCC1B1_1130_43C1_807F_FB357D8E7C6B_.wvu.Rows" hidden="1" oldHidden="1">
    <formula>'Form 16 Page2'!$234:$1048576,'Form 16 Page2'!$63:$233</formula>
    <oldFormula>'Form 16 Page2'!$234:$1048576,'Form 16 Page2'!$63:$233</oldFormula>
  </rdn>
  <rdn rId="0" localSheetId="8" customView="1" name="Z_C9DCC1B1_1130_43C1_807F_FB357D8E7C6B_.wvu.Cols" hidden="1" oldHidden="1">
    <formula>'Form 16 Page2'!$O:$XFD</formula>
    <oldFormula>'Form 16 Page2'!$O:$XFD</oldFormula>
  </rdn>
  <rdn rId="0" localSheetId="9" customView="1" name="Z_C9DCC1B1_1130_43C1_807F_FB357D8E7C6B_.wvu.PrintArea" hidden="1" oldHidden="1">
    <formula>'10E'!$A$1:$W$59</formula>
    <oldFormula>'10E'!$A$1:$W$59</oldFormula>
  </rdn>
  <rdn rId="0" localSheetId="9" customView="1" name="Z_C9DCC1B1_1130_43C1_807F_FB357D8E7C6B_.wvu.Rows" hidden="1" oldHidden="1">
    <formula>'10E'!$100:$1048576,'10E'!$59:$99</formula>
    <oldFormula>'10E'!$100:$1048576,'10E'!$59:$99</oldFormula>
  </rdn>
  <rdn rId="0" localSheetId="10" customView="1" name="Z_C9DCC1B1_1130_43C1_807F_FB357D8E7C6B_.wvu.PrintArea" hidden="1" oldHidden="1">
    <formula>'Rent Reciept '!$B$10:$J$28</formula>
    <oldFormula>'Rent Reciept '!$B$10:$J$28</oldFormula>
  </rdn>
  <rdn rId="0" localSheetId="10" customView="1" name="Z_C9DCC1B1_1130_43C1_807F_FB357D8E7C6B_.wvu.Rows" hidden="1" oldHidden="1">
    <formula>'Rent Reciept '!$1:$8</formula>
    <oldFormula>'Rent Reciept '!$1:$8</oldFormula>
  </rdn>
  <rdn rId="0" localSheetId="10" customView="1" name="Z_C9DCC1B1_1130_43C1_807F_FB357D8E7C6B_.wvu.Cols" hidden="1" oldHidden="1">
    <formula>'Rent Reciept '!$L:$XFD</formula>
    <oldFormula>'Rent Reciept '!$L:$XFD</oldFormula>
  </rdn>
  <rcv guid="{C9DCC1B1-1130-43C1-807F-FB357D8E7C6B}" action="add"/>
</revisions>
</file>

<file path=xl/revisions/userNames.xml><?xml version="1.0" encoding="utf-8"?>
<users xmlns="http://schemas.openxmlformats.org/spreadsheetml/2006/main" xmlns:r="http://schemas.openxmlformats.org/officeDocument/2006/relationships"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8" Type="http://schemas.openxmlformats.org/officeDocument/2006/relationships/hyperlink" Target="http://www.putta.in/" TargetMode="External"/><Relationship Id="rId3" Type="http://schemas.openxmlformats.org/officeDocument/2006/relationships/hyperlink" Target="http://www.putta.in/" TargetMode="External"/><Relationship Id="rId7" Type="http://schemas.openxmlformats.org/officeDocument/2006/relationships/hyperlink" Target="mailto:cnureddyputta@gmail.com"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www.putta.in/" TargetMode="External"/><Relationship Id="rId11" Type="http://schemas.openxmlformats.org/officeDocument/2006/relationships/vmlDrawing" Target="../drawings/vmlDrawing1.vml"/><Relationship Id="rId5" Type="http://schemas.openxmlformats.org/officeDocument/2006/relationships/hyperlink" Target="http://www.putta.in/" TargetMode="External"/><Relationship Id="rId10" Type="http://schemas.openxmlformats.org/officeDocument/2006/relationships/drawing" Target="../drawings/drawing1.xml"/><Relationship Id="rId4" Type="http://schemas.openxmlformats.org/officeDocument/2006/relationships/hyperlink" Target="http://www.putta.in/" TargetMode="External"/><Relationship Id="rId9"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dimension ref="B1:R66"/>
  <sheetViews>
    <sheetView showGridLines="0" showRowColHeaders="0" workbookViewId="0">
      <selection activeCell="C4" sqref="C4"/>
    </sheetView>
  </sheetViews>
  <sheetFormatPr defaultRowHeight="15" customHeight="1"/>
  <cols>
    <col min="1" max="1" width="3" style="12" customWidth="1"/>
    <col min="2" max="2" width="12.5703125" style="28" customWidth="1"/>
    <col min="3" max="3" width="64.85546875" style="12" customWidth="1"/>
    <col min="4" max="4" width="52.85546875" style="12" customWidth="1"/>
    <col min="5" max="5" width="1.140625" style="12" customWidth="1"/>
    <col min="6" max="6" width="40.42578125" style="12" customWidth="1"/>
    <col min="7" max="7" width="16.42578125" style="12" customWidth="1"/>
    <col min="8" max="8" width="14.140625" style="12" customWidth="1"/>
    <col min="9" max="16384" width="9.140625" style="12"/>
  </cols>
  <sheetData>
    <row r="1" spans="2:10" ht="29.25" customHeight="1">
      <c r="B1" s="24" t="s">
        <v>91</v>
      </c>
      <c r="C1" s="11" t="s">
        <v>92</v>
      </c>
      <c r="D1" s="11" t="s">
        <v>93</v>
      </c>
    </row>
    <row r="2" spans="2:10" ht="38.25">
      <c r="B2" s="32" t="s">
        <v>52</v>
      </c>
      <c r="C2" s="13" t="s">
        <v>53</v>
      </c>
      <c r="D2" s="13" t="s">
        <v>54</v>
      </c>
      <c r="F2" s="38" t="s">
        <v>178</v>
      </c>
      <c r="G2" s="39" t="s">
        <v>179</v>
      </c>
      <c r="H2" s="40" t="s">
        <v>91</v>
      </c>
    </row>
    <row r="3" spans="2:10" ht="102">
      <c r="B3" s="25" t="s">
        <v>55</v>
      </c>
      <c r="C3" s="33" t="s">
        <v>56</v>
      </c>
      <c r="D3" s="14" t="s">
        <v>57</v>
      </c>
      <c r="F3" s="36" t="s">
        <v>180</v>
      </c>
      <c r="G3" s="37">
        <v>150000</v>
      </c>
      <c r="H3" s="41" t="s">
        <v>181</v>
      </c>
    </row>
    <row r="4" spans="2:10" ht="51">
      <c r="B4" s="853" t="s">
        <v>58</v>
      </c>
      <c r="C4" s="13" t="s">
        <v>59</v>
      </c>
      <c r="D4" s="13" t="s">
        <v>60</v>
      </c>
      <c r="F4" s="36" t="s">
        <v>182</v>
      </c>
      <c r="G4" s="37">
        <v>150000</v>
      </c>
      <c r="H4" s="41" t="s">
        <v>181</v>
      </c>
    </row>
    <row r="5" spans="2:10" ht="38.25">
      <c r="B5" s="853"/>
      <c r="C5" s="13" t="s">
        <v>61</v>
      </c>
      <c r="D5" s="33" t="s">
        <v>62</v>
      </c>
      <c r="F5" s="36" t="s">
        <v>183</v>
      </c>
      <c r="G5" s="37">
        <v>150000</v>
      </c>
      <c r="H5" s="41" t="s">
        <v>181</v>
      </c>
    </row>
    <row r="6" spans="2:10" ht="76.5">
      <c r="B6" s="25" t="s">
        <v>63</v>
      </c>
      <c r="C6" s="15" t="s">
        <v>64</v>
      </c>
      <c r="D6" s="16" t="s">
        <v>463</v>
      </c>
      <c r="F6" s="36" t="s">
        <v>184</v>
      </c>
      <c r="G6" s="37">
        <v>150000</v>
      </c>
      <c r="H6" s="41" t="s">
        <v>181</v>
      </c>
    </row>
    <row r="7" spans="2:10" ht="63.75">
      <c r="B7" s="25" t="s">
        <v>65</v>
      </c>
      <c r="C7" s="13" t="s">
        <v>94</v>
      </c>
      <c r="D7" s="17" t="s">
        <v>66</v>
      </c>
      <c r="F7" s="36" t="s">
        <v>185</v>
      </c>
      <c r="G7" s="37">
        <v>150000</v>
      </c>
      <c r="H7" s="41" t="s">
        <v>181</v>
      </c>
    </row>
    <row r="8" spans="2:10" ht="44.25" customHeight="1">
      <c r="B8" s="32" t="s">
        <v>67</v>
      </c>
      <c r="C8" s="34" t="s">
        <v>68</v>
      </c>
      <c r="D8" s="33" t="s">
        <v>69</v>
      </c>
      <c r="F8" s="36" t="s">
        <v>186</v>
      </c>
      <c r="G8" s="37">
        <v>150000</v>
      </c>
      <c r="H8" s="41" t="s">
        <v>181</v>
      </c>
    </row>
    <row r="9" spans="2:10" ht="24" customHeight="1">
      <c r="B9" s="853" t="s">
        <v>70</v>
      </c>
      <c r="C9" s="18" t="s">
        <v>71</v>
      </c>
      <c r="D9" s="859" t="s">
        <v>133</v>
      </c>
      <c r="F9" s="36" t="s">
        <v>187</v>
      </c>
      <c r="G9" s="37">
        <v>150000</v>
      </c>
      <c r="H9" s="41" t="s">
        <v>181</v>
      </c>
    </row>
    <row r="10" spans="2:10" ht="24" customHeight="1">
      <c r="B10" s="853"/>
      <c r="C10" s="19" t="s">
        <v>72</v>
      </c>
      <c r="D10" s="860"/>
      <c r="F10" s="36" t="s">
        <v>188</v>
      </c>
      <c r="G10" s="37">
        <v>150000</v>
      </c>
      <c r="H10" s="41" t="s">
        <v>181</v>
      </c>
    </row>
    <row r="11" spans="2:10" ht="25.5">
      <c r="B11" s="853"/>
      <c r="C11" s="19" t="s">
        <v>73</v>
      </c>
      <c r="D11" s="34" t="s">
        <v>95</v>
      </c>
      <c r="F11" s="36" t="s">
        <v>189</v>
      </c>
      <c r="G11" s="37">
        <v>150000</v>
      </c>
      <c r="H11" s="41" t="s">
        <v>181</v>
      </c>
    </row>
    <row r="12" spans="2:10" ht="28.5" customHeight="1">
      <c r="B12" s="853"/>
      <c r="C12" s="19" t="s">
        <v>74</v>
      </c>
      <c r="D12" s="34" t="s">
        <v>96</v>
      </c>
      <c r="F12" s="36" t="s">
        <v>190</v>
      </c>
      <c r="G12" s="37">
        <v>150000</v>
      </c>
      <c r="H12" s="41" t="s">
        <v>181</v>
      </c>
    </row>
    <row r="13" spans="2:10">
      <c r="B13" s="26" t="s">
        <v>75</v>
      </c>
      <c r="C13" s="33" t="s">
        <v>76</v>
      </c>
      <c r="D13" s="857" t="s">
        <v>77</v>
      </c>
      <c r="F13" s="36" t="s">
        <v>191</v>
      </c>
      <c r="G13" s="37">
        <v>20000</v>
      </c>
      <c r="H13" s="41" t="s">
        <v>192</v>
      </c>
    </row>
    <row r="14" spans="2:10">
      <c r="B14" s="27"/>
      <c r="C14" s="34" t="s">
        <v>78</v>
      </c>
      <c r="D14" s="858"/>
      <c r="F14" s="36" t="s">
        <v>193</v>
      </c>
      <c r="G14" s="37">
        <v>10000</v>
      </c>
      <c r="H14" s="41" t="s">
        <v>52</v>
      </c>
    </row>
    <row r="15" spans="2:10">
      <c r="B15" s="27"/>
      <c r="C15" s="34" t="s">
        <v>79</v>
      </c>
      <c r="D15" s="858"/>
    </row>
    <row r="16" spans="2:10" ht="38.25">
      <c r="B16" s="27"/>
      <c r="C16" s="34" t="s">
        <v>97</v>
      </c>
      <c r="D16" s="858"/>
      <c r="F16" s="855" t="s">
        <v>490</v>
      </c>
      <c r="G16" s="856"/>
      <c r="H16" s="856"/>
      <c r="I16" s="856"/>
      <c r="J16" s="856"/>
    </row>
    <row r="17" spans="2:18">
      <c r="B17" s="27"/>
      <c r="C17" s="34" t="s">
        <v>80</v>
      </c>
      <c r="D17" s="858"/>
      <c r="F17" s="855"/>
      <c r="G17" s="856"/>
      <c r="H17" s="856"/>
      <c r="I17" s="856"/>
      <c r="J17" s="856"/>
    </row>
    <row r="18" spans="2:18" ht="25.5">
      <c r="B18" s="27"/>
      <c r="C18" s="34" t="s">
        <v>98</v>
      </c>
      <c r="D18" s="858"/>
      <c r="F18" s="855"/>
      <c r="G18" s="856"/>
      <c r="H18" s="856"/>
      <c r="I18" s="856"/>
      <c r="J18" s="856"/>
    </row>
    <row r="19" spans="2:18" ht="25.5">
      <c r="B19" s="27"/>
      <c r="C19" s="34" t="s">
        <v>99</v>
      </c>
      <c r="D19" s="858"/>
      <c r="F19" s="855"/>
      <c r="G19" s="856"/>
      <c r="H19" s="856"/>
      <c r="I19" s="856"/>
      <c r="J19" s="856"/>
    </row>
    <row r="20" spans="2:18" ht="25.5">
      <c r="B20" s="27"/>
      <c r="C20" s="34" t="s">
        <v>100</v>
      </c>
      <c r="D20" s="858"/>
      <c r="F20" s="855"/>
      <c r="G20" s="856"/>
      <c r="H20" s="856"/>
      <c r="I20" s="856"/>
      <c r="J20" s="856"/>
    </row>
    <row r="21" spans="2:18" ht="25.5">
      <c r="B21" s="27"/>
      <c r="C21" s="34" t="s">
        <v>81</v>
      </c>
      <c r="D21" s="858"/>
    </row>
    <row r="22" spans="2:18" ht="25.5">
      <c r="B22" s="27"/>
      <c r="C22" s="34" t="s">
        <v>82</v>
      </c>
      <c r="D22" s="858"/>
    </row>
    <row r="23" spans="2:18" ht="38.25">
      <c r="B23" s="27"/>
      <c r="C23" s="34" t="s">
        <v>83</v>
      </c>
      <c r="D23" s="858"/>
    </row>
    <row r="24" spans="2:18">
      <c r="B24" s="27"/>
      <c r="C24" s="34" t="s">
        <v>84</v>
      </c>
      <c r="D24" s="858"/>
    </row>
    <row r="25" spans="2:18" ht="25.5">
      <c r="B25" s="27"/>
      <c r="C25" s="34" t="s">
        <v>85</v>
      </c>
      <c r="D25" s="858"/>
    </row>
    <row r="26" spans="2:18">
      <c r="B26" s="27"/>
      <c r="C26" s="34" t="s">
        <v>86</v>
      </c>
      <c r="D26" s="858"/>
    </row>
    <row r="27" spans="2:18" ht="25.5">
      <c r="B27" s="27"/>
      <c r="C27" s="34" t="s">
        <v>87</v>
      </c>
      <c r="D27" s="858"/>
    </row>
    <row r="28" spans="2:18" ht="25.5">
      <c r="B28" s="32" t="s">
        <v>88</v>
      </c>
      <c r="C28" s="20" t="s">
        <v>89</v>
      </c>
      <c r="D28" s="13" t="s">
        <v>90</v>
      </c>
    </row>
    <row r="32" spans="2:18" ht="15" customHeight="1">
      <c r="B32" s="861" t="s">
        <v>101</v>
      </c>
      <c r="C32" s="861"/>
      <c r="D32" s="861"/>
      <c r="E32" s="21"/>
      <c r="F32" s="21"/>
      <c r="G32" s="21"/>
      <c r="H32" s="21"/>
      <c r="I32" s="21"/>
      <c r="J32" s="21"/>
      <c r="K32" s="21"/>
      <c r="L32" s="21"/>
      <c r="M32" s="21"/>
      <c r="N32" s="21"/>
      <c r="O32" s="21"/>
      <c r="P32" s="21"/>
      <c r="Q32" s="21"/>
      <c r="R32" s="21"/>
    </row>
    <row r="33" spans="2:18" ht="15" customHeight="1">
      <c r="B33" s="861"/>
      <c r="C33" s="861"/>
      <c r="D33" s="861"/>
      <c r="E33" s="21"/>
      <c r="F33" s="21"/>
      <c r="G33" s="21"/>
      <c r="H33" s="21"/>
      <c r="I33" s="21"/>
      <c r="J33" s="21"/>
      <c r="K33" s="21"/>
      <c r="L33" s="21"/>
      <c r="M33" s="21"/>
      <c r="N33" s="21"/>
      <c r="O33" s="21"/>
      <c r="P33" s="21"/>
      <c r="Q33" s="21"/>
      <c r="R33" s="21"/>
    </row>
    <row r="34" spans="2:18">
      <c r="B34" s="29"/>
      <c r="C34" s="29"/>
      <c r="D34" s="29"/>
    </row>
    <row r="35" spans="2:18" ht="33" customHeight="1">
      <c r="B35" s="854" t="s">
        <v>134</v>
      </c>
      <c r="C35" s="854"/>
      <c r="D35" s="854"/>
      <c r="E35" s="22"/>
    </row>
    <row r="36" spans="2:18">
      <c r="B36" s="30" t="s">
        <v>102</v>
      </c>
      <c r="C36" s="29"/>
      <c r="D36" s="29"/>
    </row>
    <row r="37" spans="2:18">
      <c r="B37" s="29" t="s">
        <v>103</v>
      </c>
      <c r="C37" s="29"/>
      <c r="D37" s="29"/>
    </row>
    <row r="38" spans="2:18">
      <c r="B38" s="29" t="s">
        <v>104</v>
      </c>
      <c r="C38" s="29"/>
      <c r="D38" s="29"/>
    </row>
    <row r="39" spans="2:18">
      <c r="B39" s="29" t="s">
        <v>105</v>
      </c>
      <c r="C39" s="29"/>
      <c r="D39" s="29"/>
    </row>
    <row r="40" spans="2:18">
      <c r="B40" s="29" t="s">
        <v>106</v>
      </c>
      <c r="C40" s="29"/>
      <c r="D40" s="29"/>
    </row>
    <row r="41" spans="2:18">
      <c r="B41" s="29" t="s">
        <v>107</v>
      </c>
      <c r="C41" s="29"/>
      <c r="D41" s="29"/>
    </row>
    <row r="42" spans="2:18">
      <c r="B42" s="29" t="s">
        <v>108</v>
      </c>
      <c r="C42" s="29"/>
      <c r="D42" s="29"/>
    </row>
    <row r="43" spans="2:18">
      <c r="B43" s="29" t="s">
        <v>109</v>
      </c>
      <c r="C43" s="29"/>
      <c r="D43" s="29"/>
    </row>
    <row r="44" spans="2:18">
      <c r="B44" s="29" t="s">
        <v>110</v>
      </c>
      <c r="C44" s="29"/>
      <c r="D44" s="29"/>
    </row>
    <row r="45" spans="2:18" ht="47.25" customHeight="1">
      <c r="B45" s="852" t="s">
        <v>111</v>
      </c>
      <c r="C45" s="852"/>
      <c r="D45" s="852"/>
      <c r="E45" s="23"/>
    </row>
    <row r="46" spans="2:18" ht="32.25" customHeight="1">
      <c r="B46" s="852" t="s">
        <v>112</v>
      </c>
      <c r="C46" s="852"/>
      <c r="D46" s="852"/>
    </row>
    <row r="47" spans="2:18" ht="35.25" customHeight="1">
      <c r="B47" s="852" t="s">
        <v>113</v>
      </c>
      <c r="C47" s="852"/>
      <c r="D47" s="852"/>
      <c r="E47" s="23"/>
      <c r="F47" s="23"/>
      <c r="G47" s="23"/>
      <c r="H47" s="23"/>
      <c r="I47" s="23"/>
      <c r="J47" s="23"/>
      <c r="K47" s="23"/>
      <c r="L47" s="23"/>
      <c r="M47" s="23"/>
      <c r="N47" s="23"/>
    </row>
    <row r="48" spans="2:18">
      <c r="B48" s="29" t="s">
        <v>114</v>
      </c>
      <c r="C48" s="29"/>
      <c r="D48" s="29"/>
    </row>
    <row r="49" spans="2:18">
      <c r="B49" s="29" t="s">
        <v>115</v>
      </c>
      <c r="C49" s="29"/>
      <c r="D49" s="29"/>
    </row>
    <row r="50" spans="2:18">
      <c r="B50" s="29" t="s">
        <v>116</v>
      </c>
      <c r="C50" s="29"/>
      <c r="D50" s="29"/>
    </row>
    <row r="51" spans="2:18">
      <c r="B51" s="29" t="s">
        <v>117</v>
      </c>
      <c r="C51" s="29"/>
      <c r="D51" s="29"/>
    </row>
    <row r="52" spans="2:18">
      <c r="B52" s="29" t="s">
        <v>118</v>
      </c>
      <c r="C52" s="29"/>
      <c r="D52" s="29"/>
    </row>
    <row r="53" spans="2:18">
      <c r="B53" s="29" t="s">
        <v>119</v>
      </c>
      <c r="C53" s="29"/>
      <c r="D53" s="29"/>
    </row>
    <row r="54" spans="2:18">
      <c r="B54" s="29" t="s">
        <v>131</v>
      </c>
      <c r="C54" s="29"/>
      <c r="D54" s="29"/>
    </row>
    <row r="55" spans="2:18">
      <c r="B55" s="29" t="s">
        <v>130</v>
      </c>
      <c r="C55" s="29"/>
      <c r="D55" s="29"/>
    </row>
    <row r="56" spans="2:18" ht="32.25" customHeight="1">
      <c r="B56" s="852" t="s">
        <v>120</v>
      </c>
      <c r="C56" s="852"/>
      <c r="D56" s="852"/>
    </row>
    <row r="57" spans="2:18">
      <c r="B57" s="29" t="s">
        <v>121</v>
      </c>
      <c r="C57" s="29"/>
      <c r="D57" s="29"/>
    </row>
    <row r="58" spans="2:18">
      <c r="B58" s="29" t="s">
        <v>122</v>
      </c>
      <c r="C58" s="29"/>
      <c r="D58" s="29"/>
    </row>
    <row r="59" spans="2:18">
      <c r="B59" s="29" t="s">
        <v>123</v>
      </c>
      <c r="C59" s="29"/>
      <c r="D59" s="29"/>
    </row>
    <row r="60" spans="2:18" ht="30" customHeight="1">
      <c r="B60" s="852" t="s">
        <v>124</v>
      </c>
      <c r="C60" s="852"/>
      <c r="D60" s="852"/>
    </row>
    <row r="61" spans="2:18" ht="34.5" customHeight="1">
      <c r="B61" s="852" t="s">
        <v>125</v>
      </c>
      <c r="C61" s="852"/>
      <c r="D61" s="852"/>
    </row>
    <row r="62" spans="2:18">
      <c r="B62" s="29" t="s">
        <v>126</v>
      </c>
      <c r="C62" s="29"/>
      <c r="D62" s="29"/>
    </row>
    <row r="63" spans="2:18" ht="46.5" customHeight="1">
      <c r="B63" s="852" t="s">
        <v>127</v>
      </c>
      <c r="C63" s="852"/>
      <c r="D63" s="852"/>
      <c r="E63" s="23"/>
      <c r="F63" s="23"/>
      <c r="G63" s="23"/>
      <c r="H63" s="23"/>
      <c r="I63" s="23"/>
      <c r="J63" s="23"/>
      <c r="K63" s="23"/>
      <c r="L63" s="23"/>
      <c r="M63" s="23"/>
      <c r="N63" s="23"/>
      <c r="O63" s="23"/>
      <c r="P63" s="23"/>
      <c r="Q63" s="23"/>
      <c r="R63" s="23"/>
    </row>
    <row r="64" spans="2:18" ht="36" customHeight="1">
      <c r="B64" s="852" t="s">
        <v>132</v>
      </c>
      <c r="C64" s="852"/>
      <c r="D64" s="852"/>
    </row>
    <row r="65" spans="2:4" ht="33.75" customHeight="1">
      <c r="B65" s="852" t="s">
        <v>128</v>
      </c>
      <c r="C65" s="852"/>
      <c r="D65" s="852"/>
    </row>
    <row r="66" spans="2:4" ht="34.5" customHeight="1">
      <c r="B66" s="852" t="s">
        <v>129</v>
      </c>
      <c r="C66" s="852"/>
      <c r="D66" s="852"/>
    </row>
  </sheetData>
  <sheetProtection formatCells="0" formatColumns="0" formatRows="0" insertColumns="0" insertRows="0" insertHyperlinks="0" deleteColumns="0" deleteRows="0" sort="0" autoFilter="0" pivotTables="0"/>
  <customSheetViews>
    <customSheetView guid="{C9DCC1B1-1130-43C1-807F-FB357D8E7C6B}" showGridLines="0" showRowCol="0" state="hidden">
      <selection activeCell="C4" sqref="C4"/>
      <pageMargins left="0.7" right="0.7" top="0.75" bottom="0.75" header="0.3" footer="0.3"/>
      <headerFooter alignWithMargins="0"/>
    </customSheetView>
    <customSheetView guid="{74B9DB0D-A27C-483C-9482-296E1DCC546B}" showGridLines="0" showRowCol="0" state="hidden">
      <selection activeCell="C4" sqref="C4"/>
      <pageMargins left="0.7" right="0.7" top="0.75" bottom="0.75" header="0.3" footer="0.3"/>
      <headerFooter alignWithMargins="0"/>
    </customSheetView>
  </customSheetViews>
  <mergeCells count="17">
    <mergeCell ref="F16:J20"/>
    <mergeCell ref="B63:D63"/>
    <mergeCell ref="B64:D64"/>
    <mergeCell ref="B9:B12"/>
    <mergeCell ref="D13:D27"/>
    <mergeCell ref="D9:D10"/>
    <mergeCell ref="B32:D33"/>
    <mergeCell ref="B65:D65"/>
    <mergeCell ref="B66:D66"/>
    <mergeCell ref="B4:B5"/>
    <mergeCell ref="B46:D46"/>
    <mergeCell ref="B47:D47"/>
    <mergeCell ref="B56:D56"/>
    <mergeCell ref="B60:D60"/>
    <mergeCell ref="B61:D61"/>
    <mergeCell ref="B35:D35"/>
    <mergeCell ref="B45:D45"/>
  </mergeCells>
  <phoneticPr fontId="1" type="noConversion"/>
  <pageMargins left="0.7" right="0.7" top="0.75" bottom="0.75" header="0.3" footer="0.3"/>
  <headerFooter alignWithMargins="0"/>
</worksheet>
</file>

<file path=xl/worksheets/sheet10.xml><?xml version="1.0" encoding="utf-8"?>
<worksheet xmlns="http://schemas.openxmlformats.org/spreadsheetml/2006/main" xmlns:r="http://schemas.openxmlformats.org/officeDocument/2006/relationships">
  <sheetPr codeName="Sheet10"/>
  <dimension ref="A1:Y27"/>
  <sheetViews>
    <sheetView showGridLines="0" showRowColHeaders="0" topLeftCell="A9" workbookViewId="0">
      <selection activeCell="B15" sqref="B15"/>
    </sheetView>
  </sheetViews>
  <sheetFormatPr defaultColWidth="0" defaultRowHeight="15"/>
  <cols>
    <col min="1" max="1" width="10.85546875" style="416" customWidth="1"/>
    <col min="2" max="3" width="11.85546875" customWidth="1"/>
    <col min="4" max="4" width="11.28515625" customWidth="1"/>
    <col min="5" max="10" width="9.7109375" customWidth="1"/>
    <col min="11" max="11" width="2.85546875" customWidth="1"/>
    <col min="12" max="15" width="17.42578125" hidden="1" customWidth="1"/>
  </cols>
  <sheetData>
    <row r="1" spans="2:25" ht="30.75" hidden="1" customHeight="1" thickBot="1">
      <c r="B1" s="1571" t="s">
        <v>563</v>
      </c>
      <c r="C1" s="1571"/>
      <c r="D1" s="1571"/>
      <c r="E1" s="1571"/>
      <c r="F1" s="1571"/>
      <c r="G1" s="1571"/>
      <c r="H1" s="1571"/>
      <c r="I1" s="1571"/>
      <c r="J1" s="1571"/>
    </row>
    <row r="2" spans="2:25" ht="22.5" hidden="1" customHeight="1" thickBot="1">
      <c r="B2" s="1575" t="s">
        <v>549</v>
      </c>
      <c r="C2" s="1576"/>
      <c r="D2" s="1576"/>
      <c r="E2" s="1577" t="str">
        <f>DATA!D23</f>
        <v>N.RAJU</v>
      </c>
      <c r="F2" s="1578"/>
      <c r="G2" s="1578"/>
      <c r="H2" s="1578"/>
      <c r="I2" s="1578"/>
      <c r="J2" s="1579"/>
    </row>
    <row r="3" spans="2:25" ht="22.5" hidden="1" customHeight="1" thickBot="1">
      <c r="B3" s="1575" t="s">
        <v>625</v>
      </c>
      <c r="C3" s="1576"/>
      <c r="D3" s="1576"/>
      <c r="E3" s="1580" t="str">
        <f>DATA!J23</f>
        <v>ESHWARAIAH</v>
      </c>
      <c r="F3" s="1581"/>
      <c r="G3" s="1581"/>
      <c r="H3" s="1581"/>
      <c r="I3" s="1581"/>
      <c r="J3" s="1582"/>
    </row>
    <row r="4" spans="2:25" ht="22.5" hidden="1" customHeight="1" thickBot="1">
      <c r="B4" s="1575" t="s">
        <v>550</v>
      </c>
      <c r="C4" s="1576"/>
      <c r="D4" s="1576"/>
      <c r="E4" s="1583">
        <f>DATA!P23</f>
        <v>0</v>
      </c>
      <c r="F4" s="1584"/>
      <c r="G4" s="1584"/>
      <c r="H4" s="1584"/>
      <c r="I4" s="1584"/>
      <c r="J4" s="1585"/>
    </row>
    <row r="5" spans="2:25" ht="22.5" hidden="1" customHeight="1" thickBot="1">
      <c r="B5" s="1575" t="s">
        <v>551</v>
      </c>
      <c r="C5" s="1576"/>
      <c r="D5" s="1576"/>
      <c r="E5" s="1580" t="str">
        <f>DATA!D24</f>
        <v>PATANCHERU,shanthinagar</v>
      </c>
      <c r="F5" s="1581"/>
      <c r="G5" s="1581"/>
      <c r="H5" s="1581"/>
      <c r="I5" s="1581"/>
      <c r="J5" s="1582"/>
    </row>
    <row r="6" spans="2:25" ht="22.5" hidden="1" customHeight="1" thickBot="1">
      <c r="B6" s="1575" t="s">
        <v>35</v>
      </c>
      <c r="C6" s="1576"/>
      <c r="D6" s="1576"/>
      <c r="E6" s="1580" t="str">
        <f>DATA!K24</f>
        <v>PATANCHERU</v>
      </c>
      <c r="F6" s="1581"/>
      <c r="G6" s="1581"/>
      <c r="H6" s="1581"/>
      <c r="I6" s="1581"/>
      <c r="J6" s="1582"/>
    </row>
    <row r="7" spans="2:25" ht="22.5" hidden="1" customHeight="1" thickBot="1">
      <c r="B7" s="1575" t="s">
        <v>552</v>
      </c>
      <c r="C7" s="1576"/>
      <c r="D7" s="1576"/>
      <c r="E7" s="1580" t="str">
        <f>DATA!O24</f>
        <v>SANGAREDDY</v>
      </c>
      <c r="F7" s="1581"/>
      <c r="G7" s="1581"/>
      <c r="H7" s="1581"/>
      <c r="I7" s="1581"/>
      <c r="J7" s="1582"/>
    </row>
    <row r="8" spans="2:25" s="416" customFormat="1" ht="22.5" hidden="1" customHeight="1" thickBot="1">
      <c r="B8" s="1575" t="str">
        <f>IF(DATA!X20&gt;=100000,"House Owner PAN Number","")</f>
        <v>House Owner PAN Number</v>
      </c>
      <c r="C8" s="1576"/>
      <c r="D8" s="1593"/>
      <c r="E8" s="1572">
        <f>DATA!N23</f>
        <v>0</v>
      </c>
      <c r="F8" s="1573"/>
      <c r="G8" s="1573"/>
      <c r="H8" s="1573"/>
      <c r="I8" s="1573"/>
      <c r="J8" s="1574"/>
    </row>
    <row r="9" spans="2:25" ht="15.75" thickBot="1"/>
    <row r="10" spans="2:25">
      <c r="B10" s="460"/>
      <c r="C10" s="414"/>
      <c r="D10" s="414"/>
      <c r="E10" s="414"/>
      <c r="F10" s="414"/>
      <c r="G10" s="414"/>
      <c r="H10" s="414"/>
      <c r="I10" s="414"/>
      <c r="J10" s="415"/>
    </row>
    <row r="11" spans="2:25" ht="22.5" customHeight="1">
      <c r="B11" s="1589" t="s">
        <v>565</v>
      </c>
      <c r="C11" s="1587"/>
      <c r="D11" s="1587"/>
      <c r="E11" s="1587"/>
      <c r="F11" s="1587"/>
      <c r="G11" s="1587"/>
      <c r="H11" s="1587"/>
      <c r="I11" s="1587"/>
      <c r="J11" s="1588"/>
      <c r="K11" s="456"/>
      <c r="L11" s="456"/>
      <c r="M11" s="456"/>
      <c r="N11" s="456"/>
      <c r="O11" s="456"/>
      <c r="P11" s="456"/>
      <c r="Q11" s="456"/>
      <c r="R11" s="456"/>
      <c r="S11" s="456"/>
      <c r="T11" s="456"/>
      <c r="U11" s="456"/>
      <c r="V11" s="456"/>
      <c r="W11" s="456"/>
      <c r="X11" s="456"/>
      <c r="Y11" s="457"/>
    </row>
    <row r="12" spans="2:25" ht="19.5" customHeight="1">
      <c r="B12" s="1590" t="s">
        <v>566</v>
      </c>
      <c r="C12" s="1591"/>
      <c r="D12" s="1591"/>
      <c r="E12" s="1591"/>
      <c r="F12" s="1591"/>
      <c r="G12" s="1591"/>
      <c r="H12" s="1591"/>
      <c r="I12" s="1591"/>
      <c r="J12" s="1592"/>
      <c r="K12" s="458"/>
      <c r="L12" s="458"/>
      <c r="M12" s="458"/>
      <c r="N12" s="458"/>
      <c r="O12" s="458"/>
      <c r="P12" s="458"/>
      <c r="Q12" s="458"/>
      <c r="R12" s="458"/>
      <c r="S12" s="458"/>
      <c r="T12" s="458"/>
      <c r="U12" s="458"/>
      <c r="V12" s="458"/>
      <c r="W12" s="458"/>
      <c r="X12" s="458"/>
      <c r="Y12" s="459"/>
    </row>
    <row r="13" spans="2:25">
      <c r="B13" s="747"/>
      <c r="C13" s="748"/>
      <c r="D13" s="748"/>
      <c r="E13" s="748"/>
      <c r="F13" s="748"/>
      <c r="G13" s="748"/>
      <c r="H13" s="748"/>
      <c r="I13" s="748"/>
      <c r="J13" s="749"/>
    </row>
    <row r="14" spans="2:25" ht="105" customHeight="1">
      <c r="B14" s="1586" t="str">
        <f>IF(DATA!N89=1," ",IF(DATA!X20&lt;100000,CONCATENATE("                This is to certify that ",DATA!AE35," ",DATA!E4,", ",DATA!M4,", ",DATA!D6,", Mandal ",DATA!M5," has paid an amount of Rs. ",DATA!X20,"/-Inwords: ",'Form 16 Page2'!R230," towards Annual House Rent @ Rs. ",DATA!Q19,"/- per month in respect of H.No.",E4,", Located at ",E5," Mandal ",E6," District ",E7,"."),CONCATENATE("                This is to certify that ",DATA!AE35," ",DATA!E4,", ",DATA!M4,", ",DATA!D6,", Mandal ",DATA!M5," has paid an amount of Rs. ",DATA!X20,"/-Inwords: ",'Form 16 Page2'!R230," towards Annual House Rent @ Rs. ",DATA!Q19,"/- per month in respect of H.No.",E4,", Located at ",E5," Mandal ",E6," District ",E7,". My PAN card number is ",E8)))</f>
        <v xml:space="preserve">                This is to certify that Sri. S.KARUNAKAR, S.A., ZPGHS SHANKARAMPET A, Mandal SHANKARAMPET A., MEDAK has paid an amount of Rs. 169200/-Inwords: (One Lakh Sixty nine Thousand Two Hundred rupees only) towards Annual House Rent @ Rs. 14100/- per month in respect of H.No.0, Located at PATANCHERU,shanthinagar Mandal PATANCHERU District SANGAREDDY. My PAN card number is 0</v>
      </c>
      <c r="C14" s="1587"/>
      <c r="D14" s="1587"/>
      <c r="E14" s="1587"/>
      <c r="F14" s="1587"/>
      <c r="G14" s="1587"/>
      <c r="H14" s="1587"/>
      <c r="I14" s="1587"/>
      <c r="J14" s="1588"/>
    </row>
    <row r="15" spans="2:25" ht="16.5" customHeight="1" thickBot="1">
      <c r="B15" s="747"/>
      <c r="C15" s="748"/>
      <c r="D15" s="748"/>
      <c r="E15" s="748"/>
      <c r="F15" s="748"/>
      <c r="G15" s="748"/>
      <c r="H15" s="748"/>
      <c r="I15" s="748"/>
      <c r="J15" s="749"/>
    </row>
    <row r="16" spans="2:25" ht="16.5" customHeight="1">
      <c r="B16" s="747"/>
      <c r="C16" s="748"/>
      <c r="D16" s="748"/>
      <c r="E16" s="748"/>
      <c r="F16" s="748"/>
      <c r="G16" s="748"/>
      <c r="H16" s="750" t="s">
        <v>553</v>
      </c>
      <c r="I16" s="748"/>
      <c r="J16" s="749"/>
    </row>
    <row r="17" spans="2:10" ht="16.5" customHeight="1">
      <c r="B17" s="747"/>
      <c r="C17" s="748"/>
      <c r="D17" s="748"/>
      <c r="E17" s="748"/>
      <c r="F17" s="748"/>
      <c r="G17" s="748"/>
      <c r="H17" s="751" t="s">
        <v>554</v>
      </c>
      <c r="I17" s="748"/>
      <c r="J17" s="749"/>
    </row>
    <row r="18" spans="2:10" ht="15.75" thickBot="1">
      <c r="B18" s="747"/>
      <c r="C18" s="748"/>
      <c r="D18" s="748"/>
      <c r="E18" s="748"/>
      <c r="F18" s="748"/>
      <c r="G18" s="748"/>
      <c r="H18" s="752" t="s">
        <v>555</v>
      </c>
      <c r="I18" s="748"/>
      <c r="J18" s="749"/>
    </row>
    <row r="19" spans="2:10">
      <c r="B19" s="747"/>
      <c r="C19" s="748"/>
      <c r="D19" s="748"/>
      <c r="E19" s="748"/>
      <c r="F19" s="748"/>
      <c r="G19" s="748"/>
      <c r="H19" s="748"/>
      <c r="I19" s="748"/>
      <c r="J19" s="749"/>
    </row>
    <row r="20" spans="2:10">
      <c r="B20" s="747"/>
      <c r="C20" s="748"/>
      <c r="D20" s="748"/>
      <c r="E20" s="748"/>
      <c r="F20" s="748"/>
      <c r="G20" s="748"/>
      <c r="H20" s="748"/>
      <c r="I20" s="748"/>
      <c r="J20" s="749"/>
    </row>
    <row r="21" spans="2:10">
      <c r="B21" s="747"/>
      <c r="C21" s="748"/>
      <c r="D21" s="748"/>
      <c r="E21" s="748"/>
      <c r="F21" s="748"/>
      <c r="G21" s="748" t="s">
        <v>349</v>
      </c>
      <c r="H21" s="748"/>
      <c r="I21" s="748"/>
      <c r="J21" s="749"/>
    </row>
    <row r="22" spans="2:10">
      <c r="B22" s="747" t="s">
        <v>564</v>
      </c>
      <c r="C22" s="748"/>
      <c r="D22" s="748"/>
      <c r="E22" s="748"/>
      <c r="F22" s="748"/>
      <c r="G22" s="748" t="s">
        <v>556</v>
      </c>
      <c r="H22" s="748"/>
      <c r="I22" s="748"/>
      <c r="J22" s="749"/>
    </row>
    <row r="23" spans="2:10">
      <c r="B23" s="747"/>
      <c r="C23" s="748"/>
      <c r="D23" s="748"/>
      <c r="E23" s="748"/>
      <c r="F23" s="748"/>
      <c r="G23" s="748" t="str">
        <f>E2</f>
        <v>N.RAJU</v>
      </c>
      <c r="H23" s="748"/>
      <c r="I23" s="748"/>
      <c r="J23" s="749"/>
    </row>
    <row r="24" spans="2:10">
      <c r="B24" s="747"/>
      <c r="C24" s="748"/>
      <c r="D24" s="748"/>
      <c r="E24" s="748"/>
      <c r="F24" s="748"/>
      <c r="G24" s="748" t="str">
        <f>CONCATENATE(B3,". ",E3)</f>
        <v>S/o / H/o . ESHWARAIAH</v>
      </c>
      <c r="H24" s="748"/>
      <c r="I24" s="748"/>
      <c r="J24" s="749"/>
    </row>
    <row r="25" spans="2:10">
      <c r="B25" s="747"/>
      <c r="C25" s="748"/>
      <c r="D25" s="748"/>
      <c r="E25" s="748"/>
      <c r="F25" s="748"/>
      <c r="G25" s="748" t="s">
        <v>557</v>
      </c>
      <c r="H25" s="753">
        <f>E4</f>
        <v>0</v>
      </c>
      <c r="I25" s="748"/>
      <c r="J25" s="749"/>
    </row>
    <row r="26" spans="2:10">
      <c r="B26" s="747"/>
      <c r="C26" s="748"/>
      <c r="D26" s="748"/>
      <c r="E26" s="748"/>
      <c r="F26" s="748"/>
      <c r="G26" s="748"/>
      <c r="H26" s="748"/>
      <c r="I26" s="748"/>
      <c r="J26" s="749"/>
    </row>
    <row r="27" spans="2:10" ht="15.75" thickBot="1">
      <c r="B27" s="754"/>
      <c r="C27" s="755"/>
      <c r="D27" s="755"/>
      <c r="E27" s="755"/>
      <c r="F27" s="755"/>
      <c r="G27" s="755"/>
      <c r="H27" s="755"/>
      <c r="I27" s="755"/>
      <c r="J27" s="756"/>
    </row>
  </sheetData>
  <sheetProtection password="CF7B" sheet="1" objects="1" scenarios="1" selectLockedCells="1"/>
  <customSheetViews>
    <customSheetView guid="{C9DCC1B1-1130-43C1-807F-FB357D8E7C6B}" showGridLines="0" showRowCol="0" hiddenRows="1" hiddenColumns="1" topLeftCell="A9">
      <selection activeCell="B15" sqref="B15"/>
      <pageMargins left="0.39370078740157483" right="0.31496062992125984" top="0.86614173228346458" bottom="0.35433070866141736" header="0.51181102362204722" footer="0"/>
      <printOptions horizontalCentered="1"/>
      <pageSetup paperSize="9" orientation="portrait" r:id="rId1"/>
    </customSheetView>
    <customSheetView guid="{74B9DB0D-A27C-483C-9482-296E1DCC546B}" showGridLines="0" showRowCol="0" hiddenRows="1" hiddenColumns="1" topLeftCell="A9">
      <selection activeCell="B15" sqref="B15"/>
      <pageMargins left="0.39370078740157483" right="0.31496062992125984" top="0.86614173228346458" bottom="0.35433070866141736" header="0.51181102362204722" footer="0"/>
      <printOptions horizontalCentered="1"/>
      <pageSetup paperSize="9" orientation="portrait" r:id="rId2"/>
    </customSheetView>
  </customSheetViews>
  <mergeCells count="18">
    <mergeCell ref="B14:J14"/>
    <mergeCell ref="B2:D2"/>
    <mergeCell ref="B3:D3"/>
    <mergeCell ref="B4:D4"/>
    <mergeCell ref="B11:J11"/>
    <mergeCell ref="B12:J12"/>
    <mergeCell ref="E7:J7"/>
    <mergeCell ref="B8:D8"/>
    <mergeCell ref="B1:J1"/>
    <mergeCell ref="E8:J8"/>
    <mergeCell ref="B5:D5"/>
    <mergeCell ref="B6:D6"/>
    <mergeCell ref="B7:D7"/>
    <mergeCell ref="E2:J2"/>
    <mergeCell ref="E3:J3"/>
    <mergeCell ref="E4:J4"/>
    <mergeCell ref="E5:J5"/>
    <mergeCell ref="E6:J6"/>
  </mergeCells>
  <printOptions horizontalCentered="1"/>
  <pageMargins left="0.39370078740157483" right="0.31496062992125984" top="0.86614173228346458" bottom="0.35433070866141736" header="0.51181102362204722" footer="0"/>
  <pageSetup paperSize="9" orientation="portrait" r:id="rId3"/>
  <drawing r:id="rId4"/>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customSheetViews>
    <customSheetView guid="{C9DCC1B1-1130-43C1-807F-FB357D8E7C6B}">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GO193"/>
  <sheetViews>
    <sheetView showGridLines="0" showRowColHeaders="0" zoomScale="90" zoomScaleNormal="90" workbookViewId="0">
      <selection activeCell="Q19" sqref="Q19"/>
    </sheetView>
  </sheetViews>
  <sheetFormatPr defaultColWidth="0" defaultRowHeight="39.75" customHeight="1" zeroHeight="1"/>
  <cols>
    <col min="1" max="1" width="1.42578125" style="234" customWidth="1"/>
    <col min="2" max="2" width="7.42578125" style="229" customWidth="1"/>
    <col min="3" max="3" width="25" style="325" customWidth="1"/>
    <col min="4" max="4" width="20.5703125" style="325" customWidth="1"/>
    <col min="5" max="5" width="6.140625" style="325" customWidth="1"/>
    <col min="6" max="6" width="9" style="325" customWidth="1"/>
    <col min="7" max="7" width="5.5703125" style="325" customWidth="1"/>
    <col min="8" max="8" width="8.7109375" style="325" customWidth="1"/>
    <col min="9" max="9" width="9.28515625" style="325" customWidth="1"/>
    <col min="10" max="11" width="10.28515625" style="325" customWidth="1"/>
    <col min="12" max="12" width="9.5703125" style="325" customWidth="1"/>
    <col min="13" max="13" width="8.42578125" style="325" customWidth="1"/>
    <col min="14" max="14" width="15.85546875" style="325" customWidth="1"/>
    <col min="15" max="15" width="8.5703125" style="229" customWidth="1"/>
    <col min="16" max="16" width="9.140625" style="229" customWidth="1"/>
    <col min="17" max="17" width="11.5703125" style="234" customWidth="1"/>
    <col min="18" max="18" width="1.28515625" style="233" customWidth="1"/>
    <col min="19" max="21" width="10.140625" style="573" customWidth="1"/>
    <col min="22" max="22" width="1.28515625" style="550" customWidth="1"/>
    <col min="23" max="103" width="10.140625" style="233" hidden="1" customWidth="1"/>
    <col min="104" max="197" width="4.7109375" style="233" hidden="1" customWidth="1"/>
    <col min="198" max="16384" width="9.140625" style="234" hidden="1"/>
  </cols>
  <sheetData>
    <row r="1" spans="1:66" ht="14.25" customHeight="1" thickBot="1">
      <c r="A1" s="616"/>
      <c r="B1" s="230"/>
      <c r="C1" s="230"/>
      <c r="D1" s="231"/>
      <c r="E1" s="231"/>
      <c r="F1" s="231"/>
      <c r="G1" s="230"/>
      <c r="H1" s="230"/>
      <c r="I1" s="230"/>
      <c r="J1" s="230"/>
      <c r="K1" s="230"/>
      <c r="L1" s="230"/>
      <c r="M1" s="230"/>
      <c r="N1" s="230"/>
      <c r="O1" s="230"/>
      <c r="P1" s="230"/>
      <c r="Q1" s="232"/>
      <c r="R1" s="647"/>
      <c r="S1" s="549"/>
      <c r="T1" s="549"/>
      <c r="U1" s="549"/>
    </row>
    <row r="2" spans="1:66" ht="37.5" customHeight="1" thickBot="1">
      <c r="A2" s="616"/>
      <c r="B2" s="1052"/>
      <c r="C2" s="1053"/>
      <c r="D2" s="1053"/>
      <c r="E2" s="1053"/>
      <c r="F2" s="1053"/>
      <c r="G2" s="1053"/>
      <c r="H2" s="1053"/>
      <c r="I2" s="1053"/>
      <c r="J2" s="1053"/>
      <c r="K2" s="1053"/>
      <c r="L2" s="1053"/>
      <c r="M2" s="1053"/>
      <c r="N2" s="1053"/>
      <c r="O2" s="1053"/>
      <c r="P2" s="1053"/>
      <c r="Q2" s="1053"/>
      <c r="R2" s="648"/>
      <c r="S2" s="1098" t="s">
        <v>631</v>
      </c>
      <c r="T2" s="1098"/>
      <c r="U2" s="1098"/>
    </row>
    <row r="3" spans="1:66" ht="28.5" customHeight="1" thickBot="1">
      <c r="A3" s="616"/>
      <c r="B3" s="1108" t="s">
        <v>830</v>
      </c>
      <c r="C3" s="1109"/>
      <c r="D3" s="1109"/>
      <c r="E3" s="1109"/>
      <c r="F3" s="1109"/>
      <c r="G3" s="1109"/>
      <c r="H3" s="1109"/>
      <c r="I3" s="1109"/>
      <c r="J3" s="1109"/>
      <c r="K3" s="1109"/>
      <c r="L3" s="1109"/>
      <c r="M3" s="1109"/>
      <c r="N3" s="1109"/>
      <c r="O3" s="1109"/>
      <c r="P3" s="1109"/>
      <c r="Q3" s="1109"/>
      <c r="R3" s="648"/>
      <c r="S3" s="549"/>
      <c r="T3" s="549"/>
      <c r="U3" s="549"/>
      <c r="AI3" s="233" t="s">
        <v>152</v>
      </c>
      <c r="AJ3" s="233">
        <f>AE191</f>
        <v>53950</v>
      </c>
      <c r="AS3" s="233">
        <v>1</v>
      </c>
      <c r="AT3" s="233">
        <v>2</v>
      </c>
      <c r="AU3" s="233">
        <v>3</v>
      </c>
      <c r="AV3" s="233">
        <v>4</v>
      </c>
      <c r="AW3" s="233">
        <v>5</v>
      </c>
    </row>
    <row r="4" spans="1:66" ht="24.75" customHeight="1" thickBot="1">
      <c r="A4" s="616"/>
      <c r="B4" s="1091" t="s">
        <v>702</v>
      </c>
      <c r="C4" s="620" t="s">
        <v>154</v>
      </c>
      <c r="D4" s="613" t="s">
        <v>135</v>
      </c>
      <c r="E4" s="1059" t="s">
        <v>873</v>
      </c>
      <c r="F4" s="1060"/>
      <c r="G4" s="1060"/>
      <c r="H4" s="1060"/>
      <c r="I4" s="1060"/>
      <c r="J4" s="1061"/>
      <c r="K4" s="956" t="s">
        <v>159</v>
      </c>
      <c r="L4" s="958"/>
      <c r="M4" s="1089" t="s">
        <v>874</v>
      </c>
      <c r="N4" s="1090"/>
      <c r="O4" s="1112"/>
      <c r="P4" s="1099" t="s">
        <v>475</v>
      </c>
      <c r="Q4" s="1099"/>
      <c r="R4" s="648"/>
      <c r="S4" s="549"/>
      <c r="T4" s="549"/>
      <c r="U4" s="549"/>
      <c r="AC4" s="233">
        <v>1</v>
      </c>
      <c r="AD4" s="233" t="str">
        <f>VLOOKUP(AC4,AD5:AE32,2,0)</f>
        <v>SA</v>
      </c>
      <c r="AE4" s="233">
        <v>6</v>
      </c>
      <c r="AF4" s="233" t="str">
        <f>VLOOKUP(AE4,AD5:AF32,3,0)</f>
        <v>(Maths)</v>
      </c>
      <c r="AI4" s="233" t="s">
        <v>153</v>
      </c>
      <c r="AJ4" s="233">
        <f>AE193</f>
        <v>53950</v>
      </c>
      <c r="BC4" s="233">
        <v>1</v>
      </c>
      <c r="BD4" s="235" t="s">
        <v>559</v>
      </c>
    </row>
    <row r="5" spans="1:66" ht="24.75" customHeight="1" thickBot="1">
      <c r="A5" s="616"/>
      <c r="B5" s="1091"/>
      <c r="C5" s="523" t="s">
        <v>623</v>
      </c>
      <c r="D5" s="330" t="s">
        <v>135</v>
      </c>
      <c r="E5" s="881" t="s">
        <v>875</v>
      </c>
      <c r="F5" s="882"/>
      <c r="G5" s="882"/>
      <c r="H5" s="882"/>
      <c r="I5" s="882"/>
      <c r="J5" s="883"/>
      <c r="K5" s="982" t="s">
        <v>624</v>
      </c>
      <c r="L5" s="983"/>
      <c r="M5" s="933" t="s">
        <v>876</v>
      </c>
      <c r="N5" s="934"/>
      <c r="O5" s="934"/>
      <c r="P5" s="934"/>
      <c r="Q5" s="934"/>
      <c r="R5" s="648"/>
      <c r="S5" s="549"/>
      <c r="T5" s="549"/>
      <c r="U5" s="549"/>
      <c r="AD5" s="233">
        <v>1</v>
      </c>
      <c r="AE5" s="233" t="s">
        <v>31</v>
      </c>
      <c r="AF5" s="233" t="str">
        <f>IF(AC4&lt;=2,"(Telugu)","")</f>
        <v>(Telugu)</v>
      </c>
      <c r="AQ5" s="233">
        <v>2</v>
      </c>
      <c r="AR5" s="266" t="s">
        <v>471</v>
      </c>
      <c r="AS5" s="233">
        <f>IF(AQ5&gt;=AJ7,AK7,AJ4)</f>
        <v>53950</v>
      </c>
      <c r="AT5" s="233">
        <f>IF(AQ5&gt;=AJ7,AL7,AJ4)</f>
        <v>53950</v>
      </c>
      <c r="AU5" s="233">
        <f>AJ4</f>
        <v>53950</v>
      </c>
      <c r="AV5" s="233">
        <f>AJ4</f>
        <v>53950</v>
      </c>
      <c r="AW5" s="233">
        <f>AJ4</f>
        <v>53950</v>
      </c>
      <c r="BC5" s="233">
        <v>2</v>
      </c>
      <c r="BD5" s="235" t="s">
        <v>558</v>
      </c>
    </row>
    <row r="6" spans="1:66" ht="24.75" customHeight="1" thickBot="1">
      <c r="A6" s="616"/>
      <c r="B6" s="1092"/>
      <c r="C6" s="622" t="s">
        <v>21</v>
      </c>
      <c r="D6" s="1105" t="s">
        <v>877</v>
      </c>
      <c r="E6" s="1106"/>
      <c r="F6" s="1106"/>
      <c r="G6" s="1106"/>
      <c r="H6" s="1106"/>
      <c r="I6" s="1106"/>
      <c r="J6" s="1107"/>
      <c r="K6" s="1046" t="s">
        <v>529</v>
      </c>
      <c r="L6" s="1047"/>
      <c r="M6" s="1047"/>
      <c r="N6" s="1047"/>
      <c r="O6" s="1047"/>
      <c r="P6" s="1047"/>
      <c r="Q6" s="1048"/>
      <c r="R6" s="648"/>
      <c r="S6" s="549"/>
      <c r="T6" s="549"/>
      <c r="U6" s="549"/>
      <c r="AC6" s="233" t="str">
        <f>M4</f>
        <v>S.A.</v>
      </c>
      <c r="AD6" s="233">
        <v>2</v>
      </c>
      <c r="AE6" s="233" t="s">
        <v>33</v>
      </c>
      <c r="AF6" s="233" t="str">
        <f>IF(AC4&lt;=2,"(Hindi)","")</f>
        <v>(Hindi)</v>
      </c>
      <c r="AK6" s="233" t="s">
        <v>160</v>
      </c>
      <c r="AM6" s="233" t="s">
        <v>161</v>
      </c>
      <c r="AN6" s="233" t="s">
        <v>163</v>
      </c>
      <c r="AO6" s="233" t="s">
        <v>162</v>
      </c>
      <c r="AQ6" s="233">
        <v>3</v>
      </c>
      <c r="AR6" s="266" t="s">
        <v>477</v>
      </c>
      <c r="AS6" s="233">
        <f>IF(AND(AQ6&gt;AJ9),AK9,IF(AND(AQ6&gt;AJ8),AK8,IF(AND(AQ6&gt;=AJ7),AK7,AJ4)))</f>
        <v>53950</v>
      </c>
      <c r="AT6" s="233">
        <f>IF(AND(AQ6&gt;AJ8),AL8,IF(AND(AQ6&gt;AJ9),AL9,IF(AND(AQ6&gt;=AJ7),AL7,AJ4)))</f>
        <v>53950</v>
      </c>
      <c r="AU6" s="233">
        <f>IF(AND(AQ6&gt;AJ9),AM9,IF(AND(AQ6&gt;=AJ7),AM7,IF(AND(AQ6&gt;AJ8),AM8,AJ4)))</f>
        <v>53950</v>
      </c>
      <c r="AV6" s="233">
        <f>IF(AND(AQ6&gt;=AJ7),AN7,IF(AND(AQ6&gt;AJ9),AN9,IF(AND(AQ6&gt;AJ8),AN8,AJ4)))</f>
        <v>53950</v>
      </c>
      <c r="AW6" s="233">
        <f>IF(AND(AQ6&gt;AJ8),AO8,IF(AND(AQ6&gt;=AJ7),AO7,IF(AND(AQ6&gt;AJ9),AO9,AJ4)))</f>
        <v>53950</v>
      </c>
      <c r="BC6" s="233">
        <v>3</v>
      </c>
      <c r="BD6" s="235" t="s">
        <v>195</v>
      </c>
    </row>
    <row r="7" spans="1:66" ht="27.75" customHeight="1" thickBot="1">
      <c r="A7" s="616"/>
      <c r="B7" s="1054" t="s">
        <v>706</v>
      </c>
      <c r="C7" s="336" t="s">
        <v>814</v>
      </c>
      <c r="D7" s="225"/>
      <c r="E7" s="225"/>
      <c r="F7" s="1065" t="s">
        <v>815</v>
      </c>
      <c r="G7" s="1066"/>
      <c r="H7" s="1066"/>
      <c r="I7" s="335"/>
      <c r="J7" s="336" t="s">
        <v>493</v>
      </c>
      <c r="K7" s="329">
        <v>610</v>
      </c>
      <c r="L7" s="3" t="s">
        <v>6</v>
      </c>
      <c r="M7" s="329">
        <v>0</v>
      </c>
      <c r="N7" s="337" t="s">
        <v>41</v>
      </c>
      <c r="O7" s="329">
        <v>130</v>
      </c>
      <c r="P7" s="3" t="s">
        <v>42</v>
      </c>
      <c r="Q7" s="639">
        <v>0</v>
      </c>
      <c r="R7" s="648"/>
      <c r="S7" s="549"/>
      <c r="T7" s="549"/>
      <c r="U7" s="549"/>
      <c r="AD7" s="233">
        <v>3</v>
      </c>
      <c r="AE7" s="233" t="s">
        <v>15</v>
      </c>
      <c r="AF7" s="233" t="str">
        <f>IF(AC4&lt;=2,"(Urdu)","")</f>
        <v>(Urdu)</v>
      </c>
      <c r="AI7" s="233" t="s">
        <v>158</v>
      </c>
      <c r="AJ7" s="233">
        <f>IF(AD74=1,25,AD74)</f>
        <v>11</v>
      </c>
      <c r="AK7" s="233">
        <f>VLOOKUP(AJ4,AH103:AI188,2,0)</f>
        <v>55410</v>
      </c>
      <c r="AL7" s="233">
        <f>VLOOKUP(AJ4,AH103:AI188,2,0)</f>
        <v>55410</v>
      </c>
      <c r="AM7" s="233">
        <f>VLOOKUP(AM8,AH103:AI188,2,0)</f>
        <v>56870</v>
      </c>
      <c r="AN7" s="233">
        <f>VLOOKUP(AN9,AH103:AI188,2,0)</f>
        <v>58330</v>
      </c>
      <c r="AO7" s="236">
        <f>IF(AND(AC4=1,AJ4=14050),15280,IF(AND(AC4=6,AJ4=14050),15280,IF(AND(AC4=5,AJ4=17050),18520,IF(U121=1,VLOOKUP(AO9,AH103:AJ182,2,0),VLOOKUP(AO9,AH103:AJ182,3,0)))))</f>
        <v>58330</v>
      </c>
      <c r="AQ7" s="233">
        <v>4</v>
      </c>
      <c r="AR7" s="266" t="s">
        <v>478</v>
      </c>
      <c r="AS7" s="233">
        <f>IF(AND(AQ7&gt;AJ9),AK9,IF(AND(AQ7&gt;AJ8),AK8,IF(AND(AQ7&gt;=AJ7),AK7,AJ4)))</f>
        <v>53950</v>
      </c>
      <c r="AT7" s="233">
        <f>IF(AND(AQ7&gt;AJ8),AL8,IF(AND(AQ7&gt;AJ9),AL9,IF(AND(AQ7&gt;=AJ7),AL7,AJ4)))</f>
        <v>53950</v>
      </c>
      <c r="AU7" s="233">
        <f>IF(AND(AQ7&gt;AJ9),AM9,IF(AND(AQ7&gt;=AJ7),AM7,IF(AND(AQ7&gt;AJ8),AM8,AJ4)))</f>
        <v>53950</v>
      </c>
      <c r="AV7" s="233">
        <f>IF(AND(AQ7&gt;=AJ7),AN7,IF(AND(AQ7&gt;AJ9),AN9,IF(AND(AQ7&gt;AJ8),AN8,AJ4)))</f>
        <v>53950</v>
      </c>
      <c r="AW7" s="233">
        <f>IF(AND(AQ7&gt;AJ8),AO8,IF(AND(AQ7&gt;=AJ7),AO7,IF(AND(AQ7&gt;AJ9),AO9,AJ4)))</f>
        <v>53950</v>
      </c>
      <c r="BC7" s="233">
        <v>4</v>
      </c>
      <c r="BD7" s="235" t="s">
        <v>196</v>
      </c>
    </row>
    <row r="8" spans="1:66" ht="25.5" customHeight="1" thickBot="1">
      <c r="A8" s="616"/>
      <c r="B8" s="1055"/>
      <c r="C8" s="3" t="s">
        <v>43</v>
      </c>
      <c r="D8" s="1116"/>
      <c r="E8" s="1117"/>
      <c r="F8" s="1124" t="s">
        <v>470</v>
      </c>
      <c r="G8" s="1125"/>
      <c r="H8" s="1125"/>
      <c r="I8" s="1125"/>
      <c r="J8" s="1126"/>
      <c r="K8" s="7"/>
      <c r="L8" s="2"/>
      <c r="M8" s="2"/>
      <c r="N8" s="455" t="s">
        <v>500</v>
      </c>
      <c r="O8" s="2"/>
      <c r="P8" s="462" t="s">
        <v>44</v>
      </c>
      <c r="Q8" s="640"/>
      <c r="R8" s="648"/>
      <c r="S8" s="549"/>
      <c r="T8" s="549"/>
      <c r="U8" s="549"/>
      <c r="AD8" s="233">
        <v>4</v>
      </c>
      <c r="AE8" s="233" t="s">
        <v>16</v>
      </c>
      <c r="AF8" s="233" t="str">
        <f>IF(AC4&lt;=2,"(                    )","")</f>
        <v>(                    )</v>
      </c>
      <c r="AI8" s="233" t="s">
        <v>146</v>
      </c>
      <c r="AJ8" s="233">
        <f>IF(AD89=2,25,AD91+1)</f>
        <v>11</v>
      </c>
      <c r="AK8" s="233">
        <f>VLOOKUP(AK7,AH103:AI188,2,0)</f>
        <v>56870</v>
      </c>
      <c r="AL8" s="233">
        <f>VLOOKUP(AL9,AH103:AI188,2,0)</f>
        <v>58330</v>
      </c>
      <c r="AM8" s="233">
        <f>VLOOKUP(AJ4,AH103:AI188,2,0)</f>
        <v>55410</v>
      </c>
      <c r="AN8" s="233">
        <f>VLOOKUP(AJ4,AH103:AI188,2,0)</f>
        <v>55410</v>
      </c>
      <c r="AO8" s="236">
        <f>VLOOKUP(AO7,AH103:AI182,2,0)</f>
        <v>59890</v>
      </c>
      <c r="AQ8" s="233">
        <v>5</v>
      </c>
      <c r="AR8" s="266" t="s">
        <v>479</v>
      </c>
      <c r="AS8" s="233">
        <f>IF(AND(AQ8&gt;AJ9),AK9,IF(AND(AQ8&gt;AJ8),AK8,IF(AND(AQ8&gt;=AJ7),AK7,AJ4)))</f>
        <v>53950</v>
      </c>
      <c r="AT8" s="233">
        <f>IF(AND(AQ8&gt;AJ8),AL8,IF(AND(AQ8&gt;AJ9),AL9,IF(AND(AQ8&gt;=AJ7),AL7,AJ4)))</f>
        <v>53950</v>
      </c>
      <c r="AU8" s="233">
        <f>IF(AND(AQ8&gt;AJ9),AM9,IF(AND(AQ8&gt;=AJ7),AM7,IF(AND(AQ8&gt;AJ8),AM8,AJ4)))</f>
        <v>53950</v>
      </c>
      <c r="AV8" s="233">
        <f>IF(AND(AQ8&gt;=AJ7),AN7,IF(AND(AQ8&gt;AJ9),AN9,IF(AND(AQ8&gt;AJ8),AN8,AJ4)))</f>
        <v>53950</v>
      </c>
      <c r="AW8" s="233">
        <f>IF(AND(AQ8&gt;AJ8),AO8,IF(AND(AQ8&gt;=AJ7),AO7,IF(AND(AQ8&gt;AJ9),AO9,AJ4)))</f>
        <v>53950</v>
      </c>
      <c r="BC8" s="233">
        <v>5</v>
      </c>
      <c r="BD8" s="235" t="s">
        <v>197</v>
      </c>
    </row>
    <row r="9" spans="1:66" ht="25.5" customHeight="1" thickBot="1">
      <c r="A9" s="616"/>
      <c r="B9" s="1055"/>
      <c r="C9" s="4" t="s">
        <v>45</v>
      </c>
      <c r="D9" s="10"/>
      <c r="E9" s="975" t="s">
        <v>46</v>
      </c>
      <c r="F9" s="976"/>
      <c r="G9" s="976"/>
      <c r="H9" s="977"/>
      <c r="I9" s="226"/>
      <c r="J9" s="783"/>
      <c r="K9" s="784"/>
      <c r="L9" s="1000" t="s">
        <v>47</v>
      </c>
      <c r="M9" s="1118"/>
      <c r="N9" s="1118"/>
      <c r="O9" s="1118"/>
      <c r="P9" s="9"/>
      <c r="Q9" s="641"/>
      <c r="R9" s="811"/>
      <c r="S9" s="927" t="s">
        <v>631</v>
      </c>
      <c r="T9" s="927"/>
      <c r="U9" s="928"/>
      <c r="AD9" s="233">
        <v>5</v>
      </c>
      <c r="AE9" s="233" t="s">
        <v>32</v>
      </c>
      <c r="AF9" s="233" t="str">
        <f>IF(AC4=1,"(English)","")</f>
        <v>(English)</v>
      </c>
      <c r="AI9" s="233" t="s">
        <v>147</v>
      </c>
      <c r="AJ9" s="233">
        <f>IF(V100=2,25,X103+1)</f>
        <v>25</v>
      </c>
      <c r="AK9" s="233">
        <f>MAX(AI10,AJ10)</f>
        <v>58330</v>
      </c>
      <c r="AL9" s="233">
        <f>MAX(AI11,AJ10)</f>
        <v>56870</v>
      </c>
      <c r="AM9" s="233">
        <f>MAX(AI12,AJ10)</f>
        <v>58330</v>
      </c>
      <c r="AN9" s="233">
        <f>MAX(AI13,AJ10)</f>
        <v>56870</v>
      </c>
      <c r="AO9" s="237">
        <f>MAX(AI14,AJ10)</f>
        <v>55410</v>
      </c>
      <c r="AQ9" s="233">
        <v>6</v>
      </c>
      <c r="AR9" s="266" t="s">
        <v>480</v>
      </c>
      <c r="AS9" s="233">
        <f>IF(AND(AQ9&gt;AJ9),AK9,IF(AND(AQ9&gt;AJ8),AK8,IF(AND(AQ9&gt;=AJ7),AK7,AJ4)))</f>
        <v>53950</v>
      </c>
      <c r="AT9" s="233">
        <f>IF(AND(AQ9&gt;AJ8),AL8,IF(AND(AQ9&gt;AJ9),AL9,IF(AND(AQ9&gt;=AJ7),AL7,AJ4)))</f>
        <v>53950</v>
      </c>
      <c r="AU9" s="233">
        <f>IF(AND(AQ9&gt;AJ9),AM9,IF(AND(AQ9&gt;=AJ7),AM7,IF(AND(AQ9&gt;AJ8),AM8,AJ4)))</f>
        <v>53950</v>
      </c>
      <c r="AV9" s="233">
        <f>IF(AND(AQ9&gt;=AJ7),AN7,IF(AND(AQ9&gt;AJ9),AN9,IF(AND(AQ9&gt;AJ8),AN8,AJ4)))</f>
        <v>53950</v>
      </c>
      <c r="AW9" s="233">
        <f>IF(AND(AQ9&gt;AJ8),AO8,IF(AND(AQ9&gt;=AJ7),AO7,IF(AND(AQ9&gt;AJ9),AO9,AJ4)))</f>
        <v>53950</v>
      </c>
      <c r="BC9" s="233">
        <v>6</v>
      </c>
      <c r="BD9" s="235" t="s">
        <v>198</v>
      </c>
    </row>
    <row r="10" spans="1:66" ht="25.5" customHeight="1" thickBot="1">
      <c r="A10" s="616"/>
      <c r="B10" s="1055"/>
      <c r="C10" s="3" t="s">
        <v>48</v>
      </c>
      <c r="D10" s="35"/>
      <c r="E10" s="1113" t="s">
        <v>774</v>
      </c>
      <c r="F10" s="1114"/>
      <c r="G10" s="1114"/>
      <c r="H10" s="1115"/>
      <c r="I10" s="329">
        <v>0</v>
      </c>
      <c r="J10" s="980"/>
      <c r="K10" s="981"/>
      <c r="L10" s="982" t="s">
        <v>49</v>
      </c>
      <c r="M10" s="983"/>
      <c r="N10" s="1119" t="s">
        <v>494</v>
      </c>
      <c r="O10" s="1120"/>
      <c r="P10" s="7"/>
      <c r="Q10" s="642"/>
      <c r="R10" s="811"/>
      <c r="S10" s="929"/>
      <c r="T10" s="929"/>
      <c r="U10" s="930"/>
      <c r="AD10" s="233">
        <v>6</v>
      </c>
      <c r="AE10" s="233" t="s">
        <v>457</v>
      </c>
      <c r="AF10" s="233" t="str">
        <f>IF(AC4=1,"(Maths)","")</f>
        <v>(Maths)</v>
      </c>
      <c r="AI10" s="233">
        <f>IF(U121=2,VLOOKUP(AK8,AH103:AJ182,2,0),VLOOKUP(AK8,AH103:AJ182,3,0))</f>
        <v>58330</v>
      </c>
      <c r="AJ10" s="233">
        <f>IF(AC4=5,18030,IF(AC4=1,14860,IF(AC4=6,14860,0)))</f>
        <v>14860</v>
      </c>
      <c r="AK10" s="233">
        <f>IF(AND(AJ9&lt;AJ7,AJ7&lt;=AJ8),5,IF(AND(AJ7&lt;=AJ8,AJ9&lt;=AJ8),2,IF(AND(AJ7&lt;=AJ8,AJ7&lt;=AJ9),1,IF(AND(AJ8&lt;AJ7,AJ9&lt;AJ7),4,IF(AND(AJ8&lt;AJ7,AJ8&lt;=AJ9),3)))))</f>
        <v>1</v>
      </c>
      <c r="AM10" s="238"/>
      <c r="AQ10" s="233">
        <v>7</v>
      </c>
      <c r="AR10" s="266" t="s">
        <v>481</v>
      </c>
      <c r="AS10" s="233">
        <f>IF(AND(AQ10&gt;AJ9),AK9,IF(AND(AQ10&gt;AJ8),AK8,IF(AND(AQ10&gt;=AJ7),AK7,AJ4)))</f>
        <v>53950</v>
      </c>
      <c r="AT10" s="233">
        <f>IF(AND(AQ10&gt;AJ8),AL8,IF(AND(AQ10&gt;AJ9),AL9,IF(AND(AQ10&gt;=AJ7),AL7,AJ4)))</f>
        <v>53950</v>
      </c>
      <c r="AU10" s="233">
        <f>IF(AND(AQ10&gt;AJ9),AM9,IF(AND(AQ10&gt;=AJ7),AM7,IF(AND(AQ10&gt;AJ8),AM8,AJ4)))</f>
        <v>53950</v>
      </c>
      <c r="AV10" s="233">
        <f>IF(AND(AQ10&gt;=AJ7),AN7,IF(AND(AQ10&gt;AJ9),AN9,IF(AND(AQ10&gt;AJ8),AN8,AJ4)))</f>
        <v>53950</v>
      </c>
      <c r="AW10" s="233">
        <f>IF(AND(AQ10&gt;AJ8),AO8,IF(AND(AQ10&gt;=AJ7),AO7,IF(AND(AQ10&gt;AJ9),AO9,AJ4)))</f>
        <v>53950</v>
      </c>
      <c r="BC10" s="233">
        <v>7</v>
      </c>
      <c r="BD10" s="235" t="s">
        <v>199</v>
      </c>
    </row>
    <row r="11" spans="1:66" ht="26.25" customHeight="1" thickBot="1">
      <c r="A11" s="616"/>
      <c r="B11" s="1055"/>
      <c r="C11" s="5" t="s">
        <v>50</v>
      </c>
      <c r="D11" s="330">
        <v>0</v>
      </c>
      <c r="E11" s="1100" t="s">
        <v>51</v>
      </c>
      <c r="F11" s="1101"/>
      <c r="G11" s="1101"/>
      <c r="H11" s="1102"/>
      <c r="I11" s="1"/>
      <c r="J11" s="1"/>
      <c r="K11" s="939" t="s">
        <v>169</v>
      </c>
      <c r="L11" s="940"/>
      <c r="M11" s="329">
        <v>0</v>
      </c>
      <c r="N11" s="978" t="s">
        <v>176</v>
      </c>
      <c r="O11" s="979"/>
      <c r="P11" s="979"/>
      <c r="Q11" s="639">
        <v>0</v>
      </c>
      <c r="R11" s="811"/>
      <c r="S11" s="905" t="s">
        <v>1</v>
      </c>
      <c r="T11" s="907" t="s">
        <v>651</v>
      </c>
      <c r="U11" s="908"/>
      <c r="AD11" s="233">
        <v>7</v>
      </c>
      <c r="AE11" s="233" t="s">
        <v>141</v>
      </c>
      <c r="AF11" s="233" t="str">
        <f>IF(AC4=1,"(Phy.Sci.)","")</f>
        <v>(Phy.Sci.)</v>
      </c>
      <c r="AI11" s="233">
        <f>IF(U121=2,VLOOKUP(AL7,AH103:AJ182,2,0),VLOOKUP(AL7,AH103:AJ182,3,0))</f>
        <v>56870</v>
      </c>
      <c r="AM11" s="238"/>
      <c r="AQ11" s="233">
        <v>8</v>
      </c>
      <c r="AR11" s="266" t="s">
        <v>482</v>
      </c>
      <c r="AS11" s="233">
        <f>IF(AND(AQ11&gt;AJ9),AK9,IF(AND(AQ11&gt;AJ8),AK8,IF(AND(AQ11&gt;=AJ7),AK7,AJ4)))</f>
        <v>53950</v>
      </c>
      <c r="AT11" s="233">
        <f>IF(AND(AQ11&gt;AJ8),AL8,IF(AND(AQ11&gt;AJ9),AL9,IF(AND(AQ11&gt;=AJ7),AL7,AJ4)))</f>
        <v>53950</v>
      </c>
      <c r="AU11" s="233">
        <f>IF(AND(AQ11&gt;AJ9),AM9,IF(AND(AQ11&gt;=AJ7),AM7,IF(AND(AQ11&gt;AJ8),AM8,AJ4)))</f>
        <v>53950</v>
      </c>
      <c r="AV11" s="233">
        <f>IF(AND(AQ11&gt;=AJ7),AN7,IF(AND(AQ11&gt;AJ9),AN9,IF(AND(AQ11&gt;AJ8),AN8,AJ4)))</f>
        <v>53950</v>
      </c>
      <c r="AW11" s="233">
        <f>IF(AND(AQ11&gt;AJ8),AO8,IF(AND(AQ11&gt;=AJ7),AO7,IF(AND(AQ11&gt;AJ9),AO9,AJ4)))</f>
        <v>53950</v>
      </c>
      <c r="BC11" s="233">
        <v>8</v>
      </c>
      <c r="BD11" s="235" t="s">
        <v>186</v>
      </c>
    </row>
    <row r="12" spans="1:66" ht="26.25" customHeight="1" thickBot="1">
      <c r="A12" s="616"/>
      <c r="B12" s="1056" t="s">
        <v>707</v>
      </c>
      <c r="C12" s="994" t="s">
        <v>468</v>
      </c>
      <c r="D12" s="333" t="s">
        <v>2</v>
      </c>
      <c r="E12" s="332">
        <v>0</v>
      </c>
      <c r="F12" s="1070" t="s">
        <v>542</v>
      </c>
      <c r="G12" s="1071"/>
      <c r="H12" s="1071"/>
      <c r="I12" s="1072"/>
      <c r="J12" s="1067">
        <v>0</v>
      </c>
      <c r="K12" s="1121" t="s">
        <v>508</v>
      </c>
      <c r="L12" s="1122"/>
      <c r="M12" s="1122"/>
      <c r="N12" s="1122"/>
      <c r="O12" s="1122"/>
      <c r="P12" s="1123"/>
      <c r="Q12" s="1110" t="s">
        <v>631</v>
      </c>
      <c r="R12" s="811"/>
      <c r="S12" s="906"/>
      <c r="T12" s="909"/>
      <c r="U12" s="910"/>
      <c r="AD12" s="233">
        <v>8</v>
      </c>
      <c r="AE12" s="233" t="s">
        <v>143</v>
      </c>
      <c r="AF12" s="233" t="str">
        <f>IF(AC4=1,"(Bio.Sci.)","")</f>
        <v>(Bio.Sci.)</v>
      </c>
      <c r="AI12" s="233">
        <f>IF(U121=2,VLOOKUP(AM7,AH103:AJ182,2,0),VLOOKUP(AM7,AH103:AJ182,3,0))</f>
        <v>58330</v>
      </c>
      <c r="AM12" s="238"/>
      <c r="AQ12" s="233">
        <v>9</v>
      </c>
      <c r="AR12" s="266" t="s">
        <v>483</v>
      </c>
      <c r="AS12" s="233">
        <f>IF(AND(AQ12&gt;AJ9),AK9,IF(AND(AQ12&gt;AJ8),AK8,IF(AND(AQ12&gt;=AJ7),AK7,AJ4)))</f>
        <v>53950</v>
      </c>
      <c r="AT12" s="233">
        <f>IF(AND(AQ12&gt;AJ8),AL8,IF(AND(AQ12&gt;AJ9),AL9,IF(AND(AQ12&gt;=AJ7),AL7,AJ4)))</f>
        <v>53950</v>
      </c>
      <c r="AU12" s="233">
        <f>IF(AND(AQ12&gt;AJ9),AM9,IF(AND(AQ12&gt;=AJ7),AM7,IF(AND(AQ12&gt;AJ8),AM8,AJ4)))</f>
        <v>53950</v>
      </c>
      <c r="AV12" s="233">
        <f>IF(AND(AQ12&gt;=AJ7),AN7,IF(AND(AQ12&gt;AJ9),AN9,IF(AND(AQ12&gt;AJ8),AN8,AJ4)))</f>
        <v>53950</v>
      </c>
      <c r="AW12" s="233">
        <f>IF(AND(AQ12&gt;AJ8),AO8,IF(AND(AQ12&gt;=AJ7),AO7,IF(AND(AQ12&gt;AJ9),AO9,AJ4)))</f>
        <v>53950</v>
      </c>
      <c r="BC12" s="233">
        <v>9</v>
      </c>
      <c r="BD12" s="235" t="s">
        <v>200</v>
      </c>
    </row>
    <row r="13" spans="1:66" ht="26.25" customHeight="1" thickBot="1">
      <c r="A13" s="616"/>
      <c r="B13" s="1056"/>
      <c r="C13" s="995"/>
      <c r="D13" s="333" t="s">
        <v>3</v>
      </c>
      <c r="E13" s="332">
        <v>0</v>
      </c>
      <c r="F13" s="1073"/>
      <c r="G13" s="1074"/>
      <c r="H13" s="1074"/>
      <c r="I13" s="1075"/>
      <c r="J13" s="1068"/>
      <c r="K13" s="988" t="s">
        <v>509</v>
      </c>
      <c r="L13" s="989"/>
      <c r="M13" s="989"/>
      <c r="N13" s="990"/>
      <c r="O13" s="1079">
        <v>0</v>
      </c>
      <c r="P13" s="1080"/>
      <c r="Q13" s="1111"/>
      <c r="R13" s="811"/>
      <c r="S13" s="818" t="s">
        <v>828</v>
      </c>
      <c r="T13" s="608">
        <f t="shared" ref="T13:T20" si="0">AX44</f>
        <v>52590</v>
      </c>
      <c r="U13" s="911" t="s">
        <v>841</v>
      </c>
      <c r="AD13" s="233">
        <v>9</v>
      </c>
      <c r="AE13" s="233" t="s">
        <v>142</v>
      </c>
      <c r="AF13" s="233" t="str">
        <f>IF(AC4=1,"(Social)","")</f>
        <v>(Social)</v>
      </c>
      <c r="AI13" s="233">
        <f>IF(U121=2,VLOOKUP(AN8,AH103:AJ182,2,0),VLOOKUP(AN8,AH103:AJ182,3,0))</f>
        <v>56870</v>
      </c>
      <c r="AM13" s="238"/>
      <c r="AQ13" s="233">
        <v>10</v>
      </c>
      <c r="AR13" s="266" t="s">
        <v>484</v>
      </c>
      <c r="AS13" s="233">
        <f>IF(AND(AQ13&gt;AJ9),AK9,IF(AND(AQ13&gt;AJ8),AK8,IF(AND(AQ13&gt;=AJ7),AK7,AJ4)))</f>
        <v>53950</v>
      </c>
      <c r="AT13" s="233">
        <f>IF(AND(AQ13&gt;AJ8),AL8,IF(AND(AQ13&gt;AJ9),AL9,IF(AND(AQ13&gt;=AJ7),AL7,AJ4)))</f>
        <v>53950</v>
      </c>
      <c r="AU13" s="233">
        <f>IF(AND(AQ13&gt;AJ9),AM9,IF(AND(AQ13&gt;=AJ7),AM7,IF(AND(AQ13&gt;AJ8),AM8,AJ4)))</f>
        <v>53950</v>
      </c>
      <c r="AV13" s="233">
        <f>IF(AND(AQ13&gt;=AJ7),AN7,IF(AND(AQ13&gt;AJ9),AN9,IF(AND(AQ13&gt;AJ8),AN8,AJ4)))</f>
        <v>53950</v>
      </c>
      <c r="AW13" s="233">
        <f>IF(AND(AQ13&gt;AJ8),AO8,IF(AND(AQ13&gt;=AJ7),AO7,IF(AND(AQ13&gt;AJ9),AO9,AJ4)))</f>
        <v>53950</v>
      </c>
    </row>
    <row r="14" spans="1:66" ht="26.25" customHeight="1" thickBot="1">
      <c r="A14" s="616"/>
      <c r="B14" s="1056"/>
      <c r="C14" s="995"/>
      <c r="D14" s="333" t="s">
        <v>4</v>
      </c>
      <c r="E14" s="332">
        <v>0</v>
      </c>
      <c r="F14" s="1073"/>
      <c r="G14" s="1074"/>
      <c r="H14" s="1074"/>
      <c r="I14" s="1075"/>
      <c r="J14" s="1068"/>
      <c r="K14" s="988" t="s">
        <v>510</v>
      </c>
      <c r="L14" s="989"/>
      <c r="M14" s="989"/>
      <c r="N14" s="990"/>
      <c r="O14" s="1079">
        <v>0</v>
      </c>
      <c r="P14" s="1080"/>
      <c r="Q14" s="1111"/>
      <c r="R14" s="811"/>
      <c r="S14" s="818" t="s">
        <v>745</v>
      </c>
      <c r="T14" s="608">
        <f t="shared" si="0"/>
        <v>52590</v>
      </c>
      <c r="U14" s="911"/>
      <c r="AD14" s="233">
        <v>10</v>
      </c>
      <c r="AF14" s="233" t="str">
        <f>IF(AC4=1,"(Phy.Edn)","")</f>
        <v>(Phy.Edn)</v>
      </c>
      <c r="AI14" s="233">
        <f>IF(U121=2,VLOOKUP(AJ4,AH103:AJ182,2,0),VLOOKUP(AJ4,AH103:AJ182,3,0))</f>
        <v>55410</v>
      </c>
      <c r="AM14" s="238"/>
      <c r="AQ14" s="233">
        <v>11</v>
      </c>
      <c r="AR14" s="266" t="s">
        <v>485</v>
      </c>
      <c r="AS14" s="233">
        <f>IF(AND(AQ14&gt;AJ9),AK9,IF(AND(AQ14&gt;AJ8),AK8,IF(AND(AQ14&gt;=AJ7),AK7,AJ4)))</f>
        <v>55410</v>
      </c>
      <c r="AT14" s="233">
        <f>IF(AND(AQ14&gt;AJ8),AL8,IF(AND(AQ14&gt;AJ9),AL9,IF(AND(AQ14&gt;=AJ7),AL7,AJ4)))</f>
        <v>55410</v>
      </c>
      <c r="AU14" s="233">
        <f>IF(AND(AQ14&gt;AJ9),AM9,IF(AND(AQ14&gt;=AJ7),AM7,IF(AND(AQ14&gt;AJ8),AM8,AJ4)))</f>
        <v>56870</v>
      </c>
      <c r="AV14" s="233">
        <f>IF(AND(AQ14&gt;=AJ7),AN7,IF(AND(AQ14&gt;AJ9),AN9,IF(AND(AQ14&gt;AJ8),AN8,AJ4)))</f>
        <v>58330</v>
      </c>
      <c r="AW14" s="233">
        <f>IF(AND(AQ14&gt;AJ8),AO8,IF(AND(AQ14&gt;=AJ7),AO7,IF(AND(AQ14&gt;AJ9),AO9,AJ4)))</f>
        <v>58330</v>
      </c>
    </row>
    <row r="15" spans="1:66" ht="26.25" customHeight="1" thickBot="1">
      <c r="A15" s="616"/>
      <c r="B15" s="1057"/>
      <c r="C15" s="996"/>
      <c r="D15" s="333" t="s">
        <v>42</v>
      </c>
      <c r="E15" s="332">
        <v>0</v>
      </c>
      <c r="F15" s="1076"/>
      <c r="G15" s="1077"/>
      <c r="H15" s="1077"/>
      <c r="I15" s="1078"/>
      <c r="J15" s="1069"/>
      <c r="K15" s="997" t="s">
        <v>247</v>
      </c>
      <c r="L15" s="998"/>
      <c r="M15" s="998"/>
      <c r="N15" s="999"/>
      <c r="O15" s="1081"/>
      <c r="P15" s="1082"/>
      <c r="Q15" s="1111"/>
      <c r="R15" s="811"/>
      <c r="S15" s="818" t="s">
        <v>829</v>
      </c>
      <c r="T15" s="608">
        <f t="shared" si="0"/>
        <v>52590</v>
      </c>
      <c r="U15" s="911"/>
      <c r="AD15" s="233">
        <v>11</v>
      </c>
      <c r="AM15" s="238"/>
      <c r="AQ15" s="233">
        <v>12</v>
      </c>
      <c r="AR15" s="266" t="s">
        <v>486</v>
      </c>
      <c r="AS15" s="233">
        <f>IF(AND(AQ15&gt;AJ9),AK9,IF(AND(AQ15&gt;AJ8),AK8,IF(AND(AQ15&gt;=AJ7),AK7,AJ4)))</f>
        <v>56870</v>
      </c>
      <c r="AT15" s="233">
        <f>IF(AND(AQ15&gt;AJ8),AL8,IF(AND(AQ15&gt;AJ9),AL9,IF(AND(AQ15&gt;=AJ7),AL7,AJ4)))</f>
        <v>58330</v>
      </c>
      <c r="AU15" s="233">
        <f>IF(AND(AQ15&gt;AJ9),AM9,IF(AND(AQ15&gt;=AJ7),AM7,IF(AND(AQ15&gt;AJ8),AM8,AJ4)))</f>
        <v>56870</v>
      </c>
      <c r="AV15" s="233">
        <f>IF(AND(AQ15&gt;AJ7),AN7,IF(AND(AQ15&gt;AJ9),AN9,IF(AND(AQ15&gt;AJ8),AN8,AJ4)))</f>
        <v>58330</v>
      </c>
      <c r="AW15" s="233">
        <f>IF(AND(AQ15&gt;AJ8),AO8,IF(AND(AQ15&gt;=AJ7),AO7,IF(AND(AQ15&gt;AJ9),AO9,AJ4)))</f>
        <v>59890</v>
      </c>
    </row>
    <row r="16" spans="1:66" ht="27.75" customHeight="1" thickBot="1">
      <c r="A16" s="616"/>
      <c r="B16" s="969" t="s">
        <v>703</v>
      </c>
      <c r="C16" s="621" t="s">
        <v>34</v>
      </c>
      <c r="D16" s="984"/>
      <c r="E16" s="985"/>
      <c r="F16" s="387" t="s">
        <v>40</v>
      </c>
      <c r="G16" s="991">
        <v>8441</v>
      </c>
      <c r="H16" s="992"/>
      <c r="I16" s="992"/>
      <c r="J16" s="993"/>
      <c r="K16" s="986" t="s">
        <v>315</v>
      </c>
      <c r="L16" s="987"/>
      <c r="M16" s="1089" t="s">
        <v>878</v>
      </c>
      <c r="N16" s="1090"/>
      <c r="O16" s="934"/>
      <c r="P16" s="934"/>
      <c r="Q16" s="934"/>
      <c r="R16" s="811"/>
      <c r="S16" s="818" t="s">
        <v>746</v>
      </c>
      <c r="T16" s="608">
        <f t="shared" si="0"/>
        <v>52590</v>
      </c>
      <c r="U16" s="911"/>
      <c r="AD16" s="233">
        <v>12</v>
      </c>
      <c r="AG16" s="239"/>
      <c r="AH16" s="240"/>
      <c r="AM16" s="238"/>
      <c r="AQ16" s="233">
        <v>13</v>
      </c>
      <c r="AR16" s="266" t="s">
        <v>487</v>
      </c>
      <c r="AS16" s="233">
        <f>IF(AND(AQ16&gt;$AJ$9),$AK$9,IF(AND(AQ16&gt;$AJ$8),$AK$8,IF(AND(AQ16&gt;=$AJ$7),$AK$7,$AJ$4)))</f>
        <v>56870</v>
      </c>
      <c r="AT16" s="233">
        <f>IF(AND(AQ16&gt;$AJ$8),$AL$8,IF(AND(AQ16&gt;$AJ$9),$AL$9,IF(AND(AQ16&gt;=$AJ$7),$AL$7,$AJ$4)))</f>
        <v>58330</v>
      </c>
      <c r="AU16" s="233">
        <f>IF(AND(AQ16&gt;$AJ$9),$AM$9,IF(AND(AQ16&gt;=$AJ$7),$AM$7,IF(AND(AQ16&gt;$AJ$8),$AM$8,$AJ$4)))</f>
        <v>56870</v>
      </c>
      <c r="AV16" s="233">
        <f>IF(AND(AQ16&gt;=$AJ$7),$AN$7,IF(AND(AQ16&gt;$AJ$9),$AN$9,IF(AND(AQ16&gt;$AJ$8),$AN$8,$AJ$4)))</f>
        <v>58330</v>
      </c>
      <c r="AW16" s="233">
        <f>IF(AND(AQ16&gt;$AJ$8),$AO$8,IF(AND(AQ16&gt;=$AJ$7),$AO$7,IF(AND($AQ$16&gt;$AJ$9),$AO$9,$AJ$4)))</f>
        <v>59890</v>
      </c>
      <c r="BC16" s="233">
        <v>1</v>
      </c>
      <c r="BD16" s="233" t="str">
        <f>VLOOKUP(BC16,BC4:BD12,2,)</f>
        <v>Children Tution Fee Paid</v>
      </c>
      <c r="BK16" s="233">
        <v>1</v>
      </c>
      <c r="BL16" s="233" t="str">
        <f>VLOOKUP(BK16,BK18:BL34,2,0)</f>
        <v>Not Availed</v>
      </c>
      <c r="BN16" s="266">
        <f>VLOOKUP(BK16,BK18:BN34,4,0)</f>
        <v>0</v>
      </c>
    </row>
    <row r="17" spans="1:66" ht="25.5" customHeight="1" thickBot="1">
      <c r="A17" s="616"/>
      <c r="B17" s="970"/>
      <c r="C17" s="3" t="s">
        <v>150</v>
      </c>
      <c r="D17" s="862">
        <v>10000</v>
      </c>
      <c r="E17" s="863"/>
      <c r="F17" s="939" t="s">
        <v>839</v>
      </c>
      <c r="G17" s="1104"/>
      <c r="H17" s="1104"/>
      <c r="I17" s="1104"/>
      <c r="J17" s="940"/>
      <c r="K17" s="2"/>
      <c r="L17" s="8"/>
      <c r="M17" s="1103" t="s">
        <v>36</v>
      </c>
      <c r="N17" s="1003"/>
      <c r="O17" s="1004"/>
      <c r="P17" s="862">
        <v>10000</v>
      </c>
      <c r="Q17" s="1058"/>
      <c r="R17" s="811"/>
      <c r="S17" s="818" t="s">
        <v>747</v>
      </c>
      <c r="T17" s="608">
        <f t="shared" si="0"/>
        <v>52590</v>
      </c>
      <c r="U17" s="911"/>
      <c r="AB17" s="233">
        <f>IF(OR(AA18=2,AA18=3),AC18,AB18)</f>
        <v>0</v>
      </c>
      <c r="AM17" s="238"/>
      <c r="AQ17" s="233">
        <v>14</v>
      </c>
      <c r="AR17" s="266" t="s">
        <v>488</v>
      </c>
      <c r="AS17" s="233">
        <f>IF(AND(AQ17&gt;$AJ$9),$AK$9,IF(AND(AQ17&gt;$AJ$8),$AK$8,IF(AND(AQ17&gt;=$AJ$7),$AK$7,$AJ$4)))</f>
        <v>56870</v>
      </c>
      <c r="AT17" s="233">
        <f>IF(AND(AQ17&gt;$AJ$8),$AL$8,IF(AND(AQ17&gt;$AJ$9),$AL$9,IF(AND(AQ17&gt;=$AJ$7),$AL$7,$AJ$4)))</f>
        <v>58330</v>
      </c>
      <c r="AU17" s="233">
        <f>IF(AND(AQ17&gt;$AJ$9),$AM$9,IF(AND(AQ17&gt;=$AJ$7),$AM$7,IF(AND(AQ17&gt;$AJ$8),$AM$8,$AJ$4)))</f>
        <v>56870</v>
      </c>
      <c r="AV17" s="233">
        <f>IF(AND(AQ17&gt;=$AJ$7),$AN$7,IF(AND(AQ17&gt;$AJ$9),$AN$9,IF(AND(AQ17&gt;$AJ$8),$AN$8,$AJ$4)))</f>
        <v>58330</v>
      </c>
      <c r="AW17" s="233">
        <f>IF(AND(AQ17&gt;$AJ$8),$AO$8,IF(AND(AQ17&gt;=$AJ$7),$AO$7,IF(AND($AQ$16&gt;$AJ$9),$AO$9,$AJ$4)))</f>
        <v>59890</v>
      </c>
      <c r="BC17" s="233">
        <v>7</v>
      </c>
      <c r="BD17" s="233" t="str">
        <f>VLOOKUP(BC17,BC4:BD12,2,)</f>
        <v xml:space="preserve">5 Years Fixed Deposits </v>
      </c>
    </row>
    <row r="18" spans="1:66" ht="25.5" customHeight="1" thickBot="1">
      <c r="A18" s="616"/>
      <c r="B18" s="970"/>
      <c r="C18" s="721" t="s">
        <v>741</v>
      </c>
      <c r="D18" s="1009" t="s">
        <v>879</v>
      </c>
      <c r="E18" s="1010"/>
      <c r="F18" s="1000" t="s">
        <v>37</v>
      </c>
      <c r="G18" s="1001"/>
      <c r="H18" s="329">
        <v>350</v>
      </c>
      <c r="I18" s="1002" t="s">
        <v>38</v>
      </c>
      <c r="J18" s="1003"/>
      <c r="K18" s="1003"/>
      <c r="L18" s="1004"/>
      <c r="M18" s="9"/>
      <c r="N18" s="6"/>
      <c r="O18" s="1000" t="s">
        <v>39</v>
      </c>
      <c r="P18" s="1001"/>
      <c r="Q18" s="633">
        <v>1400</v>
      </c>
      <c r="R18" s="811"/>
      <c r="S18" s="818" t="s">
        <v>748</v>
      </c>
      <c r="T18" s="608">
        <f t="shared" si="0"/>
        <v>53950</v>
      </c>
      <c r="U18" s="911"/>
      <c r="AA18" s="233">
        <v>2</v>
      </c>
      <c r="AB18" s="233">
        <f>MIN(IF(AND(AA18=4,K21&gt;200000,N21&lt;=3500000,Q21&lt;=5000000),K21-200000,0),50000)</f>
        <v>0</v>
      </c>
      <c r="AC18" s="233">
        <f>MIN(IF(AND(AA18=2,K21&gt;200000,Q21&lt;=4500000),K21-200000,0),150000)</f>
        <v>0</v>
      </c>
      <c r="AM18" s="238"/>
      <c r="BC18" s="233">
        <v>3</v>
      </c>
      <c r="BD18" s="233" t="str">
        <f>VLOOKUP(BC18,BC4:BD12,2,)</f>
        <v>National Savings Certificate</v>
      </c>
      <c r="BK18" s="233">
        <v>1</v>
      </c>
      <c r="BL18" s="266" t="s">
        <v>156</v>
      </c>
      <c r="BN18" s="609">
        <v>0</v>
      </c>
    </row>
    <row r="19" spans="1:66" ht="25.5" customHeight="1" thickBot="1">
      <c r="A19" s="616"/>
      <c r="B19" s="971"/>
      <c r="C19" s="982" t="s">
        <v>201</v>
      </c>
      <c r="D19" s="1005"/>
      <c r="E19" s="983"/>
      <c r="F19" s="331">
        <v>0</v>
      </c>
      <c r="G19" s="3" t="s">
        <v>20</v>
      </c>
      <c r="H19" s="6"/>
      <c r="I19" s="887" t="s">
        <v>498</v>
      </c>
      <c r="J19" s="888"/>
      <c r="K19" s="9"/>
      <c r="L19" s="6"/>
      <c r="M19" s="889" t="str">
        <f>Q89</f>
        <v>To get HRA Exemption, your Rent will be Rs. 14100</v>
      </c>
      <c r="N19" s="890"/>
      <c r="O19" s="890"/>
      <c r="P19" s="891"/>
      <c r="Q19" s="643">
        <v>14100</v>
      </c>
      <c r="R19" s="811"/>
      <c r="S19" s="818" t="s">
        <v>749</v>
      </c>
      <c r="T19" s="608">
        <f t="shared" si="0"/>
        <v>53950</v>
      </c>
      <c r="U19" s="911"/>
      <c r="AM19" s="238"/>
      <c r="BC19" s="233">
        <v>5</v>
      </c>
      <c r="BD19" s="233" t="str">
        <f>VLOOKUP(BC19,BC4:BD12,2,)</f>
        <v>PLI Annual Premuim</v>
      </c>
      <c r="BK19" s="233">
        <v>2</v>
      </c>
      <c r="BL19" s="266" t="s">
        <v>842</v>
      </c>
      <c r="BN19" s="609">
        <f>T13</f>
        <v>52590</v>
      </c>
    </row>
    <row r="20" spans="1:66" ht="31.5" customHeight="1" thickBot="1">
      <c r="A20" s="616"/>
      <c r="B20" s="1093" t="s">
        <v>704</v>
      </c>
      <c r="C20" s="544" t="s">
        <v>629</v>
      </c>
      <c r="D20" s="541"/>
      <c r="E20" s="538"/>
      <c r="F20" s="539"/>
      <c r="G20" s="540"/>
      <c r="H20" s="892" t="str">
        <f>IF(AA18=1,"","Loan Lender")</f>
        <v>Loan Lender</v>
      </c>
      <c r="I20" s="893"/>
      <c r="J20" s="933" t="s">
        <v>880</v>
      </c>
      <c r="K20" s="934"/>
      <c r="L20" s="934"/>
      <c r="M20" s="1017"/>
      <c r="N20" s="537" t="str">
        <f>IF(AA18=1,"","Branch")</f>
        <v>Branch</v>
      </c>
      <c r="O20" s="882" t="s">
        <v>881</v>
      </c>
      <c r="P20" s="882"/>
      <c r="Q20" s="882"/>
      <c r="R20" s="648"/>
      <c r="S20" s="819" t="s">
        <v>825</v>
      </c>
      <c r="T20" s="608">
        <f t="shared" si="0"/>
        <v>53950</v>
      </c>
      <c r="U20" s="912"/>
      <c r="X20" s="233">
        <f>Q19*12</f>
        <v>169200</v>
      </c>
      <c r="AA20" s="233">
        <v>1</v>
      </c>
      <c r="AB20" s="266" t="s">
        <v>628</v>
      </c>
      <c r="BC20" s="233">
        <v>4</v>
      </c>
      <c r="BD20" s="233" t="str">
        <f>VLOOKUP(BC20,BC4:BD12,2,)</f>
        <v>LIC Annual Premiums Paid by Hand</v>
      </c>
      <c r="BK20" s="233">
        <v>3</v>
      </c>
      <c r="BL20" s="266" t="s">
        <v>843</v>
      </c>
      <c r="BN20" s="609">
        <f>ROUND(BN19/2,0.1)</f>
        <v>26295</v>
      </c>
    </row>
    <row r="21" spans="1:66" ht="31.5" customHeight="1" thickBot="1">
      <c r="A21" s="616"/>
      <c r="B21" s="1094"/>
      <c r="C21" s="1095" t="str">
        <f>IF(AA18=1,"","Repayment of Home Loan Principle")</f>
        <v>Repayment of Home Loan Principle</v>
      </c>
      <c r="D21" s="1096"/>
      <c r="E21" s="1097"/>
      <c r="F21" s="862">
        <v>59926.5</v>
      </c>
      <c r="G21" s="863"/>
      <c r="H21" s="1006" t="str">
        <f>IF(AA18=1,"","Interest on Housing Loan")</f>
        <v>Interest on Housing Loan</v>
      </c>
      <c r="I21" s="1007"/>
      <c r="J21" s="1008"/>
      <c r="K21" s="539">
        <v>158610</v>
      </c>
      <c r="L21" s="879" t="str">
        <f>IF(OR(AA18=1,AA18=2,AA18=3,AA18=5),"","Loan taken Amount")</f>
        <v/>
      </c>
      <c r="M21" s="880"/>
      <c r="N21" s="539">
        <v>0</v>
      </c>
      <c r="O21" s="879" t="str">
        <f>IF(AA18=2,"Stampduty Paid Amount",IF(OR(AA18=1,AA18=3,AA18=5),"","House Value"))</f>
        <v>Stampduty Paid Amount</v>
      </c>
      <c r="P21" s="1064"/>
      <c r="Q21" s="644"/>
      <c r="R21" s="648"/>
      <c r="S21" s="913" t="s">
        <v>833</v>
      </c>
      <c r="T21" s="914"/>
      <c r="U21" s="915"/>
      <c r="AA21" s="233">
        <v>2</v>
      </c>
      <c r="AB21" s="266" t="s">
        <v>837</v>
      </c>
      <c r="BC21" s="233">
        <v>6</v>
      </c>
      <c r="BD21" s="233" t="str">
        <f>VLOOKUP(BC21,BC4:BD12,2,)</f>
        <v>Unit Linked Insurance Plan</v>
      </c>
      <c r="BK21" s="233">
        <v>4</v>
      </c>
      <c r="BL21" s="266" t="s">
        <v>844</v>
      </c>
      <c r="BN21" s="609">
        <f>T14</f>
        <v>52590</v>
      </c>
    </row>
    <row r="22" spans="1:66" ht="25.5" customHeight="1" thickBot="1">
      <c r="A22" s="616"/>
      <c r="B22" s="944" t="s">
        <v>832</v>
      </c>
      <c r="C22" s="944"/>
      <c r="D22" s="944"/>
      <c r="E22" s="944"/>
      <c r="F22" s="944"/>
      <c r="G22" s="944"/>
      <c r="H22" s="944"/>
      <c r="I22" s="944"/>
      <c r="J22" s="944"/>
      <c r="K22" s="944"/>
      <c r="L22" s="944"/>
      <c r="M22" s="944"/>
      <c r="N22" s="944"/>
      <c r="O22" s="944"/>
      <c r="P22" s="944"/>
      <c r="Q22" s="944"/>
      <c r="R22" s="648"/>
      <c r="S22" s="916"/>
      <c r="T22" s="917"/>
      <c r="U22" s="918"/>
      <c r="AA22" s="233">
        <v>3</v>
      </c>
      <c r="AB22" s="266" t="s">
        <v>838</v>
      </c>
      <c r="BC22" s="233">
        <v>8</v>
      </c>
      <c r="BD22" s="233" t="str">
        <f>VLOOKUP(BC22,BC4:BD14,2,)</f>
        <v>Public Provident Fund</v>
      </c>
      <c r="BK22" s="233">
        <v>5</v>
      </c>
      <c r="BL22" s="266" t="s">
        <v>845</v>
      </c>
      <c r="BN22" s="609">
        <f>ROUND(BN21/2,0.1)</f>
        <v>26295</v>
      </c>
    </row>
    <row r="23" spans="1:66" ht="27" customHeight="1" thickBot="1">
      <c r="A23" s="616"/>
      <c r="B23" s="1083" t="s">
        <v>705</v>
      </c>
      <c r="C23" s="542" t="str">
        <f>IF(N89=2,"Name of the House Owner","No Entry Required")</f>
        <v>Name of the House Owner</v>
      </c>
      <c r="D23" s="881" t="s">
        <v>882</v>
      </c>
      <c r="E23" s="882"/>
      <c r="F23" s="882"/>
      <c r="G23" s="883"/>
      <c r="H23" s="1087" t="str">
        <f>IF(N89=2,"Father/Husband Name","No Entry Required")</f>
        <v>Father/Husband Name</v>
      </c>
      <c r="I23" s="1088"/>
      <c r="J23" s="881" t="s">
        <v>883</v>
      </c>
      <c r="K23" s="882"/>
      <c r="L23" s="883"/>
      <c r="M23" s="566" t="str">
        <f>IF(X20&gt;=100000,"PAN Number","")</f>
        <v>PAN Number</v>
      </c>
      <c r="N23" s="534"/>
      <c r="O23" s="543" t="str">
        <f>IF(N89=2,"H.No","")</f>
        <v>H.No</v>
      </c>
      <c r="P23" s="1085"/>
      <c r="Q23" s="1086"/>
      <c r="R23" s="648"/>
      <c r="S23" s="646" t="s">
        <v>649</v>
      </c>
      <c r="T23" s="806">
        <f>BN16</f>
        <v>0</v>
      </c>
      <c r="U23" s="807"/>
      <c r="AA23" s="233">
        <v>4</v>
      </c>
      <c r="AB23" s="266" t="s">
        <v>743</v>
      </c>
      <c r="AG23" s="241"/>
      <c r="AH23" s="242"/>
      <c r="BK23" s="233">
        <v>6</v>
      </c>
      <c r="BL23" s="266" t="s">
        <v>846</v>
      </c>
      <c r="BN23" s="609">
        <f>T15</f>
        <v>52590</v>
      </c>
    </row>
    <row r="24" spans="1:66" ht="27" customHeight="1" thickBot="1">
      <c r="A24" s="616"/>
      <c r="B24" s="1084"/>
      <c r="C24" s="618" t="str">
        <f>IF(N89=2,"Colony, Village","No Entry Required")</f>
        <v>Colony, Village</v>
      </c>
      <c r="D24" s="884" t="s">
        <v>884</v>
      </c>
      <c r="E24" s="885"/>
      <c r="F24" s="885"/>
      <c r="G24" s="885"/>
      <c r="H24" s="885"/>
      <c r="I24" s="886"/>
      <c r="J24" s="619" t="str">
        <f>IF(N89=2,"Mandal","")</f>
        <v>Mandal</v>
      </c>
      <c r="K24" s="901" t="s">
        <v>885</v>
      </c>
      <c r="L24" s="902"/>
      <c r="M24" s="972"/>
      <c r="N24" s="619" t="str">
        <f>IF(N89=2,"District","")</f>
        <v>District</v>
      </c>
      <c r="O24" s="901" t="s">
        <v>881</v>
      </c>
      <c r="P24" s="902"/>
      <c r="Q24" s="902"/>
      <c r="R24" s="648"/>
      <c r="S24" s="919" t="s">
        <v>650</v>
      </c>
      <c r="T24" s="920"/>
      <c r="U24" s="808">
        <v>0</v>
      </c>
      <c r="AA24" s="233">
        <v>5</v>
      </c>
      <c r="AB24" s="266" t="s">
        <v>744</v>
      </c>
      <c r="AG24" s="241"/>
      <c r="AH24" s="242"/>
      <c r="BK24" s="233">
        <v>7</v>
      </c>
      <c r="BL24" s="266" t="s">
        <v>847</v>
      </c>
      <c r="BN24" s="609">
        <f>ROUND(BN23/2,0.1)</f>
        <v>26295</v>
      </c>
    </row>
    <row r="25" spans="1:66" ht="27" customHeight="1" thickBot="1">
      <c r="A25" s="616"/>
      <c r="B25" s="894" t="s">
        <v>864</v>
      </c>
      <c r="C25" s="897" t="s">
        <v>863</v>
      </c>
      <c r="D25" s="898"/>
      <c r="E25" s="898"/>
      <c r="F25" s="898"/>
      <c r="G25" s="898"/>
      <c r="H25" s="898"/>
      <c r="I25" s="898"/>
      <c r="J25" s="898"/>
      <c r="K25" s="898"/>
      <c r="L25" s="898"/>
      <c r="M25" s="898"/>
      <c r="N25" s="898"/>
      <c r="O25" s="898"/>
      <c r="P25" s="898"/>
      <c r="Q25" s="876" t="s">
        <v>872</v>
      </c>
      <c r="R25" s="648"/>
      <c r="S25" s="921"/>
      <c r="T25" s="922"/>
      <c r="U25" s="809"/>
      <c r="AA25" s="233">
        <v>6</v>
      </c>
      <c r="AB25" s="266" t="s">
        <v>742</v>
      </c>
      <c r="AG25" s="241"/>
      <c r="AH25" s="242"/>
      <c r="BK25" s="233">
        <v>8</v>
      </c>
      <c r="BL25" s="266" t="s">
        <v>848</v>
      </c>
      <c r="BN25" s="609">
        <f>T16</f>
        <v>52590</v>
      </c>
    </row>
    <row r="26" spans="1:66" ht="24" customHeight="1" thickBot="1">
      <c r="A26" s="616"/>
      <c r="B26" s="895"/>
      <c r="C26" s="871" t="s">
        <v>866</v>
      </c>
      <c r="D26" s="873"/>
      <c r="E26" s="871" t="s">
        <v>865</v>
      </c>
      <c r="F26" s="872"/>
      <c r="G26" s="873"/>
      <c r="H26" s="869">
        <v>0</v>
      </c>
      <c r="I26" s="870"/>
      <c r="J26" s="871" t="s">
        <v>868</v>
      </c>
      <c r="K26" s="872"/>
      <c r="L26" s="872"/>
      <c r="M26" s="872"/>
      <c r="N26" s="873"/>
      <c r="O26" s="899">
        <v>0</v>
      </c>
      <c r="P26" s="900"/>
      <c r="Q26" s="877"/>
      <c r="R26" s="648"/>
      <c r="S26" s="810" t="s">
        <v>652</v>
      </c>
      <c r="T26" s="810"/>
      <c r="U26" s="810"/>
      <c r="AG26" s="241"/>
      <c r="AH26" s="242"/>
      <c r="BK26" s="233">
        <v>9</v>
      </c>
      <c r="BL26" s="266" t="s">
        <v>849</v>
      </c>
      <c r="BN26" s="609">
        <f>ROUND(BN25/2,0.1)</f>
        <v>26295</v>
      </c>
    </row>
    <row r="27" spans="1:66" ht="27" customHeight="1" thickBot="1">
      <c r="A27" s="616"/>
      <c r="B27" s="896"/>
      <c r="C27" s="871" t="s">
        <v>867</v>
      </c>
      <c r="D27" s="873"/>
      <c r="E27" s="871" t="s">
        <v>865</v>
      </c>
      <c r="F27" s="872"/>
      <c r="G27" s="873"/>
      <c r="H27" s="869">
        <v>0</v>
      </c>
      <c r="I27" s="870"/>
      <c r="J27" s="871" t="s">
        <v>869</v>
      </c>
      <c r="K27" s="872"/>
      <c r="L27" s="872"/>
      <c r="M27" s="872"/>
      <c r="N27" s="873"/>
      <c r="O27" s="874">
        <v>0</v>
      </c>
      <c r="P27" s="875"/>
      <c r="Q27" s="878"/>
      <c r="R27" s="648"/>
      <c r="S27" s="923" t="s">
        <v>654</v>
      </c>
      <c r="T27" s="924"/>
      <c r="U27" s="329"/>
      <c r="AG27" s="241"/>
      <c r="AH27" s="242"/>
      <c r="BK27" s="233">
        <v>10</v>
      </c>
      <c r="BL27" s="266" t="s">
        <v>850</v>
      </c>
      <c r="BN27" s="609">
        <f>T17</f>
        <v>52590</v>
      </c>
    </row>
    <row r="28" spans="1:66" ht="65.25" customHeight="1" thickBot="1">
      <c r="A28" s="616"/>
      <c r="B28" s="1062"/>
      <c r="C28" s="1063"/>
      <c r="D28" s="1063"/>
      <c r="E28" s="1063"/>
      <c r="F28" s="1063"/>
      <c r="G28" s="1063"/>
      <c r="H28" s="1063"/>
      <c r="I28" s="1063"/>
      <c r="J28" s="1063"/>
      <c r="K28" s="1063"/>
      <c r="L28" s="1063"/>
      <c r="M28" s="1063"/>
      <c r="N28" s="1063"/>
      <c r="O28" s="1063"/>
      <c r="P28" s="1063"/>
      <c r="Q28" s="1063"/>
      <c r="R28" s="648"/>
      <c r="S28" s="925" t="s">
        <v>653</v>
      </c>
      <c r="T28" s="926"/>
      <c r="U28" s="329">
        <v>0</v>
      </c>
      <c r="W28" s="233">
        <v>30.391999999999999</v>
      </c>
      <c r="X28" s="233">
        <v>27.248000000000001</v>
      </c>
      <c r="Z28" s="233">
        <f>W28-X28</f>
        <v>3.1439999999999984</v>
      </c>
      <c r="AG28" s="241"/>
      <c r="AH28" s="242"/>
      <c r="BK28" s="233">
        <v>11</v>
      </c>
      <c r="BL28" s="266" t="s">
        <v>851</v>
      </c>
      <c r="BN28" s="609">
        <f>ROUND(BN27/2,0.1)</f>
        <v>26295</v>
      </c>
    </row>
    <row r="29" spans="1:66" ht="28.5" customHeight="1" thickBot="1">
      <c r="A29" s="616"/>
      <c r="B29" s="969" t="s">
        <v>771</v>
      </c>
      <c r="C29" s="864" t="s">
        <v>521</v>
      </c>
      <c r="D29" s="865"/>
      <c r="E29" s="866"/>
      <c r="F29" s="964" t="s">
        <v>290</v>
      </c>
      <c r="G29" s="965"/>
      <c r="H29" s="864" t="s">
        <v>220</v>
      </c>
      <c r="I29" s="865"/>
      <c r="J29" s="865"/>
      <c r="K29" s="865"/>
      <c r="L29" s="865"/>
      <c r="M29" s="865"/>
      <c r="N29" s="464" t="s">
        <v>290</v>
      </c>
      <c r="O29" s="867" t="s">
        <v>529</v>
      </c>
      <c r="P29" s="868"/>
      <c r="Q29" s="868"/>
      <c r="R29" s="648"/>
      <c r="S29" s="927" t="s">
        <v>631</v>
      </c>
      <c r="T29" s="927"/>
      <c r="U29" s="928"/>
      <c r="W29" s="233">
        <f t="shared" ref="W29:W36" si="1">ROUND(T13*$W$28%,0.1)</f>
        <v>15983</v>
      </c>
      <c r="X29" s="233">
        <f t="shared" ref="X29:X36" si="2">ROUND(T13*$X$28%,0.1)</f>
        <v>14330</v>
      </c>
      <c r="Y29" s="233">
        <f>W29-X29</f>
        <v>1653</v>
      </c>
      <c r="Z29" s="233">
        <f>ROUND(Y29*10%,0.1)</f>
        <v>165</v>
      </c>
      <c r="AG29" s="241"/>
      <c r="AH29" s="242"/>
      <c r="BK29" s="233">
        <v>12</v>
      </c>
      <c r="BL29" s="266" t="s">
        <v>852</v>
      </c>
      <c r="BN29" s="609">
        <f>T18</f>
        <v>53950</v>
      </c>
    </row>
    <row r="30" spans="1:66" ht="25.5" customHeight="1" thickBot="1">
      <c r="A30" s="616"/>
      <c r="B30" s="970"/>
      <c r="C30" s="567" t="s">
        <v>646</v>
      </c>
      <c r="D30" s="568"/>
      <c r="E30" s="535" t="s">
        <v>205</v>
      </c>
      <c r="F30" s="862"/>
      <c r="G30" s="863"/>
      <c r="H30" s="966" t="s">
        <v>237</v>
      </c>
      <c r="I30" s="967"/>
      <c r="J30" s="967"/>
      <c r="K30" s="967"/>
      <c r="L30" s="968"/>
      <c r="M30" s="42" t="s">
        <v>205</v>
      </c>
      <c r="N30" s="329">
        <v>0</v>
      </c>
      <c r="O30" s="950" t="s">
        <v>507</v>
      </c>
      <c r="P30" s="973" t="s">
        <v>248</v>
      </c>
      <c r="Q30" s="974"/>
      <c r="R30" s="648"/>
      <c r="S30" s="929"/>
      <c r="T30" s="929"/>
      <c r="U30" s="930"/>
      <c r="W30" s="233">
        <f t="shared" si="1"/>
        <v>15983</v>
      </c>
      <c r="X30" s="233">
        <f t="shared" si="2"/>
        <v>14330</v>
      </c>
      <c r="Y30" s="233">
        <f t="shared" ref="Y30:Y39" si="3">W30-X30</f>
        <v>1653</v>
      </c>
      <c r="Z30" s="233">
        <f t="shared" ref="Z30:Z39" si="4">ROUND(Y30*10%,0.1)</f>
        <v>165</v>
      </c>
      <c r="AG30" s="241"/>
      <c r="AH30" s="242"/>
      <c r="BK30" s="233">
        <v>13</v>
      </c>
      <c r="BL30" s="266" t="s">
        <v>853</v>
      </c>
      <c r="BN30" s="609">
        <f>ROUND(BN29/2,0.1)</f>
        <v>26975</v>
      </c>
    </row>
    <row r="31" spans="1:66" ht="26.25" customHeight="1" thickBot="1">
      <c r="A31" s="616"/>
      <c r="B31" s="970"/>
      <c r="C31" s="545" t="s">
        <v>637</v>
      </c>
      <c r="D31" s="536"/>
      <c r="E31" s="535" t="s">
        <v>205</v>
      </c>
      <c r="F31" s="862">
        <v>0</v>
      </c>
      <c r="G31" s="863"/>
      <c r="H31" s="966"/>
      <c r="I31" s="967"/>
      <c r="J31" s="967"/>
      <c r="K31" s="967"/>
      <c r="L31" s="968"/>
      <c r="M31" s="42" t="s">
        <v>205</v>
      </c>
      <c r="N31" s="570">
        <f>U84</f>
        <v>0</v>
      </c>
      <c r="O31" s="951"/>
      <c r="P31" s="31" t="s">
        <v>834</v>
      </c>
      <c r="Q31" s="645">
        <v>0</v>
      </c>
      <c r="R31" s="648"/>
      <c r="W31" s="233">
        <f t="shared" si="1"/>
        <v>15983</v>
      </c>
      <c r="X31" s="233">
        <f t="shared" si="2"/>
        <v>14330</v>
      </c>
      <c r="Y31" s="233">
        <f t="shared" si="3"/>
        <v>1653</v>
      </c>
      <c r="Z31" s="233">
        <f t="shared" si="4"/>
        <v>165</v>
      </c>
      <c r="AG31" s="241"/>
      <c r="AH31" s="242"/>
      <c r="BC31" s="234"/>
      <c r="BD31" s="234"/>
      <c r="BK31" s="233">
        <v>14</v>
      </c>
      <c r="BL31" s="266" t="s">
        <v>854</v>
      </c>
      <c r="BN31" s="609">
        <f>T19</f>
        <v>53950</v>
      </c>
    </row>
    <row r="32" spans="1:66" ht="25.5" customHeight="1" thickBot="1">
      <c r="A32" s="616"/>
      <c r="B32" s="970"/>
      <c r="C32" s="545" t="s">
        <v>638</v>
      </c>
      <c r="D32" s="536"/>
      <c r="E32" s="535" t="s">
        <v>205</v>
      </c>
      <c r="F32" s="862">
        <v>0</v>
      </c>
      <c r="G32" s="863"/>
      <c r="H32" s="941" t="s">
        <v>238</v>
      </c>
      <c r="I32" s="942"/>
      <c r="J32" s="942"/>
      <c r="K32" s="942"/>
      <c r="L32" s="943"/>
      <c r="M32" s="42" t="s">
        <v>205</v>
      </c>
      <c r="N32" s="570">
        <f>S85</f>
        <v>0</v>
      </c>
      <c r="O32" s="951"/>
      <c r="P32" s="3" t="s">
        <v>835</v>
      </c>
      <c r="Q32" s="643">
        <v>0</v>
      </c>
      <c r="R32" s="648"/>
      <c r="W32" s="233">
        <f t="shared" si="1"/>
        <v>15983</v>
      </c>
      <c r="X32" s="233">
        <f t="shared" si="2"/>
        <v>14330</v>
      </c>
      <c r="Y32" s="233">
        <f t="shared" si="3"/>
        <v>1653</v>
      </c>
      <c r="Z32" s="233">
        <f t="shared" si="4"/>
        <v>165</v>
      </c>
      <c r="AD32" s="233">
        <v>13</v>
      </c>
      <c r="AG32" s="241">
        <v>3</v>
      </c>
      <c r="AH32" s="242">
        <f>VLOOKUP(AG32,AG33:AH36,2,90)</f>
        <v>60</v>
      </c>
      <c r="BC32" s="234"/>
      <c r="BD32" s="234"/>
      <c r="BK32" s="233">
        <v>15</v>
      </c>
      <c r="BL32" s="266" t="s">
        <v>855</v>
      </c>
      <c r="BN32" s="609">
        <f>ROUND(BN31/2,0.1)</f>
        <v>26975</v>
      </c>
    </row>
    <row r="33" spans="1:197" ht="27.75" customHeight="1" thickBot="1">
      <c r="A33" s="616"/>
      <c r="B33" s="970"/>
      <c r="C33" s="545" t="s">
        <v>639</v>
      </c>
      <c r="D33" s="536"/>
      <c r="E33" s="535" t="s">
        <v>205</v>
      </c>
      <c r="F33" s="862">
        <v>0</v>
      </c>
      <c r="G33" s="863"/>
      <c r="H33" s="945" t="s">
        <v>524</v>
      </c>
      <c r="I33" s="946"/>
      <c r="J33" s="946"/>
      <c r="K33" s="946"/>
      <c r="L33" s="947"/>
      <c r="M33" s="42" t="s">
        <v>205</v>
      </c>
      <c r="N33" s="329">
        <v>0</v>
      </c>
      <c r="O33" s="951"/>
      <c r="P33" s="3" t="s">
        <v>780</v>
      </c>
      <c r="Q33" s="645">
        <v>0</v>
      </c>
      <c r="R33" s="648"/>
      <c r="W33" s="233">
        <f t="shared" si="1"/>
        <v>15983</v>
      </c>
      <c r="X33" s="233">
        <f t="shared" si="2"/>
        <v>14330</v>
      </c>
      <c r="Y33" s="233">
        <f t="shared" si="3"/>
        <v>1653</v>
      </c>
      <c r="Z33" s="233">
        <f t="shared" si="4"/>
        <v>165</v>
      </c>
      <c r="AG33" s="241">
        <v>1</v>
      </c>
      <c r="AH33" s="242">
        <v>15</v>
      </c>
      <c r="BK33" s="233">
        <v>16</v>
      </c>
      <c r="BL33" s="266" t="s">
        <v>856</v>
      </c>
      <c r="BN33" s="609">
        <f>T20</f>
        <v>53950</v>
      </c>
    </row>
    <row r="34" spans="1:197" ht="27.75" customHeight="1" thickBot="1">
      <c r="A34" s="616"/>
      <c r="B34" s="970"/>
      <c r="C34" s="545" t="s">
        <v>640</v>
      </c>
      <c r="D34" s="536"/>
      <c r="E34" s="535" t="s">
        <v>205</v>
      </c>
      <c r="F34" s="862"/>
      <c r="G34" s="863"/>
      <c r="H34" s="945" t="s">
        <v>525</v>
      </c>
      <c r="I34" s="946"/>
      <c r="J34" s="946"/>
      <c r="K34" s="946"/>
      <c r="L34" s="947"/>
      <c r="M34" s="42" t="s">
        <v>205</v>
      </c>
      <c r="N34" s="329">
        <v>0</v>
      </c>
      <c r="O34" s="951"/>
      <c r="P34" s="3" t="s">
        <v>836</v>
      </c>
      <c r="Q34" s="645">
        <v>0</v>
      </c>
      <c r="R34" s="648"/>
      <c r="W34" s="233">
        <f t="shared" si="1"/>
        <v>16396</v>
      </c>
      <c r="X34" s="233">
        <f t="shared" si="2"/>
        <v>14700</v>
      </c>
      <c r="Y34" s="233">
        <f t="shared" si="3"/>
        <v>1696</v>
      </c>
      <c r="Z34" s="233">
        <f t="shared" si="4"/>
        <v>170</v>
      </c>
      <c r="AG34" s="241">
        <v>2</v>
      </c>
      <c r="AH34" s="242">
        <v>30</v>
      </c>
      <c r="BK34" s="233">
        <v>17</v>
      </c>
      <c r="BL34" s="266" t="s">
        <v>857</v>
      </c>
      <c r="BN34" s="609">
        <f>ROUND(BN33/2,0.1)</f>
        <v>26975</v>
      </c>
    </row>
    <row r="35" spans="1:197" ht="27.75" customHeight="1" thickBot="1">
      <c r="A35" s="616"/>
      <c r="B35" s="970"/>
      <c r="C35" s="545" t="s">
        <v>641</v>
      </c>
      <c r="D35" s="536"/>
      <c r="E35" s="535" t="s">
        <v>205</v>
      </c>
      <c r="F35" s="862">
        <v>0</v>
      </c>
      <c r="G35" s="863"/>
      <c r="H35" s="953" t="s">
        <v>752</v>
      </c>
      <c r="I35" s="954"/>
      <c r="J35" s="954"/>
      <c r="K35" s="954"/>
      <c r="L35" s="955"/>
      <c r="M35" s="959" t="s">
        <v>205</v>
      </c>
      <c r="N35" s="948">
        <v>0</v>
      </c>
      <c r="O35" s="951"/>
      <c r="P35" s="3" t="s">
        <v>826</v>
      </c>
      <c r="Q35" s="645">
        <v>0</v>
      </c>
      <c r="R35" s="648"/>
      <c r="W35" s="233">
        <f t="shared" si="1"/>
        <v>16396</v>
      </c>
      <c r="X35" s="233">
        <f t="shared" si="2"/>
        <v>14700</v>
      </c>
      <c r="Y35" s="233">
        <f t="shared" si="3"/>
        <v>1696</v>
      </c>
      <c r="Z35" s="233">
        <f t="shared" si="4"/>
        <v>170</v>
      </c>
      <c r="AB35" s="233">
        <v>1</v>
      </c>
      <c r="AD35" s="233">
        <f>VLOOKUP(AE35,AE36:AF38,2,0)</f>
        <v>1</v>
      </c>
      <c r="AE35" s="233" t="str">
        <f>D4</f>
        <v>Sri.</v>
      </c>
      <c r="AG35" s="241">
        <v>3</v>
      </c>
      <c r="AH35" s="242">
        <v>60</v>
      </c>
      <c r="AQ35" s="243"/>
      <c r="AR35" s="243"/>
      <c r="AS35" s="243"/>
      <c r="AT35" s="243"/>
      <c r="AU35" s="243"/>
      <c r="AV35" s="243"/>
      <c r="AW35" s="243"/>
      <c r="BC35" s="243"/>
      <c r="BD35" s="243"/>
      <c r="BE35" s="243"/>
      <c r="BK35" s="234"/>
      <c r="BL35" s="234"/>
      <c r="BM35" s="234"/>
      <c r="BN35" s="234"/>
    </row>
    <row r="36" spans="1:197" ht="27.75" customHeight="1" thickBot="1">
      <c r="A36" s="616"/>
      <c r="B36" s="970"/>
      <c r="C36" s="545" t="s">
        <v>642</v>
      </c>
      <c r="D36" s="536"/>
      <c r="E36" s="535" t="s">
        <v>205</v>
      </c>
      <c r="F36" s="862">
        <v>0</v>
      </c>
      <c r="G36" s="863"/>
      <c r="H36" s="956"/>
      <c r="I36" s="957"/>
      <c r="J36" s="957"/>
      <c r="K36" s="957"/>
      <c r="L36" s="958"/>
      <c r="M36" s="960"/>
      <c r="N36" s="949"/>
      <c r="O36" s="951"/>
      <c r="P36" s="31" t="s">
        <v>783</v>
      </c>
      <c r="Q36" s="645">
        <v>0</v>
      </c>
      <c r="R36" s="648"/>
      <c r="W36" s="233">
        <f t="shared" si="1"/>
        <v>16396</v>
      </c>
      <c r="X36" s="233">
        <f t="shared" si="2"/>
        <v>14700</v>
      </c>
      <c r="Y36" s="233">
        <f t="shared" si="3"/>
        <v>1696</v>
      </c>
      <c r="Z36" s="233">
        <f t="shared" si="4"/>
        <v>170</v>
      </c>
      <c r="AD36" s="233">
        <v>1</v>
      </c>
      <c r="AE36" s="233" t="s">
        <v>135</v>
      </c>
      <c r="AF36" s="233">
        <v>1</v>
      </c>
      <c r="AG36" s="244">
        <v>4</v>
      </c>
      <c r="AH36" s="245">
        <v>120</v>
      </c>
    </row>
    <row r="37" spans="1:197" ht="27.75" customHeight="1" thickBot="1">
      <c r="A37" s="616"/>
      <c r="B37" s="971"/>
      <c r="C37" s="1024"/>
      <c r="D37" s="1025"/>
      <c r="E37" s="569" t="s">
        <v>42</v>
      </c>
      <c r="F37" s="862">
        <v>0</v>
      </c>
      <c r="G37" s="863"/>
      <c r="H37" s="945" t="s">
        <v>541</v>
      </c>
      <c r="I37" s="946"/>
      <c r="J37" s="946"/>
      <c r="K37" s="946"/>
      <c r="L37" s="947"/>
      <c r="M37" s="42" t="s">
        <v>205</v>
      </c>
      <c r="N37" s="329">
        <v>0</v>
      </c>
      <c r="O37" s="951"/>
      <c r="P37" s="3" t="s">
        <v>827</v>
      </c>
      <c r="Q37" s="645">
        <v>0</v>
      </c>
      <c r="R37" s="648"/>
      <c r="W37" s="233">
        <f>ROUND('Annexure -I'!D4*$W$28%,0.1)</f>
        <v>16396</v>
      </c>
      <c r="X37" s="233">
        <f>ROUND('Annexure -I'!D4*$X$28%,0.1)</f>
        <v>14700</v>
      </c>
      <c r="Y37" s="233">
        <f t="shared" si="3"/>
        <v>1696</v>
      </c>
      <c r="Z37" s="233">
        <f t="shared" si="4"/>
        <v>170</v>
      </c>
      <c r="AD37" s="233">
        <v>2</v>
      </c>
      <c r="AE37" s="233" t="s">
        <v>136</v>
      </c>
      <c r="AF37" s="233">
        <v>2</v>
      </c>
      <c r="AG37" s="247"/>
      <c r="AH37" s="247"/>
    </row>
    <row r="38" spans="1:197" ht="24.75" customHeight="1" thickBot="1">
      <c r="A38" s="616"/>
      <c r="B38" s="782"/>
      <c r="C38" s="937" t="s">
        <v>522</v>
      </c>
      <c r="D38" s="937"/>
      <c r="E38" s="937"/>
      <c r="F38" s="937"/>
      <c r="G38" s="937"/>
      <c r="H38" s="1026" t="s">
        <v>737</v>
      </c>
      <c r="I38" s="1027"/>
      <c r="J38" s="1042"/>
      <c r="K38" s="1043"/>
      <c r="L38" s="1049" t="s">
        <v>458</v>
      </c>
      <c r="M38" s="1050"/>
      <c r="N38" s="1051"/>
      <c r="O38" s="951"/>
      <c r="P38" s="3" t="s">
        <v>785</v>
      </c>
      <c r="Q38" s="645">
        <v>0</v>
      </c>
      <c r="R38" s="648"/>
      <c r="W38" s="233">
        <f>ROUND('Annexure -I'!D5*$W$28%,0.1)</f>
        <v>16396</v>
      </c>
      <c r="X38" s="233">
        <f>ROUND('Annexure -I'!D5*$X$28%,0.1)</f>
        <v>14700</v>
      </c>
      <c r="Y38" s="233">
        <f t="shared" si="3"/>
        <v>1696</v>
      </c>
      <c r="Z38" s="233">
        <f t="shared" si="4"/>
        <v>170</v>
      </c>
      <c r="AD38" s="233">
        <v>3</v>
      </c>
      <c r="AE38" s="233" t="s">
        <v>137</v>
      </c>
      <c r="AF38" s="233">
        <v>3</v>
      </c>
      <c r="AG38" s="247"/>
      <c r="AH38" s="247"/>
      <c r="AW38" s="233">
        <f>AD74</f>
        <v>11</v>
      </c>
      <c r="AX38" s="233">
        <f>VLOOKUP(AW38,AQ40:AX52,8,0)</f>
        <v>53950</v>
      </c>
    </row>
    <row r="39" spans="1:197" ht="27.75" customHeight="1" thickBot="1">
      <c r="A39" s="616"/>
      <c r="B39" s="617"/>
      <c r="C39" s="938"/>
      <c r="D39" s="938"/>
      <c r="E39" s="938"/>
      <c r="F39" s="938"/>
      <c r="G39" s="938"/>
      <c r="H39" s="1028"/>
      <c r="I39" s="1029"/>
      <c r="J39" s="1044"/>
      <c r="K39" s="1045"/>
      <c r="L39" s="1036" t="s">
        <v>764</v>
      </c>
      <c r="M39" s="1037"/>
      <c r="N39" s="1038"/>
      <c r="O39" s="951"/>
      <c r="P39" s="3" t="s">
        <v>786</v>
      </c>
      <c r="Q39" s="645">
        <v>0</v>
      </c>
      <c r="R39" s="648"/>
      <c r="W39" s="233">
        <f>ROUND('Annexure -I'!D6*$W$28%,0.1)</f>
        <v>16396</v>
      </c>
      <c r="X39" s="233">
        <f>ROUND('Annexure -I'!D6*$X$28%,0.1)</f>
        <v>14700</v>
      </c>
      <c r="Y39" s="233">
        <f t="shared" si="3"/>
        <v>1696</v>
      </c>
      <c r="Z39" s="233">
        <f t="shared" si="4"/>
        <v>170</v>
      </c>
      <c r="AW39" s="266"/>
      <c r="BK39" s="243"/>
      <c r="BL39" s="243"/>
      <c r="BM39" s="243"/>
      <c r="BN39" s="243"/>
      <c r="BO39" s="243"/>
    </row>
    <row r="40" spans="1:197" ht="28.5" customHeight="1" thickBot="1">
      <c r="A40" s="616"/>
      <c r="B40" s="961" t="s">
        <v>476</v>
      </c>
      <c r="C40" s="1012" t="s">
        <v>476</v>
      </c>
      <c r="D40" s="1013"/>
      <c r="E40" s="1013"/>
      <c r="F40" s="1013"/>
      <c r="G40" s="1013"/>
      <c r="H40" s="1028"/>
      <c r="I40" s="1029"/>
      <c r="J40" s="1044"/>
      <c r="K40" s="1045"/>
      <c r="L40" s="1039" t="s">
        <v>765</v>
      </c>
      <c r="M40" s="1040"/>
      <c r="N40" s="1041"/>
      <c r="O40" s="951"/>
      <c r="P40" s="3" t="s">
        <v>787</v>
      </c>
      <c r="Q40" s="645">
        <v>0</v>
      </c>
      <c r="R40" s="648"/>
      <c r="S40" s="821" t="s">
        <v>676</v>
      </c>
      <c r="W40" s="233">
        <f>ROUND(T23*$W$28%,0.1)</f>
        <v>0</v>
      </c>
      <c r="X40" s="233">
        <f>ROUND(T23*$X$28%,0.1)</f>
        <v>0</v>
      </c>
      <c r="Y40" s="233">
        <f>W40-X40</f>
        <v>0</v>
      </c>
      <c r="Z40" s="233">
        <v>0</v>
      </c>
      <c r="AQ40" s="233">
        <v>2</v>
      </c>
      <c r="AR40" s="266" t="s">
        <v>750</v>
      </c>
      <c r="AS40" s="233">
        <f>IF(AND(AK10=1),VLOOKUP(AQ40,AQ5:AW16,3,0),IF(AND(AK10=2),VLOOKUP(AQ40,AQ5:AW16,4,0),IF(AND(AK10=3),VLOOKUP(AQ40,AQ5:AW16,5,0),IF(AND(AK10=4),VLOOKUP(AQ40,AQ5:AW16,6,0),IF(AND(AK10=5),VLOOKUP(AQ40,AQ5:AW16,7,0))))))</f>
        <v>53950</v>
      </c>
      <c r="AT40" s="268">
        <v>27.248000000000001</v>
      </c>
      <c r="AV40" s="266" t="s">
        <v>676</v>
      </c>
      <c r="AW40" s="266" t="s">
        <v>750</v>
      </c>
      <c r="AX40" s="233">
        <f t="shared" ref="AX40:AX47" si="5">IF(AW$38&lt;=AQ40,AX41,VLOOKUP(AX$38,AE$104:AK$186,7,0))</f>
        <v>52590</v>
      </c>
      <c r="BP40" s="243"/>
    </row>
    <row r="41" spans="1:197" s="248" customFormat="1" ht="28.5" customHeight="1" thickBot="1">
      <c r="A41" s="616"/>
      <c r="B41" s="962"/>
      <c r="C41" s="3" t="s">
        <v>314</v>
      </c>
      <c r="D41" s="933" t="s">
        <v>886</v>
      </c>
      <c r="E41" s="934"/>
      <c r="F41" s="934"/>
      <c r="G41" s="934"/>
      <c r="H41" s="1028"/>
      <c r="I41" s="1029"/>
      <c r="J41" s="1044"/>
      <c r="K41" s="1045"/>
      <c r="L41" s="1032" t="s">
        <v>630</v>
      </c>
      <c r="M41" s="1033"/>
      <c r="N41" s="1034"/>
      <c r="O41" s="951"/>
      <c r="P41" s="334" t="s">
        <v>788</v>
      </c>
      <c r="Q41" s="643">
        <v>0</v>
      </c>
      <c r="R41" s="649"/>
      <c r="S41" s="821" t="s">
        <v>676</v>
      </c>
      <c r="T41" s="573"/>
      <c r="U41" s="573"/>
      <c r="V41" s="551"/>
      <c r="W41" s="233">
        <f>ROUND(U24*$W$28%,0.1)</f>
        <v>0</v>
      </c>
      <c r="X41" s="233">
        <f>ROUND(U24*$X$28%,0.1)</f>
        <v>0</v>
      </c>
      <c r="Y41" s="233">
        <f>W41-X41</f>
        <v>0</v>
      </c>
      <c r="Z41" s="233">
        <f>ROUND(Y41*10%,0.1)</f>
        <v>0</v>
      </c>
      <c r="AA41" s="233"/>
      <c r="AB41" s="266">
        <f>U27-Y37</f>
        <v>-1696</v>
      </c>
      <c r="AC41" s="243"/>
      <c r="AF41" s="243"/>
      <c r="AG41" s="243"/>
      <c r="AH41" s="246"/>
      <c r="AI41" s="247"/>
      <c r="AJ41" s="246"/>
      <c r="AK41" s="246"/>
      <c r="AL41" s="246"/>
      <c r="AM41" s="246"/>
      <c r="AN41" s="246"/>
      <c r="AO41" s="246"/>
      <c r="AP41" s="243"/>
      <c r="AQ41" s="233">
        <v>3</v>
      </c>
      <c r="AR41" s="266" t="s">
        <v>779</v>
      </c>
      <c r="AS41" s="233">
        <f>IF(AND(AK10=1),VLOOKUP(AQ41,AQ5:AW16,3,0),IF(AND(AK10=2),VLOOKUP(AQ41,AQ5:AW16,4,0),IF(AND(AK10=3),VLOOKUP(AQ41,AQ5:AW16,5,0),IF(AND(AK10=4),VLOOKUP(AQ41,AQ5:AW16,6,0),IF(AND(AK10=5),VLOOKUP(AQ41,AQ5:AW16,7,0))))))</f>
        <v>53950</v>
      </c>
      <c r="AT41" s="268">
        <v>27.248000000000001</v>
      </c>
      <c r="AU41" s="233"/>
      <c r="AV41" s="266" t="s">
        <v>676</v>
      </c>
      <c r="AW41" s="266" t="s">
        <v>779</v>
      </c>
      <c r="AX41" s="233">
        <f t="shared" si="5"/>
        <v>52590</v>
      </c>
      <c r="AY41" s="243"/>
      <c r="AZ41" s="243"/>
      <c r="BA41" s="243"/>
      <c r="BB41" s="243"/>
      <c r="BC41" s="233"/>
      <c r="BD41" s="233"/>
      <c r="BE41" s="233"/>
      <c r="BF41" s="243"/>
      <c r="BG41" s="243"/>
      <c r="BH41" s="243"/>
      <c r="BI41" s="243"/>
      <c r="BJ41" s="243"/>
      <c r="BK41" s="233"/>
      <c r="BL41" s="233"/>
      <c r="BM41" s="233"/>
      <c r="BN41" s="233"/>
      <c r="BO41" s="233"/>
      <c r="BP41" s="23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S41" s="243"/>
      <c r="DT41" s="243"/>
      <c r="DU41" s="243"/>
      <c r="DV41" s="243"/>
      <c r="DW41" s="243"/>
      <c r="DX41" s="243"/>
      <c r="DY41" s="243"/>
      <c r="DZ41" s="243"/>
      <c r="EA41" s="243"/>
      <c r="EB41" s="243"/>
      <c r="EC41" s="243"/>
      <c r="ED41" s="243"/>
      <c r="EE41" s="243"/>
      <c r="EF41" s="243"/>
      <c r="EG41" s="243"/>
      <c r="EH41" s="243"/>
      <c r="EI41" s="243"/>
      <c r="EJ41" s="243"/>
      <c r="EK41" s="243"/>
      <c r="EL41" s="243"/>
      <c r="EM41" s="243"/>
      <c r="EN41" s="243"/>
      <c r="EO41" s="243"/>
      <c r="EP41" s="243"/>
      <c r="EQ41" s="243"/>
      <c r="ER41" s="243"/>
      <c r="ES41" s="243"/>
      <c r="ET41" s="243"/>
      <c r="EU41" s="243"/>
      <c r="EV41" s="243"/>
      <c r="EW41" s="243"/>
      <c r="EX41" s="243"/>
      <c r="EY41" s="243"/>
      <c r="EZ41" s="243"/>
      <c r="FA41" s="243"/>
      <c r="FB41" s="243"/>
      <c r="FC41" s="243"/>
      <c r="FD41" s="243"/>
      <c r="FE41" s="243"/>
      <c r="FF41" s="243"/>
      <c r="FG41" s="243"/>
      <c r="FH41" s="243"/>
      <c r="FI41" s="243"/>
      <c r="FJ41" s="243"/>
      <c r="FK41" s="243"/>
      <c r="FL41" s="243"/>
      <c r="FM41" s="243"/>
      <c r="FN41" s="243"/>
      <c r="FO41" s="243"/>
      <c r="FP41" s="243"/>
      <c r="FQ41" s="243"/>
      <c r="FR41" s="243"/>
      <c r="FS41" s="243"/>
      <c r="FT41" s="243"/>
      <c r="FU41" s="243"/>
      <c r="FV41" s="243"/>
      <c r="FW41" s="243"/>
      <c r="FX41" s="243"/>
      <c r="FY41" s="243"/>
      <c r="FZ41" s="243"/>
      <c r="GA41" s="243"/>
      <c r="GB41" s="243"/>
      <c r="GC41" s="243"/>
      <c r="GD41" s="243"/>
      <c r="GE41" s="243"/>
      <c r="GF41" s="243"/>
      <c r="GG41" s="243"/>
      <c r="GH41" s="243"/>
      <c r="GI41" s="243"/>
      <c r="GJ41" s="243"/>
      <c r="GK41" s="243"/>
      <c r="GL41" s="243"/>
      <c r="GM41" s="243"/>
      <c r="GN41" s="243"/>
      <c r="GO41" s="243"/>
    </row>
    <row r="42" spans="1:197" ht="28.5" customHeight="1" thickBot="1">
      <c r="A42" s="616"/>
      <c r="B42" s="962"/>
      <c r="C42" s="3" t="s">
        <v>466</v>
      </c>
      <c r="D42" s="933" t="s">
        <v>887</v>
      </c>
      <c r="E42" s="934"/>
      <c r="F42" s="934"/>
      <c r="G42" s="934"/>
      <c r="H42" s="1030"/>
      <c r="I42" s="1031"/>
      <c r="J42" s="935" t="s">
        <v>631</v>
      </c>
      <c r="K42" s="936"/>
      <c r="L42" s="1021" t="s">
        <v>459</v>
      </c>
      <c r="M42" s="1022"/>
      <c r="N42" s="1023"/>
      <c r="O42" s="951"/>
      <c r="P42" s="612" t="s">
        <v>789</v>
      </c>
      <c r="Q42" s="643">
        <v>0</v>
      </c>
      <c r="R42" s="648"/>
      <c r="W42" s="243"/>
      <c r="X42" s="243"/>
      <c r="Y42" s="611">
        <f>SUM(Y29:Y41)</f>
        <v>18441</v>
      </c>
      <c r="Z42" s="610">
        <f>SUM(Z29:Z41)</f>
        <v>1845</v>
      </c>
      <c r="AA42" s="243"/>
      <c r="AB42" s="724">
        <f>SUM(AR97:AR98)</f>
        <v>3394</v>
      </c>
      <c r="AH42" s="247"/>
      <c r="AI42" s="247"/>
      <c r="AJ42" s="247"/>
      <c r="AK42" s="247"/>
      <c r="AL42" s="247"/>
      <c r="AM42" s="247"/>
      <c r="AN42" s="247"/>
      <c r="AO42" s="247"/>
      <c r="AQ42" s="233">
        <v>4</v>
      </c>
      <c r="AR42" s="266" t="s">
        <v>780</v>
      </c>
      <c r="AS42" s="233">
        <f>IF(AND(AK10=1),VLOOKUP(AQ42,AQ5:AW16,3,0),IF(AND(AK10=2),VLOOKUP(AQ42,AQ5:AW16,4,0),IF(AND(AK10=3),VLOOKUP(AQ42,AQ5:AW16,5,0),IF(AND(AK10=4),VLOOKUP(AQ42,AQ5:AW16,6,0),IF(AND(AK10=5),VLOOKUP(AQ42,AQ5:AW16,7,0))))))</f>
        <v>53950</v>
      </c>
      <c r="AT42" s="268">
        <v>27.248000000000001</v>
      </c>
      <c r="AV42" s="266" t="s">
        <v>676</v>
      </c>
      <c r="AW42" s="266" t="s">
        <v>780</v>
      </c>
      <c r="AX42" s="233">
        <f t="shared" si="5"/>
        <v>52590</v>
      </c>
    </row>
    <row r="43" spans="1:197" ht="28.5" customHeight="1" thickBot="1">
      <c r="A43" s="616"/>
      <c r="B43" s="962"/>
      <c r="C43" s="3" t="s">
        <v>316</v>
      </c>
      <c r="D43" s="933" t="s">
        <v>888</v>
      </c>
      <c r="E43" s="934"/>
      <c r="F43" s="934"/>
      <c r="G43" s="1017"/>
      <c r="H43" s="939" t="s">
        <v>467</v>
      </c>
      <c r="I43" s="940"/>
      <c r="J43" s="1018" t="s">
        <v>816</v>
      </c>
      <c r="K43" s="1019"/>
      <c r="L43" s="1019"/>
      <c r="M43" s="1019"/>
      <c r="N43" s="1020"/>
      <c r="O43" s="952"/>
      <c r="P43" s="334" t="s">
        <v>501</v>
      </c>
      <c r="Q43" s="643">
        <v>0</v>
      </c>
      <c r="R43" s="648"/>
      <c r="Y43" s="266">
        <v>0</v>
      </c>
      <c r="Z43" s="266" t="s">
        <v>676</v>
      </c>
      <c r="AB43" s="233">
        <f>SUM(AB41:AB42)</f>
        <v>1698</v>
      </c>
      <c r="AE43" s="233" t="str">
        <f>IF(AD44=3,"CPS",AE44)</f>
        <v>ZP GPF</v>
      </c>
      <c r="AH43" s="247"/>
      <c r="AI43" s="247"/>
      <c r="AJ43" s="249"/>
      <c r="AK43" s="250"/>
      <c r="AL43" s="251"/>
      <c r="AM43" s="251"/>
      <c r="AN43" s="252"/>
      <c r="AO43" s="932"/>
      <c r="AQ43" s="233">
        <v>5</v>
      </c>
      <c r="AR43" s="266" t="s">
        <v>781</v>
      </c>
      <c r="AS43" s="233">
        <f>IF(AND(AK10=1),VLOOKUP(AQ43,AQ5:AW16,3,0),IF(AND(AK10=2),VLOOKUP(AQ43,AQ5:AW16,4,0),IF(AND(AK10=3),VLOOKUP(AQ43,AQ5:AW16,5,0),IF(AND(AK10=4),VLOOKUP(AQ43,AQ5:AW16,6,0),IF(AND(AK10=5),VLOOKUP(AQ43,AQ5:AW16,7,0))))))</f>
        <v>53950</v>
      </c>
      <c r="AT43" s="233">
        <v>30.391999999999999</v>
      </c>
      <c r="AV43" s="266" t="s">
        <v>676</v>
      </c>
      <c r="AW43" s="266" t="s">
        <v>781</v>
      </c>
      <c r="AX43" s="233">
        <f t="shared" si="5"/>
        <v>52590</v>
      </c>
    </row>
    <row r="44" spans="1:197" ht="28.5" customHeight="1" thickBot="1">
      <c r="A44" s="616"/>
      <c r="B44" s="963"/>
      <c r="C44" s="1014" t="s">
        <v>645</v>
      </c>
      <c r="D44" s="1015"/>
      <c r="E44" s="1015"/>
      <c r="F44" s="1015"/>
      <c r="G44" s="1015"/>
      <c r="H44" s="1015"/>
      <c r="I44" s="1015"/>
      <c r="J44" s="1015"/>
      <c r="K44" s="1015"/>
      <c r="L44" s="1015"/>
      <c r="M44" s="1015"/>
      <c r="N44" s="1015"/>
      <c r="O44" s="1015"/>
      <c r="P44" s="1015"/>
      <c r="Q44" s="1015"/>
      <c r="R44" s="650"/>
      <c r="X44" s="233">
        <v>1</v>
      </c>
      <c r="Y44" s="233">
        <f>Y42-Y43</f>
        <v>18441</v>
      </c>
      <c r="AD44" s="233">
        <v>2</v>
      </c>
      <c r="AE44" s="233" t="str">
        <f>VLOOKUP(AD44,AD45:AE47,2,0)</f>
        <v>ZP GPF</v>
      </c>
      <c r="AG44" s="233" t="str">
        <f>IF(AD44=3,CONCATENATE("CPS employee contribution amount  U/s 80CCD(1) (",G16,")"),CONCATENATE(AE44," A/c No. (",G16,")"))</f>
        <v>ZP GPF A/c No. (8441)</v>
      </c>
      <c r="AH44" s="247"/>
      <c r="AI44" s="247"/>
      <c r="AJ44" s="249"/>
      <c r="AK44" s="250"/>
      <c r="AL44" s="251"/>
      <c r="AM44" s="251"/>
      <c r="AN44" s="252"/>
      <c r="AO44" s="932"/>
      <c r="AQ44" s="233">
        <v>6</v>
      </c>
      <c r="AR44" s="266" t="s">
        <v>782</v>
      </c>
      <c r="AS44" s="233">
        <f>IF(AND(AK10=1),VLOOKUP(AQ44,AQ5:AW16,3,0),IF(AND(AK10=2),VLOOKUP(AQ44,AQ5:AW16,4,0),IF(AND(AK10=3),VLOOKUP(AQ44,AQ5:AW16,5,0),IF(AND(AK10=4),VLOOKUP(AQ44,AQ5:AW16,6,0),IF(AND(AK10=5),VLOOKUP(AQ44,AQ5:AW16,7,0))))))</f>
        <v>53950</v>
      </c>
      <c r="AT44" s="233">
        <v>30.391999999999999</v>
      </c>
      <c r="AV44" s="266" t="s">
        <v>676</v>
      </c>
      <c r="AW44" s="266" t="s">
        <v>782</v>
      </c>
      <c r="AX44" s="233">
        <f t="shared" si="5"/>
        <v>52590</v>
      </c>
    </row>
    <row r="45" spans="1:197" ht="28.5" customHeight="1" thickBot="1">
      <c r="A45" s="616"/>
      <c r="B45" s="61"/>
      <c r="C45" s="465"/>
      <c r="D45" s="465"/>
      <c r="E45" s="465"/>
      <c r="F45" s="465"/>
      <c r="G45" s="465"/>
      <c r="H45" s="465"/>
      <c r="I45" s="465"/>
      <c r="J45" s="465"/>
      <c r="K45" s="465"/>
      <c r="L45" s="465"/>
      <c r="M45" s="465"/>
      <c r="N45" s="465"/>
      <c r="O45" s="465"/>
      <c r="P45" s="465"/>
      <c r="Q45" s="465"/>
      <c r="R45" s="465"/>
      <c r="S45" s="465"/>
      <c r="T45" s="465"/>
      <c r="U45" s="465"/>
      <c r="AD45" s="253">
        <v>1</v>
      </c>
      <c r="AE45" s="233" t="s">
        <v>138</v>
      </c>
      <c r="AH45" s="247"/>
      <c r="AI45" s="247"/>
      <c r="AJ45" s="249"/>
      <c r="AK45" s="250"/>
      <c r="AL45" s="251"/>
      <c r="AM45" s="251"/>
      <c r="AN45" s="252"/>
      <c r="AO45" s="932"/>
      <c r="AQ45" s="233">
        <v>7</v>
      </c>
      <c r="AR45" s="266" t="s">
        <v>783</v>
      </c>
      <c r="AS45" s="233">
        <f>IF(AND(AK10=1),VLOOKUP(AQ45,AQ5:AW16,3,0),IF(AND(AK10=2),VLOOKUP(AQ45,AQ5:AW16,4,0),IF(AND(AK10=3),VLOOKUP(AQ45,AQ5:AW16,5,0),IF(AND(AK10=4),VLOOKUP(AQ45,AQ5:AW16,6,0),IF(AND(AK10=5),VLOOKUP(AQ45,AQ5:AW16,7,0))))))</f>
        <v>53950</v>
      </c>
      <c r="AT45" s="233">
        <v>30.391999999999999</v>
      </c>
      <c r="AV45" s="266" t="s">
        <v>676</v>
      </c>
      <c r="AW45" s="266" t="s">
        <v>783</v>
      </c>
      <c r="AX45" s="233">
        <f t="shared" si="5"/>
        <v>52590</v>
      </c>
      <c r="BK45" s="268"/>
      <c r="BL45" s="268"/>
      <c r="BM45" s="268"/>
      <c r="BN45" s="268"/>
      <c r="BO45" s="268"/>
    </row>
    <row r="46" spans="1:197" ht="24" customHeight="1">
      <c r="A46" s="616"/>
      <c r="B46" s="61"/>
      <c r="C46" s="465"/>
      <c r="D46" s="465"/>
      <c r="E46" s="465"/>
      <c r="F46" s="465"/>
      <c r="G46" s="465"/>
      <c r="H46" s="465"/>
      <c r="I46" s="465"/>
      <c r="J46" s="465"/>
      <c r="K46" s="465"/>
      <c r="L46" s="465"/>
      <c r="M46" s="465"/>
      <c r="N46" s="465"/>
      <c r="O46" s="465"/>
      <c r="P46" s="465"/>
      <c r="Q46" s="465"/>
      <c r="R46" s="406"/>
      <c r="S46" s="406"/>
      <c r="T46" s="406"/>
      <c r="U46" s="406"/>
      <c r="AD46" s="254">
        <v>2</v>
      </c>
      <c r="AE46" s="243" t="s">
        <v>139</v>
      </c>
      <c r="AH46" s="247"/>
      <c r="AI46" s="246"/>
      <c r="AJ46" s="247"/>
      <c r="AK46" s="247"/>
      <c r="AL46" s="247"/>
      <c r="AM46" s="247"/>
      <c r="AN46" s="247"/>
      <c r="AO46" s="247"/>
      <c r="AQ46" s="233">
        <v>8</v>
      </c>
      <c r="AR46" s="266" t="s">
        <v>784</v>
      </c>
      <c r="AS46" s="233">
        <f>IF(AND(AK10=1),VLOOKUP(AQ46,AQ5:AW16,3,0),IF(AND(AK10=2),VLOOKUP(AQ46,AQ5:AW16,4,0),IF(AND(AK10=3),VLOOKUP(AQ46,AQ5:AW16,5,0),IF(AND(AK10=4),VLOOKUP(AQ46,AQ5:AW16,6,0),IF(AND(AK10=5),VLOOKUP(AQ46,AQ5:AW16,7,0))))))</f>
        <v>53950</v>
      </c>
      <c r="AT46" s="233">
        <v>30.391999999999999</v>
      </c>
      <c r="AV46" s="266" t="s">
        <v>676</v>
      </c>
      <c r="AW46" s="266" t="s">
        <v>784</v>
      </c>
      <c r="AX46" s="233">
        <f t="shared" si="5"/>
        <v>52590</v>
      </c>
      <c r="BK46" s="268"/>
      <c r="BL46" s="268"/>
      <c r="BM46" s="268"/>
      <c r="BN46" s="268"/>
      <c r="BO46" s="268"/>
      <c r="BP46" s="268"/>
    </row>
    <row r="47" spans="1:197" s="268" customFormat="1" ht="30.75" hidden="1" customHeight="1">
      <c r="B47" s="520"/>
      <c r="C47" s="519"/>
      <c r="D47" s="519"/>
      <c r="E47" s="519"/>
      <c r="F47" s="519"/>
      <c r="G47" s="521"/>
      <c r="H47" s="521"/>
      <c r="I47" s="521"/>
      <c r="J47" s="521"/>
      <c r="K47" s="521"/>
      <c r="L47" s="521"/>
      <c r="M47" s="521"/>
      <c r="N47" s="521"/>
      <c r="O47" s="522"/>
      <c r="P47" s="522"/>
      <c r="Q47" s="522"/>
      <c r="R47" s="520"/>
      <c r="S47" s="574"/>
      <c r="T47" s="574"/>
      <c r="U47" s="574"/>
      <c r="V47" s="552"/>
      <c r="AD47" s="269">
        <v>3</v>
      </c>
      <c r="AE47" s="268" t="s">
        <v>140</v>
      </c>
      <c r="AH47" s="270"/>
      <c r="AI47" s="270"/>
      <c r="AJ47" s="271"/>
      <c r="AK47" s="272"/>
      <c r="AL47" s="273"/>
      <c r="AM47" s="273"/>
      <c r="AN47" s="386"/>
      <c r="AO47" s="386"/>
      <c r="AQ47" s="268">
        <v>9</v>
      </c>
      <c r="AR47" s="268" t="s">
        <v>785</v>
      </c>
      <c r="AS47" s="268">
        <f>IF(AND(AK10=1),VLOOKUP(AQ47,AQ5:AW16,3,0),IF(AND(AK10=2),VLOOKUP(AQ47,AQ5:AW16,4,0),IF(AND(AK10=3),VLOOKUP(AQ47,AQ5:AW16,5,0),IF(AND(AK10=4),VLOOKUP(AQ47,AQ5:AW16,6,0),IF(AND(AK10=5),VLOOKUP(AQ47,AQ5:AW16,7,0))))))</f>
        <v>53950</v>
      </c>
      <c r="AT47" s="233">
        <v>30.391999999999999</v>
      </c>
      <c r="AV47" s="268" t="s">
        <v>676</v>
      </c>
      <c r="AW47" s="268" t="s">
        <v>785</v>
      </c>
      <c r="AX47" s="233">
        <f t="shared" si="5"/>
        <v>52590</v>
      </c>
      <c r="BK47" s="408"/>
      <c r="BL47" s="408"/>
      <c r="BM47" s="408"/>
      <c r="BN47" s="408"/>
      <c r="BO47" s="408"/>
    </row>
    <row r="48" spans="1:197" s="268" customFormat="1" ht="21" hidden="1" customHeight="1">
      <c r="B48" s="520"/>
      <c r="C48" s="327"/>
      <c r="D48" s="327"/>
      <c r="E48" s="327"/>
      <c r="F48" s="327"/>
      <c r="G48" s="319"/>
      <c r="H48" s="319"/>
      <c r="I48" s="319"/>
      <c r="J48" s="319"/>
      <c r="K48" s="319"/>
      <c r="L48" s="319"/>
      <c r="M48" s="319"/>
      <c r="N48" s="319"/>
      <c r="R48" s="520"/>
      <c r="S48" s="574"/>
      <c r="T48" s="574"/>
      <c r="U48" s="574"/>
      <c r="V48" s="552"/>
      <c r="AH48" s="270"/>
      <c r="AI48" s="270"/>
      <c r="AJ48" s="271"/>
      <c r="AK48" s="272"/>
      <c r="AL48" s="273"/>
      <c r="AM48" s="273"/>
      <c r="AN48" s="386"/>
      <c r="AO48" s="386"/>
      <c r="AQ48" s="268">
        <v>10</v>
      </c>
      <c r="AR48" s="268" t="s">
        <v>786</v>
      </c>
      <c r="AS48" s="268">
        <f>IF(AND(AK10=1),VLOOKUP(AQ48,AQ5:AW16,3,0),IF(AND(AK10=2),VLOOKUP(AQ48,AQ5:AW16,4,0),IF(AND(AK10=3),VLOOKUP(AQ48,AQ5:AW16,5,0),IF(AND(AK10=4),VLOOKUP(AQ48,AQ5:AW16,6,0),IF(AND(AK10=5),VLOOKUP(AQ48,AQ5:AW16,7,0))))))</f>
        <v>53950</v>
      </c>
      <c r="AT48" s="233">
        <v>33.536000000000001</v>
      </c>
      <c r="AV48" s="268" t="s">
        <v>676</v>
      </c>
      <c r="AW48" s="268" t="s">
        <v>786</v>
      </c>
      <c r="AX48" s="233">
        <f>IF(AW$38&lt;=AQ48,AX49,VLOOKUP(AX$38,AE$104:AK$186,7,0))</f>
        <v>52590</v>
      </c>
      <c r="BP48" s="408"/>
    </row>
    <row r="49" spans="2:197" s="408" customFormat="1" ht="33" hidden="1" customHeight="1">
      <c r="B49" s="518"/>
      <c r="C49" s="327"/>
      <c r="D49" s="327"/>
      <c r="E49" s="327"/>
      <c r="F49" s="327"/>
      <c r="G49" s="319"/>
      <c r="H49" s="319"/>
      <c r="I49" s="319"/>
      <c r="J49" s="319"/>
      <c r="K49" s="319"/>
      <c r="L49" s="319"/>
      <c r="M49" s="319"/>
      <c r="N49" s="319"/>
      <c r="O49" s="276" t="s">
        <v>0</v>
      </c>
      <c r="P49" s="276" t="s">
        <v>1</v>
      </c>
      <c r="Q49" s="276" t="s">
        <v>17</v>
      </c>
      <c r="R49" s="276" t="s">
        <v>676</v>
      </c>
      <c r="S49" s="575" t="s">
        <v>170</v>
      </c>
      <c r="T49" s="575" t="s">
        <v>18</v>
      </c>
      <c r="U49" s="575" t="s">
        <v>19</v>
      </c>
      <c r="V49" s="553" t="s">
        <v>20</v>
      </c>
      <c r="W49" s="276" t="s">
        <v>12</v>
      </c>
      <c r="X49" s="276"/>
      <c r="AF49" s="408">
        <v>1</v>
      </c>
      <c r="AH49" s="409"/>
      <c r="AI49" s="409">
        <v>1</v>
      </c>
      <c r="AJ49" s="410"/>
      <c r="AK49" s="411"/>
      <c r="AL49" s="412"/>
      <c r="AM49" s="412"/>
      <c r="AN49" s="413"/>
      <c r="AO49" s="413"/>
      <c r="AQ49" s="822">
        <v>11</v>
      </c>
      <c r="AR49" s="822" t="s">
        <v>787</v>
      </c>
      <c r="AS49" s="822">
        <f>IF(AND(AK10=1),VLOOKUP(AQ49,AQ5:AW16,3,0),IF(AND(AK10=2),VLOOKUP(AQ49,AQ5:AW16,4,0),IF(AND(AK10=3),VLOOKUP(AQ49,AQ5:AW16,5,0),IF(AND(AK10=4),VLOOKUP(AQ49,AQ5:AW16,6,0),IF(AND(AK10=5),VLOOKUP(AQ49,AQ5:AW16,7,0))))))</f>
        <v>55410</v>
      </c>
      <c r="AT49" s="233">
        <v>33.536000000000001</v>
      </c>
      <c r="AV49" s="408" t="s">
        <v>676</v>
      </c>
      <c r="AW49" s="408" t="s">
        <v>787</v>
      </c>
      <c r="AX49" s="233">
        <f>IF(AW$38&lt;=AQ49,AX50,VLOOKUP(AX$38,AE$104:AK$186,7,0))</f>
        <v>53950</v>
      </c>
      <c r="BK49" s="268"/>
      <c r="BL49" s="268"/>
      <c r="BM49" s="268"/>
      <c r="BN49" s="268"/>
      <c r="BO49" s="268"/>
      <c r="BP49" s="268"/>
    </row>
    <row r="50" spans="2:197" s="275" customFormat="1" ht="39.75" hidden="1" customHeight="1">
      <c r="B50" s="326"/>
      <c r="C50" s="319"/>
      <c r="D50" s="319">
        <v>2</v>
      </c>
      <c r="E50" s="319"/>
      <c r="F50" s="319"/>
      <c r="G50" s="319"/>
      <c r="H50" s="319"/>
      <c r="I50" s="319"/>
      <c r="J50" s="319"/>
      <c r="K50" s="319"/>
      <c r="L50" s="319">
        <v>12.052</v>
      </c>
      <c r="M50" s="319"/>
      <c r="N50" s="319"/>
      <c r="O50" s="277">
        <v>2</v>
      </c>
      <c r="P50" s="267" t="str">
        <f>IF(O49=2,"","March,18")</f>
        <v>March,18</v>
      </c>
      <c r="Q50" s="278">
        <f>R50</f>
        <v>12</v>
      </c>
      <c r="R50" s="278">
        <f>IF(AND(U133=1),V126,IF(AND(U133&lt;=O50-1),V134,V126))</f>
        <v>12</v>
      </c>
      <c r="S50" s="576">
        <f>IF(AND(AD66=1),D11,IF(AND(AD66&lt;=O50-1),M11,D11))</f>
        <v>0</v>
      </c>
      <c r="T50" s="576">
        <f>IF(AND(AD64=1),D17,IF(AND(AD64&lt;=O50-1),P17,D17))</f>
        <v>10000</v>
      </c>
      <c r="U50" s="576">
        <f>IF(AND(AD65=1),H18,IF(AND(AD65&lt;=O50-1),Q18,H18))</f>
        <v>350</v>
      </c>
      <c r="V50" s="554">
        <v>60</v>
      </c>
      <c r="W50" s="267">
        <v>1111</v>
      </c>
      <c r="X50" s="267"/>
      <c r="Y50" s="268"/>
      <c r="Z50" s="268"/>
      <c r="AA50" s="268"/>
      <c r="AB50" s="268"/>
      <c r="AC50" s="268"/>
      <c r="AD50" s="268"/>
      <c r="AE50" s="268"/>
      <c r="AF50" s="268">
        <f>VLOOKUP(AF49,AD51:AF54,3,0)</f>
        <v>0</v>
      </c>
      <c r="AG50" s="268"/>
      <c r="AH50" s="270"/>
      <c r="AI50" s="270"/>
      <c r="AJ50" s="270"/>
      <c r="AK50" s="270"/>
      <c r="AL50" s="270"/>
      <c r="AM50" s="270"/>
      <c r="AN50" s="270"/>
      <c r="AO50" s="270"/>
      <c r="AP50" s="268"/>
      <c r="AQ50" s="268">
        <v>12</v>
      </c>
      <c r="AR50" s="268" t="s">
        <v>788</v>
      </c>
      <c r="AS50" s="268">
        <f>IF(AND(AK10=1),VLOOKUP(AQ50,AQ5:AW16,3,0),IF(AND(AK10=2),VLOOKUP(AQ50,AQ5:AW16,4,0),IF(AND(AK10=3),VLOOKUP(AQ50,AQ5:AW16,5,0),IF(AND(AK10=4),VLOOKUP(AQ50,AQ5:AW16,6,0),IF(AND(AK10=5),VLOOKUP(AQ50,AQ5:AW16,7,0))))))</f>
        <v>56870</v>
      </c>
      <c r="AT50" s="233">
        <v>33.536000000000001</v>
      </c>
      <c r="AU50" s="268"/>
      <c r="AV50" s="268" t="s">
        <v>676</v>
      </c>
      <c r="AW50" s="268" t="s">
        <v>788</v>
      </c>
      <c r="AX50" s="233">
        <f>IF(AW$38&lt;=AQ50,AX51,VLOOKUP(AX$38,AE$104:AK$186,7,0))</f>
        <v>53950</v>
      </c>
      <c r="AY50" s="268"/>
      <c r="AZ50" s="268"/>
      <c r="BA50" s="268"/>
      <c r="BB50" s="268"/>
      <c r="BC50" s="268"/>
      <c r="BD50" s="268"/>
      <c r="BE50" s="268"/>
      <c r="BF50" s="268"/>
      <c r="BG50" s="268"/>
      <c r="BH50" s="268"/>
      <c r="BI50" s="268"/>
      <c r="BJ50" s="268"/>
      <c r="BK50" s="268"/>
      <c r="BL50" s="268"/>
      <c r="BM50" s="268"/>
      <c r="BN50" s="268"/>
      <c r="BO50" s="268"/>
      <c r="BP50" s="268"/>
      <c r="BQ50" s="268"/>
      <c r="BR50" s="268"/>
      <c r="BS50" s="268"/>
      <c r="BT50" s="268"/>
      <c r="BU50" s="268"/>
      <c r="BV50" s="268"/>
      <c r="BW50" s="268"/>
      <c r="BX50" s="268"/>
      <c r="BY50" s="268"/>
      <c r="BZ50" s="268"/>
      <c r="CA50" s="268"/>
      <c r="CB50" s="268"/>
      <c r="CC50" s="268"/>
      <c r="CD50" s="268"/>
      <c r="CE50" s="268"/>
      <c r="CF50" s="268"/>
      <c r="CG50" s="268"/>
      <c r="CH50" s="268"/>
      <c r="CI50" s="268"/>
      <c r="CJ50" s="268"/>
      <c r="CK50" s="268"/>
      <c r="CL50" s="268"/>
      <c r="CM50" s="268"/>
      <c r="CN50" s="268"/>
      <c r="CO50" s="268"/>
      <c r="CP50" s="268"/>
      <c r="CQ50" s="268"/>
      <c r="CR50" s="268"/>
      <c r="CS50" s="268"/>
      <c r="CT50" s="268"/>
      <c r="CU50" s="268"/>
      <c r="CV50" s="268"/>
      <c r="CW50" s="268"/>
      <c r="CX50" s="268"/>
      <c r="CY50" s="268"/>
      <c r="CZ50" s="268"/>
      <c r="DA50" s="268"/>
      <c r="DB50" s="268"/>
      <c r="DC50" s="268"/>
      <c r="DD50" s="268"/>
      <c r="DE50" s="268"/>
      <c r="DF50" s="268"/>
      <c r="DG50" s="268"/>
      <c r="DH50" s="268"/>
      <c r="DI50" s="268"/>
      <c r="DJ50" s="268"/>
      <c r="DK50" s="268"/>
      <c r="DL50" s="268"/>
      <c r="DM50" s="268"/>
      <c r="DN50" s="268"/>
      <c r="DO50" s="268"/>
      <c r="DP50" s="268"/>
      <c r="DQ50" s="268"/>
      <c r="DR50" s="268"/>
      <c r="DS50" s="268"/>
      <c r="DT50" s="268"/>
      <c r="DU50" s="268"/>
      <c r="DV50" s="268"/>
      <c r="DW50" s="268"/>
      <c r="DX50" s="268"/>
      <c r="DY50" s="268"/>
      <c r="DZ50" s="268"/>
      <c r="EA50" s="268"/>
      <c r="EB50" s="268"/>
      <c r="EC50" s="268"/>
      <c r="ED50" s="268"/>
      <c r="EE50" s="268"/>
      <c r="EF50" s="268"/>
      <c r="EG50" s="268"/>
      <c r="EH50" s="268"/>
      <c r="EI50" s="268"/>
      <c r="EJ50" s="268"/>
      <c r="EK50" s="268"/>
      <c r="EL50" s="268"/>
      <c r="EM50" s="268"/>
      <c r="EN50" s="268"/>
      <c r="EO50" s="268"/>
      <c r="EP50" s="268"/>
      <c r="EQ50" s="268"/>
      <c r="ER50" s="268"/>
      <c r="ES50" s="268"/>
      <c r="ET50" s="268"/>
      <c r="EU50" s="268"/>
      <c r="EV50" s="268"/>
      <c r="EW50" s="268"/>
      <c r="EX50" s="268"/>
      <c r="EY50" s="268"/>
      <c r="EZ50" s="268"/>
      <c r="FA50" s="268"/>
      <c r="FB50" s="268"/>
      <c r="FC50" s="268"/>
      <c r="FD50" s="268"/>
      <c r="FE50" s="268"/>
      <c r="FF50" s="268"/>
      <c r="FG50" s="268"/>
      <c r="FH50" s="268"/>
      <c r="FI50" s="268"/>
      <c r="FJ50" s="268"/>
      <c r="FK50" s="268"/>
      <c r="FL50" s="268"/>
      <c r="FM50" s="268"/>
      <c r="FN50" s="268"/>
      <c r="FO50" s="268"/>
      <c r="FP50" s="268"/>
      <c r="FQ50" s="268"/>
      <c r="FR50" s="268"/>
      <c r="FS50" s="268"/>
      <c r="FT50" s="268"/>
      <c r="FU50" s="268"/>
      <c r="FV50" s="268"/>
      <c r="FW50" s="268"/>
      <c r="FX50" s="268"/>
      <c r="FY50" s="268"/>
      <c r="FZ50" s="268"/>
      <c r="GA50" s="268"/>
      <c r="GB50" s="268"/>
      <c r="GC50" s="268"/>
      <c r="GD50" s="268"/>
      <c r="GE50" s="268"/>
      <c r="GF50" s="268"/>
      <c r="GG50" s="268"/>
      <c r="GH50" s="268"/>
      <c r="GI50" s="268"/>
      <c r="GJ50" s="268"/>
      <c r="GK50" s="268"/>
      <c r="GL50" s="268"/>
      <c r="GM50" s="268"/>
      <c r="GN50" s="268"/>
      <c r="GO50" s="268"/>
    </row>
    <row r="51" spans="2:197" s="275" customFormat="1" ht="39.75" hidden="1" customHeight="1">
      <c r="B51" s="326"/>
      <c r="C51" s="319"/>
      <c r="D51" s="319"/>
      <c r="E51" s="319"/>
      <c r="F51" s="319"/>
      <c r="G51" s="319"/>
      <c r="H51" s="319"/>
      <c r="I51" s="319"/>
      <c r="J51" s="319"/>
      <c r="K51" s="319"/>
      <c r="L51" s="319"/>
      <c r="M51" s="319"/>
      <c r="N51" s="319"/>
      <c r="O51" s="277">
        <v>3</v>
      </c>
      <c r="P51" s="267" t="str">
        <f>IF(O49=2,"","April,18")</f>
        <v>April,18</v>
      </c>
      <c r="Q51" s="278">
        <f t="shared" ref="Q51:Q61" si="6">IF(R51=10,12,IF(R51=12.5,14.5,R51))</f>
        <v>12</v>
      </c>
      <c r="R51" s="278">
        <f>IF(AND(U133=1),V126,IF(AND(U133&lt;=O51-1),V134,V126))</f>
        <v>12</v>
      </c>
      <c r="S51" s="576">
        <f>IF(AND(AD66=1),D11,IF(AND(AD66&lt;=O51-1),M11,D11))</f>
        <v>0</v>
      </c>
      <c r="T51" s="576">
        <f>IF(AND(AD64=1),D17,IF(AND(AD64&lt;=O51-1),P17,D17))</f>
        <v>10000</v>
      </c>
      <c r="U51" s="576">
        <f>IF(AND(AD65=1),H18,IF(AND(AD65&lt;=O51-1),Q18,H18))</f>
        <v>350</v>
      </c>
      <c r="V51" s="555">
        <f t="shared" ref="V51:V61" si="7">V50</f>
        <v>60</v>
      </c>
      <c r="W51" s="278">
        <f t="shared" ref="W51:W61" si="8">W50</f>
        <v>1111</v>
      </c>
      <c r="X51" s="278">
        <f t="shared" ref="X51:X61" si="9">X50</f>
        <v>0</v>
      </c>
      <c r="Y51" s="268"/>
      <c r="Z51" s="268"/>
      <c r="AA51" s="268"/>
      <c r="AB51" s="268"/>
      <c r="AC51" s="268"/>
      <c r="AD51" s="268">
        <v>1</v>
      </c>
      <c r="AE51" s="268" t="s">
        <v>144</v>
      </c>
      <c r="AF51" s="268">
        <v>0</v>
      </c>
      <c r="AG51" s="268"/>
      <c r="AH51" s="270"/>
      <c r="AI51" s="268">
        <v>1</v>
      </c>
      <c r="AJ51" s="268" t="s">
        <v>144</v>
      </c>
      <c r="AK51" s="272"/>
      <c r="AL51" s="273"/>
      <c r="AM51" s="273"/>
      <c r="AN51" s="274"/>
      <c r="AO51" s="931"/>
      <c r="AP51" s="268"/>
      <c r="AQ51" s="268">
        <v>13</v>
      </c>
      <c r="AR51" s="268" t="s">
        <v>789</v>
      </c>
      <c r="AS51" s="268">
        <f>IF(AND($AK$10=1),VLOOKUP(AQ51,$AQ$5:$AW$17,3,0),IF(AND($AK$10=2),VLOOKUP(AQ51,$AQ$5:$AW$17,4,0),IF(AND($AK$10=3),VLOOKUP(AQ51,$AQ$5:$AW$17,5,0),IF(AND($AK$10=4),VLOOKUP(AQ51,$AQ$5:$AW$17,6,0),IF(AND($AK$10=5),VLOOKUP(AQ51,$AQ$5:$AW$17,7,0))))))</f>
        <v>56870</v>
      </c>
      <c r="AT51" s="233">
        <v>33.536000000000001</v>
      </c>
      <c r="AU51" s="268"/>
      <c r="AV51" s="268" t="s">
        <v>676</v>
      </c>
      <c r="AW51" s="268" t="s">
        <v>789</v>
      </c>
      <c r="AX51" s="233">
        <f>IF(AW$38&lt;=AQ51,AX52,VLOOKUP(AX$38,AE$104:AK$186,7,0))</f>
        <v>53950</v>
      </c>
      <c r="AY51" s="268"/>
      <c r="AZ51" s="268"/>
      <c r="BA51" s="268"/>
      <c r="BB51" s="268"/>
      <c r="BC51" s="268"/>
      <c r="BD51" s="268"/>
      <c r="BE51" s="268"/>
      <c r="BF51" s="268"/>
      <c r="BG51" s="268"/>
      <c r="BH51" s="268"/>
      <c r="BI51" s="268"/>
      <c r="BJ51" s="268"/>
      <c r="BK51" s="268"/>
      <c r="BL51" s="268"/>
      <c r="BM51" s="268"/>
      <c r="BN51" s="268"/>
      <c r="BO51" s="268"/>
      <c r="BP51" s="268"/>
      <c r="BQ51" s="268"/>
      <c r="BR51" s="268"/>
      <c r="BS51" s="268"/>
      <c r="BT51" s="268"/>
      <c r="BU51" s="268"/>
      <c r="BV51" s="268"/>
      <c r="BW51" s="268"/>
      <c r="BX51" s="268"/>
      <c r="BY51" s="268"/>
      <c r="BZ51" s="268"/>
      <c r="CA51" s="268"/>
      <c r="CB51" s="268"/>
      <c r="CC51" s="268"/>
      <c r="CD51" s="268"/>
      <c r="CE51" s="268"/>
      <c r="CF51" s="268"/>
      <c r="CG51" s="268"/>
      <c r="CH51" s="268"/>
      <c r="CI51" s="268"/>
      <c r="CJ51" s="268"/>
      <c r="CK51" s="268"/>
      <c r="CL51" s="268"/>
      <c r="CM51" s="268"/>
      <c r="CN51" s="268"/>
      <c r="CO51" s="268"/>
      <c r="CP51" s="268"/>
      <c r="CQ51" s="268"/>
      <c r="CR51" s="268"/>
      <c r="CS51" s="268"/>
      <c r="CT51" s="268"/>
      <c r="CU51" s="268"/>
      <c r="CV51" s="268"/>
      <c r="CW51" s="268"/>
      <c r="CX51" s="268"/>
      <c r="CY51" s="268"/>
      <c r="CZ51" s="268"/>
      <c r="DA51" s="268"/>
      <c r="DB51" s="268"/>
      <c r="DC51" s="268"/>
      <c r="DD51" s="268"/>
      <c r="DE51" s="268"/>
      <c r="DF51" s="268"/>
      <c r="DG51" s="268"/>
      <c r="DH51" s="268"/>
      <c r="DI51" s="268"/>
      <c r="DJ51" s="268"/>
      <c r="DK51" s="268"/>
      <c r="DL51" s="268"/>
      <c r="DM51" s="268"/>
      <c r="DN51" s="268"/>
      <c r="DO51" s="268"/>
      <c r="DP51" s="268"/>
      <c r="DQ51" s="268"/>
      <c r="DR51" s="268"/>
      <c r="DS51" s="268"/>
      <c r="DT51" s="268"/>
      <c r="DU51" s="268"/>
      <c r="DV51" s="268"/>
      <c r="DW51" s="268"/>
      <c r="DX51" s="268"/>
      <c r="DY51" s="268"/>
      <c r="DZ51" s="268"/>
      <c r="EA51" s="268"/>
      <c r="EB51" s="268"/>
      <c r="EC51" s="268"/>
      <c r="ED51" s="268"/>
      <c r="EE51" s="268"/>
      <c r="EF51" s="268"/>
      <c r="EG51" s="268"/>
      <c r="EH51" s="268"/>
      <c r="EI51" s="268"/>
      <c r="EJ51" s="268"/>
      <c r="EK51" s="268"/>
      <c r="EL51" s="268"/>
      <c r="EM51" s="268"/>
      <c r="EN51" s="268"/>
      <c r="EO51" s="268"/>
      <c r="EP51" s="268"/>
      <c r="EQ51" s="268"/>
      <c r="ER51" s="268"/>
      <c r="ES51" s="268"/>
      <c r="ET51" s="268"/>
      <c r="EU51" s="268"/>
      <c r="EV51" s="268"/>
      <c r="EW51" s="268"/>
      <c r="EX51" s="268"/>
      <c r="EY51" s="268"/>
      <c r="EZ51" s="268"/>
      <c r="FA51" s="268"/>
      <c r="FB51" s="268"/>
      <c r="FC51" s="268"/>
      <c r="FD51" s="268"/>
      <c r="FE51" s="268"/>
      <c r="FF51" s="268"/>
      <c r="FG51" s="268"/>
      <c r="FH51" s="268"/>
      <c r="FI51" s="268"/>
      <c r="FJ51" s="268"/>
      <c r="FK51" s="268"/>
      <c r="FL51" s="268"/>
      <c r="FM51" s="268"/>
      <c r="FN51" s="268"/>
      <c r="FO51" s="268"/>
      <c r="FP51" s="268"/>
      <c r="FQ51" s="268"/>
      <c r="FR51" s="268"/>
      <c r="FS51" s="268"/>
      <c r="FT51" s="268"/>
      <c r="FU51" s="268"/>
      <c r="FV51" s="268"/>
      <c r="FW51" s="268"/>
      <c r="FX51" s="268"/>
      <c r="FY51" s="268"/>
      <c r="FZ51" s="268"/>
      <c r="GA51" s="268"/>
      <c r="GB51" s="268"/>
      <c r="GC51" s="268"/>
      <c r="GD51" s="268"/>
      <c r="GE51" s="268"/>
      <c r="GF51" s="268"/>
      <c r="GG51" s="268"/>
      <c r="GH51" s="268"/>
      <c r="GI51" s="268"/>
      <c r="GJ51" s="268"/>
      <c r="GK51" s="268"/>
      <c r="GL51" s="268"/>
      <c r="GM51" s="268"/>
      <c r="GN51" s="268"/>
      <c r="GO51" s="268"/>
    </row>
    <row r="52" spans="2:197" s="275" customFormat="1" ht="39.75" hidden="1" customHeight="1">
      <c r="B52" s="268"/>
      <c r="C52" s="319"/>
      <c r="D52" s="319"/>
      <c r="E52" s="319"/>
      <c r="F52" s="319"/>
      <c r="G52" s="319"/>
      <c r="H52" s="319"/>
      <c r="I52" s="319"/>
      <c r="J52" s="319"/>
      <c r="K52" s="319"/>
      <c r="L52" s="319"/>
      <c r="M52" s="319"/>
      <c r="N52" s="319"/>
      <c r="O52" s="277">
        <v>4</v>
      </c>
      <c r="P52" s="267" t="str">
        <f>IF(O49=2,"","May,18")</f>
        <v>May,18</v>
      </c>
      <c r="Q52" s="278">
        <f t="shared" si="6"/>
        <v>12</v>
      </c>
      <c r="R52" s="278">
        <f>IF(AND(U133=1),V126,IF(AND(U133&lt;=O52-1),V134,V126))</f>
        <v>12</v>
      </c>
      <c r="S52" s="576">
        <f>IF(AND(AD66=1),D11,IF(AND(AD66&lt;=O52-1),M11,D11))</f>
        <v>0</v>
      </c>
      <c r="T52" s="576">
        <f>IF(AND(AD64=1),D17,IF(AND(AD64&lt;=O52-1),P17,D17))</f>
        <v>10000</v>
      </c>
      <c r="U52" s="576">
        <f>IF(AND(AD65=1),H18,IF(AND(AD65&lt;=O52-1),Q18,H18))</f>
        <v>350</v>
      </c>
      <c r="V52" s="555">
        <f t="shared" si="7"/>
        <v>60</v>
      </c>
      <c r="W52" s="278">
        <f t="shared" si="8"/>
        <v>1111</v>
      </c>
      <c r="X52" s="278">
        <f t="shared" si="9"/>
        <v>0</v>
      </c>
      <c r="Y52" s="268"/>
      <c r="Z52" s="268"/>
      <c r="AA52" s="268"/>
      <c r="AB52" s="268"/>
      <c r="AC52" s="268"/>
      <c r="AD52" s="268">
        <v>2</v>
      </c>
      <c r="AE52" s="266" t="s">
        <v>779</v>
      </c>
      <c r="AF52" s="268">
        <v>100</v>
      </c>
      <c r="AG52" s="268"/>
      <c r="AH52" s="270"/>
      <c r="AI52" s="268">
        <v>2</v>
      </c>
      <c r="AJ52" s="275" t="s">
        <v>750</v>
      </c>
      <c r="AK52" s="272"/>
      <c r="AL52" s="273"/>
      <c r="AM52" s="273"/>
      <c r="AN52" s="274"/>
      <c r="AO52" s="931"/>
      <c r="AP52" s="268"/>
      <c r="AQ52" s="268">
        <v>14</v>
      </c>
      <c r="AR52" s="268" t="s">
        <v>790</v>
      </c>
      <c r="AS52" s="268">
        <f>IF(AND($AK$10=1),VLOOKUP(AQ52,$AQ$5:$AW$17,3,0),IF(AND($AK$10=2),VLOOKUP(AQ52,$AQ$5:$AW$17,4,0),IF(AND($AK$10=3),VLOOKUP(AQ52,$AQ$5:$AW$17,5,0),IF(AND($AK$10=4),VLOOKUP(AQ51,$AQ$5:$AW$17,6,0),IF(AND($AK$10=5),VLOOKUP(AQ52,AQ6:AW17,7,0))))))</f>
        <v>56870</v>
      </c>
      <c r="AT52" s="233">
        <v>33.536000000000001</v>
      </c>
      <c r="AU52" s="268"/>
      <c r="AV52" s="268" t="s">
        <v>676</v>
      </c>
      <c r="AW52" s="268" t="s">
        <v>790</v>
      </c>
      <c r="AX52" s="233">
        <f>'Annexure -I'!D4</f>
        <v>53950</v>
      </c>
      <c r="AY52" s="268"/>
      <c r="AZ52" s="268"/>
      <c r="BA52" s="268"/>
      <c r="BB52" s="268"/>
      <c r="BC52" s="268"/>
      <c r="BD52" s="268"/>
      <c r="BE52" s="268"/>
      <c r="BF52" s="268"/>
      <c r="BG52" s="268"/>
      <c r="BH52" s="268"/>
      <c r="BI52" s="268"/>
      <c r="BJ52" s="268"/>
      <c r="BK52" s="268"/>
      <c r="BL52" s="268"/>
      <c r="BM52" s="268"/>
      <c r="BN52" s="268"/>
      <c r="BO52" s="268"/>
      <c r="BP52" s="268"/>
      <c r="BQ52" s="268"/>
      <c r="BR52" s="268"/>
      <c r="BS52" s="268"/>
      <c r="BT52" s="268"/>
      <c r="BU52" s="268"/>
      <c r="BV52" s="268"/>
      <c r="BW52" s="268"/>
      <c r="BX52" s="268"/>
      <c r="BY52" s="268"/>
      <c r="BZ52" s="268"/>
      <c r="CA52" s="268"/>
      <c r="CB52" s="268"/>
      <c r="CC52" s="268"/>
      <c r="CD52" s="268"/>
      <c r="CE52" s="268"/>
      <c r="CF52" s="268"/>
      <c r="CG52" s="268"/>
      <c r="CH52" s="268"/>
      <c r="CI52" s="268"/>
      <c r="CJ52" s="268"/>
      <c r="CK52" s="268"/>
      <c r="CL52" s="268"/>
      <c r="CM52" s="268"/>
      <c r="CN52" s="268"/>
      <c r="CO52" s="268"/>
      <c r="CP52" s="268"/>
      <c r="CQ52" s="268"/>
      <c r="CR52" s="268"/>
      <c r="CS52" s="268"/>
      <c r="CT52" s="268"/>
      <c r="CU52" s="268"/>
      <c r="CV52" s="268"/>
      <c r="CW52" s="268"/>
      <c r="CX52" s="268"/>
      <c r="CY52" s="268"/>
      <c r="CZ52" s="268"/>
      <c r="DA52" s="268"/>
      <c r="DB52" s="268"/>
      <c r="DC52" s="268"/>
      <c r="DD52" s="268"/>
      <c r="DE52" s="268"/>
      <c r="DF52" s="268"/>
      <c r="DG52" s="268"/>
      <c r="DH52" s="268"/>
      <c r="DI52" s="268"/>
      <c r="DJ52" s="268"/>
      <c r="DK52" s="268"/>
      <c r="DL52" s="268"/>
      <c r="DM52" s="268"/>
      <c r="DN52" s="268"/>
      <c r="DO52" s="268"/>
      <c r="DP52" s="268"/>
      <c r="DQ52" s="268"/>
      <c r="DR52" s="268"/>
      <c r="DS52" s="268"/>
      <c r="DT52" s="268"/>
      <c r="DU52" s="268"/>
      <c r="DV52" s="268"/>
      <c r="DW52" s="268"/>
      <c r="DX52" s="268"/>
      <c r="DY52" s="268"/>
      <c r="DZ52" s="268"/>
      <c r="EA52" s="268"/>
      <c r="EB52" s="268"/>
      <c r="EC52" s="268"/>
      <c r="ED52" s="268"/>
      <c r="EE52" s="268"/>
      <c r="EF52" s="268"/>
      <c r="EG52" s="268"/>
      <c r="EH52" s="268"/>
      <c r="EI52" s="268"/>
      <c r="EJ52" s="268"/>
      <c r="EK52" s="268"/>
      <c r="EL52" s="268"/>
      <c r="EM52" s="268"/>
      <c r="EN52" s="268"/>
      <c r="EO52" s="268"/>
      <c r="EP52" s="268"/>
      <c r="EQ52" s="268"/>
      <c r="ER52" s="268"/>
      <c r="ES52" s="268"/>
      <c r="ET52" s="268"/>
      <c r="EU52" s="268"/>
      <c r="EV52" s="268"/>
      <c r="EW52" s="268"/>
      <c r="EX52" s="268"/>
      <c r="EY52" s="268"/>
      <c r="EZ52" s="268"/>
      <c r="FA52" s="268"/>
      <c r="FB52" s="268"/>
      <c r="FC52" s="268"/>
      <c r="FD52" s="268"/>
      <c r="FE52" s="268"/>
      <c r="FF52" s="268"/>
      <c r="FG52" s="268"/>
      <c r="FH52" s="268"/>
      <c r="FI52" s="268"/>
      <c r="FJ52" s="268"/>
      <c r="FK52" s="268"/>
      <c r="FL52" s="268"/>
      <c r="FM52" s="268"/>
      <c r="FN52" s="268"/>
      <c r="FO52" s="268"/>
      <c r="FP52" s="268"/>
      <c r="FQ52" s="268"/>
      <c r="FR52" s="268"/>
      <c r="FS52" s="268"/>
      <c r="FT52" s="268"/>
      <c r="FU52" s="268"/>
      <c r="FV52" s="268"/>
      <c r="FW52" s="268"/>
      <c r="FX52" s="268"/>
      <c r="FY52" s="268"/>
      <c r="FZ52" s="268"/>
      <c r="GA52" s="268"/>
      <c r="GB52" s="268"/>
      <c r="GC52" s="268"/>
      <c r="GD52" s="268"/>
      <c r="GE52" s="268"/>
      <c r="GF52" s="268"/>
      <c r="GG52" s="268"/>
      <c r="GH52" s="268"/>
      <c r="GI52" s="268"/>
      <c r="GJ52" s="268"/>
      <c r="GK52" s="268"/>
      <c r="GL52" s="268"/>
      <c r="GM52" s="268"/>
      <c r="GN52" s="268"/>
      <c r="GO52" s="268"/>
    </row>
    <row r="53" spans="2:197" s="275" customFormat="1" ht="39.75" hidden="1" customHeight="1">
      <c r="B53" s="268"/>
      <c r="C53" s="319"/>
      <c r="D53" s="319"/>
      <c r="E53" s="319"/>
      <c r="F53" s="319"/>
      <c r="G53" s="319"/>
      <c r="H53" s="319"/>
      <c r="I53" s="319"/>
      <c r="J53" s="319"/>
      <c r="K53" s="319"/>
      <c r="L53" s="319"/>
      <c r="M53" s="319"/>
      <c r="N53" s="319"/>
      <c r="O53" s="277">
        <v>5</v>
      </c>
      <c r="P53" s="267" t="str">
        <f>IF(O49=2,"","June,18")</f>
        <v>June,18</v>
      </c>
      <c r="Q53" s="278">
        <f t="shared" si="6"/>
        <v>12</v>
      </c>
      <c r="R53" s="278">
        <f>IF(AND(U133=1),V126,IF(AND(U133&lt;=O53-1),V134,V126))</f>
        <v>12</v>
      </c>
      <c r="S53" s="576">
        <f>IF(AND(AD66=1),D11,IF(AND(AD66&lt;=O53-1),M11,D11))</f>
        <v>0</v>
      </c>
      <c r="T53" s="576">
        <f>IF(AND(AD64=1),D17,IF(AND(AD64&lt;=O53-1),P17,D17))</f>
        <v>10000</v>
      </c>
      <c r="U53" s="576">
        <f>IF(AND(AD65=1),H18,IF(AND(AD65&lt;=O53-1),Q18,H18))</f>
        <v>350</v>
      </c>
      <c r="V53" s="555">
        <f t="shared" si="7"/>
        <v>60</v>
      </c>
      <c r="W53" s="278">
        <f t="shared" si="8"/>
        <v>1111</v>
      </c>
      <c r="X53" s="278">
        <f t="shared" si="9"/>
        <v>0</v>
      </c>
      <c r="Y53" s="268"/>
      <c r="Z53" s="268"/>
      <c r="AA53" s="268"/>
      <c r="AB53" s="268"/>
      <c r="AC53" s="268"/>
      <c r="AD53" s="268">
        <v>3</v>
      </c>
      <c r="AE53" s="266" t="s">
        <v>780</v>
      </c>
      <c r="AF53" s="268">
        <v>125</v>
      </c>
      <c r="AG53" s="268"/>
      <c r="AH53" s="270"/>
      <c r="AI53" s="268">
        <v>3</v>
      </c>
      <c r="AJ53" s="266" t="s">
        <v>779</v>
      </c>
      <c r="AK53" s="272"/>
      <c r="AL53" s="273"/>
      <c r="AM53" s="273"/>
      <c r="AN53" s="274"/>
      <c r="AO53" s="931"/>
      <c r="AP53" s="268"/>
      <c r="AQ53" s="268"/>
      <c r="AR53" s="268"/>
      <c r="AS53" s="268"/>
      <c r="AT53" s="268"/>
      <c r="AU53" s="268"/>
      <c r="AV53" s="268"/>
      <c r="AW53" s="268"/>
      <c r="AX53" s="268"/>
      <c r="AY53" s="268"/>
      <c r="AZ53" s="268"/>
      <c r="BA53" s="268"/>
      <c r="BB53" s="268"/>
      <c r="BC53" s="268"/>
      <c r="BD53" s="268"/>
      <c r="BE53" s="268"/>
      <c r="BF53" s="268"/>
      <c r="BG53" s="268"/>
      <c r="BH53" s="268"/>
      <c r="BI53" s="268"/>
      <c r="BJ53" s="268"/>
      <c r="BK53" s="268"/>
      <c r="BL53" s="268"/>
      <c r="BM53" s="268"/>
      <c r="BN53" s="268"/>
      <c r="BO53" s="268"/>
      <c r="BP53" s="268"/>
      <c r="BQ53" s="268"/>
      <c r="BR53" s="268"/>
      <c r="BS53" s="268"/>
      <c r="BT53" s="268"/>
      <c r="BU53" s="268"/>
      <c r="BV53" s="268"/>
      <c r="BW53" s="268"/>
      <c r="BX53" s="268"/>
      <c r="BY53" s="268"/>
      <c r="BZ53" s="268"/>
      <c r="CA53" s="268"/>
      <c r="CB53" s="268"/>
      <c r="CC53" s="268"/>
      <c r="CD53" s="268"/>
      <c r="CE53" s="268"/>
      <c r="CF53" s="268"/>
      <c r="CG53" s="268"/>
      <c r="CH53" s="268"/>
      <c r="CI53" s="268"/>
      <c r="CJ53" s="268"/>
      <c r="CK53" s="268"/>
      <c r="CL53" s="268"/>
      <c r="CM53" s="268"/>
      <c r="CN53" s="268"/>
      <c r="CO53" s="268"/>
      <c r="CP53" s="268"/>
      <c r="CQ53" s="268"/>
      <c r="CR53" s="268"/>
      <c r="CS53" s="268"/>
      <c r="CT53" s="268"/>
      <c r="CU53" s="268"/>
      <c r="CV53" s="268"/>
      <c r="CW53" s="268"/>
      <c r="CX53" s="268"/>
      <c r="CY53" s="268"/>
      <c r="CZ53" s="268"/>
      <c r="DA53" s="268"/>
      <c r="DB53" s="268"/>
      <c r="DC53" s="268"/>
      <c r="DD53" s="268"/>
      <c r="DE53" s="268"/>
      <c r="DF53" s="268"/>
      <c r="DG53" s="268"/>
      <c r="DH53" s="268"/>
      <c r="DI53" s="268"/>
      <c r="DJ53" s="268"/>
      <c r="DK53" s="268"/>
      <c r="DL53" s="268"/>
      <c r="DM53" s="268"/>
      <c r="DN53" s="268"/>
      <c r="DO53" s="268"/>
      <c r="DP53" s="268"/>
      <c r="DQ53" s="268"/>
      <c r="DR53" s="268"/>
      <c r="DS53" s="268"/>
      <c r="DT53" s="268"/>
      <c r="DU53" s="268"/>
      <c r="DV53" s="268"/>
      <c r="DW53" s="268"/>
      <c r="DX53" s="268"/>
      <c r="DY53" s="268"/>
      <c r="DZ53" s="268"/>
      <c r="EA53" s="268"/>
      <c r="EB53" s="268"/>
      <c r="EC53" s="268"/>
      <c r="ED53" s="268"/>
      <c r="EE53" s="268"/>
      <c r="EF53" s="268"/>
      <c r="EG53" s="268"/>
      <c r="EH53" s="268"/>
      <c r="EI53" s="268"/>
      <c r="EJ53" s="268"/>
      <c r="EK53" s="268"/>
      <c r="EL53" s="268"/>
      <c r="EM53" s="268"/>
      <c r="EN53" s="268"/>
      <c r="EO53" s="268"/>
      <c r="EP53" s="268"/>
      <c r="EQ53" s="268"/>
      <c r="ER53" s="268"/>
      <c r="ES53" s="268"/>
      <c r="ET53" s="268"/>
      <c r="EU53" s="268"/>
      <c r="EV53" s="268"/>
      <c r="EW53" s="268"/>
      <c r="EX53" s="268"/>
      <c r="EY53" s="268"/>
      <c r="EZ53" s="268"/>
      <c r="FA53" s="268"/>
      <c r="FB53" s="268"/>
      <c r="FC53" s="268"/>
      <c r="FD53" s="268"/>
      <c r="FE53" s="268"/>
      <c r="FF53" s="268"/>
      <c r="FG53" s="268"/>
      <c r="FH53" s="268"/>
      <c r="FI53" s="268"/>
      <c r="FJ53" s="268"/>
      <c r="FK53" s="268"/>
      <c r="FL53" s="268"/>
      <c r="FM53" s="268"/>
      <c r="FN53" s="268"/>
      <c r="FO53" s="268"/>
      <c r="FP53" s="268"/>
      <c r="FQ53" s="268"/>
      <c r="FR53" s="268"/>
      <c r="FS53" s="268"/>
      <c r="FT53" s="268"/>
      <c r="FU53" s="268"/>
      <c r="FV53" s="268"/>
      <c r="FW53" s="268"/>
      <c r="FX53" s="268"/>
      <c r="FY53" s="268"/>
      <c r="FZ53" s="268"/>
      <c r="GA53" s="268"/>
      <c r="GB53" s="268"/>
      <c r="GC53" s="268"/>
      <c r="GD53" s="268"/>
      <c r="GE53" s="268"/>
      <c r="GF53" s="268"/>
      <c r="GG53" s="268"/>
      <c r="GH53" s="268"/>
      <c r="GI53" s="268"/>
      <c r="GJ53" s="268"/>
      <c r="GK53" s="268"/>
      <c r="GL53" s="268"/>
      <c r="GM53" s="268"/>
      <c r="GN53" s="268"/>
      <c r="GO53" s="268"/>
    </row>
    <row r="54" spans="2:197" s="275" customFormat="1" ht="39.75" hidden="1" customHeight="1">
      <c r="B54" s="268"/>
      <c r="C54" s="319"/>
      <c r="D54" s="319"/>
      <c r="E54" s="319"/>
      <c r="F54" s="319"/>
      <c r="G54" s="319"/>
      <c r="H54" s="319"/>
      <c r="I54" s="319">
        <f>VLOOKUP(L54,I55:L56,4,0)</f>
        <v>2</v>
      </c>
      <c r="J54" s="319"/>
      <c r="K54" s="319"/>
      <c r="L54" s="1035" t="str">
        <f>P4</f>
        <v>Non Gazetted</v>
      </c>
      <c r="M54" s="1035"/>
      <c r="N54" s="319"/>
      <c r="O54" s="277">
        <v>6</v>
      </c>
      <c r="P54" s="267" t="str">
        <f>IF(O49=2,"","July,18")</f>
        <v>July,18</v>
      </c>
      <c r="Q54" s="278">
        <f t="shared" si="6"/>
        <v>12</v>
      </c>
      <c r="R54" s="278">
        <f>IF(AND(U133=1),V126,IF(AND(U133&lt;=O54-1),V134,V126))</f>
        <v>12</v>
      </c>
      <c r="S54" s="576">
        <f>IF(AND(AD66=1),D11,IF(AND(AD66&lt;=O54-1),M11,D11))</f>
        <v>0</v>
      </c>
      <c r="T54" s="576">
        <f>IF(AND(AD64=1),D17,IF(AND(AD64&lt;=O54-1),P17,D17))</f>
        <v>10000</v>
      </c>
      <c r="U54" s="576">
        <f>IF(AND(AD65=1),H18,IF(AND(AD65&lt;=O54-1),Q18,H18))</f>
        <v>350</v>
      </c>
      <c r="V54" s="555">
        <f t="shared" si="7"/>
        <v>60</v>
      </c>
      <c r="W54" s="278">
        <f t="shared" si="8"/>
        <v>1111</v>
      </c>
      <c r="X54" s="278">
        <f t="shared" si="9"/>
        <v>0</v>
      </c>
      <c r="Y54" s="268"/>
      <c r="Z54" s="268"/>
      <c r="AA54" s="268"/>
      <c r="AB54" s="268"/>
      <c r="AC54" s="268"/>
      <c r="AD54" s="268">
        <v>4</v>
      </c>
      <c r="AE54" s="266" t="s">
        <v>781</v>
      </c>
      <c r="AF54" s="268">
        <v>150</v>
      </c>
      <c r="AG54" s="268"/>
      <c r="AH54" s="270"/>
      <c r="AI54" s="268">
        <v>4</v>
      </c>
      <c r="AJ54" s="266" t="s">
        <v>780</v>
      </c>
      <c r="AK54" s="272"/>
      <c r="AL54" s="273"/>
      <c r="AM54" s="273"/>
      <c r="AN54" s="274"/>
      <c r="AO54" s="931"/>
      <c r="AP54" s="268"/>
      <c r="AQ54" s="268"/>
      <c r="AR54" s="268"/>
      <c r="AS54" s="268"/>
      <c r="AT54" s="268"/>
      <c r="AU54" s="268"/>
      <c r="AV54" s="268"/>
      <c r="AW54" s="268"/>
      <c r="AX54" s="268"/>
      <c r="AY54" s="268"/>
      <c r="AZ54" s="268"/>
      <c r="BA54" s="268"/>
      <c r="BB54" s="268"/>
      <c r="BC54" s="268"/>
      <c r="BD54" s="268"/>
      <c r="BE54" s="268"/>
      <c r="BF54" s="268"/>
      <c r="BG54" s="268"/>
      <c r="BH54" s="268"/>
      <c r="BI54" s="268"/>
      <c r="BJ54" s="268"/>
      <c r="BK54" s="268"/>
      <c r="BL54" s="268"/>
      <c r="BM54" s="268"/>
      <c r="BN54" s="268"/>
      <c r="BO54" s="268"/>
      <c r="BP54" s="268"/>
      <c r="BQ54" s="268"/>
      <c r="BR54" s="268"/>
      <c r="BS54" s="268"/>
      <c r="BT54" s="268"/>
      <c r="BU54" s="268"/>
      <c r="BV54" s="268"/>
      <c r="BW54" s="268"/>
      <c r="BX54" s="268"/>
      <c r="BY54" s="268"/>
      <c r="BZ54" s="268"/>
      <c r="CA54" s="268"/>
      <c r="CB54" s="268"/>
      <c r="CC54" s="268"/>
      <c r="CD54" s="268"/>
      <c r="CE54" s="268"/>
      <c r="CF54" s="268"/>
      <c r="CG54" s="268"/>
      <c r="CH54" s="268"/>
      <c r="CI54" s="268"/>
      <c r="CJ54" s="268"/>
      <c r="CK54" s="268"/>
      <c r="CL54" s="268"/>
      <c r="CM54" s="268"/>
      <c r="CN54" s="268"/>
      <c r="CO54" s="268"/>
      <c r="CP54" s="268"/>
      <c r="CQ54" s="268"/>
      <c r="CR54" s="268"/>
      <c r="CS54" s="268"/>
      <c r="CT54" s="268"/>
      <c r="CU54" s="268"/>
      <c r="CV54" s="268"/>
      <c r="CW54" s="268"/>
      <c r="CX54" s="268"/>
      <c r="CY54" s="268"/>
      <c r="CZ54" s="268"/>
      <c r="DA54" s="268"/>
      <c r="DB54" s="268"/>
      <c r="DC54" s="268"/>
      <c r="DD54" s="268"/>
      <c r="DE54" s="268"/>
      <c r="DF54" s="268"/>
      <c r="DG54" s="268"/>
      <c r="DH54" s="268"/>
      <c r="DI54" s="268"/>
      <c r="DJ54" s="268"/>
      <c r="DK54" s="268"/>
      <c r="DL54" s="268"/>
      <c r="DM54" s="268"/>
      <c r="DN54" s="268"/>
      <c r="DO54" s="268"/>
      <c r="DP54" s="268"/>
      <c r="DQ54" s="268"/>
      <c r="DR54" s="268"/>
      <c r="DS54" s="268"/>
      <c r="DT54" s="268"/>
      <c r="DU54" s="268"/>
      <c r="DV54" s="268"/>
      <c r="DW54" s="268"/>
      <c r="DX54" s="268"/>
      <c r="DY54" s="268"/>
      <c r="DZ54" s="268"/>
      <c r="EA54" s="268"/>
      <c r="EB54" s="268"/>
      <c r="EC54" s="268"/>
      <c r="ED54" s="268"/>
      <c r="EE54" s="268"/>
      <c r="EF54" s="268"/>
      <c r="EG54" s="268"/>
      <c r="EH54" s="268"/>
      <c r="EI54" s="268"/>
      <c r="EJ54" s="268"/>
      <c r="EK54" s="268"/>
      <c r="EL54" s="268"/>
      <c r="EM54" s="268"/>
      <c r="EN54" s="268"/>
      <c r="EO54" s="268"/>
      <c r="EP54" s="268"/>
      <c r="EQ54" s="268"/>
      <c r="ER54" s="268"/>
      <c r="ES54" s="268"/>
      <c r="ET54" s="268"/>
      <c r="EU54" s="268"/>
      <c r="EV54" s="268"/>
      <c r="EW54" s="268"/>
      <c r="EX54" s="268"/>
      <c r="EY54" s="268"/>
      <c r="EZ54" s="268"/>
      <c r="FA54" s="268"/>
      <c r="FB54" s="268"/>
      <c r="FC54" s="268"/>
      <c r="FD54" s="268"/>
      <c r="FE54" s="268"/>
      <c r="FF54" s="268"/>
      <c r="FG54" s="268"/>
      <c r="FH54" s="268"/>
      <c r="FI54" s="268"/>
      <c r="FJ54" s="268"/>
      <c r="FK54" s="268"/>
      <c r="FL54" s="268"/>
      <c r="FM54" s="268"/>
      <c r="FN54" s="268"/>
      <c r="FO54" s="268"/>
      <c r="FP54" s="268"/>
      <c r="FQ54" s="268"/>
      <c r="FR54" s="268"/>
      <c r="FS54" s="268"/>
      <c r="FT54" s="268"/>
      <c r="FU54" s="268"/>
      <c r="FV54" s="268"/>
      <c r="FW54" s="268"/>
      <c r="FX54" s="268"/>
      <c r="FY54" s="268"/>
      <c r="FZ54" s="268"/>
      <c r="GA54" s="268"/>
      <c r="GB54" s="268"/>
      <c r="GC54" s="268"/>
      <c r="GD54" s="268"/>
      <c r="GE54" s="268"/>
      <c r="GF54" s="268"/>
      <c r="GG54" s="268"/>
      <c r="GH54" s="268"/>
      <c r="GI54" s="268"/>
      <c r="GJ54" s="268"/>
      <c r="GK54" s="268"/>
      <c r="GL54" s="268"/>
      <c r="GM54" s="268"/>
      <c r="GN54" s="268"/>
      <c r="GO54" s="268"/>
    </row>
    <row r="55" spans="2:197" s="275" customFormat="1" ht="39.75" hidden="1" customHeight="1">
      <c r="B55" s="268"/>
      <c r="C55" s="319"/>
      <c r="D55" s="319"/>
      <c r="E55" s="319"/>
      <c r="F55" s="319"/>
      <c r="G55" s="319"/>
      <c r="H55" s="319"/>
      <c r="I55" s="268" t="s">
        <v>474</v>
      </c>
      <c r="J55" s="319"/>
      <c r="K55" s="319"/>
      <c r="L55" s="277">
        <v>1</v>
      </c>
      <c r="M55" s="319"/>
      <c r="N55" s="319"/>
      <c r="O55" s="277">
        <v>7</v>
      </c>
      <c r="P55" s="267" t="str">
        <f>IF(O49=2,"","Aug,18")</f>
        <v>Aug,18</v>
      </c>
      <c r="Q55" s="278">
        <f t="shared" si="6"/>
        <v>12</v>
      </c>
      <c r="R55" s="278">
        <f>IF(AND(U133=1),V126,IF(AND(U133&lt;=O55-1),V134,V126))</f>
        <v>12</v>
      </c>
      <c r="S55" s="576">
        <f>IF(AND(AD66=1),D11,IF(AND(AD66&lt;=O55-1),M11,D11))</f>
        <v>0</v>
      </c>
      <c r="T55" s="576">
        <f>IF(AND(AD64=1),D17,IF(AND(AD64&lt;=O55-1),P17,D17))</f>
        <v>10000</v>
      </c>
      <c r="U55" s="576">
        <f>IF(AND(AD65=1),H18,IF(AND(AD65&lt;=O55-1),Q18,H18))</f>
        <v>350</v>
      </c>
      <c r="V55" s="555">
        <f t="shared" si="7"/>
        <v>60</v>
      </c>
      <c r="W55" s="278">
        <f t="shared" si="8"/>
        <v>1111</v>
      </c>
      <c r="X55" s="278">
        <f t="shared" si="9"/>
        <v>0</v>
      </c>
      <c r="Y55" s="270"/>
      <c r="Z55" s="270"/>
      <c r="AA55" s="270"/>
      <c r="AB55" s="270"/>
      <c r="AC55" s="268"/>
      <c r="AD55" s="268">
        <v>5</v>
      </c>
      <c r="AE55" s="266" t="s">
        <v>782</v>
      </c>
      <c r="AF55" s="268"/>
      <c r="AG55" s="268"/>
      <c r="AH55" s="270"/>
      <c r="AI55" s="268">
        <v>5</v>
      </c>
      <c r="AJ55" s="266" t="s">
        <v>781</v>
      </c>
      <c r="AK55" s="272"/>
      <c r="AL55" s="273"/>
      <c r="AM55" s="273"/>
      <c r="AN55" s="274"/>
      <c r="AO55" s="931"/>
      <c r="AP55" s="268"/>
      <c r="AQ55" s="268"/>
      <c r="AR55" s="268"/>
      <c r="AS55" s="268"/>
      <c r="AT55" s="268"/>
      <c r="AU55" s="268"/>
      <c r="AV55" s="268"/>
      <c r="AW55" s="268"/>
      <c r="AX55" s="268"/>
      <c r="AY55" s="268"/>
      <c r="AZ55" s="268"/>
      <c r="BA55" s="268"/>
      <c r="BB55" s="268"/>
      <c r="BC55" s="268"/>
      <c r="BD55" s="268"/>
      <c r="BE55" s="268"/>
      <c r="BF55" s="268"/>
      <c r="BG55" s="268"/>
      <c r="BH55" s="268"/>
      <c r="BI55" s="268"/>
      <c r="BJ55" s="268"/>
      <c r="BK55" s="268"/>
      <c r="BL55" s="268"/>
      <c r="BM55" s="268"/>
      <c r="BN55" s="268"/>
      <c r="BO55" s="268"/>
      <c r="BP55" s="268"/>
      <c r="BQ55" s="268"/>
      <c r="BR55" s="268"/>
      <c r="BS55" s="268"/>
      <c r="BT55" s="268"/>
      <c r="BU55" s="268"/>
      <c r="BV55" s="268"/>
      <c r="BW55" s="268"/>
      <c r="BX55" s="268"/>
      <c r="BY55" s="268"/>
      <c r="BZ55" s="268"/>
      <c r="CA55" s="268"/>
      <c r="CB55" s="268"/>
      <c r="CC55" s="268"/>
      <c r="CD55" s="268"/>
      <c r="CE55" s="268"/>
      <c r="CF55" s="268"/>
      <c r="CG55" s="268"/>
      <c r="CH55" s="268"/>
      <c r="CI55" s="268"/>
      <c r="CJ55" s="268"/>
      <c r="CK55" s="268"/>
      <c r="CL55" s="268"/>
      <c r="CM55" s="268"/>
      <c r="CN55" s="268"/>
      <c r="CO55" s="268"/>
      <c r="CP55" s="268"/>
      <c r="CQ55" s="268"/>
      <c r="CR55" s="268"/>
      <c r="CS55" s="268"/>
      <c r="CT55" s="268"/>
      <c r="CU55" s="268"/>
      <c r="CV55" s="268"/>
      <c r="CW55" s="268"/>
      <c r="CX55" s="268"/>
      <c r="CY55" s="268"/>
      <c r="CZ55" s="268"/>
      <c r="DA55" s="268"/>
      <c r="DB55" s="268"/>
      <c r="DC55" s="268"/>
      <c r="DD55" s="268"/>
      <c r="DE55" s="268"/>
      <c r="DF55" s="268"/>
      <c r="DG55" s="268"/>
      <c r="DH55" s="268"/>
      <c r="DI55" s="268"/>
      <c r="DJ55" s="268"/>
      <c r="DK55" s="268"/>
      <c r="DL55" s="268"/>
      <c r="DM55" s="268"/>
      <c r="DN55" s="268"/>
      <c r="DO55" s="268"/>
      <c r="DP55" s="268"/>
      <c r="DQ55" s="268"/>
      <c r="DR55" s="268"/>
      <c r="DS55" s="268"/>
      <c r="DT55" s="268"/>
      <c r="DU55" s="268"/>
      <c r="DV55" s="268"/>
      <c r="DW55" s="268"/>
      <c r="DX55" s="268"/>
      <c r="DY55" s="268"/>
      <c r="DZ55" s="268"/>
      <c r="EA55" s="268"/>
      <c r="EB55" s="268"/>
      <c r="EC55" s="268"/>
      <c r="ED55" s="268"/>
      <c r="EE55" s="268"/>
      <c r="EF55" s="268"/>
      <c r="EG55" s="268"/>
      <c r="EH55" s="268"/>
      <c r="EI55" s="268"/>
      <c r="EJ55" s="268"/>
      <c r="EK55" s="268"/>
      <c r="EL55" s="268"/>
      <c r="EM55" s="268"/>
      <c r="EN55" s="268"/>
      <c r="EO55" s="268"/>
      <c r="EP55" s="268"/>
      <c r="EQ55" s="268"/>
      <c r="ER55" s="268"/>
      <c r="ES55" s="268"/>
      <c r="ET55" s="268"/>
      <c r="EU55" s="268"/>
      <c r="EV55" s="268"/>
      <c r="EW55" s="268"/>
      <c r="EX55" s="268"/>
      <c r="EY55" s="268"/>
      <c r="EZ55" s="268"/>
      <c r="FA55" s="268"/>
      <c r="FB55" s="268"/>
      <c r="FC55" s="268"/>
      <c r="FD55" s="268"/>
      <c r="FE55" s="268"/>
      <c r="FF55" s="268"/>
      <c r="FG55" s="268"/>
      <c r="FH55" s="268"/>
      <c r="FI55" s="268"/>
      <c r="FJ55" s="268"/>
      <c r="FK55" s="268"/>
      <c r="FL55" s="268"/>
      <c r="FM55" s="268"/>
      <c r="FN55" s="268"/>
      <c r="FO55" s="268"/>
      <c r="FP55" s="268"/>
      <c r="FQ55" s="268"/>
      <c r="FR55" s="268"/>
      <c r="FS55" s="268"/>
      <c r="FT55" s="268"/>
      <c r="FU55" s="268"/>
      <c r="FV55" s="268"/>
      <c r="FW55" s="268"/>
      <c r="FX55" s="268"/>
      <c r="FY55" s="268"/>
      <c r="FZ55" s="268"/>
      <c r="GA55" s="268"/>
      <c r="GB55" s="268"/>
      <c r="GC55" s="268"/>
      <c r="GD55" s="268"/>
      <c r="GE55" s="268"/>
      <c r="GF55" s="268"/>
      <c r="GG55" s="268"/>
      <c r="GH55" s="268"/>
      <c r="GI55" s="268"/>
      <c r="GJ55" s="268"/>
      <c r="GK55" s="268"/>
      <c r="GL55" s="268"/>
      <c r="GM55" s="268"/>
      <c r="GN55" s="268"/>
      <c r="GO55" s="268"/>
    </row>
    <row r="56" spans="2:197" s="275" customFormat="1" ht="39.75" hidden="1" customHeight="1" thickBot="1">
      <c r="B56" s="268"/>
      <c r="C56" s="319"/>
      <c r="D56" s="319"/>
      <c r="E56" s="319"/>
      <c r="F56" s="319"/>
      <c r="G56" s="319"/>
      <c r="H56" s="319"/>
      <c r="I56" s="268" t="s">
        <v>475</v>
      </c>
      <c r="J56" s="319"/>
      <c r="K56" s="319"/>
      <c r="L56" s="277">
        <v>2</v>
      </c>
      <c r="M56" s="319"/>
      <c r="N56" s="319"/>
      <c r="O56" s="277">
        <v>8</v>
      </c>
      <c r="P56" s="267" t="str">
        <f>IF(O49=2,"","Sept,19")</f>
        <v>Sept,19</v>
      </c>
      <c r="Q56" s="278">
        <f t="shared" si="6"/>
        <v>12</v>
      </c>
      <c r="R56" s="278">
        <f>IF(AND(U133=1),V126,IF(AND(U133&lt;=O56-1),V134,V126))</f>
        <v>12</v>
      </c>
      <c r="S56" s="576">
        <f>IF(AND(AD66=1),D11,IF(AND(AD66&lt;=O56-1),M11,D11))</f>
        <v>0</v>
      </c>
      <c r="T56" s="576">
        <f>IF(AND(AD64=1),D17,IF(AND(AD64&lt;=O56-1),P17,D17))</f>
        <v>10000</v>
      </c>
      <c r="U56" s="576">
        <f>IF(AND(AD65=1),H18,IF(AND(AD65&lt;=O56-1),Q18,H18))</f>
        <v>350</v>
      </c>
      <c r="V56" s="555">
        <f t="shared" si="7"/>
        <v>60</v>
      </c>
      <c r="W56" s="278">
        <f t="shared" si="8"/>
        <v>1111</v>
      </c>
      <c r="X56" s="278">
        <f t="shared" si="9"/>
        <v>0</v>
      </c>
      <c r="Y56" s="270"/>
      <c r="Z56" s="270"/>
      <c r="AA56" s="270"/>
      <c r="AB56" s="270"/>
      <c r="AC56" s="268"/>
      <c r="AD56" s="268">
        <v>6</v>
      </c>
      <c r="AE56" s="266" t="s">
        <v>783</v>
      </c>
      <c r="AF56" s="268"/>
      <c r="AG56" s="268"/>
      <c r="AH56" s="270"/>
      <c r="AI56" s="268">
        <v>6</v>
      </c>
      <c r="AJ56" s="266" t="s">
        <v>782</v>
      </c>
      <c r="AK56" s="270"/>
      <c r="AL56" s="270"/>
      <c r="AM56" s="270"/>
      <c r="AN56" s="270"/>
      <c r="AO56" s="270"/>
      <c r="AP56" s="268"/>
      <c r="AQ56" s="268"/>
      <c r="AR56" s="268"/>
      <c r="AS56" s="268"/>
      <c r="AT56" s="268"/>
      <c r="AU56" s="268"/>
      <c r="AV56" s="268"/>
      <c r="AW56" s="268"/>
      <c r="AX56" s="268"/>
      <c r="AY56" s="268"/>
      <c r="AZ56" s="268"/>
      <c r="BA56" s="268"/>
      <c r="BB56" s="268"/>
      <c r="BC56" s="268"/>
      <c r="BD56" s="268"/>
      <c r="BE56" s="268"/>
      <c r="BF56" s="268"/>
      <c r="BG56" s="268"/>
      <c r="BH56" s="268"/>
      <c r="BI56" s="268"/>
      <c r="BJ56" s="268"/>
      <c r="BK56" s="268"/>
      <c r="BL56" s="268"/>
      <c r="BM56" s="268"/>
      <c r="BN56" s="268"/>
      <c r="BO56" s="268"/>
      <c r="BP56" s="268"/>
      <c r="BQ56" s="268"/>
      <c r="BR56" s="268"/>
      <c r="BS56" s="268"/>
      <c r="BT56" s="268"/>
      <c r="BU56" s="268"/>
      <c r="BV56" s="268"/>
      <c r="BW56" s="268"/>
      <c r="BX56" s="268"/>
      <c r="BY56" s="268"/>
      <c r="BZ56" s="268"/>
      <c r="CA56" s="268"/>
      <c r="CB56" s="268"/>
      <c r="CC56" s="268"/>
      <c r="CD56" s="268"/>
      <c r="CE56" s="268"/>
      <c r="CF56" s="268"/>
      <c r="CG56" s="268"/>
      <c r="CH56" s="268"/>
      <c r="CI56" s="268"/>
      <c r="CJ56" s="268"/>
      <c r="CK56" s="268"/>
      <c r="CL56" s="268"/>
      <c r="CM56" s="268"/>
      <c r="CN56" s="268"/>
      <c r="CO56" s="268"/>
      <c r="CP56" s="268"/>
      <c r="CQ56" s="268"/>
      <c r="CR56" s="268"/>
      <c r="CS56" s="268"/>
      <c r="CT56" s="268"/>
      <c r="CU56" s="268"/>
      <c r="CV56" s="268"/>
      <c r="CW56" s="268"/>
      <c r="CX56" s="268"/>
      <c r="CY56" s="268"/>
      <c r="CZ56" s="268"/>
      <c r="DA56" s="268"/>
      <c r="DB56" s="268"/>
      <c r="DC56" s="268"/>
      <c r="DD56" s="268"/>
      <c r="DE56" s="268"/>
      <c r="DF56" s="268"/>
      <c r="DG56" s="268"/>
      <c r="DH56" s="268"/>
      <c r="DI56" s="268"/>
      <c r="DJ56" s="268"/>
      <c r="DK56" s="268"/>
      <c r="DL56" s="268"/>
      <c r="DM56" s="268"/>
      <c r="DN56" s="268"/>
      <c r="DO56" s="268"/>
      <c r="DP56" s="268"/>
      <c r="DQ56" s="268"/>
      <c r="DR56" s="268"/>
      <c r="DS56" s="268"/>
      <c r="DT56" s="268"/>
      <c r="DU56" s="268"/>
      <c r="DV56" s="268"/>
      <c r="DW56" s="268"/>
      <c r="DX56" s="268"/>
      <c r="DY56" s="268"/>
      <c r="DZ56" s="268"/>
      <c r="EA56" s="268"/>
      <c r="EB56" s="268"/>
      <c r="EC56" s="268"/>
      <c r="ED56" s="268"/>
      <c r="EE56" s="268"/>
      <c r="EF56" s="268"/>
      <c r="EG56" s="268"/>
      <c r="EH56" s="268"/>
      <c r="EI56" s="268"/>
      <c r="EJ56" s="268"/>
      <c r="EK56" s="268"/>
      <c r="EL56" s="268"/>
      <c r="EM56" s="268"/>
      <c r="EN56" s="268"/>
      <c r="EO56" s="268"/>
      <c r="EP56" s="268"/>
      <c r="EQ56" s="268"/>
      <c r="ER56" s="268"/>
      <c r="ES56" s="268"/>
      <c r="ET56" s="268"/>
      <c r="EU56" s="268"/>
      <c r="EV56" s="268"/>
      <c r="EW56" s="268"/>
      <c r="EX56" s="268"/>
      <c r="EY56" s="268"/>
      <c r="EZ56" s="268"/>
      <c r="FA56" s="268"/>
      <c r="FB56" s="268"/>
      <c r="FC56" s="268"/>
      <c r="FD56" s="268"/>
      <c r="FE56" s="268"/>
      <c r="FF56" s="268"/>
      <c r="FG56" s="268"/>
      <c r="FH56" s="268"/>
      <c r="FI56" s="268"/>
      <c r="FJ56" s="268"/>
      <c r="FK56" s="268"/>
      <c r="FL56" s="268"/>
      <c r="FM56" s="268"/>
      <c r="FN56" s="268"/>
      <c r="FO56" s="268"/>
      <c r="FP56" s="268"/>
      <c r="FQ56" s="268"/>
      <c r="FR56" s="268"/>
      <c r="FS56" s="268"/>
      <c r="FT56" s="268"/>
      <c r="FU56" s="268"/>
      <c r="FV56" s="268"/>
      <c r="FW56" s="268"/>
      <c r="FX56" s="268"/>
      <c r="FY56" s="268"/>
      <c r="FZ56" s="268"/>
      <c r="GA56" s="268"/>
      <c r="GB56" s="268"/>
      <c r="GC56" s="268"/>
      <c r="GD56" s="268"/>
      <c r="GE56" s="268"/>
      <c r="GF56" s="268"/>
      <c r="GG56" s="268"/>
      <c r="GH56" s="268"/>
      <c r="GI56" s="268"/>
      <c r="GJ56" s="268"/>
      <c r="GK56" s="268"/>
      <c r="GL56" s="268"/>
      <c r="GM56" s="268"/>
      <c r="GN56" s="268"/>
      <c r="GO56" s="268"/>
    </row>
    <row r="57" spans="2:197" s="275" customFormat="1" ht="39.75" hidden="1" customHeight="1" thickBot="1">
      <c r="B57" s="268"/>
      <c r="C57" s="789"/>
      <c r="D57" s="800">
        <v>0</v>
      </c>
      <c r="E57" s="801" t="s">
        <v>148</v>
      </c>
      <c r="F57" s="801" t="s">
        <v>469</v>
      </c>
      <c r="G57" s="802">
        <v>20</v>
      </c>
      <c r="H57" s="802">
        <v>30</v>
      </c>
      <c r="I57" s="789"/>
      <c r="J57" s="789"/>
      <c r="K57" s="789"/>
      <c r="L57" s="789"/>
      <c r="M57" s="789"/>
      <c r="N57" s="789"/>
      <c r="O57" s="277">
        <v>9</v>
      </c>
      <c r="P57" s="267" t="str">
        <f>IF(O49=2,"","Oct,19")</f>
        <v>Oct,19</v>
      </c>
      <c r="Q57" s="278">
        <f t="shared" si="6"/>
        <v>12</v>
      </c>
      <c r="R57" s="278">
        <f>IF(AND(U133=1),V126,IF(AND(U133&lt;=O57-1),V134,V126))</f>
        <v>12</v>
      </c>
      <c r="S57" s="576">
        <f>IF(AND(AD66=1),D11,IF(AND(AD66&lt;=O57-1),M11,D11))</f>
        <v>0</v>
      </c>
      <c r="T57" s="576">
        <f>IF(AND(AD64=1),D17,IF(AND(AD64&lt;=O57-1),P17,D17))</f>
        <v>10000</v>
      </c>
      <c r="U57" s="576">
        <f>IF(AND(AD65=1),H18,IF(AND(AD65&lt;=O57-1),Q18,H18))</f>
        <v>350</v>
      </c>
      <c r="V57" s="555">
        <f t="shared" si="7"/>
        <v>60</v>
      </c>
      <c r="W57" s="278">
        <f t="shared" si="8"/>
        <v>1111</v>
      </c>
      <c r="X57" s="278">
        <f t="shared" si="9"/>
        <v>0</v>
      </c>
      <c r="Y57" s="270"/>
      <c r="Z57" s="270"/>
      <c r="AA57" s="270"/>
      <c r="AB57" s="270"/>
      <c r="AC57" s="268"/>
      <c r="AD57" s="268">
        <v>7</v>
      </c>
      <c r="AE57" s="266" t="s">
        <v>784</v>
      </c>
      <c r="AF57" s="268"/>
      <c r="AG57" s="268"/>
      <c r="AH57" s="270"/>
      <c r="AI57" s="268">
        <v>7</v>
      </c>
      <c r="AJ57" s="266" t="s">
        <v>783</v>
      </c>
      <c r="AK57" s="270"/>
      <c r="AL57" s="270"/>
      <c r="AM57" s="270"/>
      <c r="AN57" s="270"/>
      <c r="AO57" s="270"/>
      <c r="AP57" s="268"/>
      <c r="AQ57" s="268"/>
      <c r="AR57" s="268"/>
      <c r="AS57" s="268"/>
      <c r="AT57" s="268"/>
      <c r="AU57" s="268"/>
      <c r="AV57" s="268"/>
      <c r="AW57" s="268"/>
      <c r="AX57" s="268"/>
      <c r="AY57" s="268"/>
      <c r="AZ57" s="268"/>
      <c r="BA57" s="268"/>
      <c r="BB57" s="268"/>
      <c r="BC57" s="268"/>
      <c r="BD57" s="268"/>
      <c r="BE57" s="268"/>
      <c r="BF57" s="268"/>
      <c r="BG57" s="268"/>
      <c r="BH57" s="268"/>
      <c r="BI57" s="268"/>
      <c r="BJ57" s="268"/>
      <c r="BK57" s="268"/>
      <c r="BL57" s="268"/>
      <c r="BM57" s="268"/>
      <c r="BN57" s="268"/>
      <c r="BO57" s="268"/>
      <c r="BP57" s="268"/>
      <c r="BQ57" s="268"/>
      <c r="BR57" s="268"/>
      <c r="BS57" s="268"/>
      <c r="BT57" s="268"/>
      <c r="BU57" s="268"/>
      <c r="BV57" s="268"/>
      <c r="BW57" s="268"/>
      <c r="BX57" s="268"/>
      <c r="BY57" s="268"/>
      <c r="BZ57" s="268"/>
      <c r="CA57" s="268"/>
      <c r="CB57" s="268"/>
      <c r="CC57" s="268"/>
      <c r="CD57" s="268"/>
      <c r="CE57" s="268"/>
      <c r="CF57" s="268"/>
      <c r="CG57" s="268"/>
      <c r="CH57" s="268"/>
      <c r="CI57" s="268"/>
      <c r="CJ57" s="268"/>
      <c r="CK57" s="268"/>
      <c r="CL57" s="268"/>
      <c r="CM57" s="268"/>
      <c r="CN57" s="268"/>
      <c r="CO57" s="268"/>
      <c r="CP57" s="268"/>
      <c r="CQ57" s="268"/>
      <c r="CR57" s="268"/>
      <c r="CS57" s="268"/>
      <c r="CT57" s="268"/>
      <c r="CU57" s="268"/>
      <c r="CV57" s="268"/>
      <c r="CW57" s="268"/>
      <c r="CX57" s="268"/>
      <c r="CY57" s="268"/>
      <c r="CZ57" s="268"/>
      <c r="DA57" s="268"/>
      <c r="DB57" s="268"/>
      <c r="DC57" s="268"/>
      <c r="DD57" s="268"/>
      <c r="DE57" s="268"/>
      <c r="DF57" s="268"/>
      <c r="DG57" s="268"/>
      <c r="DH57" s="268"/>
      <c r="DI57" s="268"/>
      <c r="DJ57" s="268"/>
      <c r="DK57" s="268"/>
      <c r="DL57" s="268"/>
      <c r="DM57" s="268"/>
      <c r="DN57" s="268"/>
      <c r="DO57" s="268"/>
      <c r="DP57" s="268"/>
      <c r="DQ57" s="268"/>
      <c r="DR57" s="268"/>
      <c r="DS57" s="268"/>
      <c r="DT57" s="268"/>
      <c r="DU57" s="268"/>
      <c r="DV57" s="268"/>
      <c r="DW57" s="268"/>
      <c r="DX57" s="268"/>
      <c r="DY57" s="268"/>
      <c r="DZ57" s="268"/>
      <c r="EA57" s="268"/>
      <c r="EB57" s="268"/>
      <c r="EC57" s="268"/>
      <c r="ED57" s="268"/>
      <c r="EE57" s="268"/>
      <c r="EF57" s="268"/>
      <c r="EG57" s="268"/>
      <c r="EH57" s="268"/>
      <c r="EI57" s="268"/>
      <c r="EJ57" s="268"/>
      <c r="EK57" s="268"/>
      <c r="EL57" s="268"/>
      <c r="EM57" s="268"/>
      <c r="EN57" s="268"/>
      <c r="EO57" s="268"/>
      <c r="EP57" s="268"/>
      <c r="EQ57" s="268"/>
      <c r="ER57" s="268"/>
      <c r="ES57" s="268"/>
      <c r="ET57" s="268"/>
      <c r="EU57" s="268"/>
      <c r="EV57" s="268"/>
      <c r="EW57" s="268"/>
      <c r="EX57" s="268"/>
      <c r="EY57" s="268"/>
      <c r="EZ57" s="268"/>
      <c r="FA57" s="268"/>
      <c r="FB57" s="268"/>
      <c r="FC57" s="268"/>
      <c r="FD57" s="268"/>
      <c r="FE57" s="268"/>
      <c r="FF57" s="268"/>
      <c r="FG57" s="268"/>
      <c r="FH57" s="268"/>
      <c r="FI57" s="268"/>
      <c r="FJ57" s="268"/>
      <c r="FK57" s="268"/>
      <c r="FL57" s="268"/>
      <c r="FM57" s="268"/>
      <c r="FN57" s="268"/>
      <c r="FO57" s="268"/>
      <c r="FP57" s="268"/>
      <c r="FQ57" s="268"/>
      <c r="FR57" s="268"/>
      <c r="FS57" s="268"/>
      <c r="FT57" s="268"/>
      <c r="FU57" s="268"/>
      <c r="FV57" s="268"/>
      <c r="FW57" s="268"/>
      <c r="FX57" s="268"/>
      <c r="FY57" s="268"/>
      <c r="FZ57" s="268"/>
      <c r="GA57" s="268"/>
      <c r="GB57" s="268"/>
      <c r="GC57" s="268"/>
      <c r="GD57" s="268"/>
      <c r="GE57" s="268"/>
      <c r="GF57" s="268"/>
      <c r="GG57" s="268"/>
      <c r="GH57" s="268"/>
      <c r="GI57" s="268"/>
      <c r="GJ57" s="268"/>
      <c r="GK57" s="268"/>
      <c r="GL57" s="268"/>
      <c r="GM57" s="268"/>
      <c r="GN57" s="268"/>
      <c r="GO57" s="268"/>
    </row>
    <row r="58" spans="2:197" s="275" customFormat="1" ht="39.75" hidden="1" customHeight="1" thickBot="1">
      <c r="B58" s="268"/>
      <c r="C58" s="789"/>
      <c r="D58" s="790" t="s">
        <v>775</v>
      </c>
      <c r="E58" s="790"/>
      <c r="F58" s="790"/>
      <c r="G58" s="790"/>
      <c r="H58" s="790"/>
      <c r="I58" s="790" t="s">
        <v>776</v>
      </c>
      <c r="J58" s="794" t="s">
        <v>776</v>
      </c>
      <c r="K58" s="792" t="e">
        <f>VLOOKUP(D60,'Annexure -I'!B4:D15,3,0)</f>
        <v>#N/A</v>
      </c>
      <c r="L58" s="790"/>
      <c r="M58" s="790"/>
      <c r="N58" s="790"/>
      <c r="O58" s="277">
        <v>10</v>
      </c>
      <c r="P58" s="267" t="str">
        <f>IF(O49=2,"","Nov,19")</f>
        <v>Nov,19</v>
      </c>
      <c r="Q58" s="278">
        <f t="shared" si="6"/>
        <v>12</v>
      </c>
      <c r="R58" s="278">
        <f>IF(AND(U133=1),V126,IF(AND(U133&lt;=O58-1),V134,V126))</f>
        <v>12</v>
      </c>
      <c r="S58" s="576">
        <f>IF(AND(AD66=1),D11,IF(AND(AD66&lt;=O58-1),M11,D11))</f>
        <v>0</v>
      </c>
      <c r="T58" s="576">
        <f>IF(AND(AD64=1),D17,IF(AND(AD64&lt;=O58-1),P17,D17))</f>
        <v>10000</v>
      </c>
      <c r="U58" s="576">
        <f>IF(AND(AD65=1),H18,IF(AND(AD65&lt;=O58-1),Q18,H18))</f>
        <v>350</v>
      </c>
      <c r="V58" s="555">
        <f t="shared" si="7"/>
        <v>60</v>
      </c>
      <c r="W58" s="278">
        <f t="shared" si="8"/>
        <v>1111</v>
      </c>
      <c r="X58" s="278">
        <f t="shared" si="9"/>
        <v>0</v>
      </c>
      <c r="Y58" s="270"/>
      <c r="Z58" s="270"/>
      <c r="AA58" s="270"/>
      <c r="AB58" s="270"/>
      <c r="AC58" s="268"/>
      <c r="AD58" s="268">
        <v>8</v>
      </c>
      <c r="AE58" s="268" t="s">
        <v>785</v>
      </c>
      <c r="AF58" s="268"/>
      <c r="AG58" s="268"/>
      <c r="AH58" s="270"/>
      <c r="AI58" s="268">
        <v>8</v>
      </c>
      <c r="AJ58" s="266" t="s">
        <v>784</v>
      </c>
      <c r="AK58" s="270"/>
      <c r="AL58" s="270"/>
      <c r="AM58" s="270"/>
      <c r="AN58" s="270"/>
      <c r="AO58" s="270"/>
      <c r="AP58" s="268"/>
      <c r="AQ58" s="268"/>
      <c r="AR58" s="268"/>
      <c r="AS58" s="268"/>
      <c r="AT58" s="268"/>
      <c r="AU58" s="268"/>
      <c r="AV58" s="268"/>
      <c r="AW58" s="268"/>
      <c r="AX58" s="268"/>
      <c r="AY58" s="268"/>
      <c r="AZ58" s="268"/>
      <c r="BA58" s="268"/>
      <c r="BB58" s="268"/>
      <c r="BC58" s="268"/>
      <c r="BD58" s="268"/>
      <c r="BE58" s="268"/>
      <c r="BF58" s="268"/>
      <c r="BG58" s="268"/>
      <c r="BH58" s="268"/>
      <c r="BI58" s="268"/>
      <c r="BJ58" s="268"/>
      <c r="BK58" s="268"/>
      <c r="BL58" s="268"/>
      <c r="BM58" s="268"/>
      <c r="BN58" s="268"/>
      <c r="BO58" s="268"/>
      <c r="BP58" s="268"/>
      <c r="BQ58" s="268"/>
      <c r="BR58" s="268"/>
      <c r="BS58" s="268"/>
      <c r="BT58" s="268"/>
      <c r="BU58" s="268"/>
      <c r="BV58" s="268"/>
      <c r="BW58" s="268"/>
      <c r="BX58" s="268"/>
      <c r="BY58" s="268"/>
      <c r="BZ58" s="268"/>
      <c r="CA58" s="268"/>
      <c r="CB58" s="268"/>
      <c r="CC58" s="268"/>
      <c r="CD58" s="268"/>
      <c r="CE58" s="268"/>
      <c r="CF58" s="268"/>
      <c r="CG58" s="268"/>
      <c r="CH58" s="268"/>
      <c r="CI58" s="268"/>
      <c r="CJ58" s="268"/>
      <c r="CK58" s="268"/>
      <c r="CL58" s="268"/>
      <c r="CM58" s="268"/>
      <c r="CN58" s="268"/>
      <c r="CO58" s="268"/>
      <c r="CP58" s="268"/>
      <c r="CQ58" s="268"/>
      <c r="CR58" s="268"/>
      <c r="CS58" s="268"/>
      <c r="CT58" s="268"/>
      <c r="CU58" s="268"/>
      <c r="CV58" s="268"/>
      <c r="CW58" s="268"/>
      <c r="CX58" s="268"/>
      <c r="CY58" s="268"/>
      <c r="CZ58" s="268"/>
      <c r="DA58" s="268"/>
      <c r="DB58" s="268"/>
      <c r="DC58" s="268"/>
      <c r="DD58" s="268"/>
      <c r="DE58" s="268"/>
      <c r="DF58" s="268"/>
      <c r="DG58" s="268"/>
      <c r="DH58" s="268"/>
      <c r="DI58" s="268"/>
      <c r="DJ58" s="268"/>
      <c r="DK58" s="268"/>
      <c r="DL58" s="268"/>
      <c r="DM58" s="268"/>
      <c r="DN58" s="268"/>
      <c r="DO58" s="268"/>
      <c r="DP58" s="268"/>
      <c r="DQ58" s="268"/>
      <c r="DR58" s="268"/>
      <c r="DS58" s="268"/>
      <c r="DT58" s="268"/>
      <c r="DU58" s="268"/>
      <c r="DV58" s="268"/>
      <c r="DW58" s="268"/>
      <c r="DX58" s="268"/>
      <c r="DY58" s="268"/>
      <c r="DZ58" s="268"/>
      <c r="EA58" s="268"/>
      <c r="EB58" s="268"/>
      <c r="EC58" s="268"/>
      <c r="ED58" s="268"/>
      <c r="EE58" s="268"/>
      <c r="EF58" s="268"/>
      <c r="EG58" s="268"/>
      <c r="EH58" s="268"/>
      <c r="EI58" s="268"/>
      <c r="EJ58" s="268"/>
      <c r="EK58" s="268"/>
      <c r="EL58" s="268"/>
      <c r="EM58" s="268"/>
      <c r="EN58" s="268"/>
      <c r="EO58" s="268"/>
      <c r="EP58" s="268"/>
      <c r="EQ58" s="268"/>
      <c r="ER58" s="268"/>
      <c r="ES58" s="268"/>
      <c r="ET58" s="268"/>
      <c r="EU58" s="268"/>
      <c r="EV58" s="268"/>
      <c r="EW58" s="268"/>
      <c r="EX58" s="268"/>
      <c r="EY58" s="268"/>
      <c r="EZ58" s="268"/>
      <c r="FA58" s="268"/>
      <c r="FB58" s="268"/>
      <c r="FC58" s="268"/>
      <c r="FD58" s="268"/>
      <c r="FE58" s="268"/>
      <c r="FF58" s="268"/>
      <c r="FG58" s="268"/>
      <c r="FH58" s="268"/>
      <c r="FI58" s="268"/>
      <c r="FJ58" s="268"/>
      <c r="FK58" s="268"/>
      <c r="FL58" s="268"/>
      <c r="FM58" s="268"/>
      <c r="FN58" s="268"/>
      <c r="FO58" s="268"/>
      <c r="FP58" s="268"/>
      <c r="FQ58" s="268"/>
      <c r="FR58" s="268"/>
      <c r="FS58" s="268"/>
      <c r="FT58" s="268"/>
      <c r="FU58" s="268"/>
      <c r="FV58" s="268"/>
      <c r="FW58" s="268"/>
      <c r="FX58" s="268"/>
      <c r="FY58" s="268"/>
      <c r="FZ58" s="268"/>
      <c r="GA58" s="268"/>
      <c r="GB58" s="268"/>
      <c r="GC58" s="268"/>
      <c r="GD58" s="268"/>
      <c r="GE58" s="268"/>
      <c r="GF58" s="268"/>
      <c r="GG58" s="268"/>
      <c r="GH58" s="268"/>
      <c r="GI58" s="268"/>
      <c r="GJ58" s="268"/>
      <c r="GK58" s="268"/>
      <c r="GL58" s="268"/>
      <c r="GM58" s="268"/>
      <c r="GN58" s="268"/>
      <c r="GO58" s="268"/>
    </row>
    <row r="59" spans="2:197" s="275" customFormat="1" ht="39.75" hidden="1" customHeight="1">
      <c r="B59" s="268"/>
      <c r="C59" s="803" t="s">
        <v>610</v>
      </c>
      <c r="D59" s="795">
        <f>Y138</f>
        <v>11</v>
      </c>
      <c r="E59" s="791"/>
      <c r="F59" s="791"/>
      <c r="G59" s="791"/>
      <c r="H59" s="797" t="s">
        <v>778</v>
      </c>
      <c r="I59" s="791" t="str">
        <f>CONCATENATE(D59,"days")</f>
        <v>11days</v>
      </c>
      <c r="J59" s="791" t="e">
        <f>ROUND(K58*D59*F60%/D61,0.1)</f>
        <v>#N/A</v>
      </c>
      <c r="K59" s="791"/>
      <c r="L59" s="791"/>
      <c r="M59" s="791"/>
      <c r="N59" s="791"/>
      <c r="O59" s="277">
        <v>11</v>
      </c>
      <c r="P59" s="267" t="str">
        <f>IF(O49=2,"","Dec,19")</f>
        <v>Dec,19</v>
      </c>
      <c r="Q59" s="278">
        <f t="shared" si="6"/>
        <v>12</v>
      </c>
      <c r="R59" s="278">
        <f>IF(AND(U133=1),V126,IF(AND(U133&lt;=O59-1),V134,V126))</f>
        <v>12</v>
      </c>
      <c r="S59" s="576">
        <f>IF(AND(AD66=1),D11,IF(AND(AD66&lt;=O59-1),M11,D11))</f>
        <v>0</v>
      </c>
      <c r="T59" s="576">
        <f>IF(AND(AD64=1),D17,IF(AND(AD64&lt;=O59-1),P17,D17))</f>
        <v>10000</v>
      </c>
      <c r="U59" s="576">
        <f>IF(AND(AD65=1),H18,IF(AND(AD65&lt;=O59-1),Q18,H18))</f>
        <v>350</v>
      </c>
      <c r="V59" s="555">
        <f t="shared" si="7"/>
        <v>60</v>
      </c>
      <c r="W59" s="278">
        <f t="shared" si="8"/>
        <v>1111</v>
      </c>
      <c r="X59" s="278">
        <f t="shared" si="9"/>
        <v>0</v>
      </c>
      <c r="Y59" s="270"/>
      <c r="Z59" s="270"/>
      <c r="AA59" s="270"/>
      <c r="AB59" s="270"/>
      <c r="AC59" s="268"/>
      <c r="AD59" s="268">
        <v>9</v>
      </c>
      <c r="AE59" s="268" t="s">
        <v>786</v>
      </c>
      <c r="AF59" s="268"/>
      <c r="AG59" s="268"/>
      <c r="AH59" s="270"/>
      <c r="AI59" s="268">
        <v>9</v>
      </c>
      <c r="AJ59" s="268" t="s">
        <v>785</v>
      </c>
      <c r="AK59" s="270"/>
      <c r="AL59" s="270"/>
      <c r="AM59" s="270"/>
      <c r="AN59" s="270"/>
      <c r="AO59" s="270"/>
      <c r="AP59" s="268"/>
      <c r="AQ59" s="268"/>
      <c r="AR59" s="268"/>
      <c r="AS59" s="268"/>
      <c r="AT59" s="268"/>
      <c r="AU59" s="268"/>
      <c r="AV59" s="268"/>
      <c r="AW59" s="268"/>
      <c r="AX59" s="268"/>
      <c r="AY59" s="268"/>
      <c r="AZ59" s="268"/>
      <c r="BA59" s="268"/>
      <c r="BB59" s="268"/>
      <c r="BC59" s="268"/>
      <c r="BD59" s="268"/>
      <c r="BE59" s="268"/>
      <c r="BF59" s="268"/>
      <c r="BG59" s="268"/>
      <c r="BH59" s="268"/>
      <c r="BI59" s="268"/>
      <c r="BJ59" s="268"/>
      <c r="BK59" s="268"/>
      <c r="BL59" s="268"/>
      <c r="BM59" s="268"/>
      <c r="BN59" s="268"/>
      <c r="BO59" s="268"/>
      <c r="BP59" s="268"/>
      <c r="BQ59" s="268"/>
      <c r="BR59" s="268"/>
      <c r="BS59" s="268"/>
      <c r="BT59" s="268"/>
      <c r="BU59" s="268"/>
      <c r="BV59" s="268"/>
      <c r="BW59" s="268"/>
      <c r="BX59" s="268"/>
      <c r="BY59" s="268"/>
      <c r="BZ59" s="268"/>
      <c r="CA59" s="268"/>
      <c r="CB59" s="268"/>
      <c r="CC59" s="268"/>
      <c r="CD59" s="268"/>
      <c r="CE59" s="268"/>
      <c r="CF59" s="268"/>
      <c r="CG59" s="268"/>
      <c r="CH59" s="268"/>
      <c r="CI59" s="268"/>
      <c r="CJ59" s="268"/>
      <c r="CK59" s="268"/>
      <c r="CL59" s="268"/>
      <c r="CM59" s="268"/>
      <c r="CN59" s="268"/>
      <c r="CO59" s="268"/>
      <c r="CP59" s="268"/>
      <c r="CQ59" s="268"/>
      <c r="CR59" s="268"/>
      <c r="CS59" s="268"/>
      <c r="CT59" s="268"/>
      <c r="CU59" s="268"/>
      <c r="CV59" s="268"/>
      <c r="CW59" s="268"/>
      <c r="CX59" s="268"/>
      <c r="CY59" s="268"/>
      <c r="CZ59" s="268"/>
      <c r="DA59" s="268"/>
      <c r="DB59" s="268"/>
      <c r="DC59" s="268"/>
      <c r="DD59" s="268"/>
      <c r="DE59" s="268"/>
      <c r="DF59" s="268"/>
      <c r="DG59" s="268"/>
      <c r="DH59" s="268"/>
      <c r="DI59" s="268"/>
      <c r="DJ59" s="268"/>
      <c r="DK59" s="268"/>
      <c r="DL59" s="268"/>
      <c r="DM59" s="268"/>
      <c r="DN59" s="268"/>
      <c r="DO59" s="268"/>
      <c r="DP59" s="268"/>
      <c r="DQ59" s="268"/>
      <c r="DR59" s="268"/>
      <c r="DS59" s="268"/>
      <c r="DT59" s="268"/>
      <c r="DU59" s="268"/>
      <c r="DV59" s="268"/>
      <c r="DW59" s="268"/>
      <c r="DX59" s="268"/>
      <c r="DY59" s="268"/>
      <c r="DZ59" s="268"/>
      <c r="EA59" s="268"/>
      <c r="EB59" s="268"/>
      <c r="EC59" s="268"/>
      <c r="ED59" s="268"/>
      <c r="EE59" s="268"/>
      <c r="EF59" s="268"/>
      <c r="EG59" s="268"/>
      <c r="EH59" s="268"/>
      <c r="EI59" s="268"/>
      <c r="EJ59" s="268"/>
      <c r="EK59" s="268"/>
      <c r="EL59" s="268"/>
      <c r="EM59" s="268"/>
      <c r="EN59" s="268"/>
      <c r="EO59" s="268"/>
      <c r="EP59" s="268"/>
      <c r="EQ59" s="268"/>
      <c r="ER59" s="268"/>
      <c r="ES59" s="268"/>
      <c r="ET59" s="268"/>
      <c r="EU59" s="268"/>
      <c r="EV59" s="268"/>
      <c r="EW59" s="268"/>
      <c r="EX59" s="268"/>
      <c r="EY59" s="268"/>
      <c r="EZ59" s="268"/>
      <c r="FA59" s="268"/>
      <c r="FB59" s="268"/>
      <c r="FC59" s="268"/>
      <c r="FD59" s="268"/>
      <c r="FE59" s="268"/>
      <c r="FF59" s="268"/>
      <c r="FG59" s="268"/>
      <c r="FH59" s="268"/>
      <c r="FI59" s="268"/>
      <c r="FJ59" s="268"/>
      <c r="FK59" s="268"/>
      <c r="FL59" s="268"/>
      <c r="FM59" s="268"/>
      <c r="FN59" s="268"/>
      <c r="FO59" s="268"/>
      <c r="FP59" s="268"/>
      <c r="FQ59" s="268"/>
      <c r="FR59" s="268"/>
      <c r="FS59" s="268"/>
      <c r="FT59" s="268"/>
      <c r="FU59" s="268"/>
      <c r="FV59" s="268"/>
      <c r="FW59" s="268"/>
      <c r="FX59" s="268"/>
      <c r="FY59" s="268"/>
      <c r="FZ59" s="268"/>
      <c r="GA59" s="268"/>
      <c r="GB59" s="268"/>
      <c r="GC59" s="268"/>
      <c r="GD59" s="268"/>
      <c r="GE59" s="268"/>
      <c r="GF59" s="268"/>
      <c r="GG59" s="268"/>
      <c r="GH59" s="268"/>
      <c r="GI59" s="268"/>
      <c r="GJ59" s="268"/>
      <c r="GK59" s="268"/>
      <c r="GL59" s="268"/>
      <c r="GM59" s="268"/>
      <c r="GN59" s="268"/>
      <c r="GO59" s="268"/>
    </row>
    <row r="60" spans="2:197" s="275" customFormat="1" ht="39.75" hidden="1" customHeight="1">
      <c r="B60" s="268"/>
      <c r="C60" s="804" t="s">
        <v>1</v>
      </c>
      <c r="D60" s="796">
        <f>U133-1</f>
        <v>0</v>
      </c>
      <c r="E60" s="797">
        <f>U126</f>
        <v>2</v>
      </c>
      <c r="F60" s="791">
        <f>IF(E60=1,0,IF(E60=2,12,IF(E60=3,14.5,IF(E60=4,20,30))))</f>
        <v>12</v>
      </c>
      <c r="G60" s="791"/>
      <c r="H60" s="791"/>
      <c r="I60" s="791" t="e">
        <f>CONCATENATE(D61-D59,"days")</f>
        <v>#N/A</v>
      </c>
      <c r="J60" s="791" t="e">
        <f>ROUND(K58*(D61-D59)*F61%/D61,0.1)</f>
        <v>#N/A</v>
      </c>
      <c r="K60" s="791"/>
      <c r="L60" s="791"/>
      <c r="M60" s="791"/>
      <c r="N60" s="791"/>
      <c r="O60" s="277">
        <v>12</v>
      </c>
      <c r="P60" s="267" t="str">
        <f>IF(O49=2,"","Jan,20")</f>
        <v>Jan,20</v>
      </c>
      <c r="Q60" s="278">
        <f t="shared" si="6"/>
        <v>12</v>
      </c>
      <c r="R60" s="278">
        <f>IF(AND(U133=1),V126,IF(AND(U133&lt;=O60-1),V134,V126))</f>
        <v>12</v>
      </c>
      <c r="S60" s="576">
        <f>IF(AND(AD66=1),D11,IF(AND(AD66&lt;=O60-1),M11,D11))</f>
        <v>0</v>
      </c>
      <c r="T60" s="576">
        <f>IF(AND(AD64=1),D17,IF(AND(AD64&lt;=O60-1),P17,D17))</f>
        <v>10000</v>
      </c>
      <c r="U60" s="576">
        <f>IF(AND(AD65=1),H18,IF(AND(AD65&lt;=O60-1),Q18,H18))</f>
        <v>350</v>
      </c>
      <c r="V60" s="555">
        <f t="shared" si="7"/>
        <v>60</v>
      </c>
      <c r="W60" s="278">
        <f t="shared" si="8"/>
        <v>1111</v>
      </c>
      <c r="X60" s="278">
        <f t="shared" si="9"/>
        <v>0</v>
      </c>
      <c r="Y60" s="270"/>
      <c r="Z60" s="270"/>
      <c r="AA60" s="270"/>
      <c r="AB60" s="270"/>
      <c r="AC60" s="268"/>
      <c r="AD60" s="268">
        <v>10</v>
      </c>
      <c r="AE60" s="408" t="s">
        <v>787</v>
      </c>
      <c r="AF60" s="268"/>
      <c r="AG60" s="268"/>
      <c r="AH60" s="270"/>
      <c r="AI60" s="268">
        <v>10</v>
      </c>
      <c r="AJ60" s="268" t="s">
        <v>786</v>
      </c>
      <c r="AK60" s="270"/>
      <c r="AL60" s="270"/>
      <c r="AM60" s="270"/>
      <c r="AN60" s="270"/>
      <c r="AO60" s="270"/>
      <c r="AP60" s="268"/>
      <c r="AQ60" s="268"/>
      <c r="AR60" s="268"/>
      <c r="AS60" s="268"/>
      <c r="AT60" s="268"/>
      <c r="AU60" s="268"/>
      <c r="AV60" s="268"/>
      <c r="AW60" s="268"/>
      <c r="AX60" s="268"/>
      <c r="AY60" s="268"/>
      <c r="AZ60" s="268"/>
      <c r="BA60" s="268"/>
      <c r="BB60" s="268"/>
      <c r="BC60" s="268"/>
      <c r="BD60" s="268"/>
      <c r="BE60" s="268"/>
      <c r="BF60" s="268"/>
      <c r="BG60" s="268"/>
      <c r="BH60" s="268"/>
      <c r="BI60" s="268"/>
      <c r="BJ60" s="268"/>
      <c r="BK60" s="268"/>
      <c r="BL60" s="268"/>
      <c r="BM60" s="268"/>
      <c r="BN60" s="268"/>
      <c r="BO60" s="268"/>
      <c r="BP60" s="268"/>
      <c r="BQ60" s="268"/>
      <c r="BR60" s="268"/>
      <c r="BS60" s="268"/>
      <c r="BT60" s="268"/>
      <c r="BU60" s="268"/>
      <c r="BV60" s="268"/>
      <c r="BW60" s="268"/>
      <c r="BX60" s="268"/>
      <c r="BY60" s="268"/>
      <c r="BZ60" s="268"/>
      <c r="CA60" s="268"/>
      <c r="CB60" s="268"/>
      <c r="CC60" s="268"/>
      <c r="CD60" s="268"/>
      <c r="CE60" s="268"/>
      <c r="CF60" s="268"/>
      <c r="CG60" s="268"/>
      <c r="CH60" s="268"/>
      <c r="CI60" s="268"/>
      <c r="CJ60" s="268"/>
      <c r="CK60" s="268"/>
      <c r="CL60" s="268"/>
      <c r="CM60" s="268"/>
      <c r="CN60" s="268"/>
      <c r="CO60" s="268"/>
      <c r="CP60" s="268"/>
      <c r="CQ60" s="268"/>
      <c r="CR60" s="268"/>
      <c r="CS60" s="268"/>
      <c r="CT60" s="268"/>
      <c r="CU60" s="268"/>
      <c r="CV60" s="268"/>
      <c r="CW60" s="268"/>
      <c r="CX60" s="268"/>
      <c r="CY60" s="268"/>
      <c r="CZ60" s="268"/>
      <c r="DA60" s="268"/>
      <c r="DB60" s="268"/>
      <c r="DC60" s="268"/>
      <c r="DD60" s="268"/>
      <c r="DE60" s="268"/>
      <c r="DF60" s="268"/>
      <c r="DG60" s="268"/>
      <c r="DH60" s="268"/>
      <c r="DI60" s="268"/>
      <c r="DJ60" s="268"/>
      <c r="DK60" s="268"/>
      <c r="DL60" s="268"/>
      <c r="DM60" s="268"/>
      <c r="DN60" s="268"/>
      <c r="DO60" s="268"/>
      <c r="DP60" s="268"/>
      <c r="DQ60" s="268"/>
      <c r="DR60" s="268"/>
      <c r="DS60" s="268"/>
      <c r="DT60" s="268"/>
      <c r="DU60" s="268"/>
      <c r="DV60" s="268"/>
      <c r="DW60" s="268"/>
      <c r="DX60" s="268"/>
      <c r="DY60" s="268"/>
      <c r="DZ60" s="268"/>
      <c r="EA60" s="268"/>
      <c r="EB60" s="268"/>
      <c r="EC60" s="268"/>
      <c r="ED60" s="268"/>
      <c r="EE60" s="268"/>
      <c r="EF60" s="268"/>
      <c r="EG60" s="268"/>
      <c r="EH60" s="268"/>
      <c r="EI60" s="268"/>
      <c r="EJ60" s="268"/>
      <c r="EK60" s="268"/>
      <c r="EL60" s="268"/>
      <c r="EM60" s="268"/>
      <c r="EN60" s="268"/>
      <c r="EO60" s="268"/>
      <c r="EP60" s="268"/>
      <c r="EQ60" s="268"/>
      <c r="ER60" s="268"/>
      <c r="ES60" s="268"/>
      <c r="ET60" s="268"/>
      <c r="EU60" s="268"/>
      <c r="EV60" s="268"/>
      <c r="EW60" s="268"/>
      <c r="EX60" s="268"/>
      <c r="EY60" s="268"/>
      <c r="EZ60" s="268"/>
      <c r="FA60" s="268"/>
      <c r="FB60" s="268"/>
      <c r="FC60" s="268"/>
      <c r="FD60" s="268"/>
      <c r="FE60" s="268"/>
      <c r="FF60" s="268"/>
      <c r="FG60" s="268"/>
      <c r="FH60" s="268"/>
      <c r="FI60" s="268"/>
      <c r="FJ60" s="268"/>
      <c r="FK60" s="268"/>
      <c r="FL60" s="268"/>
      <c r="FM60" s="268"/>
      <c r="FN60" s="268"/>
      <c r="FO60" s="268"/>
      <c r="FP60" s="268"/>
      <c r="FQ60" s="268"/>
      <c r="FR60" s="268"/>
      <c r="FS60" s="268"/>
      <c r="FT60" s="268"/>
      <c r="FU60" s="268"/>
      <c r="FV60" s="268"/>
      <c r="FW60" s="268"/>
      <c r="FX60" s="268"/>
      <c r="FY60" s="268"/>
      <c r="FZ60" s="268"/>
      <c r="GA60" s="268"/>
      <c r="GB60" s="268"/>
      <c r="GC60" s="268"/>
      <c r="GD60" s="268"/>
      <c r="GE60" s="268"/>
      <c r="GF60" s="268"/>
      <c r="GG60" s="268"/>
      <c r="GH60" s="268"/>
      <c r="GI60" s="268"/>
      <c r="GJ60" s="268"/>
      <c r="GK60" s="268"/>
      <c r="GL60" s="268"/>
      <c r="GM60" s="268"/>
      <c r="GN60" s="268"/>
      <c r="GO60" s="268"/>
    </row>
    <row r="61" spans="2:197" s="275" customFormat="1" ht="39.75" hidden="1" customHeight="1" thickBot="1">
      <c r="B61" s="268"/>
      <c r="C61" s="805" t="s">
        <v>777</v>
      </c>
      <c r="D61" s="793" t="e">
        <f>VLOOKUP(D60,AC90:AF101,4,0)</f>
        <v>#N/A</v>
      </c>
      <c r="E61" s="791">
        <f>U134</f>
        <v>3</v>
      </c>
      <c r="F61" s="791">
        <f>IF(E61=1,0,IF(E61=2,12,IF(E61=3,14.5,IF(E61=4,20,30))))</f>
        <v>14.5</v>
      </c>
      <c r="G61" s="791"/>
      <c r="H61" s="791"/>
      <c r="I61" s="797" t="s">
        <v>157</v>
      </c>
      <c r="J61" s="791" t="e">
        <f>SUM(J59:J60)</f>
        <v>#N/A</v>
      </c>
      <c r="K61" s="791"/>
      <c r="L61" s="791"/>
      <c r="M61" s="791"/>
      <c r="N61" s="791"/>
      <c r="O61" s="277">
        <v>13</v>
      </c>
      <c r="P61" s="267" t="str">
        <f>IF(O49=2,"","Feb,20")</f>
        <v>Feb,20</v>
      </c>
      <c r="Q61" s="278">
        <f t="shared" si="6"/>
        <v>12</v>
      </c>
      <c r="R61" s="278">
        <f>IF(AND(U133=1),V126,IF(AND(U133&lt;=O61-1),V134,V126))</f>
        <v>12</v>
      </c>
      <c r="S61" s="576">
        <f>IF(AND(AD66=1),D11,IF(AND(AD66&lt;=O61-1),M11,D11))</f>
        <v>0</v>
      </c>
      <c r="T61" s="576">
        <f>IF(AND(AD64=1),D17,IF(AND(AD64&lt;=O61-1),P17,D17))</f>
        <v>10000</v>
      </c>
      <c r="U61" s="576">
        <f>IF(AND(AD65=1),H18,IF(AND(AD65&lt;=O61-1),Q18,H18))</f>
        <v>350</v>
      </c>
      <c r="V61" s="555">
        <f t="shared" si="7"/>
        <v>60</v>
      </c>
      <c r="W61" s="278">
        <f t="shared" si="8"/>
        <v>1111</v>
      </c>
      <c r="X61" s="278">
        <f t="shared" si="9"/>
        <v>0</v>
      </c>
      <c r="Y61" s="270"/>
      <c r="Z61" s="270"/>
      <c r="AA61" s="270"/>
      <c r="AB61" s="270"/>
      <c r="AC61" s="268"/>
      <c r="AD61" s="268">
        <v>11</v>
      </c>
      <c r="AE61" s="268" t="s">
        <v>788</v>
      </c>
      <c r="AF61" s="268"/>
      <c r="AG61" s="268"/>
      <c r="AH61" s="270"/>
      <c r="AI61" s="268">
        <v>11</v>
      </c>
      <c r="AJ61" s="408" t="s">
        <v>787</v>
      </c>
      <c r="AK61" s="270"/>
      <c r="AL61" s="270"/>
      <c r="AM61" s="270"/>
      <c r="AN61" s="270"/>
      <c r="AO61" s="270"/>
      <c r="AP61" s="268"/>
      <c r="AQ61" s="268"/>
      <c r="AR61" s="268"/>
      <c r="AS61" s="268"/>
      <c r="AT61" s="268"/>
      <c r="AU61" s="268"/>
      <c r="AV61" s="268"/>
      <c r="AW61" s="268"/>
      <c r="AX61" s="268"/>
      <c r="AY61" s="268"/>
      <c r="AZ61" s="268"/>
      <c r="BA61" s="268"/>
      <c r="BB61" s="268"/>
      <c r="BC61" s="268"/>
      <c r="BD61" s="268"/>
      <c r="BE61" s="268"/>
      <c r="BF61" s="268"/>
      <c r="BG61" s="268"/>
      <c r="BH61" s="268"/>
      <c r="BI61" s="268"/>
      <c r="BJ61" s="268"/>
      <c r="BK61" s="268"/>
      <c r="BL61" s="268"/>
      <c r="BM61" s="268"/>
      <c r="BN61" s="268"/>
      <c r="BO61" s="268"/>
      <c r="BP61" s="268"/>
      <c r="BQ61" s="268"/>
      <c r="BR61" s="268"/>
      <c r="BS61" s="268"/>
      <c r="BT61" s="268"/>
      <c r="BU61" s="268"/>
      <c r="BV61" s="268"/>
      <c r="BW61" s="268"/>
      <c r="BX61" s="268"/>
      <c r="BY61" s="268"/>
      <c r="BZ61" s="268"/>
      <c r="CA61" s="268"/>
      <c r="CB61" s="268"/>
      <c r="CC61" s="268"/>
      <c r="CD61" s="268"/>
      <c r="CE61" s="268"/>
      <c r="CF61" s="268"/>
      <c r="CG61" s="268"/>
      <c r="CH61" s="268"/>
      <c r="CI61" s="268"/>
      <c r="CJ61" s="268"/>
      <c r="CK61" s="268"/>
      <c r="CL61" s="268"/>
      <c r="CM61" s="268"/>
      <c r="CN61" s="268"/>
      <c r="CO61" s="268"/>
      <c r="CP61" s="268"/>
      <c r="CQ61" s="268"/>
      <c r="CR61" s="268"/>
      <c r="CS61" s="268"/>
      <c r="CT61" s="268"/>
      <c r="CU61" s="268"/>
      <c r="CV61" s="268"/>
      <c r="CW61" s="268"/>
      <c r="CX61" s="268"/>
      <c r="CY61" s="268"/>
      <c r="CZ61" s="268"/>
      <c r="DA61" s="268"/>
      <c r="DB61" s="268"/>
      <c r="DC61" s="268"/>
      <c r="DD61" s="268"/>
      <c r="DE61" s="268"/>
      <c r="DF61" s="268"/>
      <c r="DG61" s="268"/>
      <c r="DH61" s="268"/>
      <c r="DI61" s="268"/>
      <c r="DJ61" s="268"/>
      <c r="DK61" s="268"/>
      <c r="DL61" s="268"/>
      <c r="DM61" s="268"/>
      <c r="DN61" s="268"/>
      <c r="DO61" s="268"/>
      <c r="DP61" s="268"/>
      <c r="DQ61" s="268"/>
      <c r="DR61" s="268"/>
      <c r="DS61" s="268"/>
      <c r="DT61" s="268"/>
      <c r="DU61" s="268"/>
      <c r="DV61" s="268"/>
      <c r="DW61" s="268"/>
      <c r="DX61" s="268"/>
      <c r="DY61" s="268"/>
      <c r="DZ61" s="268"/>
      <c r="EA61" s="268"/>
      <c r="EB61" s="268"/>
      <c r="EC61" s="268"/>
      <c r="ED61" s="268"/>
      <c r="EE61" s="268"/>
      <c r="EF61" s="268"/>
      <c r="EG61" s="268"/>
      <c r="EH61" s="268"/>
      <c r="EI61" s="268"/>
      <c r="EJ61" s="268"/>
      <c r="EK61" s="268"/>
      <c r="EL61" s="268"/>
      <c r="EM61" s="268"/>
      <c r="EN61" s="268"/>
      <c r="EO61" s="268"/>
      <c r="EP61" s="268"/>
      <c r="EQ61" s="268"/>
      <c r="ER61" s="268"/>
      <c r="ES61" s="268"/>
      <c r="ET61" s="268"/>
      <c r="EU61" s="268"/>
      <c r="EV61" s="268"/>
      <c r="EW61" s="268"/>
      <c r="EX61" s="268"/>
      <c r="EY61" s="268"/>
      <c r="EZ61" s="268"/>
      <c r="FA61" s="268"/>
      <c r="FB61" s="268"/>
      <c r="FC61" s="268"/>
      <c r="FD61" s="268"/>
      <c r="FE61" s="268"/>
      <c r="FF61" s="268"/>
      <c r="FG61" s="268"/>
      <c r="FH61" s="268"/>
      <c r="FI61" s="268"/>
      <c r="FJ61" s="268"/>
      <c r="FK61" s="268"/>
      <c r="FL61" s="268"/>
      <c r="FM61" s="268"/>
      <c r="FN61" s="268"/>
      <c r="FO61" s="268"/>
      <c r="FP61" s="268"/>
      <c r="FQ61" s="268"/>
      <c r="FR61" s="268"/>
      <c r="FS61" s="268"/>
      <c r="FT61" s="268"/>
      <c r="FU61" s="268"/>
      <c r="FV61" s="268"/>
      <c r="FW61" s="268"/>
      <c r="FX61" s="268"/>
      <c r="FY61" s="268"/>
      <c r="FZ61" s="268"/>
      <c r="GA61" s="268"/>
      <c r="GB61" s="268"/>
      <c r="GC61" s="268"/>
      <c r="GD61" s="268"/>
      <c r="GE61" s="268"/>
      <c r="GF61" s="268"/>
      <c r="GG61" s="268"/>
      <c r="GH61" s="268"/>
      <c r="GI61" s="268"/>
      <c r="GJ61" s="268"/>
      <c r="GK61" s="268"/>
      <c r="GL61" s="268"/>
      <c r="GM61" s="268"/>
      <c r="GN61" s="268"/>
      <c r="GO61" s="268"/>
    </row>
    <row r="62" spans="2:197" s="275" customFormat="1" ht="39.75" hidden="1" customHeight="1">
      <c r="B62" s="268"/>
      <c r="C62" s="319"/>
      <c r="D62" s="319"/>
      <c r="E62" s="319"/>
      <c r="F62" s="319"/>
      <c r="G62" s="319"/>
      <c r="H62" s="319"/>
      <c r="I62" s="319"/>
      <c r="J62" s="319"/>
      <c r="K62" s="319"/>
      <c r="L62" s="319"/>
      <c r="M62" s="319"/>
      <c r="N62" s="319"/>
      <c r="O62" s="279"/>
      <c r="P62" s="280"/>
      <c r="Q62" s="280"/>
      <c r="S62" s="577"/>
      <c r="T62" s="577"/>
      <c r="U62" s="577"/>
      <c r="V62" s="556"/>
      <c r="Y62" s="270"/>
      <c r="Z62" s="270"/>
      <c r="AA62" s="270"/>
      <c r="AB62" s="270"/>
      <c r="AC62" s="268"/>
      <c r="AD62" s="268">
        <v>12</v>
      </c>
      <c r="AE62" s="268" t="s">
        <v>789</v>
      </c>
      <c r="AF62" s="268"/>
      <c r="AG62" s="268"/>
      <c r="AH62" s="270"/>
      <c r="AI62" s="268">
        <v>12</v>
      </c>
      <c r="AJ62" s="268" t="s">
        <v>788</v>
      </c>
      <c r="AK62" s="270"/>
      <c r="AL62" s="270"/>
      <c r="AM62" s="270"/>
      <c r="AN62" s="270"/>
      <c r="AO62" s="270"/>
      <c r="AP62" s="268"/>
      <c r="AQ62" s="268"/>
      <c r="AR62" s="268"/>
      <c r="AS62" s="268"/>
      <c r="AT62" s="268"/>
      <c r="AU62" s="268"/>
      <c r="AV62" s="268"/>
      <c r="AW62" s="268"/>
      <c r="AX62" s="268"/>
      <c r="AY62" s="268"/>
      <c r="AZ62" s="268"/>
      <c r="BA62" s="268"/>
      <c r="BB62" s="268"/>
      <c r="BC62" s="268"/>
      <c r="BD62" s="268"/>
      <c r="BE62" s="268"/>
      <c r="BF62" s="268"/>
      <c r="BG62" s="268"/>
      <c r="BH62" s="268"/>
      <c r="BI62" s="268"/>
      <c r="BJ62" s="268"/>
      <c r="BK62" s="268"/>
      <c r="BL62" s="268"/>
      <c r="BM62" s="268"/>
      <c r="BN62" s="268"/>
      <c r="BO62" s="268"/>
      <c r="BP62" s="268"/>
      <c r="BQ62" s="268"/>
      <c r="BR62" s="268"/>
      <c r="BS62" s="268"/>
      <c r="BT62" s="268"/>
      <c r="BU62" s="268"/>
      <c r="BV62" s="268"/>
      <c r="BW62" s="268"/>
      <c r="BX62" s="268"/>
      <c r="BY62" s="268"/>
      <c r="BZ62" s="268"/>
      <c r="CA62" s="268"/>
      <c r="CB62" s="268"/>
      <c r="CC62" s="268"/>
      <c r="CD62" s="268"/>
      <c r="CE62" s="268"/>
      <c r="CF62" s="268"/>
      <c r="CG62" s="268"/>
      <c r="CH62" s="268"/>
      <c r="CI62" s="268"/>
      <c r="CJ62" s="268"/>
      <c r="CK62" s="268"/>
      <c r="CL62" s="268"/>
      <c r="CM62" s="268"/>
      <c r="CN62" s="268"/>
      <c r="CO62" s="268"/>
      <c r="CP62" s="268"/>
      <c r="CQ62" s="268"/>
      <c r="CR62" s="268"/>
      <c r="CS62" s="268"/>
      <c r="CT62" s="268"/>
      <c r="CU62" s="268"/>
      <c r="CV62" s="268"/>
      <c r="CW62" s="268"/>
      <c r="CX62" s="268"/>
      <c r="CY62" s="268"/>
      <c r="CZ62" s="268"/>
      <c r="DA62" s="268"/>
      <c r="DB62" s="268"/>
      <c r="DC62" s="268"/>
      <c r="DD62" s="268"/>
      <c r="DE62" s="268"/>
      <c r="DF62" s="268"/>
      <c r="DG62" s="268"/>
      <c r="DH62" s="268"/>
      <c r="DI62" s="268"/>
      <c r="DJ62" s="268"/>
      <c r="DK62" s="268"/>
      <c r="DL62" s="268"/>
      <c r="DM62" s="268"/>
      <c r="DN62" s="268"/>
      <c r="DO62" s="268"/>
      <c r="DP62" s="268"/>
      <c r="DQ62" s="268"/>
      <c r="DR62" s="268"/>
      <c r="DS62" s="268"/>
      <c r="DT62" s="268"/>
      <c r="DU62" s="268"/>
      <c r="DV62" s="268"/>
      <c r="DW62" s="268"/>
      <c r="DX62" s="268"/>
      <c r="DY62" s="268"/>
      <c r="DZ62" s="268"/>
      <c r="EA62" s="268"/>
      <c r="EB62" s="268"/>
      <c r="EC62" s="268"/>
      <c r="ED62" s="268"/>
      <c r="EE62" s="268"/>
      <c r="EF62" s="268"/>
      <c r="EG62" s="268"/>
      <c r="EH62" s="268"/>
      <c r="EI62" s="268"/>
      <c r="EJ62" s="268"/>
      <c r="EK62" s="268"/>
      <c r="EL62" s="268"/>
      <c r="EM62" s="268"/>
      <c r="EN62" s="268"/>
      <c r="EO62" s="268"/>
      <c r="EP62" s="268"/>
      <c r="EQ62" s="268"/>
      <c r="ER62" s="268"/>
      <c r="ES62" s="268"/>
      <c r="ET62" s="268"/>
      <c r="EU62" s="268"/>
      <c r="EV62" s="268"/>
      <c r="EW62" s="268"/>
      <c r="EX62" s="268"/>
      <c r="EY62" s="268"/>
      <c r="EZ62" s="268"/>
      <c r="FA62" s="268"/>
      <c r="FB62" s="268"/>
      <c r="FC62" s="268"/>
      <c r="FD62" s="268"/>
      <c r="FE62" s="268"/>
      <c r="FF62" s="268"/>
      <c r="FG62" s="268"/>
      <c r="FH62" s="268"/>
      <c r="FI62" s="268"/>
      <c r="FJ62" s="268"/>
      <c r="FK62" s="268"/>
      <c r="FL62" s="268"/>
      <c r="FM62" s="268"/>
      <c r="FN62" s="268"/>
      <c r="FO62" s="268"/>
      <c r="FP62" s="268"/>
      <c r="FQ62" s="268"/>
      <c r="FR62" s="268"/>
      <c r="FS62" s="268"/>
      <c r="FT62" s="268"/>
      <c r="FU62" s="268"/>
      <c r="FV62" s="268"/>
      <c r="FW62" s="268"/>
      <c r="FX62" s="268"/>
      <c r="FY62" s="268"/>
      <c r="FZ62" s="268"/>
      <c r="GA62" s="268"/>
      <c r="GB62" s="268"/>
      <c r="GC62" s="268"/>
      <c r="GD62" s="268"/>
      <c r="GE62" s="268"/>
      <c r="GF62" s="268"/>
      <c r="GG62" s="268"/>
      <c r="GH62" s="268"/>
      <c r="GI62" s="268"/>
      <c r="GJ62" s="268"/>
      <c r="GK62" s="268"/>
      <c r="GL62" s="268"/>
      <c r="GM62" s="268"/>
      <c r="GN62" s="268"/>
      <c r="GO62" s="268"/>
    </row>
    <row r="63" spans="2:197" s="275" customFormat="1" ht="39.75" hidden="1" customHeight="1" thickBot="1">
      <c r="B63" s="268"/>
      <c r="C63" s="319">
        <v>1</v>
      </c>
      <c r="D63" s="319"/>
      <c r="E63" s="319"/>
      <c r="F63" s="319"/>
      <c r="G63" s="319"/>
      <c r="H63" s="319"/>
      <c r="I63" s="319"/>
      <c r="J63" s="319"/>
      <c r="K63" s="319"/>
      <c r="L63" s="319"/>
      <c r="M63" s="319"/>
      <c r="N63" s="319"/>
      <c r="O63" s="268"/>
      <c r="P63" s="269"/>
      <c r="Q63" s="269" t="s">
        <v>24</v>
      </c>
      <c r="S63" s="577"/>
      <c r="T63" s="577"/>
      <c r="U63" s="577"/>
      <c r="V63" s="556"/>
      <c r="Y63" s="268"/>
      <c r="Z63" s="268"/>
      <c r="AA63" s="268"/>
      <c r="AB63" s="268"/>
      <c r="AC63" s="268"/>
      <c r="AD63" s="268"/>
      <c r="AE63" s="268" t="s">
        <v>790</v>
      </c>
      <c r="AF63" s="268"/>
      <c r="AG63" s="268"/>
      <c r="AH63" s="270"/>
      <c r="AI63" s="270"/>
      <c r="AJ63" s="268" t="s">
        <v>789</v>
      </c>
      <c r="AK63" s="270"/>
      <c r="AL63" s="270"/>
      <c r="AM63" s="270"/>
      <c r="AN63" s="270"/>
      <c r="AO63" s="270"/>
      <c r="AP63" s="268"/>
      <c r="AQ63" s="268"/>
      <c r="AR63" s="268"/>
      <c r="AS63" s="268"/>
      <c r="AT63" s="268"/>
      <c r="AU63" s="268"/>
      <c r="AV63" s="268"/>
      <c r="AW63" s="268"/>
      <c r="AX63" s="268"/>
      <c r="AY63" s="268"/>
      <c r="AZ63" s="268"/>
      <c r="BA63" s="268"/>
      <c r="BB63" s="268"/>
      <c r="BC63" s="268"/>
      <c r="BD63" s="268"/>
      <c r="BE63" s="268"/>
      <c r="BF63" s="268"/>
      <c r="BG63" s="268"/>
      <c r="BH63" s="268"/>
      <c r="BI63" s="268"/>
      <c r="BJ63" s="268"/>
      <c r="BK63" s="268"/>
      <c r="BL63" s="268"/>
      <c r="BM63" s="268"/>
      <c r="BN63" s="268"/>
      <c r="BO63" s="268"/>
      <c r="BP63" s="268"/>
      <c r="BQ63" s="268"/>
      <c r="BR63" s="268"/>
      <c r="BS63" s="268"/>
      <c r="BT63" s="268"/>
      <c r="BU63" s="268"/>
      <c r="BV63" s="268"/>
      <c r="BW63" s="268"/>
      <c r="BX63" s="268"/>
      <c r="BY63" s="268"/>
      <c r="BZ63" s="268"/>
      <c r="CA63" s="268"/>
      <c r="CB63" s="268"/>
      <c r="CC63" s="268"/>
      <c r="CD63" s="268"/>
      <c r="CE63" s="268"/>
      <c r="CF63" s="268"/>
      <c r="CG63" s="268"/>
      <c r="CH63" s="268"/>
      <c r="CI63" s="268"/>
      <c r="CJ63" s="268"/>
      <c r="CK63" s="268"/>
      <c r="CL63" s="268"/>
      <c r="CM63" s="268"/>
      <c r="CN63" s="268"/>
      <c r="CO63" s="268"/>
      <c r="CP63" s="268"/>
      <c r="CQ63" s="268"/>
      <c r="CR63" s="268"/>
      <c r="CS63" s="268"/>
      <c r="CT63" s="268"/>
      <c r="CU63" s="268"/>
      <c r="CV63" s="268"/>
      <c r="CW63" s="268"/>
      <c r="CX63" s="268"/>
      <c r="CY63" s="268"/>
      <c r="CZ63" s="268"/>
      <c r="DA63" s="268"/>
      <c r="DB63" s="268"/>
      <c r="DC63" s="268"/>
      <c r="DD63" s="268"/>
      <c r="DE63" s="268"/>
      <c r="DF63" s="268"/>
      <c r="DG63" s="268"/>
      <c r="DH63" s="268"/>
      <c r="DI63" s="268"/>
      <c r="DJ63" s="268"/>
      <c r="DK63" s="268"/>
      <c r="DL63" s="268"/>
      <c r="DM63" s="268"/>
      <c r="DN63" s="268"/>
      <c r="DO63" s="268"/>
      <c r="DP63" s="268"/>
      <c r="DQ63" s="268"/>
      <c r="DR63" s="268"/>
      <c r="DS63" s="268"/>
      <c r="DT63" s="268"/>
      <c r="DU63" s="268"/>
      <c r="DV63" s="268"/>
      <c r="DW63" s="268"/>
      <c r="DX63" s="268"/>
      <c r="DY63" s="268"/>
      <c r="DZ63" s="268"/>
      <c r="EA63" s="268"/>
      <c r="EB63" s="268"/>
      <c r="EC63" s="268"/>
      <c r="ED63" s="268"/>
      <c r="EE63" s="268"/>
      <c r="EF63" s="268"/>
      <c r="EG63" s="268"/>
      <c r="EH63" s="268"/>
      <c r="EI63" s="268"/>
      <c r="EJ63" s="268"/>
      <c r="EK63" s="268"/>
      <c r="EL63" s="268"/>
      <c r="EM63" s="268"/>
      <c r="EN63" s="268"/>
      <c r="EO63" s="268"/>
      <c r="EP63" s="268"/>
      <c r="EQ63" s="268"/>
      <c r="ER63" s="268"/>
      <c r="ES63" s="268"/>
      <c r="ET63" s="268"/>
      <c r="EU63" s="268"/>
      <c r="EV63" s="268"/>
      <c r="EW63" s="268"/>
      <c r="EX63" s="268"/>
      <c r="EY63" s="268"/>
      <c r="EZ63" s="268"/>
      <c r="FA63" s="268"/>
      <c r="FB63" s="268"/>
      <c r="FC63" s="268"/>
      <c r="FD63" s="268"/>
      <c r="FE63" s="268"/>
      <c r="FF63" s="268"/>
      <c r="FG63" s="268"/>
      <c r="FH63" s="268"/>
      <c r="FI63" s="268"/>
      <c r="FJ63" s="268"/>
      <c r="FK63" s="268"/>
      <c r="FL63" s="268"/>
      <c r="FM63" s="268"/>
      <c r="FN63" s="268"/>
      <c r="FO63" s="268"/>
      <c r="FP63" s="268"/>
      <c r="FQ63" s="268"/>
      <c r="FR63" s="268"/>
      <c r="FS63" s="268"/>
      <c r="FT63" s="268"/>
      <c r="FU63" s="268"/>
      <c r="FV63" s="268"/>
      <c r="FW63" s="268"/>
      <c r="FX63" s="268"/>
      <c r="FY63" s="268"/>
      <c r="FZ63" s="268"/>
      <c r="GA63" s="268"/>
      <c r="GB63" s="268"/>
      <c r="GC63" s="268"/>
      <c r="GD63" s="268"/>
      <c r="GE63" s="268"/>
      <c r="GF63" s="268"/>
      <c r="GG63" s="268"/>
      <c r="GH63" s="268"/>
      <c r="GI63" s="268"/>
      <c r="GJ63" s="268"/>
      <c r="GK63" s="268"/>
      <c r="GL63" s="268"/>
      <c r="GM63" s="268"/>
      <c r="GN63" s="268"/>
      <c r="GO63" s="268"/>
    </row>
    <row r="64" spans="2:197" s="275" customFormat="1" ht="39.75" hidden="1" customHeight="1">
      <c r="B64" s="268"/>
      <c r="C64" s="319" t="s">
        <v>523</v>
      </c>
      <c r="D64" s="319"/>
      <c r="E64" s="319"/>
      <c r="F64" s="319"/>
      <c r="G64" s="319"/>
      <c r="H64" s="319"/>
      <c r="I64" s="319"/>
      <c r="J64" s="319"/>
      <c r="K64" s="319"/>
      <c r="L64" s="319"/>
      <c r="M64" s="319"/>
      <c r="N64" s="319"/>
      <c r="O64" s="1016" t="s">
        <v>23</v>
      </c>
      <c r="P64" s="1016"/>
      <c r="Q64" s="278">
        <v>0</v>
      </c>
      <c r="R64" s="280"/>
      <c r="S64" s="578"/>
      <c r="T64" s="578"/>
      <c r="U64" s="578"/>
      <c r="V64" s="557"/>
      <c r="W64" s="280"/>
      <c r="X64" s="280"/>
      <c r="Y64" s="268"/>
      <c r="Z64" s="268"/>
      <c r="AA64" s="268"/>
      <c r="AB64" s="281"/>
      <c r="AC64" s="282" t="s">
        <v>9</v>
      </c>
      <c r="AD64" s="282">
        <v>1</v>
      </c>
      <c r="AE64" s="283" t="str">
        <f>VLOOKUP(AD64,AD51:AE62,2,0)</f>
        <v>No Change</v>
      </c>
      <c r="AF64" s="268"/>
      <c r="AG64" s="268"/>
      <c r="AH64" s="270"/>
      <c r="AI64" s="270"/>
      <c r="AJ64" s="270"/>
      <c r="AK64" s="270"/>
      <c r="AL64" s="270"/>
      <c r="AM64" s="270"/>
      <c r="AN64" s="270"/>
      <c r="AO64" s="270"/>
      <c r="AP64" s="268"/>
      <c r="AQ64" s="268"/>
      <c r="AR64" s="268"/>
      <c r="AS64" s="268"/>
      <c r="AT64" s="268"/>
      <c r="AU64" s="268"/>
      <c r="AV64" s="268"/>
      <c r="AW64" s="268"/>
      <c r="AX64" s="268"/>
      <c r="AY64" s="268"/>
      <c r="AZ64" s="268"/>
      <c r="BA64" s="268"/>
      <c r="BB64" s="268"/>
      <c r="BC64" s="268"/>
      <c r="BD64" s="268"/>
      <c r="BE64" s="268"/>
      <c r="BF64" s="268"/>
      <c r="BG64" s="268"/>
      <c r="BH64" s="268"/>
      <c r="BI64" s="268"/>
      <c r="BJ64" s="268"/>
      <c r="BK64" s="268"/>
      <c r="BL64" s="268"/>
      <c r="BM64" s="268"/>
      <c r="BN64" s="268"/>
      <c r="BO64" s="268"/>
      <c r="BP64" s="268"/>
      <c r="BQ64" s="268"/>
      <c r="BR64" s="268"/>
      <c r="BS64" s="268"/>
      <c r="BT64" s="268"/>
      <c r="BU64" s="268"/>
      <c r="BV64" s="268"/>
      <c r="BW64" s="268"/>
      <c r="BX64" s="268"/>
      <c r="BY64" s="268"/>
      <c r="BZ64" s="268"/>
      <c r="CA64" s="268"/>
      <c r="CB64" s="268"/>
      <c r="CC64" s="268"/>
      <c r="CD64" s="268"/>
      <c r="CE64" s="268"/>
      <c r="CF64" s="268"/>
      <c r="CG64" s="268"/>
      <c r="CH64" s="268"/>
      <c r="CI64" s="268"/>
      <c r="CJ64" s="268"/>
      <c r="CK64" s="268"/>
      <c r="CL64" s="268"/>
      <c r="CM64" s="268"/>
      <c r="CN64" s="268"/>
      <c r="CO64" s="268"/>
      <c r="CP64" s="268"/>
      <c r="CQ64" s="268"/>
      <c r="CR64" s="268"/>
      <c r="CS64" s="268"/>
      <c r="CT64" s="268"/>
      <c r="CU64" s="268"/>
      <c r="CV64" s="268"/>
      <c r="CW64" s="268"/>
      <c r="CX64" s="268"/>
      <c r="CY64" s="268"/>
      <c r="CZ64" s="268"/>
      <c r="DA64" s="268"/>
      <c r="DB64" s="268"/>
      <c r="DC64" s="268"/>
      <c r="DD64" s="268"/>
      <c r="DE64" s="268"/>
      <c r="DF64" s="268"/>
      <c r="DG64" s="268"/>
      <c r="DH64" s="268"/>
      <c r="DI64" s="268"/>
      <c r="DJ64" s="268"/>
      <c r="DK64" s="268"/>
      <c r="DL64" s="268"/>
      <c r="DM64" s="268"/>
      <c r="DN64" s="268"/>
      <c r="DO64" s="268"/>
      <c r="DP64" s="268"/>
      <c r="DQ64" s="268"/>
      <c r="DR64" s="268"/>
      <c r="DS64" s="268"/>
      <c r="DT64" s="268"/>
      <c r="DU64" s="268"/>
      <c r="DV64" s="268"/>
      <c r="DW64" s="268"/>
      <c r="DX64" s="268"/>
      <c r="DY64" s="268"/>
      <c r="DZ64" s="268"/>
      <c r="EA64" s="268"/>
      <c r="EB64" s="268"/>
      <c r="EC64" s="268"/>
      <c r="ED64" s="268"/>
      <c r="EE64" s="268"/>
      <c r="EF64" s="268"/>
      <c r="EG64" s="268"/>
      <c r="EH64" s="268"/>
      <c r="EI64" s="268"/>
      <c r="EJ64" s="268"/>
      <c r="EK64" s="268"/>
      <c r="EL64" s="268"/>
      <c r="EM64" s="268"/>
      <c r="EN64" s="268"/>
      <c r="EO64" s="268"/>
      <c r="EP64" s="268"/>
      <c r="EQ64" s="268"/>
      <c r="ER64" s="268"/>
      <c r="ES64" s="268"/>
      <c r="ET64" s="268"/>
      <c r="EU64" s="268"/>
      <c r="EV64" s="268"/>
      <c r="EW64" s="268"/>
      <c r="EX64" s="268"/>
      <c r="EY64" s="268"/>
      <c r="EZ64" s="268"/>
      <c r="FA64" s="268"/>
      <c r="FB64" s="268"/>
      <c r="FC64" s="268"/>
      <c r="FD64" s="268"/>
      <c r="FE64" s="268"/>
      <c r="FF64" s="268"/>
      <c r="FG64" s="268"/>
      <c r="FH64" s="268"/>
      <c r="FI64" s="268"/>
      <c r="FJ64" s="268"/>
      <c r="FK64" s="268"/>
      <c r="FL64" s="268"/>
      <c r="FM64" s="268"/>
      <c r="FN64" s="268"/>
      <c r="FO64" s="268"/>
      <c r="FP64" s="268"/>
      <c r="FQ64" s="268"/>
      <c r="FR64" s="268"/>
      <c r="FS64" s="268"/>
      <c r="FT64" s="268"/>
      <c r="FU64" s="268"/>
      <c r="FV64" s="268"/>
      <c r="FW64" s="268"/>
      <c r="FX64" s="268"/>
      <c r="FY64" s="268"/>
      <c r="FZ64" s="268"/>
      <c r="GA64" s="268"/>
      <c r="GB64" s="268"/>
      <c r="GC64" s="268"/>
      <c r="GD64" s="268"/>
      <c r="GE64" s="268"/>
      <c r="GF64" s="268"/>
      <c r="GG64" s="268"/>
      <c r="GH64" s="268"/>
      <c r="GI64" s="268"/>
      <c r="GJ64" s="268"/>
      <c r="GK64" s="268"/>
      <c r="GL64" s="268"/>
      <c r="GM64" s="268"/>
      <c r="GN64" s="268"/>
      <c r="GO64" s="268"/>
    </row>
    <row r="65" spans="2:197" s="275" customFormat="1" ht="39.75" hidden="1" customHeight="1">
      <c r="B65" s="268"/>
      <c r="C65" s="319"/>
      <c r="D65" s="319"/>
      <c r="E65" s="319"/>
      <c r="F65" s="319"/>
      <c r="G65" s="319"/>
      <c r="H65" s="319"/>
      <c r="I65" s="319"/>
      <c r="J65" s="319"/>
      <c r="K65" s="319"/>
      <c r="L65" s="319"/>
      <c r="M65" s="319"/>
      <c r="N65" s="319"/>
      <c r="O65" s="268"/>
      <c r="P65" s="269"/>
      <c r="Q65" s="269"/>
      <c r="R65" s="269" t="s">
        <v>25</v>
      </c>
      <c r="S65" s="579"/>
      <c r="T65" s="579"/>
      <c r="U65" s="574"/>
      <c r="V65" s="552"/>
      <c r="W65" s="268"/>
      <c r="X65" s="268"/>
      <c r="Y65" s="268"/>
      <c r="Z65" s="268"/>
      <c r="AA65" s="268"/>
      <c r="AB65" s="284"/>
      <c r="AC65" s="270" t="s">
        <v>145</v>
      </c>
      <c r="AD65" s="270">
        <v>1</v>
      </c>
      <c r="AE65" s="285" t="str">
        <f>VLOOKUP(AD65,AD51:AE62,2,0)</f>
        <v>No Change</v>
      </c>
      <c r="AF65" s="268"/>
      <c r="AG65" s="268"/>
      <c r="AH65" s="270"/>
      <c r="AI65" s="270"/>
      <c r="AJ65" s="270"/>
      <c r="AK65" s="270"/>
      <c r="AL65" s="270"/>
      <c r="AM65" s="270"/>
      <c r="AN65" s="270"/>
      <c r="AO65" s="270"/>
      <c r="AP65" s="268"/>
      <c r="AQ65" s="268"/>
      <c r="AR65" s="268"/>
      <c r="AS65" s="268"/>
      <c r="AT65" s="268"/>
      <c r="AU65" s="268"/>
      <c r="AV65" s="268"/>
      <c r="AW65" s="268"/>
      <c r="AX65" s="268"/>
      <c r="AY65" s="268"/>
      <c r="AZ65" s="268"/>
      <c r="BA65" s="268"/>
      <c r="BB65" s="268"/>
      <c r="BC65" s="268"/>
      <c r="BD65" s="268"/>
      <c r="BE65" s="268"/>
      <c r="BF65" s="268"/>
      <c r="BG65" s="268"/>
      <c r="BH65" s="268"/>
      <c r="BI65" s="268"/>
      <c r="BJ65" s="268"/>
      <c r="BK65" s="268"/>
      <c r="BL65" s="268"/>
      <c r="BM65" s="268"/>
      <c r="BN65" s="268"/>
      <c r="BO65" s="268"/>
      <c r="BP65" s="268"/>
      <c r="BQ65" s="268"/>
      <c r="BR65" s="268"/>
      <c r="BS65" s="268"/>
      <c r="BT65" s="268"/>
      <c r="BU65" s="268"/>
      <c r="BV65" s="268"/>
      <c r="BW65" s="268"/>
      <c r="BX65" s="268"/>
      <c r="BY65" s="268"/>
      <c r="BZ65" s="268"/>
      <c r="CA65" s="268"/>
      <c r="CB65" s="268"/>
      <c r="CC65" s="268"/>
      <c r="CD65" s="268"/>
      <c r="CE65" s="268"/>
      <c r="CF65" s="268"/>
      <c r="CG65" s="268"/>
      <c r="CH65" s="268"/>
      <c r="CI65" s="268"/>
      <c r="CJ65" s="268"/>
      <c r="CK65" s="268"/>
      <c r="CL65" s="268"/>
      <c r="CM65" s="268"/>
      <c r="CN65" s="268"/>
      <c r="CO65" s="268"/>
      <c r="CP65" s="268"/>
      <c r="CQ65" s="268"/>
      <c r="CR65" s="268"/>
      <c r="CS65" s="268"/>
      <c r="CT65" s="268"/>
      <c r="CU65" s="268"/>
      <c r="CV65" s="268"/>
      <c r="CW65" s="268"/>
      <c r="CX65" s="268"/>
      <c r="CY65" s="268"/>
      <c r="CZ65" s="268"/>
      <c r="DA65" s="268"/>
      <c r="DB65" s="268"/>
      <c r="DC65" s="268"/>
      <c r="DD65" s="268"/>
      <c r="DE65" s="268"/>
      <c r="DF65" s="268"/>
      <c r="DG65" s="268"/>
      <c r="DH65" s="268"/>
      <c r="DI65" s="268"/>
      <c r="DJ65" s="268"/>
      <c r="DK65" s="268"/>
      <c r="DL65" s="268"/>
      <c r="DM65" s="268"/>
      <c r="DN65" s="268"/>
      <c r="DO65" s="268"/>
      <c r="DP65" s="268"/>
      <c r="DQ65" s="268"/>
      <c r="DR65" s="268"/>
      <c r="DS65" s="268"/>
      <c r="DT65" s="268"/>
      <c r="DU65" s="268"/>
      <c r="DV65" s="268"/>
      <c r="DW65" s="268"/>
      <c r="DX65" s="268"/>
      <c r="DY65" s="268"/>
      <c r="DZ65" s="268"/>
      <c r="EA65" s="268"/>
      <c r="EB65" s="268"/>
      <c r="EC65" s="268"/>
      <c r="ED65" s="268"/>
      <c r="EE65" s="268"/>
      <c r="EF65" s="268"/>
      <c r="EG65" s="268"/>
      <c r="EH65" s="268"/>
      <c r="EI65" s="268"/>
      <c r="EJ65" s="268"/>
      <c r="EK65" s="268"/>
      <c r="EL65" s="268"/>
      <c r="EM65" s="268"/>
      <c r="EN65" s="268"/>
      <c r="EO65" s="268"/>
      <c r="EP65" s="268"/>
      <c r="EQ65" s="268"/>
      <c r="ER65" s="268"/>
      <c r="ES65" s="268"/>
      <c r="ET65" s="268"/>
      <c r="EU65" s="268"/>
      <c r="EV65" s="268"/>
      <c r="EW65" s="268"/>
      <c r="EX65" s="268"/>
      <c r="EY65" s="268"/>
      <c r="EZ65" s="268"/>
      <c r="FA65" s="268"/>
      <c r="FB65" s="268"/>
      <c r="FC65" s="268"/>
      <c r="FD65" s="268"/>
      <c r="FE65" s="268"/>
      <c r="FF65" s="268"/>
      <c r="FG65" s="268"/>
      <c r="FH65" s="268"/>
      <c r="FI65" s="268"/>
      <c r="FJ65" s="268"/>
      <c r="FK65" s="268"/>
      <c r="FL65" s="268"/>
      <c r="FM65" s="268"/>
      <c r="FN65" s="268"/>
      <c r="FO65" s="268"/>
      <c r="FP65" s="268"/>
      <c r="FQ65" s="268"/>
      <c r="FR65" s="268"/>
      <c r="FS65" s="268"/>
      <c r="FT65" s="268"/>
      <c r="FU65" s="268"/>
      <c r="FV65" s="268"/>
      <c r="FW65" s="268"/>
      <c r="FX65" s="268"/>
      <c r="FY65" s="268"/>
      <c r="FZ65" s="268"/>
      <c r="GA65" s="268"/>
      <c r="GB65" s="268"/>
      <c r="GC65" s="268"/>
      <c r="GD65" s="268"/>
      <c r="GE65" s="268"/>
      <c r="GF65" s="268"/>
      <c r="GG65" s="268"/>
      <c r="GH65" s="268"/>
      <c r="GI65" s="268"/>
      <c r="GJ65" s="268"/>
      <c r="GK65" s="268"/>
      <c r="GL65" s="268"/>
      <c r="GM65" s="268"/>
      <c r="GN65" s="268"/>
      <c r="GO65" s="268"/>
    </row>
    <row r="66" spans="2:197" s="275" customFormat="1" ht="39.75" hidden="1" customHeight="1" thickBot="1">
      <c r="B66" s="268"/>
      <c r="C66" s="319"/>
      <c r="D66" s="319"/>
      <c r="E66" s="319"/>
      <c r="F66" s="319"/>
      <c r="G66" s="319"/>
      <c r="H66" s="319"/>
      <c r="I66" s="319"/>
      <c r="J66" s="319"/>
      <c r="K66" s="319"/>
      <c r="L66" s="319"/>
      <c r="M66" s="319"/>
      <c r="N66" s="319"/>
      <c r="O66" s="1011" t="s">
        <v>26</v>
      </c>
      <c r="P66" s="1011"/>
      <c r="Q66" s="1011"/>
      <c r="R66" s="278">
        <v>0</v>
      </c>
      <c r="S66" s="579"/>
      <c r="T66" s="580" t="s">
        <v>27</v>
      </c>
      <c r="U66" s="580"/>
      <c r="V66" s="267"/>
      <c r="W66" s="278">
        <v>60000</v>
      </c>
      <c r="X66" s="268"/>
      <c r="Y66" s="268"/>
      <c r="Z66" s="268"/>
      <c r="AA66" s="268"/>
      <c r="AB66" s="286"/>
      <c r="AC66" s="287" t="s">
        <v>170</v>
      </c>
      <c r="AD66" s="287">
        <v>1</v>
      </c>
      <c r="AE66" s="285" t="str">
        <f>VLOOKUP(AD66,AD51:AE62,2,0)</f>
        <v>No Change</v>
      </c>
      <c r="AF66" s="268"/>
      <c r="AG66" s="268"/>
      <c r="AH66" s="268"/>
      <c r="AI66" s="268" t="s">
        <v>155</v>
      </c>
      <c r="AJ66" s="268"/>
      <c r="AK66" s="268"/>
      <c r="AL66" s="268"/>
      <c r="AM66" s="268"/>
      <c r="AN66" s="268"/>
      <c r="AO66" s="268"/>
      <c r="AP66" s="268"/>
      <c r="AQ66" s="268"/>
      <c r="AR66" s="268"/>
      <c r="AS66" s="268"/>
      <c r="AT66" s="268"/>
      <c r="AU66" s="268"/>
      <c r="AV66" s="268"/>
      <c r="AW66" s="268"/>
      <c r="AX66" s="268"/>
      <c r="AY66" s="268"/>
      <c r="AZ66" s="268"/>
      <c r="BA66" s="268"/>
      <c r="BB66" s="268"/>
      <c r="BC66" s="268"/>
      <c r="BD66" s="268"/>
      <c r="BE66" s="268"/>
      <c r="BF66" s="268"/>
      <c r="BG66" s="268"/>
      <c r="BH66" s="268"/>
      <c r="BI66" s="268"/>
      <c r="BJ66" s="268"/>
      <c r="BK66" s="268"/>
      <c r="BL66" s="268"/>
      <c r="BM66" s="268"/>
      <c r="BN66" s="268"/>
      <c r="BO66" s="268"/>
      <c r="BP66" s="268"/>
      <c r="BQ66" s="268"/>
      <c r="BR66" s="268"/>
      <c r="BS66" s="268"/>
      <c r="BT66" s="268"/>
      <c r="BU66" s="268"/>
      <c r="BV66" s="268"/>
      <c r="BW66" s="268"/>
      <c r="BX66" s="268"/>
      <c r="BY66" s="268"/>
      <c r="BZ66" s="268"/>
      <c r="CA66" s="268"/>
      <c r="CB66" s="268"/>
      <c r="CC66" s="268"/>
      <c r="CD66" s="268"/>
      <c r="CE66" s="268"/>
      <c r="CF66" s="268"/>
      <c r="CG66" s="268"/>
      <c r="CH66" s="268"/>
      <c r="CI66" s="268"/>
      <c r="CJ66" s="268"/>
      <c r="CK66" s="268"/>
      <c r="CL66" s="268"/>
      <c r="CM66" s="268"/>
      <c r="CN66" s="268"/>
      <c r="CO66" s="268"/>
      <c r="CP66" s="268"/>
      <c r="CQ66" s="268"/>
      <c r="CR66" s="268"/>
      <c r="CS66" s="268"/>
      <c r="CT66" s="268"/>
      <c r="CU66" s="268"/>
      <c r="CV66" s="268"/>
      <c r="CW66" s="268"/>
      <c r="CX66" s="268"/>
      <c r="CY66" s="268"/>
      <c r="CZ66" s="268"/>
      <c r="DA66" s="268"/>
      <c r="DB66" s="268"/>
      <c r="DC66" s="268"/>
      <c r="DD66" s="268"/>
      <c r="DE66" s="268"/>
      <c r="DF66" s="268"/>
      <c r="DG66" s="268"/>
      <c r="DH66" s="268"/>
      <c r="DI66" s="268"/>
      <c r="DJ66" s="268"/>
      <c r="DK66" s="268"/>
      <c r="DL66" s="268"/>
      <c r="DM66" s="268"/>
      <c r="DN66" s="268"/>
      <c r="DO66" s="268"/>
      <c r="DP66" s="268"/>
      <c r="DQ66" s="268"/>
      <c r="DR66" s="268"/>
      <c r="DS66" s="268"/>
      <c r="DT66" s="268"/>
      <c r="DU66" s="268"/>
      <c r="DV66" s="268"/>
      <c r="DW66" s="268"/>
      <c r="DX66" s="268"/>
      <c r="DY66" s="268"/>
      <c r="DZ66" s="268"/>
      <c r="EA66" s="268"/>
      <c r="EB66" s="268"/>
      <c r="EC66" s="268"/>
      <c r="ED66" s="268"/>
      <c r="EE66" s="268"/>
      <c r="EF66" s="268"/>
      <c r="EG66" s="268"/>
      <c r="EH66" s="268"/>
      <c r="EI66" s="268"/>
      <c r="EJ66" s="268"/>
      <c r="EK66" s="268"/>
      <c r="EL66" s="268"/>
      <c r="EM66" s="268"/>
      <c r="EN66" s="268"/>
      <c r="EO66" s="268"/>
      <c r="EP66" s="268"/>
      <c r="EQ66" s="268"/>
      <c r="ER66" s="268"/>
      <c r="ES66" s="268"/>
      <c r="ET66" s="268"/>
      <c r="EU66" s="268"/>
      <c r="EV66" s="268"/>
      <c r="EW66" s="268"/>
      <c r="EX66" s="268"/>
      <c r="EY66" s="268"/>
      <c r="EZ66" s="268"/>
      <c r="FA66" s="268"/>
      <c r="FB66" s="268"/>
      <c r="FC66" s="268"/>
      <c r="FD66" s="268"/>
      <c r="FE66" s="268"/>
      <c r="FF66" s="268"/>
      <c r="FG66" s="268"/>
      <c r="FH66" s="268"/>
      <c r="FI66" s="268"/>
      <c r="FJ66" s="268"/>
      <c r="FK66" s="268"/>
      <c r="FL66" s="268"/>
      <c r="FM66" s="268"/>
      <c r="FN66" s="268"/>
      <c r="FO66" s="268"/>
      <c r="FP66" s="268"/>
      <c r="FQ66" s="268"/>
      <c r="FR66" s="268"/>
      <c r="FS66" s="268"/>
      <c r="FT66" s="268"/>
      <c r="FU66" s="268"/>
      <c r="FV66" s="268"/>
      <c r="FW66" s="268"/>
      <c r="FX66" s="268"/>
      <c r="FY66" s="268"/>
      <c r="FZ66" s="268"/>
      <c r="GA66" s="268"/>
      <c r="GB66" s="268"/>
      <c r="GC66" s="268"/>
      <c r="GD66" s="268"/>
      <c r="GE66" s="268"/>
      <c r="GF66" s="268"/>
      <c r="GG66" s="268"/>
      <c r="GH66" s="268"/>
      <c r="GI66" s="268"/>
      <c r="GJ66" s="268"/>
      <c r="GK66" s="268"/>
      <c r="GL66" s="268"/>
      <c r="GM66" s="268"/>
      <c r="GN66" s="268"/>
      <c r="GO66" s="268"/>
    </row>
    <row r="67" spans="2:197" s="275" customFormat="1" ht="39.75" hidden="1" customHeight="1" thickBot="1">
      <c r="B67" s="268"/>
      <c r="C67" s="319"/>
      <c r="D67" s="319"/>
      <c r="E67" s="319"/>
      <c r="F67" s="319"/>
      <c r="G67" s="319"/>
      <c r="H67" s="319"/>
      <c r="I67" s="319"/>
      <c r="J67" s="319"/>
      <c r="K67" s="319"/>
      <c r="L67" s="319"/>
      <c r="M67" s="319"/>
      <c r="N67" s="319"/>
      <c r="O67" s="268"/>
      <c r="P67" s="268"/>
      <c r="Q67" s="268"/>
      <c r="R67" s="269"/>
      <c r="S67" s="579"/>
      <c r="T67" s="581"/>
      <c r="U67" s="581"/>
      <c r="V67" s="572"/>
      <c r="W67" s="572"/>
      <c r="X67" s="268"/>
      <c r="Y67" s="268"/>
      <c r="Z67" s="268"/>
      <c r="AA67" s="268"/>
      <c r="AB67" s="268"/>
      <c r="AC67" s="268" t="s">
        <v>20</v>
      </c>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c r="BK67" s="268"/>
      <c r="BL67" s="268"/>
      <c r="BM67" s="268"/>
      <c r="BN67" s="268"/>
      <c r="BO67" s="268"/>
      <c r="BP67" s="268"/>
      <c r="BQ67" s="268"/>
      <c r="BR67" s="268"/>
      <c r="BS67" s="268"/>
      <c r="BT67" s="268"/>
      <c r="BU67" s="268"/>
      <c r="BV67" s="268"/>
      <c r="BW67" s="268"/>
      <c r="BX67" s="268"/>
      <c r="BY67" s="268"/>
      <c r="BZ67" s="268"/>
      <c r="CA67" s="268"/>
      <c r="CB67" s="268"/>
      <c r="CC67" s="268"/>
      <c r="CD67" s="268"/>
      <c r="CE67" s="268"/>
      <c r="CF67" s="268"/>
      <c r="CG67" s="268"/>
      <c r="CH67" s="268"/>
      <c r="CI67" s="268"/>
      <c r="CJ67" s="268"/>
      <c r="CK67" s="268"/>
      <c r="CL67" s="268"/>
      <c r="CM67" s="268"/>
      <c r="CN67" s="268"/>
      <c r="CO67" s="268"/>
      <c r="CP67" s="268"/>
      <c r="CQ67" s="268"/>
      <c r="CR67" s="268"/>
      <c r="CS67" s="268"/>
      <c r="CT67" s="268"/>
      <c r="CU67" s="268"/>
      <c r="CV67" s="268"/>
      <c r="CW67" s="268"/>
      <c r="CX67" s="268"/>
      <c r="CY67" s="268"/>
      <c r="CZ67" s="268"/>
      <c r="DA67" s="268"/>
      <c r="DB67" s="268"/>
      <c r="DC67" s="268"/>
      <c r="DD67" s="268"/>
      <c r="DE67" s="268"/>
      <c r="DF67" s="268"/>
      <c r="DG67" s="268"/>
      <c r="DH67" s="268"/>
      <c r="DI67" s="268"/>
      <c r="DJ67" s="268"/>
      <c r="DK67" s="268"/>
      <c r="DL67" s="268"/>
      <c r="DM67" s="268"/>
      <c r="DN67" s="268"/>
      <c r="DO67" s="268"/>
      <c r="DP67" s="268"/>
      <c r="DQ67" s="268"/>
      <c r="DR67" s="268"/>
      <c r="DS67" s="268"/>
      <c r="DT67" s="268"/>
      <c r="DU67" s="268"/>
      <c r="DV67" s="268"/>
      <c r="DW67" s="268"/>
      <c r="DX67" s="268"/>
      <c r="DY67" s="268"/>
      <c r="DZ67" s="268"/>
      <c r="EA67" s="268"/>
      <c r="EB67" s="268"/>
      <c r="EC67" s="268"/>
      <c r="ED67" s="268"/>
      <c r="EE67" s="268"/>
      <c r="EF67" s="268"/>
      <c r="EG67" s="268"/>
      <c r="EH67" s="268"/>
      <c r="EI67" s="268"/>
      <c r="EJ67" s="268"/>
      <c r="EK67" s="268"/>
      <c r="EL67" s="268"/>
      <c r="EM67" s="268"/>
      <c r="EN67" s="268"/>
      <c r="EO67" s="268"/>
      <c r="EP67" s="268"/>
      <c r="EQ67" s="268"/>
      <c r="ER67" s="268"/>
      <c r="ES67" s="268"/>
      <c r="ET67" s="268"/>
      <c r="EU67" s="268"/>
      <c r="EV67" s="268"/>
      <c r="EW67" s="268"/>
      <c r="EX67" s="268"/>
      <c r="EY67" s="268"/>
      <c r="EZ67" s="268"/>
      <c r="FA67" s="268"/>
      <c r="FB67" s="268"/>
      <c r="FC67" s="268"/>
      <c r="FD67" s="268"/>
      <c r="FE67" s="268"/>
      <c r="FF67" s="268"/>
      <c r="FG67" s="268"/>
      <c r="FH67" s="268"/>
      <c r="FI67" s="268"/>
      <c r="FJ67" s="268"/>
      <c r="FK67" s="268"/>
      <c r="FL67" s="268"/>
      <c r="FM67" s="268"/>
      <c r="FN67" s="268"/>
      <c r="FO67" s="268"/>
      <c r="FP67" s="268"/>
      <c r="FQ67" s="268"/>
      <c r="FR67" s="268"/>
      <c r="FS67" s="268"/>
      <c r="FT67" s="268"/>
      <c r="FU67" s="268"/>
      <c r="FV67" s="268"/>
      <c r="FW67" s="268"/>
      <c r="FX67" s="268"/>
      <c r="FY67" s="268"/>
      <c r="FZ67" s="268"/>
      <c r="GA67" s="268"/>
      <c r="GB67" s="268"/>
      <c r="GC67" s="268"/>
      <c r="GD67" s="268"/>
      <c r="GE67" s="268"/>
      <c r="GF67" s="268"/>
      <c r="GG67" s="268"/>
      <c r="GH67" s="268"/>
      <c r="GI67" s="268"/>
      <c r="GJ67" s="268"/>
      <c r="GK67" s="268"/>
      <c r="GL67" s="268"/>
      <c r="GM67" s="268"/>
      <c r="GN67" s="268"/>
      <c r="GO67" s="268"/>
    </row>
    <row r="68" spans="2:197" s="275" customFormat="1" ht="39.75" hidden="1" customHeight="1" thickBot="1">
      <c r="B68" s="268"/>
      <c r="C68" s="319"/>
      <c r="D68" s="319"/>
      <c r="E68" s="319"/>
      <c r="F68" s="383"/>
      <c r="G68" s="319"/>
      <c r="H68" s="319"/>
      <c r="I68" s="319"/>
      <c r="J68" s="319"/>
      <c r="K68" s="319"/>
      <c r="L68" s="319"/>
      <c r="M68" s="319"/>
      <c r="N68" s="320">
        <v>1</v>
      </c>
      <c r="O68" s="282" t="str">
        <f>VLOOKUP(N68,N69:O70,2,0)</f>
        <v>Self 80D</v>
      </c>
      <c r="P68" s="282"/>
      <c r="Q68" s="282"/>
      <c r="R68" s="278">
        <v>12173</v>
      </c>
      <c r="S68" s="579"/>
      <c r="T68" s="582" t="s">
        <v>28</v>
      </c>
      <c r="U68" s="582"/>
      <c r="V68" s="571"/>
      <c r="W68" s="278">
        <v>0</v>
      </c>
      <c r="X68" s="268"/>
      <c r="Y68" s="268"/>
      <c r="Z68" s="268"/>
      <c r="AA68" s="268"/>
      <c r="AB68" s="268">
        <v>2</v>
      </c>
      <c r="AC68" s="268"/>
      <c r="AD68" s="268"/>
      <c r="AE68" s="268"/>
      <c r="AF68" s="288" t="s">
        <v>7</v>
      </c>
      <c r="AG68" s="268"/>
      <c r="AH68" s="268"/>
      <c r="AI68" s="268" t="str">
        <f>CONCATENATE("Statement Showing the Salary Particulars of : ",AE35," ",E4,", ",AC6,", ",D6,", Mandal : ",M5)</f>
        <v>Statement Showing the Salary Particulars of : Sri. S.KARUNAKAR, S.A., ZPGHS SHANKARAMPET A, Mandal : SHANKARAMPET A., MEDAK</v>
      </c>
      <c r="AJ68" s="268"/>
      <c r="AK68" s="268"/>
      <c r="AL68" s="268"/>
      <c r="AM68" s="268"/>
      <c r="AN68" s="268"/>
      <c r="AO68" s="268"/>
      <c r="AP68" s="268"/>
      <c r="AQ68" s="268"/>
      <c r="AR68" s="268"/>
      <c r="AS68" s="268"/>
      <c r="AT68" s="268"/>
      <c r="AU68" s="268"/>
      <c r="AV68" s="268"/>
      <c r="AW68" s="268"/>
      <c r="AX68" s="268"/>
      <c r="AY68" s="268"/>
      <c r="AZ68" s="268"/>
      <c r="BA68" s="268"/>
      <c r="BB68" s="268"/>
      <c r="BC68" s="268"/>
      <c r="BD68" s="268"/>
      <c r="BE68" s="268"/>
      <c r="BF68" s="268"/>
      <c r="BG68" s="268"/>
      <c r="BH68" s="268"/>
      <c r="BI68" s="268"/>
      <c r="BJ68" s="268"/>
      <c r="BK68" s="268"/>
      <c r="BL68" s="268"/>
      <c r="BM68" s="268"/>
      <c r="BN68" s="268"/>
      <c r="BO68" s="268"/>
      <c r="BP68" s="268"/>
      <c r="BQ68" s="268"/>
      <c r="BR68" s="268"/>
      <c r="BS68" s="268"/>
      <c r="BT68" s="268"/>
      <c r="BU68" s="268"/>
      <c r="BV68" s="268"/>
      <c r="BW68" s="268"/>
      <c r="BX68" s="268"/>
      <c r="BY68" s="268"/>
      <c r="BZ68" s="268"/>
      <c r="CA68" s="268"/>
      <c r="CB68" s="268"/>
      <c r="CC68" s="268"/>
      <c r="CD68" s="268"/>
      <c r="CE68" s="268"/>
      <c r="CF68" s="268"/>
      <c r="CG68" s="268"/>
      <c r="CH68" s="268"/>
      <c r="CI68" s="268"/>
      <c r="CJ68" s="268"/>
      <c r="CK68" s="268"/>
      <c r="CL68" s="268"/>
      <c r="CM68" s="268"/>
      <c r="CN68" s="268"/>
      <c r="CO68" s="268"/>
      <c r="CP68" s="268"/>
      <c r="CQ68" s="268"/>
      <c r="CR68" s="268"/>
      <c r="CS68" s="268"/>
      <c r="CT68" s="268"/>
      <c r="CU68" s="268"/>
      <c r="CV68" s="268"/>
      <c r="CW68" s="268"/>
      <c r="CX68" s="268"/>
      <c r="CY68" s="268"/>
      <c r="CZ68" s="268"/>
      <c r="DA68" s="268"/>
      <c r="DB68" s="268"/>
      <c r="DC68" s="268"/>
      <c r="DD68" s="268"/>
      <c r="DE68" s="268"/>
      <c r="DF68" s="268"/>
      <c r="DG68" s="268"/>
      <c r="DH68" s="268"/>
      <c r="DI68" s="268"/>
      <c r="DJ68" s="268"/>
      <c r="DK68" s="268"/>
      <c r="DL68" s="268"/>
      <c r="DM68" s="268"/>
      <c r="DN68" s="268"/>
      <c r="DO68" s="268"/>
      <c r="DP68" s="268"/>
      <c r="DQ68" s="268"/>
      <c r="DR68" s="268"/>
      <c r="DS68" s="268"/>
      <c r="DT68" s="268"/>
      <c r="DU68" s="268"/>
      <c r="DV68" s="268"/>
      <c r="DW68" s="268"/>
      <c r="DX68" s="268"/>
      <c r="DY68" s="268"/>
      <c r="DZ68" s="268"/>
      <c r="EA68" s="268"/>
      <c r="EB68" s="268"/>
      <c r="EC68" s="268"/>
      <c r="ED68" s="268"/>
      <c r="EE68" s="268"/>
      <c r="EF68" s="268"/>
      <c r="EG68" s="268"/>
      <c r="EH68" s="268"/>
      <c r="EI68" s="268"/>
      <c r="EJ68" s="268"/>
      <c r="EK68" s="268"/>
      <c r="EL68" s="268"/>
      <c r="EM68" s="268"/>
      <c r="EN68" s="268"/>
      <c r="EO68" s="268"/>
      <c r="EP68" s="268"/>
      <c r="EQ68" s="268"/>
      <c r="ER68" s="268"/>
      <c r="ES68" s="268"/>
      <c r="ET68" s="268"/>
      <c r="EU68" s="268"/>
      <c r="EV68" s="268"/>
      <c r="EW68" s="268"/>
      <c r="EX68" s="268"/>
      <c r="EY68" s="268"/>
      <c r="EZ68" s="268"/>
      <c r="FA68" s="268"/>
      <c r="FB68" s="268"/>
      <c r="FC68" s="268"/>
      <c r="FD68" s="268"/>
      <c r="FE68" s="268"/>
      <c r="FF68" s="268"/>
      <c r="FG68" s="268"/>
      <c r="FH68" s="268"/>
      <c r="FI68" s="268"/>
      <c r="FJ68" s="268"/>
      <c r="FK68" s="268"/>
      <c r="FL68" s="268"/>
      <c r="FM68" s="268"/>
      <c r="FN68" s="268"/>
      <c r="FO68" s="268"/>
      <c r="FP68" s="268"/>
      <c r="FQ68" s="268"/>
      <c r="FR68" s="268"/>
      <c r="FS68" s="268"/>
      <c r="FT68" s="268"/>
      <c r="FU68" s="268"/>
      <c r="FV68" s="268"/>
      <c r="FW68" s="268"/>
      <c r="FX68" s="268"/>
      <c r="FY68" s="268"/>
      <c r="FZ68" s="268"/>
      <c r="GA68" s="268"/>
      <c r="GB68" s="268"/>
      <c r="GC68" s="268"/>
      <c r="GD68" s="268"/>
      <c r="GE68" s="268"/>
      <c r="GF68" s="268"/>
      <c r="GG68" s="268"/>
      <c r="GH68" s="268"/>
      <c r="GI68" s="268"/>
      <c r="GJ68" s="268"/>
      <c r="GK68" s="268"/>
      <c r="GL68" s="268"/>
      <c r="GM68" s="268"/>
      <c r="GN68" s="268"/>
      <c r="GO68" s="268"/>
    </row>
    <row r="69" spans="2:197" s="275" customFormat="1" ht="39.75" hidden="1" customHeight="1" thickBot="1">
      <c r="B69" s="268"/>
      <c r="C69" s="319"/>
      <c r="D69" s="319"/>
      <c r="E69" s="319"/>
      <c r="F69" s="319"/>
      <c r="G69" s="319"/>
      <c r="H69" s="319"/>
      <c r="I69" s="319"/>
      <c r="J69" s="319"/>
      <c r="K69" s="319"/>
      <c r="L69" s="319"/>
      <c r="M69" s="319"/>
      <c r="N69" s="321">
        <v>1</v>
      </c>
      <c r="O69" s="730" t="s">
        <v>753</v>
      </c>
      <c r="P69" s="730"/>
      <c r="Q69" s="730"/>
      <c r="R69" s="731"/>
      <c r="S69" s="731">
        <v>25000</v>
      </c>
      <c r="T69" s="734">
        <f>N33</f>
        <v>0</v>
      </c>
      <c r="U69" s="729">
        <f>MIN(S69,T69)</f>
        <v>0</v>
      </c>
      <c r="V69" s="552"/>
      <c r="W69" s="268"/>
      <c r="X69" s="268"/>
      <c r="Y69" s="268"/>
      <c r="Z69" s="268"/>
      <c r="AA69" s="268"/>
      <c r="AB69" s="268">
        <f>D117</f>
        <v>19</v>
      </c>
      <c r="AC69" s="268"/>
      <c r="AD69" s="268">
        <v>1</v>
      </c>
      <c r="AE69" s="268"/>
      <c r="AF69" s="289">
        <v>2</v>
      </c>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68"/>
      <c r="BD69" s="268"/>
      <c r="BE69" s="268"/>
      <c r="BF69" s="268"/>
      <c r="BG69" s="268"/>
      <c r="BH69" s="268"/>
      <c r="BI69" s="268"/>
      <c r="BJ69" s="268"/>
      <c r="BK69" s="268"/>
      <c r="BL69" s="268"/>
      <c r="BM69" s="268"/>
      <c r="BN69" s="268"/>
      <c r="BO69" s="268"/>
      <c r="BP69" s="268"/>
      <c r="BQ69" s="268"/>
      <c r="BR69" s="268"/>
      <c r="BS69" s="268"/>
      <c r="BT69" s="268"/>
      <c r="BU69" s="268"/>
      <c r="BV69" s="268"/>
      <c r="BW69" s="268"/>
      <c r="BX69" s="268"/>
      <c r="BY69" s="268"/>
      <c r="BZ69" s="268"/>
      <c r="CA69" s="268"/>
      <c r="CB69" s="268"/>
      <c r="CC69" s="268"/>
      <c r="CD69" s="268"/>
      <c r="CE69" s="268"/>
      <c r="CF69" s="268"/>
      <c r="CG69" s="268"/>
      <c r="CH69" s="268"/>
      <c r="CI69" s="268"/>
      <c r="CJ69" s="268"/>
      <c r="CK69" s="268"/>
      <c r="CL69" s="268"/>
      <c r="CM69" s="268"/>
      <c r="CN69" s="268"/>
      <c r="CO69" s="268"/>
      <c r="CP69" s="268"/>
      <c r="CQ69" s="268"/>
      <c r="CR69" s="268"/>
      <c r="CS69" s="268"/>
      <c r="CT69" s="268"/>
      <c r="CU69" s="268"/>
      <c r="CV69" s="268"/>
      <c r="CW69" s="268"/>
      <c r="CX69" s="268"/>
      <c r="CY69" s="268"/>
      <c r="CZ69" s="268"/>
      <c r="DA69" s="268"/>
      <c r="DB69" s="268"/>
      <c r="DC69" s="268"/>
      <c r="DD69" s="268"/>
      <c r="DE69" s="268"/>
      <c r="DF69" s="268"/>
      <c r="DG69" s="268"/>
      <c r="DH69" s="268"/>
      <c r="DI69" s="268"/>
      <c r="DJ69" s="268"/>
      <c r="DK69" s="268"/>
      <c r="DL69" s="268"/>
      <c r="DM69" s="268"/>
      <c r="DN69" s="268"/>
      <c r="DO69" s="268"/>
      <c r="DP69" s="268"/>
      <c r="DQ69" s="268"/>
      <c r="DR69" s="268"/>
      <c r="DS69" s="268"/>
      <c r="DT69" s="268"/>
      <c r="DU69" s="268"/>
      <c r="DV69" s="268"/>
      <c r="DW69" s="268"/>
      <c r="DX69" s="268"/>
      <c r="DY69" s="268"/>
      <c r="DZ69" s="268"/>
      <c r="EA69" s="268"/>
      <c r="EB69" s="268"/>
      <c r="EC69" s="268"/>
      <c r="ED69" s="268"/>
      <c r="EE69" s="268"/>
      <c r="EF69" s="268"/>
      <c r="EG69" s="268"/>
      <c r="EH69" s="268"/>
      <c r="EI69" s="268"/>
      <c r="EJ69" s="268"/>
      <c r="EK69" s="268"/>
      <c r="EL69" s="268"/>
      <c r="EM69" s="268"/>
      <c r="EN69" s="268"/>
      <c r="EO69" s="268"/>
      <c r="EP69" s="268"/>
      <c r="EQ69" s="268"/>
      <c r="ER69" s="268"/>
      <c r="ES69" s="268"/>
      <c r="ET69" s="268"/>
      <c r="EU69" s="268"/>
      <c r="EV69" s="268"/>
      <c r="EW69" s="268"/>
      <c r="EX69" s="268"/>
      <c r="EY69" s="268"/>
      <c r="EZ69" s="268"/>
      <c r="FA69" s="268"/>
      <c r="FB69" s="268"/>
      <c r="FC69" s="268"/>
      <c r="FD69" s="268"/>
      <c r="FE69" s="268"/>
      <c r="FF69" s="268"/>
      <c r="FG69" s="268"/>
      <c r="FH69" s="268"/>
      <c r="FI69" s="268"/>
      <c r="FJ69" s="268"/>
      <c r="FK69" s="268"/>
      <c r="FL69" s="268"/>
      <c r="FM69" s="268"/>
      <c r="FN69" s="268"/>
      <c r="FO69" s="268"/>
      <c r="FP69" s="268"/>
      <c r="FQ69" s="268"/>
      <c r="FR69" s="268"/>
      <c r="FS69" s="268"/>
      <c r="FT69" s="268"/>
      <c r="FU69" s="268"/>
      <c r="FV69" s="268"/>
      <c r="FW69" s="268"/>
      <c r="FX69" s="268"/>
      <c r="FY69" s="268"/>
      <c r="FZ69" s="268"/>
      <c r="GA69" s="268"/>
      <c r="GB69" s="268"/>
      <c r="GC69" s="268"/>
      <c r="GD69" s="268"/>
      <c r="GE69" s="268"/>
      <c r="GF69" s="268"/>
      <c r="GG69" s="268"/>
      <c r="GH69" s="268"/>
      <c r="GI69" s="268"/>
      <c r="GJ69" s="268"/>
      <c r="GK69" s="268"/>
      <c r="GL69" s="268"/>
      <c r="GM69" s="268"/>
      <c r="GN69" s="268"/>
      <c r="GO69" s="268"/>
    </row>
    <row r="70" spans="2:197" s="275" customFormat="1" ht="39.75" hidden="1" customHeight="1" thickBot="1">
      <c r="B70" s="268"/>
      <c r="C70" s="319"/>
      <c r="D70" s="319"/>
      <c r="E70" s="319"/>
      <c r="F70" s="319"/>
      <c r="G70" s="319"/>
      <c r="H70" s="319"/>
      <c r="I70" s="319"/>
      <c r="J70" s="319"/>
      <c r="K70" s="319"/>
      <c r="L70" s="319"/>
      <c r="M70" s="319"/>
      <c r="N70" s="322">
        <v>2</v>
      </c>
      <c r="O70" s="732" t="s">
        <v>754</v>
      </c>
      <c r="P70" s="727"/>
      <c r="Q70" s="727"/>
      <c r="R70" s="730"/>
      <c r="S70" s="730">
        <v>50000</v>
      </c>
      <c r="T70" s="733">
        <f>N34</f>
        <v>0</v>
      </c>
      <c r="U70" s="729">
        <f>MIN(S70,T70)</f>
        <v>0</v>
      </c>
      <c r="V70" s="552"/>
      <c r="W70" s="268"/>
      <c r="X70" s="268"/>
      <c r="Y70" s="268"/>
      <c r="Z70" s="268"/>
      <c r="AA70" s="634" t="s">
        <v>728</v>
      </c>
      <c r="AB70" s="785">
        <v>2</v>
      </c>
      <c r="AC70" s="652">
        <v>2</v>
      </c>
      <c r="AD70" s="268">
        <v>1</v>
      </c>
      <c r="AE70" s="268" t="s">
        <v>29</v>
      </c>
      <c r="AF70" s="289" t="str">
        <f>VLOOKUP(AF69,AD70:AE71,2,0)</f>
        <v>No</v>
      </c>
      <c r="AG70" s="268"/>
      <c r="AH70" s="268"/>
      <c r="AI70" s="268"/>
      <c r="AJ70" s="268"/>
      <c r="AK70" s="268"/>
      <c r="AL70" s="268"/>
      <c r="AM70" s="268"/>
      <c r="AN70" s="268"/>
      <c r="AO70" s="268"/>
      <c r="AP70" s="268"/>
      <c r="AQ70" s="268"/>
      <c r="AR70" s="268"/>
      <c r="AS70" s="268"/>
      <c r="AT70" s="268"/>
      <c r="AU70" s="268"/>
      <c r="AV70" s="268"/>
      <c r="AW70" s="268"/>
      <c r="AX70" s="268"/>
      <c r="AY70" s="268"/>
      <c r="AZ70" s="268"/>
      <c r="BA70" s="268"/>
      <c r="BB70" s="268"/>
      <c r="BC70" s="268"/>
      <c r="BD70" s="268"/>
      <c r="BE70" s="268"/>
      <c r="BF70" s="268"/>
      <c r="BG70" s="268"/>
      <c r="BH70" s="268"/>
      <c r="BI70" s="268"/>
      <c r="BJ70" s="268"/>
      <c r="BK70" s="268"/>
      <c r="BL70" s="268"/>
      <c r="BM70" s="268">
        <v>1</v>
      </c>
      <c r="BN70" s="268" t="str">
        <f>VLOOKUP(BM70,BM72:BN96,2,)</f>
        <v>Not Availed</v>
      </c>
      <c r="BO70" s="268"/>
      <c r="BP70" s="268"/>
      <c r="BQ70" s="268"/>
      <c r="BR70" s="268"/>
      <c r="BS70" s="268"/>
      <c r="BT70" s="268"/>
      <c r="BU70" s="268"/>
      <c r="BV70" s="268"/>
      <c r="BW70" s="268"/>
      <c r="BX70" s="268"/>
      <c r="BY70" s="268"/>
      <c r="BZ70" s="268"/>
      <c r="CA70" s="268"/>
      <c r="CB70" s="268"/>
      <c r="CC70" s="268"/>
      <c r="CD70" s="268"/>
      <c r="CE70" s="268"/>
      <c r="CF70" s="268"/>
      <c r="CG70" s="268"/>
      <c r="CH70" s="268"/>
      <c r="CI70" s="268"/>
      <c r="CJ70" s="268"/>
      <c r="CK70" s="268"/>
      <c r="CL70" s="268"/>
      <c r="CM70" s="268"/>
      <c r="CN70" s="268"/>
      <c r="CO70" s="268"/>
      <c r="CP70" s="268"/>
      <c r="CQ70" s="268"/>
      <c r="CR70" s="268"/>
      <c r="CS70" s="268"/>
      <c r="CT70" s="268"/>
      <c r="CU70" s="268"/>
      <c r="CV70" s="268"/>
      <c r="CW70" s="268"/>
      <c r="CX70" s="268"/>
      <c r="CY70" s="268"/>
      <c r="CZ70" s="268"/>
      <c r="DA70" s="268"/>
      <c r="DB70" s="268"/>
      <c r="DC70" s="268"/>
      <c r="DD70" s="268"/>
      <c r="DE70" s="268"/>
      <c r="DF70" s="268"/>
      <c r="DG70" s="268"/>
      <c r="DH70" s="268"/>
      <c r="DI70" s="268"/>
      <c r="DJ70" s="268"/>
      <c r="DK70" s="268"/>
      <c r="DL70" s="268"/>
      <c r="DM70" s="268"/>
      <c r="DN70" s="268"/>
      <c r="DO70" s="268"/>
      <c r="DP70" s="268"/>
      <c r="DQ70" s="268"/>
      <c r="DR70" s="268"/>
      <c r="DS70" s="268"/>
      <c r="DT70" s="268"/>
      <c r="DU70" s="268"/>
      <c r="DV70" s="268"/>
      <c r="DW70" s="268"/>
      <c r="DX70" s="268"/>
      <c r="DY70" s="268"/>
      <c r="DZ70" s="268"/>
      <c r="EA70" s="268"/>
      <c r="EB70" s="268"/>
      <c r="EC70" s="268"/>
      <c r="ED70" s="268"/>
      <c r="EE70" s="268"/>
      <c r="EF70" s="268"/>
      <c r="EG70" s="268"/>
      <c r="EH70" s="268"/>
      <c r="EI70" s="268"/>
      <c r="EJ70" s="268"/>
      <c r="EK70" s="268"/>
      <c r="EL70" s="268"/>
      <c r="EM70" s="268"/>
      <c r="EN70" s="268"/>
      <c r="EO70" s="268"/>
      <c r="EP70" s="268"/>
      <c r="EQ70" s="268"/>
      <c r="ER70" s="268"/>
      <c r="ES70" s="268"/>
      <c r="ET70" s="268"/>
      <c r="EU70" s="268"/>
      <c r="EV70" s="268"/>
      <c r="EW70" s="268"/>
      <c r="EX70" s="268"/>
      <c r="EY70" s="268"/>
      <c r="EZ70" s="268"/>
      <c r="FA70" s="268"/>
      <c r="FB70" s="268"/>
      <c r="FC70" s="268"/>
      <c r="FD70" s="268"/>
      <c r="FE70" s="268"/>
      <c r="FF70" s="268"/>
      <c r="FG70" s="268"/>
      <c r="FH70" s="268"/>
      <c r="FI70" s="268"/>
      <c r="FJ70" s="268"/>
      <c r="FK70" s="268"/>
      <c r="FL70" s="268"/>
      <c r="FM70" s="268"/>
      <c r="FN70" s="268"/>
      <c r="FO70" s="268"/>
      <c r="FP70" s="268"/>
      <c r="FQ70" s="268"/>
      <c r="FR70" s="268"/>
      <c r="FS70" s="268"/>
      <c r="FT70" s="268"/>
      <c r="FU70" s="268"/>
      <c r="FV70" s="268"/>
      <c r="FW70" s="268"/>
      <c r="FX70" s="268"/>
      <c r="FY70" s="268"/>
      <c r="FZ70" s="268"/>
      <c r="GA70" s="268"/>
      <c r="GB70" s="268"/>
      <c r="GC70" s="268"/>
      <c r="GD70" s="268"/>
      <c r="GE70" s="268"/>
      <c r="GF70" s="268"/>
      <c r="GG70" s="268"/>
      <c r="GH70" s="268"/>
      <c r="GI70" s="268"/>
      <c r="GJ70" s="268"/>
      <c r="GK70" s="268"/>
      <c r="GL70" s="268"/>
      <c r="GM70" s="268"/>
      <c r="GN70" s="268"/>
      <c r="GO70" s="268"/>
    </row>
    <row r="71" spans="2:197" s="275" customFormat="1" ht="39.75" hidden="1" customHeight="1" thickBot="1">
      <c r="B71" s="268"/>
      <c r="C71" s="319"/>
      <c r="D71" s="319"/>
      <c r="E71" s="319"/>
      <c r="F71" s="319"/>
      <c r="G71" s="319"/>
      <c r="H71" s="319"/>
      <c r="I71" s="319"/>
      <c r="J71" s="319"/>
      <c r="K71" s="319"/>
      <c r="L71" s="319"/>
      <c r="M71" s="319"/>
      <c r="N71" s="320">
        <v>1</v>
      </c>
      <c r="O71" s="731" t="s">
        <v>755</v>
      </c>
      <c r="P71" s="731"/>
      <c r="Q71" s="731"/>
      <c r="R71" s="728"/>
      <c r="S71" s="727">
        <v>5000</v>
      </c>
      <c r="T71" s="728">
        <f>N35</f>
        <v>0</v>
      </c>
      <c r="U71" s="729">
        <f>MIN(S71,T71)</f>
        <v>0</v>
      </c>
      <c r="V71" s="552"/>
      <c r="W71" s="268"/>
      <c r="X71" s="268"/>
      <c r="Y71" s="268"/>
      <c r="Z71" s="268"/>
      <c r="AA71" s="268"/>
      <c r="AB71" s="268" t="str">
        <f>IF(AD89=2,"","2")</f>
        <v>2</v>
      </c>
      <c r="AC71" s="268"/>
      <c r="AD71" s="268">
        <v>2</v>
      </c>
      <c r="AE71" s="268" t="s">
        <v>30</v>
      </c>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95" t="s">
        <v>2</v>
      </c>
      <c r="BQ71" s="295" t="s">
        <v>3</v>
      </c>
      <c r="BR71" s="295" t="s">
        <v>4</v>
      </c>
      <c r="BS71" s="295" t="s">
        <v>5</v>
      </c>
      <c r="BT71" s="295" t="s">
        <v>6</v>
      </c>
      <c r="BU71" s="295" t="s">
        <v>164</v>
      </c>
      <c r="BV71" s="295" t="s">
        <v>701</v>
      </c>
      <c r="BW71" s="295" t="s">
        <v>170</v>
      </c>
      <c r="BX71" s="295" t="s">
        <v>7</v>
      </c>
      <c r="BY71" s="295" t="s">
        <v>166</v>
      </c>
      <c r="BZ71" s="268"/>
      <c r="CA71" s="268"/>
      <c r="CB71" s="268"/>
      <c r="CC71" s="268"/>
      <c r="CD71" s="268"/>
      <c r="CE71" s="268"/>
      <c r="CF71" s="268"/>
      <c r="CG71" s="268"/>
      <c r="CH71" s="268"/>
      <c r="CI71" s="268"/>
      <c r="CJ71" s="268"/>
      <c r="CK71" s="268"/>
      <c r="CL71" s="268"/>
      <c r="CM71" s="268"/>
      <c r="CN71" s="268"/>
      <c r="CO71" s="268"/>
      <c r="CP71" s="268"/>
      <c r="CQ71" s="268"/>
      <c r="CR71" s="268"/>
      <c r="CS71" s="268"/>
      <c r="CT71" s="268"/>
      <c r="CU71" s="268"/>
      <c r="CV71" s="268"/>
      <c r="CW71" s="268"/>
      <c r="CX71" s="268"/>
      <c r="CY71" s="268"/>
      <c r="CZ71" s="268"/>
      <c r="DA71" s="268"/>
      <c r="DB71" s="268"/>
      <c r="DC71" s="268"/>
      <c r="DD71" s="268"/>
      <c r="DE71" s="268"/>
      <c r="DF71" s="268"/>
      <c r="DG71" s="268"/>
      <c r="DH71" s="268"/>
      <c r="DI71" s="268"/>
      <c r="DJ71" s="268"/>
      <c r="DK71" s="268"/>
      <c r="DL71" s="268"/>
      <c r="DM71" s="268"/>
      <c r="DN71" s="268"/>
      <c r="DO71" s="268"/>
      <c r="DP71" s="268"/>
      <c r="DQ71" s="268"/>
      <c r="DR71" s="268"/>
      <c r="DS71" s="268"/>
      <c r="DT71" s="268"/>
      <c r="DU71" s="268"/>
      <c r="DV71" s="268"/>
      <c r="DW71" s="268"/>
      <c r="DX71" s="268"/>
      <c r="DY71" s="268"/>
      <c r="DZ71" s="268"/>
      <c r="EA71" s="268"/>
      <c r="EB71" s="268"/>
      <c r="EC71" s="268"/>
      <c r="ED71" s="268"/>
      <c r="EE71" s="268"/>
      <c r="EF71" s="268"/>
      <c r="EG71" s="268"/>
      <c r="EH71" s="268"/>
      <c r="EI71" s="268"/>
      <c r="EJ71" s="268"/>
      <c r="EK71" s="268"/>
      <c r="EL71" s="268"/>
      <c r="EM71" s="268"/>
      <c r="EN71" s="268"/>
      <c r="EO71" s="268"/>
      <c r="EP71" s="268"/>
      <c r="EQ71" s="268"/>
      <c r="ER71" s="268"/>
      <c r="ES71" s="268"/>
      <c r="ET71" s="268"/>
      <c r="EU71" s="268"/>
      <c r="EV71" s="268"/>
      <c r="EW71" s="268"/>
      <c r="EX71" s="268"/>
      <c r="EY71" s="268"/>
      <c r="EZ71" s="268"/>
      <c r="FA71" s="268"/>
      <c r="FB71" s="268"/>
      <c r="FC71" s="268"/>
      <c r="FD71" s="268"/>
      <c r="FE71" s="268"/>
      <c r="FF71" s="268"/>
      <c r="FG71" s="268"/>
      <c r="FH71" s="268"/>
      <c r="FI71" s="268"/>
      <c r="FJ71" s="268"/>
      <c r="FK71" s="268"/>
      <c r="FL71" s="268"/>
      <c r="FM71" s="268"/>
      <c r="FN71" s="268"/>
      <c r="FO71" s="268"/>
      <c r="FP71" s="268"/>
      <c r="FQ71" s="268"/>
      <c r="FR71" s="268"/>
      <c r="FS71" s="268"/>
      <c r="FT71" s="268"/>
      <c r="FU71" s="268"/>
      <c r="FV71" s="268"/>
      <c r="FW71" s="268"/>
      <c r="FX71" s="268"/>
      <c r="FY71" s="268"/>
      <c r="FZ71" s="268"/>
      <c r="GA71" s="268"/>
      <c r="GB71" s="268"/>
      <c r="GC71" s="268"/>
      <c r="GD71" s="268"/>
      <c r="GE71" s="268"/>
      <c r="GF71" s="268"/>
      <c r="GG71" s="268"/>
      <c r="GH71" s="268"/>
      <c r="GI71" s="268"/>
      <c r="GJ71" s="268"/>
      <c r="GK71" s="268"/>
      <c r="GL71" s="268"/>
      <c r="GM71" s="268"/>
      <c r="GN71" s="268"/>
      <c r="GO71" s="268"/>
    </row>
    <row r="72" spans="2:197" s="275" customFormat="1" ht="39.75" hidden="1" customHeight="1" thickBot="1">
      <c r="B72" s="268"/>
      <c r="C72" s="319"/>
      <c r="D72" s="319"/>
      <c r="E72" s="319"/>
      <c r="F72" s="319"/>
      <c r="G72" s="319"/>
      <c r="H72" s="319"/>
      <c r="I72" s="319"/>
      <c r="J72" s="319"/>
      <c r="K72" s="319"/>
      <c r="L72" s="319"/>
      <c r="M72" s="319"/>
      <c r="N72" s="321">
        <v>1</v>
      </c>
      <c r="O72" s="731" t="s">
        <v>755</v>
      </c>
      <c r="P72" s="730"/>
      <c r="Q72" s="730"/>
      <c r="R72" s="726"/>
      <c r="S72" s="726"/>
      <c r="T72" s="726"/>
      <c r="U72" s="726">
        <f>IF(U69+U70=75000,0,IF(U69+U70&lt;=70000,U71,75000-(U69+U70)))</f>
        <v>0</v>
      </c>
      <c r="V72" s="552"/>
      <c r="W72" s="268"/>
      <c r="X72" s="268"/>
      <c r="Y72" s="268"/>
      <c r="Z72" s="268"/>
      <c r="AA72" s="268"/>
      <c r="AB72" s="268" t="str">
        <f>IF(AD89=2,"","3")</f>
        <v>3</v>
      </c>
      <c r="AC72" s="268"/>
      <c r="AD72" s="268"/>
      <c r="AE72" s="268"/>
      <c r="AF72" s="268"/>
      <c r="AG72" s="268"/>
      <c r="AH72" s="268"/>
      <c r="AI72" s="268"/>
      <c r="AJ72" s="268"/>
      <c r="AK72" s="268"/>
      <c r="AL72" s="268"/>
      <c r="AM72" s="268"/>
      <c r="AN72" s="268"/>
      <c r="AO72" s="268"/>
      <c r="AP72" s="268"/>
      <c r="AQ72" s="268"/>
      <c r="AR72" s="268"/>
      <c r="AS72" s="268"/>
      <c r="AT72" s="268"/>
      <c r="AU72" s="268"/>
      <c r="AV72" s="268"/>
      <c r="AW72" s="268"/>
      <c r="AX72" s="268"/>
      <c r="AY72" s="268"/>
      <c r="AZ72" s="268"/>
      <c r="BA72" s="268"/>
      <c r="BB72" s="268"/>
      <c r="BC72" s="268"/>
      <c r="BD72" s="268"/>
      <c r="BE72" s="268"/>
      <c r="BF72" s="268"/>
      <c r="BG72" s="268"/>
      <c r="BH72" s="268"/>
      <c r="BI72" s="268"/>
      <c r="BJ72" s="268"/>
      <c r="BK72" s="268"/>
      <c r="BL72" s="268"/>
      <c r="BM72" s="268">
        <v>1</v>
      </c>
      <c r="BN72" s="268" t="s">
        <v>156</v>
      </c>
      <c r="BO72" s="268"/>
      <c r="BP72" s="268">
        <v>0</v>
      </c>
      <c r="BQ72" s="268">
        <v>0</v>
      </c>
      <c r="BR72" s="268">
        <v>0</v>
      </c>
      <c r="BS72" s="268">
        <v>0</v>
      </c>
      <c r="BT72" s="268">
        <v>0</v>
      </c>
      <c r="BU72" s="268">
        <v>0</v>
      </c>
      <c r="BV72" s="268">
        <v>0</v>
      </c>
      <c r="BW72" s="268">
        <v>0</v>
      </c>
      <c r="BX72" s="268">
        <v>0</v>
      </c>
      <c r="BY72" s="268">
        <v>0</v>
      </c>
      <c r="BZ72" s="268">
        <v>0</v>
      </c>
      <c r="CA72" s="268">
        <v>0</v>
      </c>
      <c r="CB72" s="268"/>
      <c r="CC72" s="268"/>
      <c r="CD72" s="268"/>
      <c r="CE72" s="268"/>
      <c r="CF72" s="268"/>
      <c r="CG72" s="268"/>
      <c r="CH72" s="268"/>
      <c r="CI72" s="268"/>
      <c r="CJ72" s="268"/>
      <c r="CK72" s="268"/>
      <c r="CL72" s="268"/>
      <c r="CM72" s="268"/>
      <c r="CN72" s="268"/>
      <c r="CO72" s="268"/>
      <c r="CP72" s="268"/>
      <c r="CQ72" s="268"/>
      <c r="CR72" s="268"/>
      <c r="CS72" s="268"/>
      <c r="CT72" s="268"/>
      <c r="CU72" s="268"/>
      <c r="CV72" s="268"/>
      <c r="CW72" s="268"/>
      <c r="CX72" s="268"/>
      <c r="CY72" s="268"/>
      <c r="CZ72" s="268"/>
      <c r="DA72" s="268"/>
      <c r="DB72" s="268"/>
      <c r="DC72" s="268"/>
      <c r="DD72" s="268"/>
      <c r="DE72" s="268"/>
      <c r="DF72" s="268"/>
      <c r="DG72" s="268"/>
      <c r="DH72" s="268"/>
      <c r="DI72" s="268"/>
      <c r="DJ72" s="268"/>
      <c r="DK72" s="268"/>
      <c r="DL72" s="268"/>
      <c r="DM72" s="268"/>
      <c r="DN72" s="268"/>
      <c r="DO72" s="268"/>
      <c r="DP72" s="268"/>
      <c r="DQ72" s="268"/>
      <c r="DR72" s="268"/>
      <c r="DS72" s="268"/>
      <c r="DT72" s="268"/>
      <c r="DU72" s="268"/>
      <c r="DV72" s="268"/>
      <c r="DW72" s="268"/>
      <c r="DX72" s="268"/>
      <c r="DY72" s="268"/>
      <c r="DZ72" s="268"/>
      <c r="EA72" s="268"/>
      <c r="EB72" s="268"/>
      <c r="EC72" s="268"/>
      <c r="ED72" s="268"/>
      <c r="EE72" s="268"/>
      <c r="EF72" s="268"/>
      <c r="EG72" s="268"/>
      <c r="EH72" s="268"/>
      <c r="EI72" s="268"/>
      <c r="EJ72" s="268"/>
      <c r="EK72" s="268"/>
      <c r="EL72" s="268"/>
      <c r="EM72" s="268"/>
      <c r="EN72" s="268"/>
      <c r="EO72" s="268"/>
      <c r="EP72" s="268"/>
      <c r="EQ72" s="268"/>
      <c r="ER72" s="268"/>
      <c r="ES72" s="268"/>
      <c r="ET72" s="268"/>
      <c r="EU72" s="268"/>
      <c r="EV72" s="268"/>
      <c r="EW72" s="268"/>
      <c r="EX72" s="268"/>
      <c r="EY72" s="268"/>
      <c r="EZ72" s="268"/>
      <c r="FA72" s="268"/>
      <c r="FB72" s="268"/>
      <c r="FC72" s="268"/>
      <c r="FD72" s="268"/>
      <c r="FE72" s="268"/>
      <c r="FF72" s="268"/>
      <c r="FG72" s="268"/>
      <c r="FH72" s="268"/>
      <c r="FI72" s="268"/>
      <c r="FJ72" s="268"/>
      <c r="FK72" s="268"/>
      <c r="FL72" s="268"/>
      <c r="FM72" s="268"/>
      <c r="FN72" s="268"/>
      <c r="FO72" s="268"/>
      <c r="FP72" s="268"/>
      <c r="FQ72" s="268"/>
      <c r="FR72" s="268"/>
      <c r="FS72" s="268"/>
      <c r="FT72" s="268"/>
      <c r="FU72" s="268"/>
      <c r="FV72" s="268"/>
      <c r="FW72" s="268"/>
      <c r="FX72" s="268"/>
      <c r="FY72" s="268"/>
      <c r="FZ72" s="268"/>
      <c r="GA72" s="268"/>
      <c r="GB72" s="268"/>
      <c r="GC72" s="268"/>
      <c r="GD72" s="268"/>
      <c r="GE72" s="268"/>
      <c r="GF72" s="268"/>
      <c r="GG72" s="268"/>
      <c r="GH72" s="268"/>
      <c r="GI72" s="268"/>
      <c r="GJ72" s="268"/>
      <c r="GK72" s="268"/>
      <c r="GL72" s="268"/>
      <c r="GM72" s="268"/>
      <c r="GN72" s="268"/>
      <c r="GO72" s="268"/>
    </row>
    <row r="73" spans="2:197" s="275" customFormat="1" ht="39.75" hidden="1" customHeight="1" thickBot="1">
      <c r="B73" s="268"/>
      <c r="C73" s="319"/>
      <c r="D73" s="319"/>
      <c r="E73" s="319"/>
      <c r="F73" s="319"/>
      <c r="G73" s="319"/>
      <c r="H73" s="319"/>
      <c r="I73" s="319"/>
      <c r="J73" s="319"/>
      <c r="K73" s="319"/>
      <c r="L73" s="319"/>
      <c r="M73" s="319"/>
      <c r="N73" s="322">
        <v>2</v>
      </c>
      <c r="O73" s="292" t="s">
        <v>239</v>
      </c>
      <c r="P73" s="292"/>
      <c r="Q73" s="292"/>
      <c r="R73" s="290"/>
      <c r="S73" s="583">
        <f>VLOOKUP(N71,N74:T75,7,0)</f>
        <v>40000</v>
      </c>
      <c r="T73" s="589">
        <f>N33</f>
        <v>0</v>
      </c>
      <c r="U73" s="584">
        <f>MIN(S73,T73)</f>
        <v>0</v>
      </c>
      <c r="V73" s="552"/>
      <c r="W73" s="268"/>
      <c r="X73" s="268"/>
      <c r="Y73" s="268"/>
      <c r="Z73" s="268"/>
      <c r="AA73" s="268"/>
      <c r="AB73" s="268" t="str">
        <f>IF(AD89=2,"","4")</f>
        <v>4</v>
      </c>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68"/>
      <c r="BD73" s="268"/>
      <c r="BE73" s="268"/>
      <c r="BF73" s="268"/>
      <c r="BG73" s="268"/>
      <c r="BH73" s="268"/>
      <c r="BI73" s="268"/>
      <c r="BJ73" s="268"/>
      <c r="BK73" s="268"/>
      <c r="BL73" s="268"/>
      <c r="BM73" s="268">
        <v>2</v>
      </c>
      <c r="BN73" s="268" t="s">
        <v>751</v>
      </c>
      <c r="BO73" s="268"/>
      <c r="BP73" s="268">
        <f>ROUND('Annexure -I'!D4/2,0.1)</f>
        <v>26975</v>
      </c>
      <c r="BQ73" s="268">
        <f>ROUND('Annexure -I'!E4/2,0.1)</f>
        <v>7350</v>
      </c>
      <c r="BR73" s="268">
        <f>ROUND('Annexure -I'!F4/2,0.1)</f>
        <v>3237</v>
      </c>
      <c r="BS73" s="268">
        <v>0</v>
      </c>
      <c r="BT73" s="268">
        <f>ROUND('Annexure -I'!I4/2,0.1)</f>
        <v>65</v>
      </c>
      <c r="BU73" s="268">
        <f>ROUND('Annexure -I'!J4/2,0.1)</f>
        <v>0</v>
      </c>
      <c r="BV73" s="268">
        <f>BV74/2</f>
        <v>305</v>
      </c>
      <c r="BW73" s="268">
        <f>ROUND('Annexure -I'!L4/2,0.1)</f>
        <v>0</v>
      </c>
      <c r="BX73" s="268">
        <v>0</v>
      </c>
      <c r="BY73" s="268">
        <f>SUM(BP73:BX73)</f>
        <v>37932</v>
      </c>
      <c r="BZ73" s="268"/>
      <c r="CA73" s="268"/>
      <c r="CB73" s="268"/>
      <c r="CC73" s="268"/>
      <c r="CD73" s="268"/>
      <c r="CE73" s="268"/>
      <c r="CF73" s="268"/>
      <c r="CG73" s="268"/>
      <c r="CH73" s="268"/>
      <c r="CI73" s="268"/>
      <c r="CJ73" s="268"/>
      <c r="CK73" s="268"/>
      <c r="CL73" s="268"/>
      <c r="CM73" s="268"/>
      <c r="CN73" s="268"/>
      <c r="CO73" s="268"/>
      <c r="CP73" s="268"/>
      <c r="CQ73" s="268"/>
      <c r="CR73" s="268"/>
      <c r="CS73" s="268"/>
      <c r="CT73" s="268"/>
      <c r="CU73" s="268"/>
      <c r="CV73" s="268"/>
      <c r="CW73" s="268"/>
      <c r="CX73" s="268"/>
      <c r="CY73" s="268"/>
      <c r="CZ73" s="268"/>
      <c r="DA73" s="268"/>
      <c r="DB73" s="268"/>
      <c r="DC73" s="268"/>
      <c r="DD73" s="268"/>
      <c r="DE73" s="268"/>
      <c r="DF73" s="268"/>
      <c r="DG73" s="268"/>
      <c r="DH73" s="268"/>
      <c r="DI73" s="268"/>
      <c r="DJ73" s="268"/>
      <c r="DK73" s="268"/>
      <c r="DL73" s="268"/>
      <c r="DM73" s="268"/>
      <c r="DN73" s="268"/>
      <c r="DO73" s="268"/>
      <c r="DP73" s="268"/>
      <c r="DQ73" s="268"/>
      <c r="DR73" s="268"/>
      <c r="DS73" s="268"/>
      <c r="DT73" s="268"/>
      <c r="DU73" s="268"/>
      <c r="DV73" s="268"/>
      <c r="DW73" s="268"/>
      <c r="DX73" s="268"/>
      <c r="DY73" s="268"/>
      <c r="DZ73" s="268"/>
      <c r="EA73" s="268"/>
      <c r="EB73" s="268"/>
      <c r="EC73" s="268"/>
      <c r="ED73" s="268"/>
      <c r="EE73" s="268"/>
      <c r="EF73" s="268"/>
      <c r="EG73" s="268"/>
      <c r="EH73" s="268"/>
      <c r="EI73" s="268"/>
      <c r="EJ73" s="268"/>
      <c r="EK73" s="268"/>
      <c r="EL73" s="268"/>
      <c r="EM73" s="268"/>
      <c r="EN73" s="268"/>
      <c r="EO73" s="268"/>
      <c r="EP73" s="268"/>
      <c r="EQ73" s="268"/>
      <c r="ER73" s="268"/>
      <c r="ES73" s="268"/>
      <c r="ET73" s="268"/>
      <c r="EU73" s="268"/>
      <c r="EV73" s="268"/>
      <c r="EW73" s="268"/>
      <c r="EX73" s="268"/>
      <c r="EY73" s="268"/>
      <c r="EZ73" s="268"/>
      <c r="FA73" s="268"/>
      <c r="FB73" s="268"/>
      <c r="FC73" s="268"/>
      <c r="FD73" s="268"/>
      <c r="FE73" s="268"/>
      <c r="FF73" s="268"/>
      <c r="FG73" s="268"/>
      <c r="FH73" s="268"/>
      <c r="FI73" s="268"/>
      <c r="FJ73" s="268"/>
      <c r="FK73" s="268"/>
      <c r="FL73" s="268"/>
      <c r="FM73" s="268"/>
      <c r="FN73" s="268"/>
      <c r="FO73" s="268"/>
      <c r="FP73" s="268"/>
      <c r="FQ73" s="268"/>
      <c r="FR73" s="268"/>
      <c r="FS73" s="268"/>
      <c r="FT73" s="268"/>
      <c r="FU73" s="268"/>
      <c r="FV73" s="268"/>
      <c r="FW73" s="268"/>
      <c r="FX73" s="268"/>
      <c r="FY73" s="268"/>
      <c r="FZ73" s="268"/>
      <c r="GA73" s="268"/>
      <c r="GB73" s="268"/>
      <c r="GC73" s="268"/>
      <c r="GD73" s="268"/>
      <c r="GE73" s="268"/>
      <c r="GF73" s="268"/>
      <c r="GG73" s="268"/>
      <c r="GH73" s="268"/>
      <c r="GI73" s="268"/>
      <c r="GJ73" s="268"/>
      <c r="GK73" s="268"/>
      <c r="GL73" s="268"/>
      <c r="GM73" s="268"/>
      <c r="GN73" s="268"/>
      <c r="GO73" s="268"/>
    </row>
    <row r="74" spans="2:197" s="275" customFormat="1" ht="39.75" hidden="1" customHeight="1">
      <c r="B74" s="268"/>
      <c r="C74" s="319"/>
      <c r="D74" s="319"/>
      <c r="E74" s="319"/>
      <c r="F74" s="319"/>
      <c r="G74" s="319"/>
      <c r="H74" s="319"/>
      <c r="I74" s="319"/>
      <c r="J74" s="319"/>
      <c r="K74" s="319"/>
      <c r="L74" s="319"/>
      <c r="M74" s="319"/>
      <c r="N74" s="320">
        <v>1</v>
      </c>
      <c r="O74" s="294" t="str">
        <f>VLOOKUP(N74,N75:O76,2,0)</f>
        <v>Donation of Charitable Institution</v>
      </c>
      <c r="P74" s="290"/>
      <c r="Q74" s="290"/>
      <c r="R74" s="291"/>
      <c r="S74" s="585"/>
      <c r="T74" s="586">
        <v>40000</v>
      </c>
      <c r="U74" s="590"/>
      <c r="V74" s="552"/>
      <c r="W74" s="268"/>
      <c r="X74" s="268"/>
      <c r="Y74" s="268"/>
      <c r="Z74" s="268"/>
      <c r="AA74" s="268"/>
      <c r="AB74" s="268" t="str">
        <f>IF(AD89=2,"","5")</f>
        <v>5</v>
      </c>
      <c r="AC74" s="268"/>
      <c r="AD74" s="268">
        <v>11</v>
      </c>
      <c r="AE74" s="268" t="str">
        <f>VLOOKUP(AD74,AD75:AE87,2,0)</f>
        <v>Dec,19</v>
      </c>
      <c r="AF74" s="268"/>
      <c r="AG74" s="268"/>
      <c r="AH74" s="268"/>
      <c r="AI74" s="268"/>
      <c r="AJ74" s="268"/>
      <c r="AK74" s="268"/>
      <c r="AL74" s="268"/>
      <c r="AM74" s="268"/>
      <c r="AN74" s="268"/>
      <c r="AO74" s="268"/>
      <c r="AP74" s="268"/>
      <c r="AQ74" s="268"/>
      <c r="AR74" s="268"/>
      <c r="AS74" s="268"/>
      <c r="AT74" s="268"/>
      <c r="AU74" s="268"/>
      <c r="AV74" s="268"/>
      <c r="AW74" s="268"/>
      <c r="AX74" s="268"/>
      <c r="AY74" s="268"/>
      <c r="AZ74" s="268"/>
      <c r="BA74" s="268"/>
      <c r="BB74" s="268"/>
      <c r="BC74" s="268"/>
      <c r="BD74" s="268"/>
      <c r="BE74" s="268"/>
      <c r="BF74" s="268"/>
      <c r="BG74" s="268"/>
      <c r="BH74" s="268"/>
      <c r="BI74" s="268"/>
      <c r="BJ74" s="268"/>
      <c r="BK74" s="268"/>
      <c r="BL74" s="268"/>
      <c r="BM74" s="268">
        <v>3</v>
      </c>
      <c r="BN74" s="268" t="s">
        <v>791</v>
      </c>
      <c r="BO74" s="268"/>
      <c r="BP74" s="268">
        <f>'Annexure -I'!D4</f>
        <v>53950</v>
      </c>
      <c r="BQ74" s="268">
        <f>'Annexure -I'!E4</f>
        <v>14700</v>
      </c>
      <c r="BR74" s="268">
        <f>'Annexure -I'!F4</f>
        <v>6474</v>
      </c>
      <c r="BS74" s="268">
        <v>0</v>
      </c>
      <c r="BT74" s="268">
        <f>'Annexure -I'!I4</f>
        <v>130</v>
      </c>
      <c r="BU74" s="268">
        <f>'Annexure -I'!J4</f>
        <v>0</v>
      </c>
      <c r="BV74" s="268">
        <f>K7</f>
        <v>610</v>
      </c>
      <c r="BW74" s="268">
        <f>'Annexure -I'!L4</f>
        <v>0</v>
      </c>
      <c r="BX74" s="268">
        <v>0</v>
      </c>
      <c r="BY74" s="268">
        <f>SUM(BP74:BX74)</f>
        <v>75864</v>
      </c>
      <c r="BZ74" s="268"/>
      <c r="CA74" s="268"/>
      <c r="CB74" s="268"/>
      <c r="CC74" s="268"/>
      <c r="CD74" s="268"/>
      <c r="CE74" s="268"/>
      <c r="CF74" s="268"/>
      <c r="CG74" s="268"/>
      <c r="CH74" s="268"/>
      <c r="CI74" s="268"/>
      <c r="CJ74" s="268"/>
      <c r="CK74" s="268"/>
      <c r="CL74" s="268"/>
      <c r="CM74" s="268"/>
      <c r="CN74" s="268"/>
      <c r="CO74" s="268"/>
      <c r="CP74" s="268"/>
      <c r="CQ74" s="268"/>
      <c r="CR74" s="268"/>
      <c r="CS74" s="268"/>
      <c r="CT74" s="268"/>
      <c r="CU74" s="268"/>
      <c r="CV74" s="268"/>
      <c r="CW74" s="268"/>
      <c r="CX74" s="268"/>
      <c r="CY74" s="268"/>
      <c r="CZ74" s="268"/>
      <c r="DA74" s="268"/>
      <c r="DB74" s="268"/>
      <c r="DC74" s="268"/>
      <c r="DD74" s="268"/>
      <c r="DE74" s="268"/>
      <c r="DF74" s="268"/>
      <c r="DG74" s="268"/>
      <c r="DH74" s="268"/>
      <c r="DI74" s="268"/>
      <c r="DJ74" s="268"/>
      <c r="DK74" s="268"/>
      <c r="DL74" s="268"/>
      <c r="DM74" s="268"/>
      <c r="DN74" s="268"/>
      <c r="DO74" s="268"/>
      <c r="DP74" s="268"/>
      <c r="DQ74" s="268"/>
      <c r="DR74" s="268"/>
      <c r="DS74" s="268"/>
      <c r="DT74" s="268"/>
      <c r="DU74" s="268"/>
      <c r="DV74" s="268"/>
      <c r="DW74" s="268"/>
      <c r="DX74" s="268"/>
      <c r="DY74" s="268"/>
      <c r="DZ74" s="268"/>
      <c r="EA74" s="268"/>
      <c r="EB74" s="268"/>
      <c r="EC74" s="268"/>
      <c r="ED74" s="268"/>
      <c r="EE74" s="268"/>
      <c r="EF74" s="268"/>
      <c r="EG74" s="268"/>
      <c r="EH74" s="268"/>
      <c r="EI74" s="268"/>
      <c r="EJ74" s="268"/>
      <c r="EK74" s="268"/>
      <c r="EL74" s="268"/>
      <c r="EM74" s="268"/>
      <c r="EN74" s="268"/>
      <c r="EO74" s="268"/>
      <c r="EP74" s="268"/>
      <c r="EQ74" s="268"/>
      <c r="ER74" s="268"/>
      <c r="ES74" s="268"/>
      <c r="ET74" s="268"/>
      <c r="EU74" s="268"/>
      <c r="EV74" s="268"/>
      <c r="EW74" s="268"/>
      <c r="EX74" s="268"/>
      <c r="EY74" s="268"/>
      <c r="EZ74" s="268"/>
      <c r="FA74" s="268"/>
      <c r="FB74" s="268"/>
      <c r="FC74" s="268"/>
      <c r="FD74" s="268"/>
      <c r="FE74" s="268"/>
      <c r="FF74" s="268"/>
      <c r="FG74" s="268"/>
      <c r="FH74" s="268"/>
      <c r="FI74" s="268"/>
      <c r="FJ74" s="268"/>
      <c r="FK74" s="268"/>
      <c r="FL74" s="268"/>
      <c r="FM74" s="268"/>
      <c r="FN74" s="268"/>
      <c r="FO74" s="268"/>
      <c r="FP74" s="268"/>
      <c r="FQ74" s="268"/>
      <c r="FR74" s="268"/>
      <c r="FS74" s="268"/>
      <c r="FT74" s="268"/>
      <c r="FU74" s="268"/>
      <c r="FV74" s="268"/>
      <c r="FW74" s="268"/>
      <c r="FX74" s="268"/>
      <c r="FY74" s="268"/>
      <c r="FZ74" s="268"/>
      <c r="GA74" s="268"/>
      <c r="GB74" s="268"/>
      <c r="GC74" s="268"/>
      <c r="GD74" s="268"/>
      <c r="GE74" s="268"/>
      <c r="GF74" s="268"/>
      <c r="GG74" s="268"/>
      <c r="GH74" s="268"/>
      <c r="GI74" s="268"/>
      <c r="GJ74" s="268"/>
      <c r="GK74" s="268"/>
      <c r="GL74" s="268"/>
      <c r="GM74" s="268"/>
      <c r="GN74" s="268"/>
      <c r="GO74" s="268"/>
    </row>
    <row r="75" spans="2:197" s="275" customFormat="1" ht="39.75" hidden="1" customHeight="1" thickBot="1">
      <c r="B75" s="268"/>
      <c r="C75" s="319"/>
      <c r="D75" s="319"/>
      <c r="E75" s="319"/>
      <c r="F75" s="319"/>
      <c r="G75" s="319"/>
      <c r="H75" s="319"/>
      <c r="I75" s="319"/>
      <c r="J75" s="319"/>
      <c r="K75" s="319"/>
      <c r="L75" s="319"/>
      <c r="M75" s="319"/>
      <c r="N75" s="321">
        <v>1</v>
      </c>
      <c r="O75" s="291" t="s">
        <v>240</v>
      </c>
      <c r="P75" s="291"/>
      <c r="Q75" s="291"/>
      <c r="R75" s="292"/>
      <c r="S75" s="587"/>
      <c r="T75" s="588">
        <v>60000</v>
      </c>
      <c r="U75" s="591"/>
      <c r="V75" s="552"/>
      <c r="W75" s="268"/>
      <c r="X75" s="268"/>
      <c r="Y75" s="268"/>
      <c r="Z75" s="268"/>
      <c r="AA75" s="268"/>
      <c r="AB75" s="268" t="str">
        <f>IF(AD89=2,"","6")</f>
        <v>6</v>
      </c>
      <c r="AC75" s="268"/>
      <c r="AD75" s="268">
        <v>1</v>
      </c>
      <c r="AE75" s="268" t="s">
        <v>151</v>
      </c>
      <c r="AF75" s="846">
        <v>0</v>
      </c>
      <c r="AG75" s="268"/>
      <c r="AH75" s="268"/>
      <c r="AI75" s="268"/>
      <c r="AJ75" s="268"/>
      <c r="AK75" s="268"/>
      <c r="AL75" s="268"/>
      <c r="AM75" s="268"/>
      <c r="AN75" s="268"/>
      <c r="AO75" s="268"/>
      <c r="AP75" s="268"/>
      <c r="AQ75" s="268"/>
      <c r="AR75" s="268"/>
      <c r="AS75" s="268"/>
      <c r="AT75" s="268"/>
      <c r="AU75" s="268"/>
      <c r="AV75" s="268"/>
      <c r="AW75" s="268"/>
      <c r="AX75" s="268"/>
      <c r="AY75" s="268"/>
      <c r="AZ75" s="268"/>
      <c r="BA75" s="268"/>
      <c r="BB75" s="268"/>
      <c r="BC75" s="268"/>
      <c r="BD75" s="268"/>
      <c r="BE75" s="268"/>
      <c r="BF75" s="268"/>
      <c r="BG75" s="268"/>
      <c r="BH75" s="268"/>
      <c r="BI75" s="268"/>
      <c r="BJ75" s="268"/>
      <c r="BK75" s="268"/>
      <c r="BL75" s="268"/>
      <c r="BM75" s="268">
        <v>4</v>
      </c>
      <c r="BN75" s="268" t="s">
        <v>792</v>
      </c>
      <c r="BO75" s="268"/>
      <c r="BP75" s="268">
        <f>ROUND('Annexure -I'!D5/2,0.1)</f>
        <v>26975</v>
      </c>
      <c r="BQ75" s="268">
        <f>ROUND('Annexure -I'!E5/2,0.1)</f>
        <v>7350</v>
      </c>
      <c r="BR75" s="268">
        <f>ROUND('Annexure -I'!F5/2,0.1)</f>
        <v>3237</v>
      </c>
      <c r="BS75" s="268">
        <v>0</v>
      </c>
      <c r="BT75" s="268">
        <f>ROUND('Annexure -I'!I5/2,0.1)</f>
        <v>65</v>
      </c>
      <c r="BU75" s="268">
        <f>ROUND('Annexure -I'!J5/2,0.1)</f>
        <v>0</v>
      </c>
      <c r="BV75" s="268">
        <f>BV74/2</f>
        <v>305</v>
      </c>
      <c r="BW75" s="268">
        <f>ROUND('Annexure -I'!L5/2,0.1)</f>
        <v>0</v>
      </c>
      <c r="BX75" s="268">
        <v>0</v>
      </c>
      <c r="BY75" s="268">
        <f t="shared" ref="BY75:BY96" si="10">SUM(BP75:BX75)</f>
        <v>37932</v>
      </c>
      <c r="BZ75" s="268"/>
      <c r="CA75" s="268"/>
      <c r="CB75" s="268"/>
      <c r="CC75" s="268"/>
      <c r="CD75" s="268"/>
      <c r="CE75" s="268"/>
      <c r="CF75" s="268"/>
      <c r="CG75" s="268"/>
      <c r="CH75" s="268"/>
      <c r="CI75" s="268"/>
      <c r="CJ75" s="268"/>
      <c r="CK75" s="268"/>
      <c r="CL75" s="268"/>
      <c r="CM75" s="268"/>
      <c r="CN75" s="268"/>
      <c r="CO75" s="268"/>
      <c r="CP75" s="268"/>
      <c r="CQ75" s="268"/>
      <c r="CR75" s="268"/>
      <c r="CS75" s="268"/>
      <c r="CT75" s="268"/>
      <c r="CU75" s="268"/>
      <c r="CV75" s="268"/>
      <c r="CW75" s="268"/>
      <c r="CX75" s="268"/>
      <c r="CY75" s="268"/>
      <c r="CZ75" s="268"/>
      <c r="DA75" s="268"/>
      <c r="DB75" s="268"/>
      <c r="DC75" s="268"/>
      <c r="DD75" s="268"/>
      <c r="DE75" s="268"/>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68"/>
      <c r="EB75" s="268"/>
      <c r="EC75" s="268"/>
      <c r="ED75" s="268"/>
      <c r="EE75" s="268"/>
      <c r="EF75" s="268"/>
      <c r="EG75" s="268"/>
      <c r="EH75" s="268"/>
      <c r="EI75" s="268"/>
      <c r="EJ75" s="268"/>
      <c r="EK75" s="268"/>
      <c r="EL75" s="268"/>
      <c r="EM75" s="268"/>
      <c r="EN75" s="268"/>
      <c r="EO75" s="268"/>
      <c r="EP75" s="268"/>
      <c r="EQ75" s="268"/>
      <c r="ER75" s="268"/>
      <c r="ES75" s="268"/>
      <c r="ET75" s="268"/>
      <c r="EU75" s="268"/>
      <c r="EV75" s="268"/>
      <c r="EW75" s="268"/>
      <c r="EX75" s="268"/>
      <c r="EY75" s="268"/>
      <c r="EZ75" s="268"/>
      <c r="FA75" s="268"/>
      <c r="FB75" s="268"/>
      <c r="FC75" s="268"/>
      <c r="FD75" s="268"/>
      <c r="FE75" s="268"/>
      <c r="FF75" s="268"/>
      <c r="FG75" s="268"/>
      <c r="FH75" s="268"/>
      <c r="FI75" s="268"/>
      <c r="FJ75" s="268"/>
      <c r="FK75" s="268"/>
      <c r="FL75" s="268"/>
      <c r="FM75" s="268"/>
      <c r="FN75" s="268"/>
      <c r="FO75" s="268"/>
      <c r="FP75" s="268"/>
      <c r="FQ75" s="268"/>
      <c r="FR75" s="268"/>
      <c r="FS75" s="268"/>
      <c r="FT75" s="268"/>
      <c r="FU75" s="268"/>
      <c r="FV75" s="268"/>
      <c r="FW75" s="268"/>
      <c r="FX75" s="268"/>
      <c r="FY75" s="268"/>
      <c r="FZ75" s="268"/>
      <c r="GA75" s="268"/>
      <c r="GB75" s="268"/>
      <c r="GC75" s="268"/>
      <c r="GD75" s="268"/>
      <c r="GE75" s="268"/>
      <c r="GF75" s="268"/>
      <c r="GG75" s="268"/>
      <c r="GH75" s="268"/>
      <c r="GI75" s="268"/>
      <c r="GJ75" s="268"/>
      <c r="GK75" s="268"/>
      <c r="GL75" s="268"/>
      <c r="GM75" s="268"/>
      <c r="GN75" s="268"/>
      <c r="GO75" s="268"/>
    </row>
    <row r="76" spans="2:197" s="275" customFormat="1" ht="39.75" hidden="1" customHeight="1" thickBot="1">
      <c r="B76" s="268"/>
      <c r="C76" s="319"/>
      <c r="D76" s="319"/>
      <c r="E76" s="319"/>
      <c r="F76" s="319"/>
      <c r="G76" s="319"/>
      <c r="H76" s="319"/>
      <c r="I76" s="319"/>
      <c r="J76" s="319"/>
      <c r="K76" s="319"/>
      <c r="L76" s="319"/>
      <c r="M76" s="319"/>
      <c r="N76" s="322">
        <v>2</v>
      </c>
      <c r="O76" s="292" t="s">
        <v>241</v>
      </c>
      <c r="P76" s="292"/>
      <c r="Q76" s="292"/>
      <c r="R76" s="290"/>
      <c r="S76" s="583" t="e">
        <f>VLOOKUP(N74,N77:T78,7,0)</f>
        <v>#N/A</v>
      </c>
      <c r="T76" s="589" t="e">
        <f>#REF!</f>
        <v>#REF!</v>
      </c>
      <c r="U76" s="584" t="e">
        <f>MIN(S76,T76)</f>
        <v>#N/A</v>
      </c>
      <c r="V76" s="552"/>
      <c r="W76" s="268"/>
      <c r="X76" s="268"/>
      <c r="Y76" s="268"/>
      <c r="Z76" s="268"/>
      <c r="AA76" s="268"/>
      <c r="AB76" s="268" t="str">
        <f>IF(AD89=2,"","7")</f>
        <v>7</v>
      </c>
      <c r="AC76" s="268"/>
      <c r="AD76" s="268">
        <v>2</v>
      </c>
      <c r="AE76" s="268" t="s">
        <v>750</v>
      </c>
      <c r="AF76" s="846">
        <v>3</v>
      </c>
      <c r="AG76" s="268"/>
      <c r="AH76" s="268"/>
      <c r="AI76" s="268"/>
      <c r="AJ76" s="268"/>
      <c r="AK76" s="268"/>
      <c r="AL76" s="268"/>
      <c r="AM76" s="268"/>
      <c r="AN76" s="268"/>
      <c r="AO76" s="268"/>
      <c r="AP76" s="268"/>
      <c r="AQ76" s="268"/>
      <c r="AR76" s="268"/>
      <c r="AS76" s="268"/>
      <c r="AT76" s="268"/>
      <c r="AU76" s="268"/>
      <c r="AV76" s="268"/>
      <c r="AW76" s="268"/>
      <c r="AX76" s="268"/>
      <c r="AY76" s="268"/>
      <c r="AZ76" s="268"/>
      <c r="BA76" s="268"/>
      <c r="BB76" s="268"/>
      <c r="BC76" s="268"/>
      <c r="BD76" s="268"/>
      <c r="BE76" s="268"/>
      <c r="BF76" s="268"/>
      <c r="BG76" s="268"/>
      <c r="BH76" s="268"/>
      <c r="BI76" s="268"/>
      <c r="BJ76" s="268"/>
      <c r="BK76" s="268"/>
      <c r="BL76" s="268"/>
      <c r="BM76" s="268">
        <v>5</v>
      </c>
      <c r="BN76" s="268" t="s">
        <v>793</v>
      </c>
      <c r="BO76" s="268"/>
      <c r="BP76" s="268">
        <f>'Annexure -I'!D5</f>
        <v>53950</v>
      </c>
      <c r="BQ76" s="268">
        <f>'Annexure -I'!E5</f>
        <v>14700</v>
      </c>
      <c r="BR76" s="268">
        <f>'Annexure -I'!F5</f>
        <v>6474</v>
      </c>
      <c r="BS76" s="268">
        <v>0</v>
      </c>
      <c r="BT76" s="268">
        <f>'Annexure -I'!I5</f>
        <v>130</v>
      </c>
      <c r="BU76" s="268">
        <f>'Annexure -I'!J5</f>
        <v>0</v>
      </c>
      <c r="BV76" s="268">
        <f>BV74</f>
        <v>610</v>
      </c>
      <c r="BW76" s="268">
        <f>'Annexure -I'!L5</f>
        <v>0</v>
      </c>
      <c r="BX76" s="268">
        <v>0</v>
      </c>
      <c r="BY76" s="268">
        <f t="shared" si="10"/>
        <v>75864</v>
      </c>
      <c r="BZ76" s="268"/>
      <c r="CA76" s="268"/>
      <c r="CB76" s="268"/>
      <c r="CC76" s="268"/>
      <c r="CD76" s="268"/>
      <c r="CE76" s="268"/>
      <c r="CF76" s="268"/>
      <c r="CG76" s="268"/>
      <c r="CH76" s="268"/>
      <c r="CI76" s="268"/>
      <c r="CJ76" s="268"/>
      <c r="CK76" s="268"/>
      <c r="CL76" s="268"/>
      <c r="CM76" s="268"/>
      <c r="CN76" s="268"/>
      <c r="CO76" s="268"/>
      <c r="CP76" s="268"/>
      <c r="CQ76" s="268"/>
      <c r="CR76" s="268"/>
      <c r="CS76" s="268"/>
      <c r="CT76" s="268"/>
      <c r="CU76" s="268"/>
      <c r="CV76" s="268"/>
      <c r="CW76" s="268"/>
      <c r="CX76" s="268"/>
      <c r="CY76" s="268"/>
      <c r="CZ76" s="268"/>
      <c r="DA76" s="268"/>
      <c r="DB76" s="268"/>
      <c r="DC76" s="268"/>
      <c r="DD76" s="268"/>
      <c r="DE76" s="268"/>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8"/>
      <c r="EB76" s="268"/>
      <c r="EC76" s="268"/>
      <c r="ED76" s="268"/>
      <c r="EE76" s="268"/>
      <c r="EF76" s="268"/>
      <c r="EG76" s="268"/>
      <c r="EH76" s="268"/>
      <c r="EI76" s="268"/>
      <c r="EJ76" s="268"/>
      <c r="EK76" s="268"/>
      <c r="EL76" s="268"/>
      <c r="EM76" s="268"/>
      <c r="EN76" s="268"/>
      <c r="EO76" s="268"/>
      <c r="EP76" s="268"/>
      <c r="EQ76" s="268"/>
      <c r="ER76" s="268"/>
      <c r="ES76" s="268"/>
      <c r="ET76" s="268"/>
      <c r="EU76" s="268"/>
      <c r="EV76" s="268"/>
      <c r="EW76" s="268"/>
      <c r="EX76" s="268"/>
      <c r="EY76" s="268"/>
      <c r="EZ76" s="268"/>
      <c r="FA76" s="268"/>
      <c r="FB76" s="268"/>
      <c r="FC76" s="268"/>
      <c r="FD76" s="268"/>
      <c r="FE76" s="268"/>
      <c r="FF76" s="268"/>
      <c r="FG76" s="268"/>
      <c r="FH76" s="268"/>
      <c r="FI76" s="268"/>
      <c r="FJ76" s="268"/>
      <c r="FK76" s="268"/>
      <c r="FL76" s="268"/>
      <c r="FM76" s="268"/>
      <c r="FN76" s="268"/>
      <c r="FO76" s="268"/>
      <c r="FP76" s="268"/>
      <c r="FQ76" s="268"/>
      <c r="FR76" s="268"/>
      <c r="FS76" s="268"/>
      <c r="FT76" s="268"/>
      <c r="FU76" s="268"/>
      <c r="FV76" s="268"/>
      <c r="FW76" s="268"/>
      <c r="FX76" s="268"/>
      <c r="FY76" s="268"/>
      <c r="FZ76" s="268"/>
      <c r="GA76" s="268"/>
      <c r="GB76" s="268"/>
      <c r="GC76" s="268"/>
      <c r="GD76" s="268"/>
      <c r="GE76" s="268"/>
      <c r="GF76" s="268"/>
      <c r="GG76" s="268"/>
      <c r="GH76" s="268"/>
      <c r="GI76" s="268"/>
      <c r="GJ76" s="268"/>
      <c r="GK76" s="268"/>
      <c r="GL76" s="268"/>
      <c r="GM76" s="268"/>
      <c r="GN76" s="268"/>
      <c r="GO76" s="268"/>
    </row>
    <row r="77" spans="2:197" s="275" customFormat="1" ht="39.75" hidden="1" customHeight="1">
      <c r="B77" s="268"/>
      <c r="C77" s="319"/>
      <c r="D77" s="319"/>
      <c r="E77" s="319"/>
      <c r="F77" s="319"/>
      <c r="G77" s="319"/>
      <c r="H77" s="319"/>
      <c r="I77" s="319"/>
      <c r="J77" s="319"/>
      <c r="K77" s="319"/>
      <c r="L77" s="319"/>
      <c r="M77" s="319"/>
      <c r="N77" s="320"/>
      <c r="O77" s="290" t="s">
        <v>676</v>
      </c>
      <c r="P77" s="290"/>
      <c r="Q77" s="290"/>
      <c r="R77" s="291"/>
      <c r="S77" s="585"/>
      <c r="T77" s="586">
        <v>100000</v>
      </c>
      <c r="U77" s="590"/>
      <c r="V77" s="552"/>
      <c r="W77" s="268"/>
      <c r="X77" s="268"/>
      <c r="Y77" s="268"/>
      <c r="Z77" s="268"/>
      <c r="AA77" s="268"/>
      <c r="AB77" s="268" t="str">
        <f>IF(AD89=2,"","8")</f>
        <v>8</v>
      </c>
      <c r="AC77" s="268"/>
      <c r="AD77" s="268">
        <v>3</v>
      </c>
      <c r="AE77" s="268" t="s">
        <v>779</v>
      </c>
      <c r="AF77" s="846">
        <v>4</v>
      </c>
      <c r="AG77" s="268"/>
      <c r="AH77" s="268"/>
      <c r="AI77" s="268"/>
      <c r="AJ77" s="268"/>
      <c r="AK77" s="268"/>
      <c r="AL77" s="268"/>
      <c r="AM77" s="268"/>
      <c r="AN77" s="268"/>
      <c r="AO77" s="268"/>
      <c r="AP77" s="268"/>
      <c r="AQ77" s="268"/>
      <c r="AR77" s="268"/>
      <c r="AS77" s="268"/>
      <c r="AT77" s="268"/>
      <c r="AU77" s="268"/>
      <c r="AV77" s="268"/>
      <c r="AW77" s="268"/>
      <c r="AX77" s="268"/>
      <c r="AY77" s="268"/>
      <c r="AZ77" s="268"/>
      <c r="BA77" s="268"/>
      <c r="BB77" s="268"/>
      <c r="BC77" s="268"/>
      <c r="BD77" s="268"/>
      <c r="BE77" s="268"/>
      <c r="BF77" s="268"/>
      <c r="BG77" s="268"/>
      <c r="BH77" s="268"/>
      <c r="BI77" s="268"/>
      <c r="BJ77" s="268"/>
      <c r="BK77" s="268"/>
      <c r="BL77" s="268"/>
      <c r="BM77" s="268">
        <v>6</v>
      </c>
      <c r="BN77" s="268" t="s">
        <v>794</v>
      </c>
      <c r="BO77" s="268"/>
      <c r="BP77" s="268">
        <f>ROUND('Annexure -I'!D6/2,0.1)</f>
        <v>26975</v>
      </c>
      <c r="BQ77" s="268">
        <f>ROUND('Annexure -I'!E6/2,0.1)</f>
        <v>7350</v>
      </c>
      <c r="BR77" s="268">
        <f>ROUND('Annexure -I'!F6/2,0.1)</f>
        <v>3237</v>
      </c>
      <c r="BS77" s="268">
        <v>0</v>
      </c>
      <c r="BT77" s="268">
        <f>ROUND('Annexure -I'!I6/2,0.1)</f>
        <v>65</v>
      </c>
      <c r="BU77" s="268">
        <f>ROUND('Annexure -I'!J6/2,0.1)</f>
        <v>0</v>
      </c>
      <c r="BV77" s="268">
        <f>BV74/2</f>
        <v>305</v>
      </c>
      <c r="BW77" s="268">
        <f>ROUND('Annexure -I'!L6/2,0.1)</f>
        <v>0</v>
      </c>
      <c r="BX77" s="268">
        <v>0</v>
      </c>
      <c r="BY77" s="268">
        <f t="shared" si="10"/>
        <v>37932</v>
      </c>
      <c r="BZ77" s="268"/>
      <c r="CA77" s="268"/>
      <c r="CB77" s="268"/>
      <c r="CC77" s="268"/>
      <c r="CD77" s="268"/>
      <c r="CE77" s="268"/>
      <c r="CF77" s="268"/>
      <c r="CG77" s="268"/>
      <c r="CH77" s="268"/>
      <c r="CI77" s="268"/>
      <c r="CJ77" s="268"/>
      <c r="CK77" s="268"/>
      <c r="CL77" s="268"/>
      <c r="CM77" s="268"/>
      <c r="CN77" s="268"/>
      <c r="CO77" s="268"/>
      <c r="CP77" s="268"/>
      <c r="CQ77" s="268"/>
      <c r="CR77" s="268"/>
      <c r="CS77" s="268"/>
      <c r="CT77" s="268"/>
      <c r="CU77" s="268"/>
      <c r="CV77" s="268"/>
      <c r="CW77" s="268"/>
      <c r="CX77" s="268"/>
      <c r="CY77" s="268"/>
      <c r="CZ77" s="268"/>
      <c r="DA77" s="268"/>
      <c r="DB77" s="268"/>
      <c r="DC77" s="268"/>
      <c r="DD77" s="268"/>
      <c r="DE77" s="268"/>
      <c r="DF77" s="268"/>
      <c r="DG77" s="268"/>
      <c r="DH77" s="268"/>
      <c r="DI77" s="268"/>
      <c r="DJ77" s="268"/>
      <c r="DK77" s="268"/>
      <c r="DL77" s="268"/>
      <c r="DM77" s="268"/>
      <c r="DN77" s="268"/>
      <c r="DO77" s="268"/>
      <c r="DP77" s="268"/>
      <c r="DQ77" s="268"/>
      <c r="DR77" s="268"/>
      <c r="DS77" s="268"/>
      <c r="DT77" s="268"/>
      <c r="DU77" s="268"/>
      <c r="DV77" s="268"/>
      <c r="DW77" s="268"/>
      <c r="DX77" s="268"/>
      <c r="DY77" s="268"/>
      <c r="DZ77" s="268"/>
      <c r="EA77" s="268"/>
      <c r="EB77" s="268"/>
      <c r="EC77" s="268"/>
      <c r="ED77" s="268"/>
      <c r="EE77" s="268"/>
      <c r="EF77" s="268"/>
      <c r="EG77" s="268"/>
      <c r="EH77" s="268"/>
      <c r="EI77" s="268"/>
      <c r="EJ77" s="268"/>
      <c r="EK77" s="268"/>
      <c r="EL77" s="268"/>
      <c r="EM77" s="268"/>
      <c r="EN77" s="268"/>
      <c r="EO77" s="268"/>
      <c r="EP77" s="268"/>
      <c r="EQ77" s="268"/>
      <c r="ER77" s="268"/>
      <c r="ES77" s="268"/>
      <c r="ET77" s="268"/>
      <c r="EU77" s="268"/>
      <c r="EV77" s="268"/>
      <c r="EW77" s="268"/>
      <c r="EX77" s="268"/>
      <c r="EY77" s="268"/>
      <c r="EZ77" s="268"/>
      <c r="FA77" s="268"/>
      <c r="FB77" s="268"/>
      <c r="FC77" s="268"/>
      <c r="FD77" s="268"/>
      <c r="FE77" s="268"/>
      <c r="FF77" s="268"/>
      <c r="FG77" s="268"/>
      <c r="FH77" s="268"/>
      <c r="FI77" s="268"/>
      <c r="FJ77" s="268"/>
      <c r="FK77" s="268"/>
      <c r="FL77" s="268"/>
      <c r="FM77" s="268"/>
      <c r="FN77" s="268"/>
      <c r="FO77" s="268"/>
      <c r="FP77" s="268"/>
      <c r="FQ77" s="268"/>
      <c r="FR77" s="268"/>
      <c r="FS77" s="268"/>
      <c r="FT77" s="268"/>
      <c r="FU77" s="268"/>
      <c r="FV77" s="268"/>
      <c r="FW77" s="268"/>
      <c r="FX77" s="268"/>
      <c r="FY77" s="268"/>
      <c r="FZ77" s="268"/>
      <c r="GA77" s="268"/>
      <c r="GB77" s="268"/>
      <c r="GC77" s="268"/>
      <c r="GD77" s="268"/>
      <c r="GE77" s="268"/>
      <c r="GF77" s="268"/>
      <c r="GG77" s="268"/>
      <c r="GH77" s="268"/>
      <c r="GI77" s="268"/>
      <c r="GJ77" s="268"/>
      <c r="GK77" s="268"/>
      <c r="GL77" s="268"/>
      <c r="GM77" s="268"/>
      <c r="GN77" s="268"/>
      <c r="GO77" s="268"/>
    </row>
    <row r="78" spans="2:197" s="275" customFormat="1" ht="39.75" hidden="1" customHeight="1" thickBot="1">
      <c r="B78" s="268"/>
      <c r="C78" s="319"/>
      <c r="D78" s="319"/>
      <c r="E78" s="319"/>
      <c r="F78" s="319"/>
      <c r="G78" s="319"/>
      <c r="H78" s="319"/>
      <c r="I78" s="319"/>
      <c r="J78" s="319"/>
      <c r="K78" s="319"/>
      <c r="L78" s="319"/>
      <c r="M78" s="319"/>
      <c r="N78" s="321"/>
      <c r="O78" s="291" t="s">
        <v>633</v>
      </c>
      <c r="P78" s="291"/>
      <c r="Q78" s="291"/>
      <c r="R78" s="292"/>
      <c r="S78" s="587"/>
      <c r="T78" s="588">
        <v>100000</v>
      </c>
      <c r="U78" s="591"/>
      <c r="V78" s="552"/>
      <c r="W78" s="268"/>
      <c r="X78" s="268"/>
      <c r="Y78" s="268"/>
      <c r="Z78" s="268"/>
      <c r="AA78" s="268"/>
      <c r="AB78" s="268" t="str">
        <f>IF(AD89=2,"","9")</f>
        <v>9</v>
      </c>
      <c r="AC78" s="268"/>
      <c r="AD78" s="268">
        <v>4</v>
      </c>
      <c r="AE78" s="268" t="s">
        <v>780</v>
      </c>
      <c r="AF78" s="846">
        <v>5</v>
      </c>
      <c r="AG78" s="268"/>
      <c r="AH78" s="268"/>
      <c r="AI78" s="268"/>
      <c r="AJ78" s="268"/>
      <c r="AK78" s="268"/>
      <c r="AL78" s="268"/>
      <c r="AM78" s="268"/>
      <c r="AN78" s="268"/>
      <c r="AO78" s="268"/>
      <c r="AP78" s="268"/>
      <c r="AQ78" s="268"/>
      <c r="AR78" s="268"/>
      <c r="AS78" s="268"/>
      <c r="AT78" s="268"/>
      <c r="AU78" s="268"/>
      <c r="AV78" s="268"/>
      <c r="AW78" s="268"/>
      <c r="AX78" s="268"/>
      <c r="AY78" s="268"/>
      <c r="AZ78" s="268"/>
      <c r="BA78" s="268"/>
      <c r="BB78" s="268"/>
      <c r="BC78" s="268"/>
      <c r="BD78" s="268"/>
      <c r="BE78" s="268"/>
      <c r="BF78" s="268"/>
      <c r="BG78" s="268"/>
      <c r="BH78" s="268"/>
      <c r="BI78" s="268"/>
      <c r="BJ78" s="268"/>
      <c r="BK78" s="268"/>
      <c r="BL78" s="268"/>
      <c r="BM78" s="268">
        <v>7</v>
      </c>
      <c r="BN78" s="268" t="s">
        <v>795</v>
      </c>
      <c r="BO78" s="268"/>
      <c r="BP78" s="268">
        <f>'Annexure -I'!D6</f>
        <v>53950</v>
      </c>
      <c r="BQ78" s="268">
        <f>'Annexure -I'!E6</f>
        <v>14700</v>
      </c>
      <c r="BR78" s="268">
        <f>'Annexure -I'!F6</f>
        <v>6474</v>
      </c>
      <c r="BS78" s="268">
        <v>0</v>
      </c>
      <c r="BT78" s="268">
        <f>'Annexure -I'!I6</f>
        <v>130</v>
      </c>
      <c r="BU78" s="268">
        <f>'Annexure -I'!J6</f>
        <v>0</v>
      </c>
      <c r="BV78" s="268">
        <f>BV74</f>
        <v>610</v>
      </c>
      <c r="BW78" s="268">
        <f>'Annexure -I'!L6</f>
        <v>0</v>
      </c>
      <c r="BX78" s="268">
        <v>0</v>
      </c>
      <c r="BY78" s="268">
        <f t="shared" si="10"/>
        <v>75864</v>
      </c>
      <c r="BZ78" s="268"/>
      <c r="CA78" s="268"/>
      <c r="CB78" s="268"/>
      <c r="CC78" s="268"/>
      <c r="CD78" s="268"/>
      <c r="CE78" s="268"/>
      <c r="CF78" s="268"/>
      <c r="CG78" s="268"/>
      <c r="CH78" s="268"/>
      <c r="CI78" s="268"/>
      <c r="CJ78" s="268"/>
      <c r="CK78" s="268"/>
      <c r="CL78" s="268"/>
      <c r="CM78" s="268"/>
      <c r="CN78" s="268"/>
      <c r="CO78" s="268"/>
      <c r="CP78" s="268"/>
      <c r="CQ78" s="268"/>
      <c r="CR78" s="268"/>
      <c r="CS78" s="268"/>
      <c r="CT78" s="268"/>
      <c r="CU78" s="268"/>
      <c r="CV78" s="268"/>
      <c r="CW78" s="268"/>
      <c r="CX78" s="268"/>
      <c r="CY78" s="268"/>
      <c r="CZ78" s="268"/>
      <c r="DA78" s="268"/>
      <c r="DB78" s="268"/>
      <c r="DC78" s="268"/>
      <c r="DD78" s="268"/>
      <c r="DE78" s="268"/>
      <c r="DF78" s="268"/>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268"/>
      <c r="EC78" s="268"/>
      <c r="ED78" s="268"/>
      <c r="EE78" s="268"/>
      <c r="EF78" s="268"/>
      <c r="EG78" s="268"/>
      <c r="EH78" s="268"/>
      <c r="EI78" s="268"/>
      <c r="EJ78" s="268"/>
      <c r="EK78" s="268"/>
      <c r="EL78" s="268"/>
      <c r="EM78" s="268"/>
      <c r="EN78" s="268"/>
      <c r="EO78" s="268"/>
      <c r="EP78" s="268"/>
      <c r="EQ78" s="268"/>
      <c r="ER78" s="268"/>
      <c r="ES78" s="268"/>
      <c r="ET78" s="268"/>
      <c r="EU78" s="268"/>
      <c r="EV78" s="268"/>
      <c r="EW78" s="268"/>
      <c r="EX78" s="268"/>
      <c r="EY78" s="268"/>
      <c r="EZ78" s="268"/>
      <c r="FA78" s="268"/>
      <c r="FB78" s="268"/>
      <c r="FC78" s="268"/>
      <c r="FD78" s="268"/>
      <c r="FE78" s="268"/>
      <c r="FF78" s="268"/>
      <c r="FG78" s="268"/>
      <c r="FH78" s="268"/>
      <c r="FI78" s="268"/>
      <c r="FJ78" s="268"/>
      <c r="FK78" s="268"/>
      <c r="FL78" s="268"/>
      <c r="FM78" s="268"/>
      <c r="FN78" s="268"/>
      <c r="FO78" s="268"/>
      <c r="FP78" s="268"/>
      <c r="FQ78" s="268"/>
      <c r="FR78" s="268"/>
      <c r="FS78" s="268"/>
      <c r="FT78" s="268"/>
      <c r="FU78" s="268"/>
      <c r="FV78" s="268"/>
      <c r="FW78" s="268"/>
      <c r="FX78" s="268"/>
      <c r="FY78" s="268"/>
      <c r="FZ78" s="268"/>
      <c r="GA78" s="268"/>
      <c r="GB78" s="268"/>
      <c r="GC78" s="268"/>
      <c r="GD78" s="268"/>
      <c r="GE78" s="268"/>
      <c r="GF78" s="268"/>
      <c r="GG78" s="268"/>
      <c r="GH78" s="268"/>
      <c r="GI78" s="268"/>
      <c r="GJ78" s="268"/>
      <c r="GK78" s="268"/>
      <c r="GL78" s="268"/>
      <c r="GM78" s="268"/>
      <c r="GN78" s="268"/>
      <c r="GO78" s="268"/>
    </row>
    <row r="79" spans="2:197" s="275" customFormat="1" ht="39.75" hidden="1" customHeight="1" thickBot="1">
      <c r="B79" s="268"/>
      <c r="C79" s="319"/>
      <c r="D79" s="319"/>
      <c r="E79" s="319"/>
      <c r="F79" s="319"/>
      <c r="G79" s="319"/>
      <c r="H79" s="319"/>
      <c r="I79" s="319"/>
      <c r="J79" s="319"/>
      <c r="K79" s="319"/>
      <c r="L79" s="319"/>
      <c r="M79" s="319"/>
      <c r="N79" s="321"/>
      <c r="O79" s="291"/>
      <c r="P79" s="291"/>
      <c r="Q79" s="291"/>
      <c r="R79" s="290"/>
      <c r="S79" s="583"/>
      <c r="T79" s="589"/>
      <c r="U79" s="592"/>
      <c r="V79" s="552"/>
      <c r="W79" s="268"/>
      <c r="X79" s="268"/>
      <c r="Y79" s="268"/>
      <c r="Z79" s="268"/>
      <c r="AA79" s="268"/>
      <c r="AB79" s="268" t="str">
        <f>IF(AD89=2,"","10")</f>
        <v>10</v>
      </c>
      <c r="AC79" s="268"/>
      <c r="AD79" s="268">
        <v>5</v>
      </c>
      <c r="AE79" s="268" t="s">
        <v>781</v>
      </c>
      <c r="AF79" s="846">
        <v>6</v>
      </c>
      <c r="AG79" s="268"/>
      <c r="AH79" s="268"/>
      <c r="AI79" s="268"/>
      <c r="AJ79" s="268"/>
      <c r="AK79" s="268"/>
      <c r="AL79" s="268"/>
      <c r="AM79" s="268"/>
      <c r="AN79" s="268"/>
      <c r="AO79" s="268"/>
      <c r="AP79" s="268"/>
      <c r="AQ79" s="268"/>
      <c r="AR79" s="268"/>
      <c r="AS79" s="268"/>
      <c r="AT79" s="268"/>
      <c r="AU79" s="268"/>
      <c r="AV79" s="268"/>
      <c r="AW79" s="268"/>
      <c r="AX79" s="268"/>
      <c r="AY79" s="268"/>
      <c r="AZ79" s="268"/>
      <c r="BA79" s="268"/>
      <c r="BB79" s="268"/>
      <c r="BC79" s="268"/>
      <c r="BD79" s="268"/>
      <c r="BE79" s="268"/>
      <c r="BF79" s="268"/>
      <c r="BG79" s="268"/>
      <c r="BH79" s="268"/>
      <c r="BI79" s="268"/>
      <c r="BJ79" s="268"/>
      <c r="BK79" s="268"/>
      <c r="BL79" s="268"/>
      <c r="BM79" s="268">
        <v>8</v>
      </c>
      <c r="BN79" s="268" t="s">
        <v>796</v>
      </c>
      <c r="BO79" s="268"/>
      <c r="BP79" s="268">
        <f>ROUND('Annexure -I'!D7/2,0.1)</f>
        <v>26975</v>
      </c>
      <c r="BQ79" s="268">
        <f>ROUND('Annexure -I'!E7/2,0.1)</f>
        <v>8198</v>
      </c>
      <c r="BR79" s="268">
        <f>ROUND('Annexure -I'!F7/2,0.1)</f>
        <v>3237</v>
      </c>
      <c r="BS79" s="268">
        <v>0</v>
      </c>
      <c r="BT79" s="268">
        <f>ROUND('Annexure -I'!I7/2,0.1)</f>
        <v>65</v>
      </c>
      <c r="BU79" s="268">
        <f>ROUND('Annexure -I'!J7/2,0.1)</f>
        <v>0</v>
      </c>
      <c r="BV79" s="268">
        <f>BV74/2</f>
        <v>305</v>
      </c>
      <c r="BW79" s="268">
        <f>ROUND('Annexure -I'!L7/2,0.1)</f>
        <v>0</v>
      </c>
      <c r="BX79" s="268">
        <v>0</v>
      </c>
      <c r="BY79" s="268">
        <f t="shared" si="10"/>
        <v>38780</v>
      </c>
      <c r="BZ79" s="268"/>
      <c r="CA79" s="268"/>
      <c r="CB79" s="268"/>
      <c r="CC79" s="268"/>
      <c r="CD79" s="268"/>
      <c r="CE79" s="268"/>
      <c r="CF79" s="268"/>
      <c r="CG79" s="268"/>
      <c r="CH79" s="268"/>
      <c r="CI79" s="268"/>
      <c r="CJ79" s="268"/>
      <c r="CK79" s="268"/>
      <c r="CL79" s="268"/>
      <c r="CM79" s="268"/>
      <c r="CN79" s="268"/>
      <c r="CO79" s="268"/>
      <c r="CP79" s="268"/>
      <c r="CQ79" s="268"/>
      <c r="CR79" s="268"/>
      <c r="CS79" s="268"/>
      <c r="CT79" s="268"/>
      <c r="CU79" s="268"/>
      <c r="CV79" s="268"/>
      <c r="CW79" s="268"/>
      <c r="CX79" s="268"/>
      <c r="CY79" s="268"/>
      <c r="CZ79" s="268"/>
      <c r="DA79" s="268"/>
      <c r="DB79" s="268"/>
      <c r="DC79" s="268"/>
      <c r="DD79" s="268"/>
      <c r="DE79" s="268"/>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68"/>
      <c r="EB79" s="268"/>
      <c r="EC79" s="268"/>
      <c r="ED79" s="268"/>
      <c r="EE79" s="268"/>
      <c r="EF79" s="268"/>
      <c r="EG79" s="268"/>
      <c r="EH79" s="268"/>
      <c r="EI79" s="268"/>
      <c r="EJ79" s="268"/>
      <c r="EK79" s="268"/>
      <c r="EL79" s="268"/>
      <c r="EM79" s="268"/>
      <c r="EN79" s="268"/>
      <c r="EO79" s="268"/>
      <c r="EP79" s="268"/>
      <c r="EQ79" s="268"/>
      <c r="ER79" s="268"/>
      <c r="ES79" s="268"/>
      <c r="ET79" s="268"/>
      <c r="EU79" s="268"/>
      <c r="EV79" s="268"/>
      <c r="EW79" s="268"/>
      <c r="EX79" s="268"/>
      <c r="EY79" s="268"/>
      <c r="EZ79" s="268"/>
      <c r="FA79" s="268"/>
      <c r="FB79" s="268"/>
      <c r="FC79" s="268"/>
      <c r="FD79" s="268"/>
      <c r="FE79" s="268"/>
      <c r="FF79" s="268"/>
      <c r="FG79" s="268"/>
      <c r="FH79" s="268"/>
      <c r="FI79" s="268"/>
      <c r="FJ79" s="268"/>
      <c r="FK79" s="268"/>
      <c r="FL79" s="268"/>
      <c r="FM79" s="268"/>
      <c r="FN79" s="268"/>
      <c r="FO79" s="268"/>
      <c r="FP79" s="268"/>
      <c r="FQ79" s="268"/>
      <c r="FR79" s="268"/>
      <c r="FS79" s="268"/>
      <c r="FT79" s="268"/>
      <c r="FU79" s="268"/>
      <c r="FV79" s="268"/>
      <c r="FW79" s="268"/>
      <c r="FX79" s="268"/>
      <c r="FY79" s="268"/>
      <c r="FZ79" s="268"/>
      <c r="GA79" s="268"/>
      <c r="GB79" s="268"/>
      <c r="GC79" s="268"/>
      <c r="GD79" s="268"/>
      <c r="GE79" s="268"/>
      <c r="GF79" s="268"/>
      <c r="GG79" s="268"/>
      <c r="GH79" s="268"/>
      <c r="GI79" s="268"/>
      <c r="GJ79" s="268"/>
      <c r="GK79" s="268"/>
      <c r="GL79" s="268"/>
      <c r="GM79" s="268"/>
      <c r="GN79" s="268"/>
      <c r="GO79" s="268"/>
    </row>
    <row r="80" spans="2:197" s="275" customFormat="1" ht="39.75" hidden="1" customHeight="1">
      <c r="B80" s="268"/>
      <c r="C80" s="319"/>
      <c r="D80" s="319"/>
      <c r="E80" s="319"/>
      <c r="F80" s="319"/>
      <c r="G80" s="319"/>
      <c r="H80" s="319"/>
      <c r="I80" s="319"/>
      <c r="J80" s="319"/>
      <c r="K80" s="319"/>
      <c r="L80" s="319"/>
      <c r="M80" s="319"/>
      <c r="N80" s="321"/>
      <c r="O80" s="290" t="s">
        <v>756</v>
      </c>
      <c r="P80" s="291"/>
      <c r="Q80" s="291"/>
      <c r="R80" s="291"/>
      <c r="S80" s="586">
        <v>200000</v>
      </c>
      <c r="T80" s="593">
        <f>N30</f>
        <v>0</v>
      </c>
      <c r="U80" s="594">
        <f>T80</f>
        <v>0</v>
      </c>
      <c r="V80" s="552"/>
      <c r="W80" s="268"/>
      <c r="X80" s="268"/>
      <c r="Y80" s="268"/>
      <c r="Z80" s="268"/>
      <c r="AA80" s="268"/>
      <c r="AB80" s="268" t="str">
        <f>IF(AD89=2,"","11")</f>
        <v>11</v>
      </c>
      <c r="AC80" s="268"/>
      <c r="AD80" s="268">
        <v>6</v>
      </c>
      <c r="AE80" s="268" t="s">
        <v>782</v>
      </c>
      <c r="AF80" s="846">
        <v>7</v>
      </c>
      <c r="AG80" s="268"/>
      <c r="AH80" s="268"/>
      <c r="AI80" s="268"/>
      <c r="AJ80" s="268"/>
      <c r="AK80" s="268"/>
      <c r="AL80" s="268"/>
      <c r="AM80" s="268"/>
      <c r="AN80" s="268"/>
      <c r="AO80" s="268"/>
      <c r="AP80" s="268"/>
      <c r="AQ80" s="268"/>
      <c r="AR80" s="268"/>
      <c r="AS80" s="268"/>
      <c r="AT80" s="268"/>
      <c r="AU80" s="268"/>
      <c r="AV80" s="268"/>
      <c r="AW80" s="268"/>
      <c r="AX80" s="268"/>
      <c r="AY80" s="268"/>
      <c r="AZ80" s="268"/>
      <c r="BA80" s="268"/>
      <c r="BB80" s="268"/>
      <c r="BC80" s="268"/>
      <c r="BD80" s="268"/>
      <c r="BE80" s="268"/>
      <c r="BF80" s="268"/>
      <c r="BG80" s="268"/>
      <c r="BH80" s="268"/>
      <c r="BI80" s="268"/>
      <c r="BJ80" s="268"/>
      <c r="BK80" s="268"/>
      <c r="BL80" s="268"/>
      <c r="BM80" s="268">
        <v>9</v>
      </c>
      <c r="BN80" s="268" t="s">
        <v>797</v>
      </c>
      <c r="BO80" s="268"/>
      <c r="BP80" s="268">
        <f>'Annexure -I'!D7</f>
        <v>53950</v>
      </c>
      <c r="BQ80" s="268">
        <f>'Annexure -I'!E7</f>
        <v>16396</v>
      </c>
      <c r="BR80" s="268">
        <f>'Annexure -I'!F7</f>
        <v>6474</v>
      </c>
      <c r="BS80" s="268">
        <v>0</v>
      </c>
      <c r="BT80" s="268">
        <f>'Annexure -I'!I7</f>
        <v>130</v>
      </c>
      <c r="BU80" s="268">
        <f>'Annexure -I'!J7</f>
        <v>0</v>
      </c>
      <c r="BV80" s="268">
        <f>BV74</f>
        <v>610</v>
      </c>
      <c r="BW80" s="268">
        <f>'Annexure -I'!L7</f>
        <v>0</v>
      </c>
      <c r="BX80" s="268">
        <v>0</v>
      </c>
      <c r="BY80" s="268">
        <f t="shared" si="10"/>
        <v>77560</v>
      </c>
      <c r="BZ80" s="268"/>
      <c r="CA80" s="268"/>
      <c r="CB80" s="268"/>
      <c r="CC80" s="268"/>
      <c r="CD80" s="268"/>
      <c r="CE80" s="268"/>
      <c r="CF80" s="268"/>
      <c r="CG80" s="268"/>
      <c r="CH80" s="268"/>
      <c r="CI80" s="268"/>
      <c r="CJ80" s="268"/>
      <c r="CK80" s="268"/>
      <c r="CL80" s="268"/>
      <c r="CM80" s="268"/>
      <c r="CN80" s="268"/>
      <c r="CO80" s="268"/>
      <c r="CP80" s="268"/>
      <c r="CQ80" s="268"/>
      <c r="CR80" s="268"/>
      <c r="CS80" s="268"/>
      <c r="CT80" s="268"/>
      <c r="CU80" s="268"/>
      <c r="CV80" s="268"/>
      <c r="CW80" s="268"/>
      <c r="CX80" s="268"/>
      <c r="CY80" s="268"/>
      <c r="CZ80" s="268"/>
      <c r="DA80" s="268"/>
      <c r="DB80" s="268"/>
      <c r="DC80" s="268"/>
      <c r="DD80" s="268"/>
      <c r="DE80" s="268"/>
      <c r="DF80" s="268"/>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268"/>
      <c r="EC80" s="268"/>
      <c r="ED80" s="268"/>
      <c r="EE80" s="268"/>
      <c r="EF80" s="268"/>
      <c r="EG80" s="268"/>
      <c r="EH80" s="268"/>
      <c r="EI80" s="268"/>
      <c r="EJ80" s="268"/>
      <c r="EK80" s="268"/>
      <c r="EL80" s="268"/>
      <c r="EM80" s="268"/>
      <c r="EN80" s="268"/>
      <c r="EO80" s="268"/>
      <c r="EP80" s="268"/>
      <c r="EQ80" s="268"/>
      <c r="ER80" s="268"/>
      <c r="ES80" s="268"/>
      <c r="ET80" s="268"/>
      <c r="EU80" s="268"/>
      <c r="EV80" s="268"/>
      <c r="EW80" s="268"/>
      <c r="EX80" s="268"/>
      <c r="EY80" s="268"/>
      <c r="EZ80" s="268"/>
      <c r="FA80" s="268"/>
      <c r="FB80" s="268"/>
      <c r="FC80" s="268"/>
      <c r="FD80" s="268"/>
      <c r="FE80" s="268"/>
      <c r="FF80" s="268"/>
      <c r="FG80" s="268"/>
      <c r="FH80" s="268"/>
      <c r="FI80" s="268"/>
      <c r="FJ80" s="268"/>
      <c r="FK80" s="268"/>
      <c r="FL80" s="268"/>
      <c r="FM80" s="268"/>
      <c r="FN80" s="268"/>
      <c r="FO80" s="268"/>
      <c r="FP80" s="268"/>
      <c r="FQ80" s="268"/>
      <c r="FR80" s="268"/>
      <c r="FS80" s="268"/>
      <c r="FT80" s="268"/>
      <c r="FU80" s="268"/>
      <c r="FV80" s="268"/>
      <c r="FW80" s="268"/>
      <c r="FX80" s="268"/>
      <c r="FY80" s="268"/>
      <c r="FZ80" s="268"/>
      <c r="GA80" s="268"/>
      <c r="GB80" s="268"/>
      <c r="GC80" s="268"/>
      <c r="GD80" s="268"/>
      <c r="GE80" s="268"/>
      <c r="GF80" s="268"/>
      <c r="GG80" s="268"/>
      <c r="GH80" s="268"/>
      <c r="GI80" s="268"/>
      <c r="GJ80" s="268"/>
      <c r="GK80" s="268"/>
      <c r="GL80" s="268"/>
      <c r="GM80" s="268"/>
      <c r="GN80" s="268"/>
      <c r="GO80" s="268"/>
    </row>
    <row r="81" spans="2:197" s="275" customFormat="1" ht="39.75" hidden="1" customHeight="1">
      <c r="B81" s="268"/>
      <c r="C81" s="319"/>
      <c r="D81" s="319"/>
      <c r="E81" s="319"/>
      <c r="F81" s="319"/>
      <c r="G81" s="319"/>
      <c r="H81" s="319"/>
      <c r="I81" s="319"/>
      <c r="J81" s="319"/>
      <c r="K81" s="319"/>
      <c r="L81" s="319"/>
      <c r="M81" s="319"/>
      <c r="N81" s="321"/>
      <c r="O81" s="291"/>
      <c r="P81" s="291"/>
      <c r="Q81" s="291"/>
      <c r="R81" s="291"/>
      <c r="S81" s="586"/>
      <c r="T81" s="593"/>
      <c r="U81" s="590"/>
      <c r="V81" s="552"/>
      <c r="W81" s="268"/>
      <c r="X81" s="268"/>
      <c r="Y81" s="268"/>
      <c r="Z81" s="268"/>
      <c r="AA81" s="268"/>
      <c r="AB81" s="268" t="str">
        <f>IF(AD89=2,"","12")</f>
        <v>12</v>
      </c>
      <c r="AC81" s="268"/>
      <c r="AD81" s="268">
        <v>7</v>
      </c>
      <c r="AE81" s="268" t="s">
        <v>783</v>
      </c>
      <c r="AF81" s="846">
        <v>8</v>
      </c>
      <c r="AG81" s="268"/>
      <c r="AH81" s="268"/>
      <c r="AI81" s="268"/>
      <c r="AJ81" s="268"/>
      <c r="AK81" s="268"/>
      <c r="AL81" s="268"/>
      <c r="AM81" s="268"/>
      <c r="AN81" s="268"/>
      <c r="AO81" s="268"/>
      <c r="AP81" s="268"/>
      <c r="AQ81" s="268"/>
      <c r="AR81" s="268"/>
      <c r="AS81" s="268"/>
      <c r="AT81" s="268"/>
      <c r="AU81" s="268"/>
      <c r="AV81" s="268"/>
      <c r="AW81" s="268"/>
      <c r="AX81" s="268"/>
      <c r="AY81" s="268"/>
      <c r="AZ81" s="268"/>
      <c r="BA81" s="268"/>
      <c r="BB81" s="268"/>
      <c r="BC81" s="268"/>
      <c r="BD81" s="268"/>
      <c r="BE81" s="268"/>
      <c r="BF81" s="268"/>
      <c r="BG81" s="268"/>
      <c r="BH81" s="268"/>
      <c r="BI81" s="268"/>
      <c r="BJ81" s="268"/>
      <c r="BK81" s="268"/>
      <c r="BL81" s="268"/>
      <c r="BM81" s="268">
        <v>10</v>
      </c>
      <c r="BN81" s="268" t="s">
        <v>798</v>
      </c>
      <c r="BO81" s="268"/>
      <c r="BP81" s="268">
        <f>ROUND('Annexure -I'!D8/2,0.1)</f>
        <v>26975</v>
      </c>
      <c r="BQ81" s="268">
        <f>ROUND('Annexure -I'!E8/2,0.1)</f>
        <v>8198</v>
      </c>
      <c r="BR81" s="268">
        <f>ROUND('Annexure -I'!F8/2,0.1)</f>
        <v>3237</v>
      </c>
      <c r="BS81" s="268">
        <v>0</v>
      </c>
      <c r="BT81" s="268">
        <f>ROUND('Annexure -I'!I8/2,0.1)</f>
        <v>65</v>
      </c>
      <c r="BU81" s="268">
        <f>ROUND('Annexure -I'!J8/2,0.1)</f>
        <v>0</v>
      </c>
      <c r="BV81" s="268">
        <f>BV74/2</f>
        <v>305</v>
      </c>
      <c r="BW81" s="268">
        <f>ROUND('Annexure -I'!L8/2,0.1)</f>
        <v>0</v>
      </c>
      <c r="BX81" s="268">
        <v>0</v>
      </c>
      <c r="BY81" s="268">
        <f t="shared" si="10"/>
        <v>38780</v>
      </c>
      <c r="BZ81" s="268"/>
      <c r="CA81" s="268"/>
      <c r="CB81" s="268"/>
      <c r="CC81" s="268"/>
      <c r="CD81" s="268"/>
      <c r="CE81" s="268"/>
      <c r="CF81" s="268"/>
      <c r="CG81" s="268"/>
      <c r="CH81" s="268"/>
      <c r="CI81" s="268"/>
      <c r="CJ81" s="268"/>
      <c r="CK81" s="268"/>
      <c r="CL81" s="268"/>
      <c r="CM81" s="268"/>
      <c r="CN81" s="268"/>
      <c r="CO81" s="268"/>
      <c r="CP81" s="268"/>
      <c r="CQ81" s="268"/>
      <c r="CR81" s="268"/>
      <c r="CS81" s="268"/>
      <c r="CT81" s="268"/>
      <c r="CU81" s="268"/>
      <c r="CV81" s="268"/>
      <c r="CW81" s="268"/>
      <c r="CX81" s="268"/>
      <c r="CY81" s="268"/>
      <c r="CZ81" s="268"/>
      <c r="DA81" s="268"/>
      <c r="DB81" s="268"/>
      <c r="DC81" s="268"/>
      <c r="DD81" s="268"/>
      <c r="DE81" s="268"/>
      <c r="DF81" s="268"/>
      <c r="DG81" s="268"/>
      <c r="DH81" s="268"/>
      <c r="DI81" s="268"/>
      <c r="DJ81" s="268"/>
      <c r="DK81" s="268"/>
      <c r="DL81" s="268"/>
      <c r="DM81" s="268"/>
      <c r="DN81" s="268"/>
      <c r="DO81" s="268"/>
      <c r="DP81" s="268"/>
      <c r="DQ81" s="268"/>
      <c r="DR81" s="268"/>
      <c r="DS81" s="268"/>
      <c r="DT81" s="268"/>
      <c r="DU81" s="268"/>
      <c r="DV81" s="268"/>
      <c r="DW81" s="268"/>
      <c r="DX81" s="268"/>
      <c r="DY81" s="268"/>
      <c r="DZ81" s="268"/>
      <c r="EA81" s="268"/>
      <c r="EB81" s="268"/>
      <c r="EC81" s="268"/>
      <c r="ED81" s="268"/>
      <c r="EE81" s="268"/>
      <c r="EF81" s="268"/>
      <c r="EG81" s="268"/>
      <c r="EH81" s="268"/>
      <c r="EI81" s="268"/>
      <c r="EJ81" s="268"/>
      <c r="EK81" s="268"/>
      <c r="EL81" s="268"/>
      <c r="EM81" s="268"/>
      <c r="EN81" s="268"/>
      <c r="EO81" s="268"/>
      <c r="EP81" s="268"/>
      <c r="EQ81" s="268"/>
      <c r="ER81" s="268"/>
      <c r="ES81" s="268"/>
      <c r="ET81" s="268"/>
      <c r="EU81" s="268"/>
      <c r="EV81" s="268"/>
      <c r="EW81" s="268"/>
      <c r="EX81" s="268"/>
      <c r="EY81" s="268"/>
      <c r="EZ81" s="268"/>
      <c r="FA81" s="268"/>
      <c r="FB81" s="268"/>
      <c r="FC81" s="268"/>
      <c r="FD81" s="268"/>
      <c r="FE81" s="268"/>
      <c r="FF81" s="268"/>
      <c r="FG81" s="268"/>
      <c r="FH81" s="268"/>
      <c r="FI81" s="268"/>
      <c r="FJ81" s="268"/>
      <c r="FK81" s="268"/>
      <c r="FL81" s="268"/>
      <c r="FM81" s="268"/>
      <c r="FN81" s="268"/>
      <c r="FO81" s="268"/>
      <c r="FP81" s="268"/>
      <c r="FQ81" s="268"/>
      <c r="FR81" s="268"/>
      <c r="FS81" s="268"/>
      <c r="FT81" s="268"/>
      <c r="FU81" s="268"/>
      <c r="FV81" s="268"/>
      <c r="FW81" s="268"/>
      <c r="FX81" s="268"/>
      <c r="FY81" s="268"/>
      <c r="FZ81" s="268"/>
      <c r="GA81" s="268"/>
      <c r="GB81" s="268"/>
      <c r="GC81" s="268"/>
      <c r="GD81" s="268"/>
      <c r="GE81" s="268"/>
      <c r="GF81" s="268"/>
      <c r="GG81" s="268"/>
      <c r="GH81" s="268"/>
      <c r="GI81" s="268"/>
      <c r="GJ81" s="268"/>
      <c r="GK81" s="268"/>
      <c r="GL81" s="268"/>
      <c r="GM81" s="268"/>
      <c r="GN81" s="268"/>
      <c r="GO81" s="268"/>
    </row>
    <row r="82" spans="2:197" s="275" customFormat="1" ht="39.75" hidden="1" customHeight="1">
      <c r="B82" s="268"/>
      <c r="C82" s="319"/>
      <c r="D82" s="319"/>
      <c r="E82" s="319"/>
      <c r="F82" s="319"/>
      <c r="G82" s="319"/>
      <c r="H82" s="319"/>
      <c r="I82" s="319"/>
      <c r="J82" s="319"/>
      <c r="K82" s="319"/>
      <c r="L82" s="319"/>
      <c r="M82" s="319"/>
      <c r="N82" s="319">
        <v>1</v>
      </c>
      <c r="O82" s="291" t="str">
        <f>VLOOKUP(N82,N86:O88,2,0)</f>
        <v xml:space="preserve">No Handicapped Dependent </v>
      </c>
      <c r="P82" s="291"/>
      <c r="Q82" s="291"/>
      <c r="R82" s="291"/>
      <c r="S82" s="586">
        <v>200000</v>
      </c>
      <c r="T82" s="593">
        <f>K21</f>
        <v>158610</v>
      </c>
      <c r="U82" s="594">
        <f>MIN(S82,T82)</f>
        <v>158610</v>
      </c>
      <c r="V82" s="552"/>
      <c r="W82" s="268"/>
      <c r="X82" s="268"/>
      <c r="Y82" s="268"/>
      <c r="Z82" s="268"/>
      <c r="AA82" s="268"/>
      <c r="AB82" s="268" t="str">
        <f>IF(AD89=2,"","13")</f>
        <v>13</v>
      </c>
      <c r="AC82" s="268"/>
      <c r="AD82" s="268">
        <v>8</v>
      </c>
      <c r="AE82" s="268" t="s">
        <v>784</v>
      </c>
      <c r="AF82" s="846">
        <v>9</v>
      </c>
      <c r="AG82" s="268"/>
      <c r="AH82" s="268"/>
      <c r="AI82" s="268"/>
      <c r="AJ82" s="268"/>
      <c r="AK82" s="268"/>
      <c r="AL82" s="268"/>
      <c r="AM82" s="268"/>
      <c r="AN82" s="268"/>
      <c r="AO82" s="268"/>
      <c r="AP82" s="268"/>
      <c r="AQ82" s="268"/>
      <c r="AR82" s="268"/>
      <c r="AS82" s="268"/>
      <c r="AT82" s="268"/>
      <c r="AU82" s="268"/>
      <c r="AV82" s="268"/>
      <c r="AW82" s="268"/>
      <c r="AX82" s="268"/>
      <c r="AY82" s="268"/>
      <c r="AZ82" s="268"/>
      <c r="BA82" s="268"/>
      <c r="BB82" s="268"/>
      <c r="BC82" s="268"/>
      <c r="BD82" s="268"/>
      <c r="BE82" s="268"/>
      <c r="BF82" s="268"/>
      <c r="BG82" s="268"/>
      <c r="BH82" s="268"/>
      <c r="BI82" s="268"/>
      <c r="BJ82" s="268"/>
      <c r="BK82" s="268"/>
      <c r="BL82" s="268"/>
      <c r="BM82" s="268">
        <v>11</v>
      </c>
      <c r="BN82" s="268" t="s">
        <v>799</v>
      </c>
      <c r="BO82" s="268"/>
      <c r="BP82" s="268">
        <f>'Annexure -I'!D8</f>
        <v>53950</v>
      </c>
      <c r="BQ82" s="268">
        <f>'Annexure -I'!E8</f>
        <v>16396</v>
      </c>
      <c r="BR82" s="268">
        <f>'Annexure -I'!F8</f>
        <v>6474</v>
      </c>
      <c r="BS82" s="268">
        <v>0</v>
      </c>
      <c r="BT82" s="268">
        <f>'Annexure -I'!I8</f>
        <v>130</v>
      </c>
      <c r="BU82" s="268">
        <f>'Annexure -I'!J8</f>
        <v>0</v>
      </c>
      <c r="BV82" s="268">
        <f>BV74</f>
        <v>610</v>
      </c>
      <c r="BW82" s="268">
        <f>'Annexure -I'!L8</f>
        <v>0</v>
      </c>
      <c r="BX82" s="268">
        <v>0</v>
      </c>
      <c r="BY82" s="268">
        <f t="shared" si="10"/>
        <v>77560</v>
      </c>
      <c r="BZ82" s="268"/>
      <c r="CA82" s="268"/>
      <c r="CB82" s="268"/>
      <c r="CC82" s="268"/>
      <c r="CD82" s="268"/>
      <c r="CE82" s="268"/>
      <c r="CF82" s="268"/>
      <c r="CG82" s="268"/>
      <c r="CH82" s="268"/>
      <c r="CI82" s="268"/>
      <c r="CJ82" s="268"/>
      <c r="CK82" s="268"/>
      <c r="CL82" s="268"/>
      <c r="CM82" s="268"/>
      <c r="CN82" s="268"/>
      <c r="CO82" s="268"/>
      <c r="CP82" s="268"/>
      <c r="CQ82" s="268"/>
      <c r="CR82" s="268"/>
      <c r="CS82" s="268"/>
      <c r="CT82" s="268"/>
      <c r="CU82" s="268"/>
      <c r="CV82" s="268"/>
      <c r="CW82" s="268"/>
      <c r="CX82" s="268"/>
      <c r="CY82" s="268"/>
      <c r="CZ82" s="268"/>
      <c r="DA82" s="268"/>
      <c r="DB82" s="268"/>
      <c r="DC82" s="268"/>
      <c r="DD82" s="268"/>
      <c r="DE82" s="268"/>
      <c r="DF82" s="268"/>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68"/>
      <c r="EC82" s="268"/>
      <c r="ED82" s="268"/>
      <c r="EE82" s="268"/>
      <c r="EF82" s="268"/>
      <c r="EG82" s="268"/>
      <c r="EH82" s="268"/>
      <c r="EI82" s="268"/>
      <c r="EJ82" s="268"/>
      <c r="EK82" s="268"/>
      <c r="EL82" s="268"/>
      <c r="EM82" s="268"/>
      <c r="EN82" s="268"/>
      <c r="EO82" s="268"/>
      <c r="EP82" s="268"/>
      <c r="EQ82" s="268"/>
      <c r="ER82" s="268"/>
      <c r="ES82" s="268"/>
      <c r="ET82" s="268"/>
      <c r="EU82" s="268"/>
      <c r="EV82" s="268"/>
      <c r="EW82" s="268"/>
      <c r="EX82" s="268"/>
      <c r="EY82" s="268"/>
      <c r="EZ82" s="268"/>
      <c r="FA82" s="268"/>
      <c r="FB82" s="268"/>
      <c r="FC82" s="268"/>
      <c r="FD82" s="268"/>
      <c r="FE82" s="268"/>
      <c r="FF82" s="268"/>
      <c r="FG82" s="268"/>
      <c r="FH82" s="268"/>
      <c r="FI82" s="268"/>
      <c r="FJ82" s="268"/>
      <c r="FK82" s="268"/>
      <c r="FL82" s="268"/>
      <c r="FM82" s="268"/>
      <c r="FN82" s="268"/>
      <c r="FO82" s="268"/>
      <c r="FP82" s="268"/>
      <c r="FQ82" s="268"/>
      <c r="FR82" s="268"/>
      <c r="FS82" s="268"/>
      <c r="FT82" s="268"/>
      <c r="FU82" s="268"/>
      <c r="FV82" s="268"/>
      <c r="FW82" s="268"/>
      <c r="FX82" s="268"/>
      <c r="FY82" s="268"/>
      <c r="FZ82" s="268"/>
      <c r="GA82" s="268"/>
      <c r="GB82" s="268"/>
      <c r="GC82" s="268"/>
      <c r="GD82" s="268"/>
      <c r="GE82" s="268"/>
      <c r="GF82" s="268"/>
      <c r="GG82" s="268"/>
      <c r="GH82" s="268"/>
      <c r="GI82" s="268"/>
      <c r="GJ82" s="268"/>
      <c r="GK82" s="268"/>
      <c r="GL82" s="268"/>
      <c r="GM82" s="268"/>
      <c r="GN82" s="268"/>
      <c r="GO82" s="268"/>
    </row>
    <row r="83" spans="2:197" s="275" customFormat="1" ht="39.75" hidden="1" customHeight="1">
      <c r="B83" s="268"/>
      <c r="C83" s="319"/>
      <c r="D83" s="319"/>
      <c r="E83" s="319"/>
      <c r="F83" s="319"/>
      <c r="G83" s="319"/>
      <c r="H83" s="319"/>
      <c r="I83" s="319"/>
      <c r="J83" s="319"/>
      <c r="K83" s="319"/>
      <c r="L83" s="319"/>
      <c r="M83" s="319"/>
      <c r="N83" s="377">
        <v>2</v>
      </c>
      <c r="O83" s="378" t="str">
        <f>VLOOKUP(N83,N84:O85,2,0)</f>
        <v/>
      </c>
      <c r="P83" s="378"/>
      <c r="Q83" s="378"/>
      <c r="R83" s="291"/>
      <c r="S83" s="586"/>
      <c r="T83" s="593"/>
      <c r="U83" s="594"/>
      <c r="V83" s="552"/>
      <c r="W83" s="268"/>
      <c r="X83" s="268"/>
      <c r="Y83" s="268"/>
      <c r="Z83" s="268"/>
      <c r="AA83" s="268"/>
      <c r="AB83" s="268" t="str">
        <f>IF(AD89=2,"","14")</f>
        <v>14</v>
      </c>
      <c r="AC83" s="268"/>
      <c r="AD83" s="268">
        <v>9</v>
      </c>
      <c r="AE83" s="268" t="s">
        <v>785</v>
      </c>
      <c r="AF83" s="846">
        <v>10</v>
      </c>
      <c r="AG83" s="268"/>
      <c r="AH83" s="268"/>
      <c r="AI83" s="268"/>
      <c r="AJ83" s="268"/>
      <c r="AK83" s="268"/>
      <c r="AL83" s="268"/>
      <c r="AM83" s="268"/>
      <c r="AN83" s="268"/>
      <c r="AO83" s="268"/>
      <c r="AP83" s="268"/>
      <c r="AQ83" s="268"/>
      <c r="AR83" s="268"/>
      <c r="AS83" s="268"/>
      <c r="AT83" s="268"/>
      <c r="AU83" s="268"/>
      <c r="AV83" s="268"/>
      <c r="AW83" s="268"/>
      <c r="AX83" s="268"/>
      <c r="AY83" s="268"/>
      <c r="AZ83" s="268"/>
      <c r="BA83" s="268"/>
      <c r="BB83" s="268"/>
      <c r="BC83" s="268"/>
      <c r="BD83" s="268"/>
      <c r="BE83" s="268"/>
      <c r="BF83" s="268"/>
      <c r="BG83" s="268"/>
      <c r="BH83" s="268"/>
      <c r="BI83" s="268"/>
      <c r="BJ83" s="268"/>
      <c r="BK83" s="268"/>
      <c r="BL83" s="268"/>
      <c r="BM83" s="268">
        <v>12</v>
      </c>
      <c r="BN83" s="268" t="s">
        <v>800</v>
      </c>
      <c r="BO83" s="268"/>
      <c r="BP83" s="268">
        <f>ROUND('Annexure -I'!D9/2,0.1)</f>
        <v>26975</v>
      </c>
      <c r="BQ83" s="268">
        <f>ROUND('Annexure -I'!E9/2,0.1)</f>
        <v>8198</v>
      </c>
      <c r="BR83" s="268">
        <f>ROUND('Annexure -I'!F9/2,0.1)</f>
        <v>3237</v>
      </c>
      <c r="BS83" s="268">
        <v>0</v>
      </c>
      <c r="BT83" s="268">
        <f>ROUND('Annexure -I'!I9/2,0.1)</f>
        <v>65</v>
      </c>
      <c r="BU83" s="268">
        <f>ROUND('Annexure -I'!J9/2,0.1)</f>
        <v>0</v>
      </c>
      <c r="BV83" s="268">
        <f>BV74/2</f>
        <v>305</v>
      </c>
      <c r="BW83" s="268">
        <f>ROUND('Annexure -I'!L9/2,0.1)</f>
        <v>0</v>
      </c>
      <c r="BX83" s="268">
        <v>0</v>
      </c>
      <c r="BY83" s="268">
        <f t="shared" si="10"/>
        <v>38780</v>
      </c>
      <c r="BZ83" s="268"/>
      <c r="CA83" s="268"/>
      <c r="CB83" s="268"/>
      <c r="CC83" s="268"/>
      <c r="CD83" s="268"/>
      <c r="CE83" s="268"/>
      <c r="CF83" s="268"/>
      <c r="CG83" s="268"/>
      <c r="CH83" s="268"/>
      <c r="CI83" s="268"/>
      <c r="CJ83" s="268"/>
      <c r="CK83" s="268"/>
      <c r="CL83" s="268"/>
      <c r="CM83" s="268"/>
      <c r="CN83" s="268"/>
      <c r="CO83" s="268"/>
      <c r="CP83" s="268"/>
      <c r="CQ83" s="268"/>
      <c r="CR83" s="268"/>
      <c r="CS83" s="268"/>
      <c r="CT83" s="268"/>
      <c r="CU83" s="268"/>
      <c r="CV83" s="268"/>
      <c r="CW83" s="268"/>
      <c r="CX83" s="268"/>
      <c r="CY83" s="268"/>
      <c r="CZ83" s="268"/>
      <c r="DA83" s="268"/>
      <c r="DB83" s="268"/>
      <c r="DC83" s="268"/>
      <c r="DD83" s="268"/>
      <c r="DE83" s="268"/>
      <c r="DF83" s="268"/>
      <c r="DG83" s="268"/>
      <c r="DH83" s="268"/>
      <c r="DI83" s="268"/>
      <c r="DJ83" s="268"/>
      <c r="DK83" s="268"/>
      <c r="DL83" s="268"/>
      <c r="DM83" s="268"/>
      <c r="DN83" s="268"/>
      <c r="DO83" s="268"/>
      <c r="DP83" s="268"/>
      <c r="DQ83" s="268"/>
      <c r="DR83" s="268"/>
      <c r="DS83" s="268"/>
      <c r="DT83" s="268"/>
      <c r="DU83" s="268"/>
      <c r="DV83" s="268"/>
      <c r="DW83" s="268"/>
      <c r="DX83" s="268"/>
      <c r="DY83" s="268"/>
      <c r="DZ83" s="268"/>
      <c r="EA83" s="268"/>
      <c r="EB83" s="268"/>
      <c r="EC83" s="268"/>
      <c r="ED83" s="268"/>
      <c r="EE83" s="268"/>
      <c r="EF83" s="268"/>
      <c r="EG83" s="268"/>
      <c r="EH83" s="268"/>
      <c r="EI83" s="268"/>
      <c r="EJ83" s="268"/>
      <c r="EK83" s="268"/>
      <c r="EL83" s="268"/>
      <c r="EM83" s="268"/>
      <c r="EN83" s="268"/>
      <c r="EO83" s="268"/>
      <c r="EP83" s="268"/>
      <c r="EQ83" s="268"/>
      <c r="ER83" s="268"/>
      <c r="ES83" s="268"/>
      <c r="ET83" s="268"/>
      <c r="EU83" s="268"/>
      <c r="EV83" s="268"/>
      <c r="EW83" s="268"/>
      <c r="EX83" s="268"/>
      <c r="EY83" s="268"/>
      <c r="EZ83" s="268"/>
      <c r="FA83" s="268"/>
      <c r="FB83" s="268"/>
      <c r="FC83" s="268"/>
      <c r="FD83" s="268"/>
      <c r="FE83" s="268"/>
      <c r="FF83" s="268"/>
      <c r="FG83" s="268"/>
      <c r="FH83" s="268"/>
      <c r="FI83" s="268"/>
      <c r="FJ83" s="268"/>
      <c r="FK83" s="268"/>
      <c r="FL83" s="268"/>
      <c r="FM83" s="268"/>
      <c r="FN83" s="268"/>
      <c r="FO83" s="268"/>
      <c r="FP83" s="268"/>
      <c r="FQ83" s="268"/>
      <c r="FR83" s="268"/>
      <c r="FS83" s="268"/>
      <c r="FT83" s="268"/>
      <c r="FU83" s="268"/>
      <c r="FV83" s="268"/>
      <c r="FW83" s="268"/>
      <c r="FX83" s="268"/>
      <c r="FY83" s="268"/>
      <c r="FZ83" s="268"/>
      <c r="GA83" s="268"/>
      <c r="GB83" s="268"/>
      <c r="GC83" s="268"/>
      <c r="GD83" s="268"/>
      <c r="GE83" s="268"/>
      <c r="GF83" s="268"/>
      <c r="GG83" s="268"/>
      <c r="GH83" s="268"/>
      <c r="GI83" s="268"/>
      <c r="GJ83" s="268"/>
      <c r="GK83" s="268"/>
      <c r="GL83" s="268"/>
      <c r="GM83" s="268"/>
      <c r="GN83" s="268"/>
      <c r="GO83" s="268"/>
    </row>
    <row r="84" spans="2:197" s="275" customFormat="1" ht="39.75" hidden="1" customHeight="1" thickBot="1">
      <c r="B84" s="268"/>
      <c r="C84" s="319"/>
      <c r="D84" s="319"/>
      <c r="E84" s="319"/>
      <c r="F84" s="319"/>
      <c r="G84" s="319"/>
      <c r="H84" s="319"/>
      <c r="I84" s="319"/>
      <c r="J84" s="319"/>
      <c r="K84" s="319"/>
      <c r="L84" s="319"/>
      <c r="M84" s="319"/>
      <c r="N84" s="379">
        <v>1</v>
      </c>
      <c r="O84" s="380" t="str">
        <f>IF($AF$69=1,"Maintaince for Below 80% disabled Employee U/s 80U","")</f>
        <v/>
      </c>
      <c r="P84" s="380"/>
      <c r="Q84" s="380"/>
      <c r="R84" s="291"/>
      <c r="S84" s="586">
        <f>IF(N82=1,0,IF(N82=2,75000,125000))</f>
        <v>0</v>
      </c>
      <c r="T84" s="595">
        <f>S84</f>
        <v>0</v>
      </c>
      <c r="U84" s="594">
        <f>MIN(S84,T84)</f>
        <v>0</v>
      </c>
      <c r="V84" s="552"/>
      <c r="W84" s="268"/>
      <c r="X84" s="268"/>
      <c r="Y84" s="268"/>
      <c r="Z84" s="268"/>
      <c r="AA84" s="268"/>
      <c r="AB84" s="268" t="str">
        <f>IF(AD89=2,"","15")</f>
        <v>15</v>
      </c>
      <c r="AC84" s="268"/>
      <c r="AD84" s="268">
        <v>10</v>
      </c>
      <c r="AE84" s="268" t="s">
        <v>786</v>
      </c>
      <c r="AF84" s="846">
        <v>11</v>
      </c>
      <c r="AG84" s="268"/>
      <c r="AH84" s="268"/>
      <c r="AI84" s="268"/>
      <c r="AJ84" s="268"/>
      <c r="AK84" s="268"/>
      <c r="AL84" s="268"/>
      <c r="AM84" s="268"/>
      <c r="AN84" s="268"/>
      <c r="AO84" s="268"/>
      <c r="AP84" s="268"/>
      <c r="AQ84" s="268"/>
      <c r="AR84" s="268"/>
      <c r="AS84" s="268"/>
      <c r="AT84" s="268"/>
      <c r="AU84" s="268"/>
      <c r="AV84" s="268"/>
      <c r="AW84" s="268"/>
      <c r="AX84" s="268"/>
      <c r="AY84" s="268"/>
      <c r="AZ84" s="268"/>
      <c r="BA84" s="268"/>
      <c r="BB84" s="268"/>
      <c r="BC84" s="268"/>
      <c r="BD84" s="268"/>
      <c r="BE84" s="268"/>
      <c r="BF84" s="268"/>
      <c r="BG84" s="268"/>
      <c r="BH84" s="268"/>
      <c r="BI84" s="268"/>
      <c r="BJ84" s="268"/>
      <c r="BK84" s="268"/>
      <c r="BL84" s="268"/>
      <c r="BM84" s="268">
        <v>13</v>
      </c>
      <c r="BN84" s="268" t="s">
        <v>801</v>
      </c>
      <c r="BO84" s="268"/>
      <c r="BP84" s="268">
        <f>'Annexure -I'!D9</f>
        <v>53950</v>
      </c>
      <c r="BQ84" s="268">
        <f>'Annexure -I'!E9</f>
        <v>16396</v>
      </c>
      <c r="BR84" s="268">
        <f>'Annexure -I'!F9</f>
        <v>6474</v>
      </c>
      <c r="BS84" s="268">
        <v>0</v>
      </c>
      <c r="BT84" s="268">
        <f>'Annexure -I'!I9</f>
        <v>130</v>
      </c>
      <c r="BU84" s="268">
        <f>'Annexure -I'!J9</f>
        <v>0</v>
      </c>
      <c r="BV84" s="268">
        <f>BV74</f>
        <v>610</v>
      </c>
      <c r="BW84" s="268">
        <f>'Annexure -I'!L9</f>
        <v>0</v>
      </c>
      <c r="BX84" s="268">
        <v>0</v>
      </c>
      <c r="BY84" s="268">
        <f t="shared" si="10"/>
        <v>77560</v>
      </c>
      <c r="BZ84" s="268"/>
      <c r="CA84" s="268"/>
      <c r="CB84" s="268"/>
      <c r="CC84" s="268"/>
      <c r="CD84" s="268"/>
      <c r="CE84" s="268"/>
      <c r="CF84" s="268"/>
      <c r="CG84" s="268"/>
      <c r="CH84" s="268"/>
      <c r="CI84" s="268"/>
      <c r="CJ84" s="268"/>
      <c r="CK84" s="268"/>
      <c r="CL84" s="268"/>
      <c r="CM84" s="268"/>
      <c r="CN84" s="268"/>
      <c r="CO84" s="268"/>
      <c r="CP84" s="268"/>
      <c r="CQ84" s="268"/>
      <c r="CR84" s="268"/>
      <c r="CS84" s="268"/>
      <c r="CT84" s="268"/>
      <c r="CU84" s="268"/>
      <c r="CV84" s="268"/>
      <c r="CW84" s="268"/>
      <c r="CX84" s="268"/>
      <c r="CY84" s="268"/>
      <c r="CZ84" s="268"/>
      <c r="DA84" s="268"/>
      <c r="DB84" s="268"/>
      <c r="DC84" s="268"/>
      <c r="DD84" s="268"/>
      <c r="DE84" s="268"/>
      <c r="DF84" s="268"/>
      <c r="DG84" s="268"/>
      <c r="DH84" s="268"/>
      <c r="DI84" s="268"/>
      <c r="DJ84" s="268"/>
      <c r="DK84" s="268"/>
      <c r="DL84" s="268"/>
      <c r="DM84" s="268"/>
      <c r="DN84" s="268"/>
      <c r="DO84" s="268"/>
      <c r="DP84" s="268"/>
      <c r="DQ84" s="268"/>
      <c r="DR84" s="268"/>
      <c r="DS84" s="268"/>
      <c r="DT84" s="268"/>
      <c r="DU84" s="268"/>
      <c r="DV84" s="268"/>
      <c r="DW84" s="268"/>
      <c r="DX84" s="268"/>
      <c r="DY84" s="268"/>
      <c r="DZ84" s="268"/>
      <c r="EA84" s="268"/>
      <c r="EB84" s="268"/>
      <c r="EC84" s="268"/>
      <c r="ED84" s="268"/>
      <c r="EE84" s="268"/>
      <c r="EF84" s="268"/>
      <c r="EG84" s="268"/>
      <c r="EH84" s="268"/>
      <c r="EI84" s="268"/>
      <c r="EJ84" s="268"/>
      <c r="EK84" s="268"/>
      <c r="EL84" s="268"/>
      <c r="EM84" s="268"/>
      <c r="EN84" s="268"/>
      <c r="EO84" s="268"/>
      <c r="EP84" s="268"/>
      <c r="EQ84" s="268"/>
      <c r="ER84" s="268"/>
      <c r="ES84" s="268"/>
      <c r="ET84" s="268"/>
      <c r="EU84" s="268"/>
      <c r="EV84" s="268"/>
      <c r="EW84" s="268"/>
      <c r="EX84" s="268"/>
      <c r="EY84" s="268"/>
      <c r="EZ84" s="268"/>
      <c r="FA84" s="268"/>
      <c r="FB84" s="268"/>
      <c r="FC84" s="268"/>
      <c r="FD84" s="268"/>
      <c r="FE84" s="268"/>
      <c r="FF84" s="268"/>
      <c r="FG84" s="268"/>
      <c r="FH84" s="268"/>
      <c r="FI84" s="268"/>
      <c r="FJ84" s="268"/>
      <c r="FK84" s="268"/>
      <c r="FL84" s="268"/>
      <c r="FM84" s="268"/>
      <c r="FN84" s="268"/>
      <c r="FO84" s="268"/>
      <c r="FP84" s="268"/>
      <c r="FQ84" s="268"/>
      <c r="FR84" s="268"/>
      <c r="FS84" s="268"/>
      <c r="FT84" s="268"/>
      <c r="FU84" s="268"/>
      <c r="FV84" s="268"/>
      <c r="FW84" s="268"/>
      <c r="FX84" s="268"/>
      <c r="FY84" s="268"/>
      <c r="FZ84" s="268"/>
      <c r="GA84" s="268"/>
      <c r="GB84" s="268"/>
      <c r="GC84" s="268"/>
      <c r="GD84" s="268"/>
      <c r="GE84" s="268"/>
      <c r="GF84" s="268"/>
      <c r="GG84" s="268"/>
      <c r="GH84" s="268"/>
      <c r="GI84" s="268"/>
      <c r="GJ84" s="268"/>
      <c r="GK84" s="268"/>
      <c r="GL84" s="268"/>
      <c r="GM84" s="268"/>
      <c r="GN84" s="268"/>
      <c r="GO84" s="268"/>
    </row>
    <row r="85" spans="2:197" s="275" customFormat="1" ht="39.75" hidden="1" customHeight="1" thickBot="1">
      <c r="B85" s="268"/>
      <c r="C85" s="319"/>
      <c r="D85" s="319"/>
      <c r="E85" s="319"/>
      <c r="F85" s="319"/>
      <c r="G85" s="319"/>
      <c r="H85" s="319"/>
      <c r="I85" s="319"/>
      <c r="J85" s="319"/>
      <c r="K85" s="319"/>
      <c r="L85" s="319"/>
      <c r="M85" s="319"/>
      <c r="N85" s="381">
        <v>2</v>
      </c>
      <c r="O85" s="380" t="str">
        <f>IF($AF$69=1,"Maintaince for 80% and above disabled Employee U/s 80U","")</f>
        <v/>
      </c>
      <c r="P85" s="382"/>
      <c r="Q85" s="382"/>
      <c r="R85" s="378"/>
      <c r="S85" s="586">
        <f>IF(AF69=2,0,VLOOKUP(N83,N86:S87,6,0))</f>
        <v>0</v>
      </c>
      <c r="T85" s="596">
        <f>N32</f>
        <v>0</v>
      </c>
      <c r="U85" s="597">
        <f>MIN(S85,T85)</f>
        <v>0</v>
      </c>
      <c r="V85" s="552"/>
      <c r="W85" s="268"/>
      <c r="X85" s="268"/>
      <c r="Y85" s="268"/>
      <c r="Z85" s="268"/>
      <c r="AA85" s="268"/>
      <c r="AB85" s="268" t="str">
        <f>IF(AD89=2,"","16")</f>
        <v>16</v>
      </c>
      <c r="AC85" s="268"/>
      <c r="AD85" s="268">
        <v>11</v>
      </c>
      <c r="AE85" s="268" t="s">
        <v>787</v>
      </c>
      <c r="AF85" s="846">
        <v>12</v>
      </c>
      <c r="AG85" s="268"/>
      <c r="AH85" s="268"/>
      <c r="AI85" s="268"/>
      <c r="AJ85" s="268"/>
      <c r="AK85" s="268"/>
      <c r="AL85" s="268"/>
      <c r="AM85" s="268"/>
      <c r="AN85" s="268"/>
      <c r="AO85" s="268"/>
      <c r="AP85" s="268"/>
      <c r="AQ85" s="268"/>
      <c r="AR85" s="268"/>
      <c r="AS85" s="268"/>
      <c r="AT85" s="268"/>
      <c r="AU85" s="268"/>
      <c r="AV85" s="268"/>
      <c r="AW85" s="268"/>
      <c r="AX85" s="268"/>
      <c r="AY85" s="268"/>
      <c r="AZ85" s="268"/>
      <c r="BA85" s="268"/>
      <c r="BB85" s="268"/>
      <c r="BC85" s="268"/>
      <c r="BD85" s="268"/>
      <c r="BE85" s="268"/>
      <c r="BF85" s="268"/>
      <c r="BG85" s="268"/>
      <c r="BH85" s="268"/>
      <c r="BI85" s="268"/>
      <c r="BJ85" s="268"/>
      <c r="BK85" s="268"/>
      <c r="BL85" s="268"/>
      <c r="BM85" s="268">
        <v>14</v>
      </c>
      <c r="BN85" s="268" t="s">
        <v>802</v>
      </c>
      <c r="BO85" s="268"/>
      <c r="BP85" s="268">
        <f>ROUND('Annexure -I'!D10/2,0.1)</f>
        <v>26975</v>
      </c>
      <c r="BQ85" s="268">
        <f>ROUND('Annexure -I'!E10/2,0.1)</f>
        <v>8198</v>
      </c>
      <c r="BR85" s="268">
        <f>ROUND('Annexure -I'!F10/2,0.1)</f>
        <v>3237</v>
      </c>
      <c r="BS85" s="268">
        <v>0</v>
      </c>
      <c r="BT85" s="268">
        <f>ROUND('Annexure -I'!I10/2,0.1)</f>
        <v>65</v>
      </c>
      <c r="BU85" s="268">
        <f>ROUND('Annexure -I'!J10/2,0.1)</f>
        <v>0</v>
      </c>
      <c r="BV85" s="268">
        <f>BV74/2</f>
        <v>305</v>
      </c>
      <c r="BW85" s="268">
        <f>ROUND('Annexure -I'!L10/2,0.1)</f>
        <v>0</v>
      </c>
      <c r="BX85" s="268">
        <v>0</v>
      </c>
      <c r="BY85" s="268">
        <f t="shared" si="10"/>
        <v>38780</v>
      </c>
      <c r="BZ85" s="268"/>
      <c r="CA85" s="268"/>
      <c r="CB85" s="268"/>
      <c r="CC85" s="268"/>
      <c r="CD85" s="268"/>
      <c r="CE85" s="268"/>
      <c r="CF85" s="268"/>
      <c r="CG85" s="268"/>
      <c r="CH85" s="268"/>
      <c r="CI85" s="268"/>
      <c r="CJ85" s="268"/>
      <c r="CK85" s="268"/>
      <c r="CL85" s="268"/>
      <c r="CM85" s="268"/>
      <c r="CN85" s="268"/>
      <c r="CO85" s="268"/>
      <c r="CP85" s="268"/>
      <c r="CQ85" s="268"/>
      <c r="CR85" s="268"/>
      <c r="CS85" s="268"/>
      <c r="CT85" s="268"/>
      <c r="CU85" s="268"/>
      <c r="CV85" s="268"/>
      <c r="CW85" s="268"/>
      <c r="CX85" s="268"/>
      <c r="CY85" s="268"/>
      <c r="CZ85" s="268"/>
      <c r="DA85" s="268"/>
      <c r="DB85" s="268"/>
      <c r="DC85" s="268"/>
      <c r="DD85" s="268"/>
      <c r="DE85" s="268"/>
      <c r="DF85" s="268"/>
      <c r="DG85" s="268"/>
      <c r="DH85" s="268"/>
      <c r="DI85" s="268"/>
      <c r="DJ85" s="268"/>
      <c r="DK85" s="268"/>
      <c r="DL85" s="268"/>
      <c r="DM85" s="268"/>
      <c r="DN85" s="268"/>
      <c r="DO85" s="268"/>
      <c r="DP85" s="268"/>
      <c r="DQ85" s="268"/>
      <c r="DR85" s="268"/>
      <c r="DS85" s="268"/>
      <c r="DT85" s="268"/>
      <c r="DU85" s="268"/>
      <c r="DV85" s="268"/>
      <c r="DW85" s="268"/>
      <c r="DX85" s="268"/>
      <c r="DY85" s="268"/>
      <c r="DZ85" s="268"/>
      <c r="EA85" s="268"/>
      <c r="EB85" s="268"/>
      <c r="EC85" s="268"/>
      <c r="ED85" s="268"/>
      <c r="EE85" s="268"/>
      <c r="EF85" s="268"/>
      <c r="EG85" s="268"/>
      <c r="EH85" s="268"/>
      <c r="EI85" s="268"/>
      <c r="EJ85" s="268"/>
      <c r="EK85" s="268"/>
      <c r="EL85" s="268"/>
      <c r="EM85" s="268"/>
      <c r="EN85" s="268"/>
      <c r="EO85" s="268"/>
      <c r="EP85" s="268"/>
      <c r="EQ85" s="268"/>
      <c r="ER85" s="268"/>
      <c r="ES85" s="268"/>
      <c r="ET85" s="268"/>
      <c r="EU85" s="268"/>
      <c r="EV85" s="268"/>
      <c r="EW85" s="268"/>
      <c r="EX85" s="268"/>
      <c r="EY85" s="268"/>
      <c r="EZ85" s="268"/>
      <c r="FA85" s="268"/>
      <c r="FB85" s="268"/>
      <c r="FC85" s="268"/>
      <c r="FD85" s="268"/>
      <c r="FE85" s="268"/>
      <c r="FF85" s="268"/>
      <c r="FG85" s="268"/>
      <c r="FH85" s="268"/>
      <c r="FI85" s="268"/>
      <c r="FJ85" s="268"/>
      <c r="FK85" s="268"/>
      <c r="FL85" s="268"/>
      <c r="FM85" s="268"/>
      <c r="FN85" s="268"/>
      <c r="FO85" s="268"/>
      <c r="FP85" s="268"/>
      <c r="FQ85" s="268"/>
      <c r="FR85" s="268"/>
      <c r="FS85" s="268"/>
      <c r="FT85" s="268"/>
      <c r="FU85" s="268"/>
      <c r="FV85" s="268"/>
      <c r="FW85" s="268"/>
      <c r="FX85" s="268"/>
      <c r="FY85" s="268"/>
      <c r="FZ85" s="268"/>
      <c r="GA85" s="268"/>
      <c r="GB85" s="268"/>
      <c r="GC85" s="268"/>
      <c r="GD85" s="268"/>
      <c r="GE85" s="268"/>
      <c r="GF85" s="268"/>
      <c r="GG85" s="268"/>
      <c r="GH85" s="268"/>
      <c r="GI85" s="268"/>
      <c r="GJ85" s="268"/>
      <c r="GK85" s="268"/>
      <c r="GL85" s="268"/>
      <c r="GM85" s="268"/>
      <c r="GN85" s="268"/>
      <c r="GO85" s="268"/>
    </row>
    <row r="86" spans="2:197" s="275" customFormat="1" ht="39.75" hidden="1" customHeight="1" thickBot="1">
      <c r="B86" s="268"/>
      <c r="C86" s="319"/>
      <c r="D86" s="319"/>
      <c r="E86" s="319"/>
      <c r="F86" s="319"/>
      <c r="G86" s="319"/>
      <c r="H86" s="319"/>
      <c r="I86" s="319"/>
      <c r="J86" s="319"/>
      <c r="K86" s="319"/>
      <c r="L86" s="319"/>
      <c r="M86" s="319"/>
      <c r="N86" s="375">
        <v>1</v>
      </c>
      <c r="O86" s="376" t="s">
        <v>505</v>
      </c>
      <c r="P86" s="376"/>
      <c r="Q86" s="376"/>
      <c r="R86" s="380"/>
      <c r="S86" s="588">
        <v>75000</v>
      </c>
      <c r="T86" s="574"/>
      <c r="U86" s="574"/>
      <c r="V86" s="552"/>
      <c r="W86" s="268"/>
      <c r="X86" s="268"/>
      <c r="Y86" s="268"/>
      <c r="Z86" s="268"/>
      <c r="AA86" s="268"/>
      <c r="AB86" s="268" t="str">
        <f>IF(AD89=2,"","17")</f>
        <v>17</v>
      </c>
      <c r="AC86" s="268"/>
      <c r="AD86" s="268">
        <v>12</v>
      </c>
      <c r="AE86" s="268" t="s">
        <v>788</v>
      </c>
      <c r="AF86" s="846">
        <v>1</v>
      </c>
      <c r="AG86" s="268"/>
      <c r="AH86" s="268"/>
      <c r="AI86" s="268"/>
      <c r="AJ86" s="268"/>
      <c r="AK86" s="268"/>
      <c r="AL86" s="268"/>
      <c r="AM86" s="268"/>
      <c r="AN86" s="268"/>
      <c r="AO86" s="268"/>
      <c r="AP86" s="268"/>
      <c r="AQ86" s="268"/>
      <c r="AR86" s="268"/>
      <c r="AS86" s="268"/>
      <c r="AT86" s="268"/>
      <c r="AU86" s="268"/>
      <c r="AV86" s="268"/>
      <c r="AW86" s="268"/>
      <c r="AX86" s="268"/>
      <c r="AY86" s="268"/>
      <c r="AZ86" s="268"/>
      <c r="BA86" s="268"/>
      <c r="BB86" s="268"/>
      <c r="BC86" s="268"/>
      <c r="BD86" s="268"/>
      <c r="BE86" s="268"/>
      <c r="BF86" s="268"/>
      <c r="BG86" s="268"/>
      <c r="BH86" s="268"/>
      <c r="BI86" s="268"/>
      <c r="BJ86" s="268"/>
      <c r="BK86" s="268"/>
      <c r="BL86" s="268"/>
      <c r="BM86" s="268">
        <v>15</v>
      </c>
      <c r="BN86" s="268" t="s">
        <v>803</v>
      </c>
      <c r="BO86" s="268"/>
      <c r="BP86" s="268">
        <f>'Annexure -I'!D10</f>
        <v>53950</v>
      </c>
      <c r="BQ86" s="268">
        <f>'Annexure -I'!E10</f>
        <v>16396</v>
      </c>
      <c r="BR86" s="268">
        <f>'Annexure -I'!F10</f>
        <v>6474</v>
      </c>
      <c r="BS86" s="268">
        <v>0</v>
      </c>
      <c r="BT86" s="268">
        <f>'Annexure -I'!I10</f>
        <v>130</v>
      </c>
      <c r="BU86" s="268">
        <f>'Annexure -I'!J10</f>
        <v>0</v>
      </c>
      <c r="BV86" s="268">
        <f>BV74</f>
        <v>610</v>
      </c>
      <c r="BW86" s="268">
        <f>'Annexure -I'!L10</f>
        <v>0</v>
      </c>
      <c r="BX86" s="268">
        <v>0</v>
      </c>
      <c r="BY86" s="268">
        <f t="shared" si="10"/>
        <v>77560</v>
      </c>
      <c r="BZ86" s="268"/>
      <c r="CA86" s="268"/>
      <c r="CB86" s="268"/>
      <c r="CC86" s="268"/>
      <c r="CD86" s="268"/>
      <c r="CE86" s="268"/>
      <c r="CF86" s="268"/>
      <c r="CG86" s="268"/>
      <c r="CH86" s="268"/>
      <c r="CI86" s="268"/>
      <c r="CJ86" s="268"/>
      <c r="CK86" s="268"/>
      <c r="CL86" s="268"/>
      <c r="CM86" s="268"/>
      <c r="CN86" s="268"/>
      <c r="CO86" s="268"/>
      <c r="CP86" s="268"/>
      <c r="CQ86" s="268"/>
      <c r="CR86" s="268"/>
      <c r="CS86" s="268"/>
      <c r="CT86" s="268"/>
      <c r="CU86" s="268"/>
      <c r="CV86" s="268"/>
      <c r="CW86" s="268"/>
      <c r="CX86" s="268"/>
      <c r="CY86" s="268"/>
      <c r="CZ86" s="268"/>
      <c r="DA86" s="268"/>
      <c r="DB86" s="268"/>
      <c r="DC86" s="268"/>
      <c r="DD86" s="268"/>
      <c r="DE86" s="268"/>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268"/>
      <c r="EC86" s="268"/>
      <c r="ED86" s="268"/>
      <c r="EE86" s="268"/>
      <c r="EF86" s="268"/>
      <c r="EG86" s="268"/>
      <c r="EH86" s="268"/>
      <c r="EI86" s="268"/>
      <c r="EJ86" s="268"/>
      <c r="EK86" s="268"/>
      <c r="EL86" s="268"/>
      <c r="EM86" s="268"/>
      <c r="EN86" s="268"/>
      <c r="EO86" s="268"/>
      <c r="EP86" s="268"/>
      <c r="EQ86" s="268"/>
      <c r="ER86" s="268"/>
      <c r="ES86" s="268"/>
      <c r="ET86" s="268"/>
      <c r="EU86" s="268"/>
      <c r="EV86" s="268"/>
      <c r="EW86" s="268"/>
      <c r="EX86" s="268"/>
      <c r="EY86" s="268"/>
      <c r="EZ86" s="268"/>
      <c r="FA86" s="268"/>
      <c r="FB86" s="268"/>
      <c r="FC86" s="268"/>
      <c r="FD86" s="268"/>
      <c r="FE86" s="268"/>
      <c r="FF86" s="268"/>
      <c r="FG86" s="268"/>
      <c r="FH86" s="268"/>
      <c r="FI86" s="268"/>
      <c r="FJ86" s="268"/>
      <c r="FK86" s="268"/>
      <c r="FL86" s="268"/>
      <c r="FM86" s="268"/>
      <c r="FN86" s="268"/>
      <c r="FO86" s="268"/>
      <c r="FP86" s="268"/>
      <c r="FQ86" s="268"/>
      <c r="FR86" s="268"/>
      <c r="FS86" s="268"/>
      <c r="FT86" s="268"/>
      <c r="FU86" s="268"/>
      <c r="FV86" s="268"/>
      <c r="FW86" s="268"/>
      <c r="FX86" s="268"/>
      <c r="FY86" s="268"/>
      <c r="FZ86" s="268"/>
      <c r="GA86" s="268"/>
      <c r="GB86" s="268"/>
      <c r="GC86" s="268"/>
      <c r="GD86" s="268"/>
      <c r="GE86" s="268"/>
      <c r="GF86" s="268"/>
      <c r="GG86" s="268"/>
      <c r="GH86" s="268"/>
      <c r="GI86" s="268"/>
      <c r="GJ86" s="268"/>
      <c r="GK86" s="268"/>
      <c r="GL86" s="268"/>
      <c r="GM86" s="268"/>
      <c r="GN86" s="268"/>
      <c r="GO86" s="268"/>
    </row>
    <row r="87" spans="2:197" s="275" customFormat="1" ht="39.75" hidden="1" customHeight="1">
      <c r="B87" s="268"/>
      <c r="C87" s="319"/>
      <c r="D87" s="319"/>
      <c r="E87" s="319"/>
      <c r="F87" s="319"/>
      <c r="G87" s="319"/>
      <c r="H87" s="319"/>
      <c r="I87" s="319" t="str">
        <f>CONCATENATE("Living in : ",O89)</f>
        <v>Living in : Rented House</v>
      </c>
      <c r="J87" s="319"/>
      <c r="K87" s="319"/>
      <c r="L87" s="319"/>
      <c r="M87" s="319"/>
      <c r="N87" s="375">
        <v>2</v>
      </c>
      <c r="O87" s="376" t="s">
        <v>634</v>
      </c>
      <c r="P87" s="375"/>
      <c r="Q87" s="375"/>
      <c r="R87" s="382"/>
      <c r="S87" s="574">
        <v>125000</v>
      </c>
      <c r="T87" s="574"/>
      <c r="U87" s="574"/>
      <c r="V87" s="552"/>
      <c r="W87" s="268"/>
      <c r="X87" s="268"/>
      <c r="Y87" s="268"/>
      <c r="Z87" s="268"/>
      <c r="AA87" s="268"/>
      <c r="AB87" s="268" t="str">
        <f>IF(AD89=2,"","18")</f>
        <v>18</v>
      </c>
      <c r="AC87" s="268"/>
      <c r="AD87" s="268">
        <v>13</v>
      </c>
      <c r="AE87" s="268" t="s">
        <v>789</v>
      </c>
      <c r="AF87" s="846">
        <v>2</v>
      </c>
      <c r="AG87" s="268"/>
      <c r="AH87" s="268"/>
      <c r="AI87" s="268"/>
      <c r="AJ87" s="268"/>
      <c r="AK87" s="268"/>
      <c r="AL87" s="268"/>
      <c r="AM87" s="268"/>
      <c r="AN87" s="268"/>
      <c r="AO87" s="268"/>
      <c r="AP87" s="268"/>
      <c r="AQ87" s="268"/>
      <c r="AR87" s="268"/>
      <c r="AS87" s="268"/>
      <c r="AT87" s="268"/>
      <c r="AU87" s="268"/>
      <c r="AV87" s="268"/>
      <c r="AW87" s="268"/>
      <c r="AX87" s="268"/>
      <c r="AY87" s="268"/>
      <c r="AZ87" s="268"/>
      <c r="BA87" s="268"/>
      <c r="BB87" s="268"/>
      <c r="BC87" s="268"/>
      <c r="BD87" s="268"/>
      <c r="BE87" s="268"/>
      <c r="BF87" s="268"/>
      <c r="BG87" s="268"/>
      <c r="BH87" s="268"/>
      <c r="BI87" s="268"/>
      <c r="BJ87" s="268"/>
      <c r="BK87" s="268"/>
      <c r="BL87" s="268"/>
      <c r="BM87" s="268">
        <v>16</v>
      </c>
      <c r="BN87" s="268" t="s">
        <v>804</v>
      </c>
      <c r="BO87" s="268"/>
      <c r="BP87" s="268">
        <f>ROUND('Annexure -I'!D11/2,0.1)</f>
        <v>26975</v>
      </c>
      <c r="BQ87" s="268">
        <f>ROUND('Annexure -I'!E11/2,0.1)</f>
        <v>8198</v>
      </c>
      <c r="BR87" s="268">
        <f>ROUND('Annexure -I'!F11/2,0.1)</f>
        <v>3237</v>
      </c>
      <c r="BS87" s="268">
        <v>0</v>
      </c>
      <c r="BT87" s="268">
        <f>ROUND('Annexure -I'!I11/2,0.1)</f>
        <v>65</v>
      </c>
      <c r="BU87" s="268">
        <f>ROUND('Annexure -I'!J11/2,0.1)</f>
        <v>0</v>
      </c>
      <c r="BV87" s="268">
        <f>BV74/2</f>
        <v>305</v>
      </c>
      <c r="BW87" s="268">
        <f>ROUND('Annexure -I'!L11/2,0.1)</f>
        <v>0</v>
      </c>
      <c r="BX87" s="268">
        <v>0</v>
      </c>
      <c r="BY87" s="268">
        <f>SUM(BP87:BX87)</f>
        <v>38780</v>
      </c>
      <c r="BZ87" s="268"/>
      <c r="CA87" s="268"/>
      <c r="CB87" s="268"/>
      <c r="CC87" s="268"/>
      <c r="CD87" s="268"/>
      <c r="CE87" s="268"/>
      <c r="CF87" s="268"/>
      <c r="CG87" s="268"/>
      <c r="CH87" s="268"/>
      <c r="CI87" s="268"/>
      <c r="CJ87" s="268"/>
      <c r="CK87" s="268"/>
      <c r="CL87" s="268"/>
      <c r="CM87" s="268"/>
      <c r="CN87" s="268"/>
      <c r="CO87" s="268"/>
      <c r="CP87" s="268"/>
      <c r="CQ87" s="268"/>
      <c r="CR87" s="268"/>
      <c r="CS87" s="268"/>
      <c r="CT87" s="268"/>
      <c r="CU87" s="268"/>
      <c r="CV87" s="268"/>
      <c r="CW87" s="268"/>
      <c r="CX87" s="268"/>
      <c r="CY87" s="268"/>
      <c r="CZ87" s="268"/>
      <c r="DA87" s="268"/>
      <c r="DB87" s="268"/>
      <c r="DC87" s="268"/>
      <c r="DD87" s="268"/>
      <c r="DE87" s="268"/>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68"/>
      <c r="EB87" s="268"/>
      <c r="EC87" s="268"/>
      <c r="ED87" s="268"/>
      <c r="EE87" s="268"/>
      <c r="EF87" s="268"/>
      <c r="EG87" s="268"/>
      <c r="EH87" s="268"/>
      <c r="EI87" s="268"/>
      <c r="EJ87" s="268"/>
      <c r="EK87" s="268"/>
      <c r="EL87" s="268"/>
      <c r="EM87" s="268"/>
      <c r="EN87" s="268"/>
      <c r="EO87" s="268"/>
      <c r="EP87" s="268"/>
      <c r="EQ87" s="268"/>
      <c r="ER87" s="268"/>
      <c r="ES87" s="268"/>
      <c r="ET87" s="268"/>
      <c r="EU87" s="268"/>
      <c r="EV87" s="268"/>
      <c r="EW87" s="268"/>
      <c r="EX87" s="268"/>
      <c r="EY87" s="268"/>
      <c r="EZ87" s="268"/>
      <c r="FA87" s="268"/>
      <c r="FB87" s="268"/>
      <c r="FC87" s="268"/>
      <c r="FD87" s="268"/>
      <c r="FE87" s="268"/>
      <c r="FF87" s="268"/>
      <c r="FG87" s="268"/>
      <c r="FH87" s="268"/>
      <c r="FI87" s="268"/>
      <c r="FJ87" s="268"/>
      <c r="FK87" s="268"/>
      <c r="FL87" s="268"/>
      <c r="FM87" s="268"/>
      <c r="FN87" s="268"/>
      <c r="FO87" s="268"/>
      <c r="FP87" s="268"/>
      <c r="FQ87" s="268"/>
      <c r="FR87" s="268"/>
      <c r="FS87" s="268"/>
      <c r="FT87" s="268"/>
      <c r="FU87" s="268"/>
      <c r="FV87" s="268"/>
      <c r="FW87" s="268"/>
      <c r="FX87" s="268"/>
      <c r="FY87" s="268"/>
      <c r="FZ87" s="268"/>
      <c r="GA87" s="268"/>
      <c r="GB87" s="268"/>
      <c r="GC87" s="268"/>
      <c r="GD87" s="268"/>
      <c r="GE87" s="268"/>
      <c r="GF87" s="268"/>
      <c r="GG87" s="268"/>
      <c r="GH87" s="268"/>
      <c r="GI87" s="268"/>
      <c r="GJ87" s="268"/>
      <c r="GK87" s="268"/>
      <c r="GL87" s="268"/>
      <c r="GM87" s="268"/>
      <c r="GN87" s="268"/>
      <c r="GO87" s="268"/>
    </row>
    <row r="88" spans="2:197" s="275" customFormat="1" ht="39.75" hidden="1" customHeight="1">
      <c r="B88" s="268"/>
      <c r="C88" s="319"/>
      <c r="D88" s="319"/>
      <c r="E88" s="319"/>
      <c r="F88" s="319"/>
      <c r="G88" s="319"/>
      <c r="H88" s="319"/>
      <c r="I88" s="319"/>
      <c r="J88" s="319"/>
      <c r="K88" s="319"/>
      <c r="L88" s="319"/>
      <c r="M88" s="319"/>
      <c r="N88" s="375">
        <v>3</v>
      </c>
      <c r="O88" s="376" t="s">
        <v>635</v>
      </c>
      <c r="P88" s="375"/>
      <c r="Q88" s="375"/>
      <c r="R88" s="376"/>
      <c r="S88" s="574"/>
      <c r="T88" s="574"/>
      <c r="U88" s="574"/>
      <c r="V88" s="552"/>
      <c r="W88" s="268"/>
      <c r="X88" s="268"/>
      <c r="Y88" s="268"/>
      <c r="Z88" s="268"/>
      <c r="AA88" s="268"/>
      <c r="AB88" s="268" t="str">
        <f>IF(AD89=2,"","19")</f>
        <v>19</v>
      </c>
      <c r="AC88" s="268"/>
      <c r="AD88" s="268"/>
      <c r="AE88" s="268"/>
      <c r="AF88" s="268"/>
      <c r="AG88" s="268"/>
      <c r="AH88" s="268"/>
      <c r="AI88" s="268"/>
      <c r="AJ88" s="268"/>
      <c r="AK88" s="268"/>
      <c r="AL88" s="268"/>
      <c r="AM88" s="268"/>
      <c r="AN88" s="268"/>
      <c r="AO88" s="268"/>
      <c r="AP88" s="268"/>
      <c r="AQ88" s="268"/>
      <c r="AR88" s="268"/>
      <c r="AS88" s="268"/>
      <c r="AT88" s="268"/>
      <c r="AU88" s="268"/>
      <c r="AV88" s="268"/>
      <c r="AW88" s="268"/>
      <c r="AX88" s="268"/>
      <c r="AY88" s="268"/>
      <c r="AZ88" s="268"/>
      <c r="BA88" s="268"/>
      <c r="BB88" s="268"/>
      <c r="BC88" s="268"/>
      <c r="BD88" s="268"/>
      <c r="BE88" s="268"/>
      <c r="BF88" s="268"/>
      <c r="BG88" s="268"/>
      <c r="BH88" s="268"/>
      <c r="BI88" s="268"/>
      <c r="BJ88" s="268"/>
      <c r="BK88" s="268"/>
      <c r="BL88" s="268"/>
      <c r="BM88" s="268">
        <v>17</v>
      </c>
      <c r="BN88" s="268" t="s">
        <v>805</v>
      </c>
      <c r="BO88" s="268"/>
      <c r="BP88" s="268">
        <f>'Annexure -I'!D11</f>
        <v>53950</v>
      </c>
      <c r="BQ88" s="268">
        <f>'Annexure -I'!E11</f>
        <v>16396</v>
      </c>
      <c r="BR88" s="268">
        <f>'Annexure -I'!F11</f>
        <v>6474</v>
      </c>
      <c r="BS88" s="268">
        <v>0</v>
      </c>
      <c r="BT88" s="268">
        <f>'Annexure -I'!I11</f>
        <v>130</v>
      </c>
      <c r="BU88" s="268">
        <f>'Annexure -I'!J11</f>
        <v>0</v>
      </c>
      <c r="BV88" s="268">
        <f>BV74</f>
        <v>610</v>
      </c>
      <c r="BW88" s="268">
        <f>'Annexure -I'!L11</f>
        <v>0</v>
      </c>
      <c r="BX88" s="268">
        <v>0</v>
      </c>
      <c r="BY88" s="268">
        <f t="shared" si="10"/>
        <v>77560</v>
      </c>
      <c r="BZ88" s="268"/>
      <c r="CA88" s="268"/>
      <c r="CB88" s="268"/>
      <c r="CC88" s="268"/>
      <c r="CD88" s="268"/>
      <c r="CE88" s="268"/>
      <c r="CF88" s="268"/>
      <c r="CG88" s="268"/>
      <c r="CH88" s="268"/>
      <c r="CI88" s="268"/>
      <c r="CJ88" s="268"/>
      <c r="CK88" s="268"/>
      <c r="CL88" s="268"/>
      <c r="CM88" s="268"/>
      <c r="CN88" s="268"/>
      <c r="CO88" s="268"/>
      <c r="CP88" s="268"/>
      <c r="CQ88" s="268"/>
      <c r="CR88" s="268"/>
      <c r="CS88" s="268"/>
      <c r="CT88" s="268"/>
      <c r="CU88" s="268"/>
      <c r="CV88" s="268"/>
      <c r="CW88" s="268"/>
      <c r="CX88" s="268"/>
      <c r="CY88" s="268"/>
      <c r="CZ88" s="268"/>
      <c r="DA88" s="268"/>
      <c r="DB88" s="268"/>
      <c r="DC88" s="268"/>
      <c r="DD88" s="268"/>
      <c r="DE88" s="268"/>
      <c r="DF88" s="268"/>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68"/>
      <c r="EC88" s="268"/>
      <c r="ED88" s="268"/>
      <c r="EE88" s="268"/>
      <c r="EF88" s="268"/>
      <c r="EG88" s="268"/>
      <c r="EH88" s="268"/>
      <c r="EI88" s="268"/>
      <c r="EJ88" s="268"/>
      <c r="EK88" s="268"/>
      <c r="EL88" s="268"/>
      <c r="EM88" s="268"/>
      <c r="EN88" s="268"/>
      <c r="EO88" s="268"/>
      <c r="EP88" s="268"/>
      <c r="EQ88" s="268"/>
      <c r="ER88" s="268"/>
      <c r="ES88" s="268"/>
      <c r="ET88" s="268"/>
      <c r="EU88" s="268"/>
      <c r="EV88" s="268"/>
      <c r="EW88" s="268"/>
      <c r="EX88" s="268"/>
      <c r="EY88" s="268"/>
      <c r="EZ88" s="268"/>
      <c r="FA88" s="268"/>
      <c r="FB88" s="268"/>
      <c r="FC88" s="268"/>
      <c r="FD88" s="268"/>
      <c r="FE88" s="268"/>
      <c r="FF88" s="268"/>
      <c r="FG88" s="268"/>
      <c r="FH88" s="268"/>
      <c r="FI88" s="268"/>
      <c r="FJ88" s="268"/>
      <c r="FK88" s="268"/>
      <c r="FL88" s="268"/>
      <c r="FM88" s="268"/>
      <c r="FN88" s="268"/>
      <c r="FO88" s="268"/>
      <c r="FP88" s="268"/>
      <c r="FQ88" s="268"/>
      <c r="FR88" s="268"/>
      <c r="FS88" s="268"/>
      <c r="FT88" s="268"/>
      <c r="FU88" s="268"/>
      <c r="FV88" s="268"/>
      <c r="FW88" s="268"/>
      <c r="FX88" s="268"/>
      <c r="FY88" s="268"/>
      <c r="FZ88" s="268"/>
      <c r="GA88" s="268"/>
      <c r="GB88" s="268"/>
      <c r="GC88" s="268"/>
      <c r="GD88" s="268"/>
      <c r="GE88" s="268"/>
      <c r="GF88" s="268"/>
      <c r="GG88" s="268"/>
      <c r="GH88" s="268"/>
      <c r="GI88" s="268"/>
      <c r="GJ88" s="268"/>
      <c r="GK88" s="268"/>
      <c r="GL88" s="268"/>
      <c r="GM88" s="268"/>
      <c r="GN88" s="268"/>
      <c r="GO88" s="268"/>
    </row>
    <row r="89" spans="2:197" s="275" customFormat="1" ht="39.75" hidden="1" customHeight="1">
      <c r="B89" s="268"/>
      <c r="C89" s="319"/>
      <c r="D89" s="319"/>
      <c r="E89" s="319"/>
      <c r="F89" s="319"/>
      <c r="G89" s="319"/>
      <c r="H89" s="319"/>
      <c r="I89" s="319"/>
      <c r="J89" s="319"/>
      <c r="K89" s="319"/>
      <c r="L89" s="319"/>
      <c r="M89" s="319"/>
      <c r="N89" s="319">
        <v>2</v>
      </c>
      <c r="O89" s="268" t="str">
        <f>VLOOKUP(N89,N90:O91,2,)</f>
        <v>Rented House</v>
      </c>
      <c r="P89" s="268"/>
      <c r="Q89" s="268" t="str">
        <f>VLOOKUP(N89,N90:Q91,4,0)</f>
        <v>To get HRA Exemption, your Rent will be Rs. 14100</v>
      </c>
      <c r="R89" s="375"/>
      <c r="S89" s="577"/>
      <c r="T89" s="577"/>
      <c r="U89" s="577"/>
      <c r="V89" s="552"/>
      <c r="W89" s="268"/>
      <c r="X89" s="268"/>
      <c r="Y89" s="268"/>
      <c r="Z89" s="268"/>
      <c r="AA89" s="268"/>
      <c r="AB89" s="268" t="str">
        <f>IF(AD89=2,"","20")</f>
        <v>20</v>
      </c>
      <c r="AC89" s="268"/>
      <c r="AD89" s="296">
        <f>AD69</f>
        <v>1</v>
      </c>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8"/>
      <c r="BA89" s="268"/>
      <c r="BB89" s="268"/>
      <c r="BC89" s="268"/>
      <c r="BD89" s="268"/>
      <c r="BE89" s="268"/>
      <c r="BF89" s="268"/>
      <c r="BG89" s="268"/>
      <c r="BH89" s="268"/>
      <c r="BI89" s="268"/>
      <c r="BJ89" s="268"/>
      <c r="BK89" s="268"/>
      <c r="BL89" s="268"/>
      <c r="BM89" s="268">
        <v>18</v>
      </c>
      <c r="BN89" s="268" t="s">
        <v>806</v>
      </c>
      <c r="BO89" s="268"/>
      <c r="BP89" s="268">
        <f>ROUND('Annexure -I'!D12/2,0.1)</f>
        <v>26975</v>
      </c>
      <c r="BQ89" s="268">
        <f>ROUND('Annexure -I'!E12/2,0.1)</f>
        <v>9047</v>
      </c>
      <c r="BR89" s="268">
        <f>ROUND('Annexure -I'!F12/2,0.1)</f>
        <v>3237</v>
      </c>
      <c r="BS89" s="268">
        <v>0</v>
      </c>
      <c r="BT89" s="268">
        <f>ROUND('Annexure -I'!I12/2,0.1)</f>
        <v>65</v>
      </c>
      <c r="BU89" s="268">
        <f>ROUND('Annexure -I'!J12/2,0.1)</f>
        <v>0</v>
      </c>
      <c r="BV89" s="268">
        <f>BV74/2</f>
        <v>305</v>
      </c>
      <c r="BW89" s="268">
        <f>ROUND('Annexure -I'!L12/2,0.1)</f>
        <v>0</v>
      </c>
      <c r="BX89" s="268">
        <v>0</v>
      </c>
      <c r="BY89" s="268">
        <f t="shared" si="10"/>
        <v>39629</v>
      </c>
      <c r="BZ89" s="268"/>
      <c r="CA89" s="268"/>
      <c r="CB89" s="268"/>
      <c r="CC89" s="268"/>
      <c r="CD89" s="268"/>
      <c r="CE89" s="268"/>
      <c r="CF89" s="268"/>
      <c r="CG89" s="268"/>
      <c r="CH89" s="268"/>
      <c r="CI89" s="268"/>
      <c r="CJ89" s="268"/>
      <c r="CK89" s="268"/>
      <c r="CL89" s="268"/>
      <c r="CM89" s="268"/>
      <c r="CN89" s="268"/>
      <c r="CO89" s="268"/>
      <c r="CP89" s="268"/>
      <c r="CQ89" s="268"/>
      <c r="CR89" s="268"/>
      <c r="CS89" s="268"/>
      <c r="CT89" s="268"/>
      <c r="CU89" s="268"/>
      <c r="CV89" s="268"/>
      <c r="CW89" s="268"/>
      <c r="CX89" s="268"/>
      <c r="CY89" s="268"/>
      <c r="CZ89" s="268"/>
      <c r="DA89" s="268"/>
      <c r="DB89" s="268"/>
      <c r="DC89" s="268"/>
      <c r="DD89" s="268"/>
      <c r="DE89" s="268"/>
      <c r="DF89" s="268"/>
      <c r="DG89" s="268"/>
      <c r="DH89" s="268"/>
      <c r="DI89" s="268"/>
      <c r="DJ89" s="268"/>
      <c r="DK89" s="268"/>
      <c r="DL89" s="268"/>
      <c r="DM89" s="268"/>
      <c r="DN89" s="268"/>
      <c r="DO89" s="268"/>
      <c r="DP89" s="268"/>
      <c r="DQ89" s="268"/>
      <c r="DR89" s="268"/>
      <c r="DS89" s="268"/>
      <c r="DT89" s="268"/>
      <c r="DU89" s="268"/>
      <c r="DV89" s="268"/>
      <c r="DW89" s="268"/>
      <c r="DX89" s="268"/>
      <c r="DY89" s="268"/>
      <c r="DZ89" s="268"/>
      <c r="EA89" s="268"/>
      <c r="EB89" s="268"/>
      <c r="EC89" s="268"/>
      <c r="ED89" s="268"/>
      <c r="EE89" s="268"/>
      <c r="EF89" s="268"/>
      <c r="EG89" s="268"/>
      <c r="EH89" s="268"/>
      <c r="EI89" s="268"/>
      <c r="EJ89" s="268"/>
      <c r="EK89" s="268"/>
      <c r="EL89" s="268"/>
      <c r="EM89" s="268"/>
      <c r="EN89" s="268"/>
      <c r="EO89" s="268"/>
      <c r="EP89" s="268"/>
      <c r="EQ89" s="268"/>
      <c r="ER89" s="268"/>
      <c r="ES89" s="268"/>
      <c r="ET89" s="268"/>
      <c r="EU89" s="268"/>
      <c r="EV89" s="268"/>
      <c r="EW89" s="268"/>
      <c r="EX89" s="268"/>
      <c r="EY89" s="268"/>
      <c r="EZ89" s="268"/>
      <c r="FA89" s="268"/>
      <c r="FB89" s="268"/>
      <c r="FC89" s="268"/>
      <c r="FD89" s="268"/>
      <c r="FE89" s="268"/>
      <c r="FF89" s="268"/>
      <c r="FG89" s="268"/>
      <c r="FH89" s="268"/>
      <c r="FI89" s="268"/>
      <c r="FJ89" s="268"/>
      <c r="FK89" s="268"/>
      <c r="FL89" s="268"/>
      <c r="FM89" s="268"/>
      <c r="FN89" s="268"/>
      <c r="FO89" s="268"/>
      <c r="FP89" s="268"/>
      <c r="FQ89" s="268"/>
      <c r="FR89" s="268"/>
      <c r="FS89" s="268"/>
      <c r="FT89" s="268"/>
      <c r="FU89" s="268"/>
      <c r="FV89" s="268"/>
      <c r="FW89" s="268"/>
      <c r="FX89" s="268"/>
      <c r="FY89" s="268"/>
      <c r="FZ89" s="268"/>
      <c r="GA89" s="268"/>
      <c r="GB89" s="268"/>
      <c r="GC89" s="268"/>
      <c r="GD89" s="268"/>
      <c r="GE89" s="268"/>
      <c r="GF89" s="268"/>
      <c r="GG89" s="268"/>
      <c r="GH89" s="268"/>
      <c r="GI89" s="268"/>
      <c r="GJ89" s="268"/>
      <c r="GK89" s="268"/>
      <c r="GL89" s="268"/>
      <c r="GM89" s="268"/>
      <c r="GN89" s="268"/>
      <c r="GO89" s="268"/>
    </row>
    <row r="90" spans="2:197" s="275" customFormat="1" ht="39.75" hidden="1" customHeight="1">
      <c r="B90" s="268"/>
      <c r="C90" s="319"/>
      <c r="D90" s="319"/>
      <c r="E90" s="319"/>
      <c r="F90" s="319"/>
      <c r="G90" s="319"/>
      <c r="H90" s="319"/>
      <c r="I90" s="319"/>
      <c r="J90" s="319"/>
      <c r="K90" s="319"/>
      <c r="L90" s="319"/>
      <c r="M90" s="319"/>
      <c r="N90" s="319">
        <v>1</v>
      </c>
      <c r="O90" s="268" t="s">
        <v>243</v>
      </c>
      <c r="P90" s="268"/>
      <c r="Q90" s="268" t="s">
        <v>460</v>
      </c>
      <c r="R90" s="375"/>
      <c r="S90" s="577"/>
      <c r="T90" s="577"/>
      <c r="U90" s="577"/>
      <c r="V90" s="552"/>
      <c r="W90" s="268"/>
      <c r="X90" s="268"/>
      <c r="Y90" s="268"/>
      <c r="Z90" s="268"/>
      <c r="AA90" s="268"/>
      <c r="AB90" s="268" t="str">
        <f>IF(AD89=2,"","21")</f>
        <v>21</v>
      </c>
      <c r="AC90" s="268">
        <v>1</v>
      </c>
      <c r="AD90" s="268" t="s">
        <v>146</v>
      </c>
      <c r="AE90" s="268" t="str">
        <f>IF(AD69=2,"","March,19")</f>
        <v>March,19</v>
      </c>
      <c r="AF90" s="268">
        <v>31</v>
      </c>
      <c r="AG90" s="268"/>
      <c r="AH90" s="268"/>
      <c r="AI90" s="268"/>
      <c r="AJ90" s="268"/>
      <c r="AK90" s="268"/>
      <c r="AL90" s="268"/>
      <c r="AM90" s="268"/>
      <c r="AN90" s="268"/>
      <c r="AO90" s="268"/>
      <c r="AP90" s="268"/>
      <c r="AQ90" s="268"/>
      <c r="AR90" s="268"/>
      <c r="AS90" s="268"/>
      <c r="AT90" s="268"/>
      <c r="AU90" s="268"/>
      <c r="AV90" s="268"/>
      <c r="AW90" s="268"/>
      <c r="AX90" s="268"/>
      <c r="AY90" s="268"/>
      <c r="AZ90" s="268"/>
      <c r="BA90" s="268"/>
      <c r="BB90" s="268"/>
      <c r="BC90" s="268"/>
      <c r="BD90" s="268"/>
      <c r="BE90" s="268"/>
      <c r="BF90" s="268"/>
      <c r="BG90" s="268"/>
      <c r="BH90" s="268"/>
      <c r="BI90" s="268"/>
      <c r="BJ90" s="268"/>
      <c r="BK90" s="268"/>
      <c r="BL90" s="268"/>
      <c r="BM90" s="268">
        <v>19</v>
      </c>
      <c r="BN90" s="268" t="s">
        <v>807</v>
      </c>
      <c r="BO90" s="268"/>
      <c r="BP90" s="268">
        <f>'Annexure -I'!D12</f>
        <v>53950</v>
      </c>
      <c r="BQ90" s="268">
        <f>'Annexure -I'!E12</f>
        <v>18093</v>
      </c>
      <c r="BR90" s="268">
        <f>'Annexure -I'!F12</f>
        <v>6474</v>
      </c>
      <c r="BS90" s="268">
        <v>0</v>
      </c>
      <c r="BT90" s="268">
        <f>'Annexure -I'!I12</f>
        <v>130</v>
      </c>
      <c r="BU90" s="268">
        <f>'Annexure -I'!J12</f>
        <v>0</v>
      </c>
      <c r="BV90" s="268">
        <f>BV74</f>
        <v>610</v>
      </c>
      <c r="BW90" s="268">
        <f>'Annexure -I'!L12</f>
        <v>0</v>
      </c>
      <c r="BX90" s="268">
        <v>0</v>
      </c>
      <c r="BY90" s="268">
        <f t="shared" si="10"/>
        <v>79257</v>
      </c>
      <c r="BZ90" s="268"/>
      <c r="CA90" s="268"/>
      <c r="CB90" s="268"/>
      <c r="CC90" s="268"/>
      <c r="CD90" s="268"/>
      <c r="CE90" s="268"/>
      <c r="CF90" s="268"/>
      <c r="CG90" s="268"/>
      <c r="CH90" s="268"/>
      <c r="CI90" s="268"/>
      <c r="CJ90" s="268"/>
      <c r="CK90" s="268"/>
      <c r="CL90" s="268"/>
      <c r="CM90" s="268"/>
      <c r="CN90" s="268"/>
      <c r="CO90" s="268"/>
      <c r="CP90" s="268"/>
      <c r="CQ90" s="268"/>
      <c r="CR90" s="268"/>
      <c r="CS90" s="268"/>
      <c r="CT90" s="268"/>
      <c r="CU90" s="268"/>
      <c r="CV90" s="268"/>
      <c r="CW90" s="268"/>
      <c r="CX90" s="268"/>
      <c r="CY90" s="268"/>
      <c r="CZ90" s="268"/>
      <c r="DA90" s="268"/>
      <c r="DB90" s="268"/>
      <c r="DC90" s="268"/>
      <c r="DD90" s="268"/>
      <c r="DE90" s="268"/>
      <c r="DF90" s="268"/>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68"/>
      <c r="EC90" s="268"/>
      <c r="ED90" s="268"/>
      <c r="EE90" s="268"/>
      <c r="EF90" s="268"/>
      <c r="EG90" s="268"/>
      <c r="EH90" s="268"/>
      <c r="EI90" s="268"/>
      <c r="EJ90" s="268"/>
      <c r="EK90" s="268"/>
      <c r="EL90" s="268"/>
      <c r="EM90" s="268"/>
      <c r="EN90" s="268"/>
      <c r="EO90" s="268"/>
      <c r="EP90" s="268"/>
      <c r="EQ90" s="268"/>
      <c r="ER90" s="268"/>
      <c r="ES90" s="268"/>
      <c r="ET90" s="268"/>
      <c r="EU90" s="268"/>
      <c r="EV90" s="268"/>
      <c r="EW90" s="268"/>
      <c r="EX90" s="268"/>
      <c r="EY90" s="268"/>
      <c r="EZ90" s="268"/>
      <c r="FA90" s="268"/>
      <c r="FB90" s="268"/>
      <c r="FC90" s="268"/>
      <c r="FD90" s="268"/>
      <c r="FE90" s="268"/>
      <c r="FF90" s="268"/>
      <c r="FG90" s="268"/>
      <c r="FH90" s="268"/>
      <c r="FI90" s="268"/>
      <c r="FJ90" s="268"/>
      <c r="FK90" s="268"/>
      <c r="FL90" s="268"/>
      <c r="FM90" s="268"/>
      <c r="FN90" s="268"/>
      <c r="FO90" s="268"/>
      <c r="FP90" s="268"/>
      <c r="FQ90" s="268"/>
      <c r="FR90" s="268"/>
      <c r="FS90" s="268"/>
      <c r="FT90" s="268"/>
      <c r="FU90" s="268"/>
      <c r="FV90" s="268"/>
      <c r="FW90" s="268"/>
      <c r="FX90" s="268"/>
      <c r="FY90" s="268"/>
      <c r="FZ90" s="268"/>
      <c r="GA90" s="268"/>
      <c r="GB90" s="268"/>
      <c r="GC90" s="268"/>
      <c r="GD90" s="268"/>
      <c r="GE90" s="268"/>
      <c r="GF90" s="268"/>
      <c r="GG90" s="268"/>
      <c r="GH90" s="268"/>
      <c r="GI90" s="268"/>
      <c r="GJ90" s="268"/>
      <c r="GK90" s="268"/>
      <c r="GL90" s="268"/>
      <c r="GM90" s="268"/>
      <c r="GN90" s="268"/>
      <c r="GO90" s="268"/>
    </row>
    <row r="91" spans="2:197" s="275" customFormat="1" ht="39.75" hidden="1" customHeight="1">
      <c r="B91" s="268"/>
      <c r="C91" s="319"/>
      <c r="D91" s="319"/>
      <c r="E91" s="319"/>
      <c r="F91" s="319"/>
      <c r="G91" s="319"/>
      <c r="H91" s="319"/>
      <c r="I91" s="319"/>
      <c r="J91" s="319"/>
      <c r="K91" s="319"/>
      <c r="L91" s="319"/>
      <c r="M91" s="319"/>
      <c r="N91" s="319">
        <v>2</v>
      </c>
      <c r="O91" s="268" t="s">
        <v>13</v>
      </c>
      <c r="P91" s="268"/>
      <c r="Q91" s="297" t="str">
        <f>CONCATENATE("To get HRA Exemption, your Rent will be Rs. ",Q99)</f>
        <v>To get HRA Exemption, your Rent will be Rs. 14100</v>
      </c>
      <c r="R91" s="268"/>
      <c r="S91" s="574"/>
      <c r="T91" s="574"/>
      <c r="U91" s="574"/>
      <c r="V91" s="552"/>
      <c r="W91" s="268"/>
      <c r="X91" s="268"/>
      <c r="Y91" s="268"/>
      <c r="Z91" s="268"/>
      <c r="AA91" s="268"/>
      <c r="AB91" s="268" t="str">
        <f>IF(AD89=2,"","22")</f>
        <v>22</v>
      </c>
      <c r="AC91" s="268">
        <v>2</v>
      </c>
      <c r="AD91" s="298">
        <v>10</v>
      </c>
      <c r="AE91" s="268" t="str">
        <f>IF(AD69=2,"","April,19")</f>
        <v>April,19</v>
      </c>
      <c r="AF91" s="268">
        <v>30</v>
      </c>
      <c r="AG91" s="268"/>
      <c r="AH91" s="268"/>
      <c r="AI91" s="268">
        <v>1</v>
      </c>
      <c r="AJ91" s="268"/>
      <c r="AK91" s="268"/>
      <c r="AL91" s="268"/>
      <c r="AM91" s="268"/>
      <c r="AN91" s="268"/>
      <c r="AO91" s="268"/>
      <c r="AP91" s="268"/>
      <c r="AQ91" s="268"/>
      <c r="AR91" s="268"/>
      <c r="AS91" s="268"/>
      <c r="AT91" s="268"/>
      <c r="AU91" s="268"/>
      <c r="AV91" s="268"/>
      <c r="AW91" s="268"/>
      <c r="AX91" s="268"/>
      <c r="AY91" s="268"/>
      <c r="AZ91" s="268"/>
      <c r="BA91" s="268"/>
      <c r="BB91" s="268"/>
      <c r="BC91" s="268"/>
      <c r="BD91" s="268"/>
      <c r="BE91" s="268"/>
      <c r="BF91" s="268"/>
      <c r="BG91" s="268"/>
      <c r="BH91" s="268"/>
      <c r="BI91" s="268"/>
      <c r="BJ91" s="268"/>
      <c r="BK91" s="268"/>
      <c r="BL91" s="268"/>
      <c r="BM91" s="268">
        <v>20</v>
      </c>
      <c r="BN91" s="268" t="s">
        <v>808</v>
      </c>
      <c r="BO91" s="268"/>
      <c r="BP91" s="268">
        <f>ROUND('Annexure -I'!D13/2,0.1)</f>
        <v>27705</v>
      </c>
      <c r="BQ91" s="268">
        <f>ROUND('Annexure -I'!E13/2,0.1)</f>
        <v>9291</v>
      </c>
      <c r="BR91" s="268">
        <f>ROUND('Annexure -I'!F13/2,0.1)</f>
        <v>3325</v>
      </c>
      <c r="BS91" s="268">
        <v>0</v>
      </c>
      <c r="BT91" s="268">
        <f>ROUND('Annexure -I'!I13/2,0.1)</f>
        <v>65</v>
      </c>
      <c r="BU91" s="268">
        <f>ROUND('Annexure -I'!J13/2,0.1)</f>
        <v>0</v>
      </c>
      <c r="BV91" s="268">
        <f>BV74/2</f>
        <v>305</v>
      </c>
      <c r="BW91" s="268">
        <f>ROUND('Annexure -I'!L13/2,0.1)</f>
        <v>0</v>
      </c>
      <c r="BX91" s="268">
        <v>0</v>
      </c>
      <c r="BY91" s="268">
        <f t="shared" si="10"/>
        <v>40691</v>
      </c>
      <c r="BZ91" s="268"/>
      <c r="CA91" s="268"/>
      <c r="CB91" s="268"/>
      <c r="CC91" s="268"/>
      <c r="CD91" s="268"/>
      <c r="CE91" s="268"/>
      <c r="CF91" s="268"/>
      <c r="CG91" s="268"/>
      <c r="CH91" s="268"/>
      <c r="CI91" s="268"/>
      <c r="CJ91" s="268"/>
      <c r="CK91" s="268"/>
      <c r="CL91" s="268"/>
      <c r="CM91" s="268"/>
      <c r="CN91" s="268"/>
      <c r="CO91" s="268"/>
      <c r="CP91" s="268"/>
      <c r="CQ91" s="268"/>
      <c r="CR91" s="268"/>
      <c r="CS91" s="268"/>
      <c r="CT91" s="268"/>
      <c r="CU91" s="268"/>
      <c r="CV91" s="268"/>
      <c r="CW91" s="268"/>
      <c r="CX91" s="268"/>
      <c r="CY91" s="268"/>
      <c r="CZ91" s="268"/>
      <c r="DA91" s="268"/>
      <c r="DB91" s="268"/>
      <c r="DC91" s="268"/>
      <c r="DD91" s="268"/>
      <c r="DE91" s="268"/>
      <c r="DF91" s="268"/>
      <c r="DG91" s="268"/>
      <c r="DH91" s="268"/>
      <c r="DI91" s="268"/>
      <c r="DJ91" s="268"/>
      <c r="DK91" s="268"/>
      <c r="DL91" s="268"/>
      <c r="DM91" s="268"/>
      <c r="DN91" s="268"/>
      <c r="DO91" s="268"/>
      <c r="DP91" s="268"/>
      <c r="DQ91" s="268"/>
      <c r="DR91" s="268"/>
      <c r="DS91" s="268"/>
      <c r="DT91" s="268"/>
      <c r="DU91" s="268"/>
      <c r="DV91" s="268"/>
      <c r="DW91" s="268"/>
      <c r="DX91" s="268"/>
      <c r="DY91" s="268"/>
      <c r="DZ91" s="268"/>
      <c r="EA91" s="268"/>
      <c r="EB91" s="268"/>
      <c r="EC91" s="268"/>
      <c r="ED91" s="268"/>
      <c r="EE91" s="268"/>
      <c r="EF91" s="268"/>
      <c r="EG91" s="268"/>
      <c r="EH91" s="268"/>
      <c r="EI91" s="268"/>
      <c r="EJ91" s="268"/>
      <c r="EK91" s="268"/>
      <c r="EL91" s="268"/>
      <c r="EM91" s="268"/>
      <c r="EN91" s="268"/>
      <c r="EO91" s="268"/>
      <c r="EP91" s="268"/>
      <c r="EQ91" s="268"/>
      <c r="ER91" s="268"/>
      <c r="ES91" s="268"/>
      <c r="ET91" s="268"/>
      <c r="EU91" s="268"/>
      <c r="EV91" s="268"/>
      <c r="EW91" s="268"/>
      <c r="EX91" s="268"/>
      <c r="EY91" s="268"/>
      <c r="EZ91" s="268"/>
      <c r="FA91" s="268"/>
      <c r="FB91" s="268"/>
      <c r="FC91" s="268"/>
      <c r="FD91" s="268"/>
      <c r="FE91" s="268"/>
      <c r="FF91" s="268"/>
      <c r="FG91" s="268"/>
      <c r="FH91" s="268"/>
      <c r="FI91" s="268"/>
      <c r="FJ91" s="268"/>
      <c r="FK91" s="268"/>
      <c r="FL91" s="268"/>
      <c r="FM91" s="268"/>
      <c r="FN91" s="268"/>
      <c r="FO91" s="268"/>
      <c r="FP91" s="268"/>
      <c r="FQ91" s="268"/>
      <c r="FR91" s="268"/>
      <c r="FS91" s="268"/>
      <c r="FT91" s="268"/>
      <c r="FU91" s="268"/>
      <c r="FV91" s="268"/>
      <c r="FW91" s="268"/>
      <c r="FX91" s="268"/>
      <c r="FY91" s="268"/>
      <c r="FZ91" s="268"/>
      <c r="GA91" s="268"/>
      <c r="GB91" s="268"/>
      <c r="GC91" s="268"/>
      <c r="GD91" s="268"/>
      <c r="GE91" s="268"/>
      <c r="GF91" s="268"/>
      <c r="GG91" s="268"/>
      <c r="GH91" s="268"/>
      <c r="GI91" s="268"/>
      <c r="GJ91" s="268"/>
      <c r="GK91" s="268"/>
      <c r="GL91" s="268"/>
      <c r="GM91" s="268"/>
      <c r="GN91" s="268"/>
      <c r="GO91" s="268"/>
    </row>
    <row r="92" spans="2:197" s="275" customFormat="1" ht="39.75" hidden="1" customHeight="1">
      <c r="B92" s="268"/>
      <c r="C92" s="319"/>
      <c r="D92" s="319"/>
      <c r="E92" s="319"/>
      <c r="F92" s="319"/>
      <c r="G92" s="319"/>
      <c r="H92" s="319"/>
      <c r="I92" s="319"/>
      <c r="J92" s="319"/>
      <c r="K92" s="319"/>
      <c r="L92" s="319"/>
      <c r="M92" s="319"/>
      <c r="N92" s="319"/>
      <c r="O92" s="268"/>
      <c r="P92" s="268"/>
      <c r="Q92" s="268"/>
      <c r="R92" s="268"/>
      <c r="S92" s="574"/>
      <c r="T92" s="574"/>
      <c r="U92" s="574"/>
      <c r="V92" s="552"/>
      <c r="W92" s="268"/>
      <c r="X92" s="268"/>
      <c r="Y92" s="268"/>
      <c r="Z92" s="268"/>
      <c r="AA92" s="268"/>
      <c r="AB92" s="268" t="str">
        <f>IF(AD89=2,"","23")</f>
        <v>23</v>
      </c>
      <c r="AC92" s="268">
        <v>3</v>
      </c>
      <c r="AD92" s="268" t="str">
        <f>VLOOKUP(AD91+1,AD75:AE86,2,0)</f>
        <v>Dec,19</v>
      </c>
      <c r="AE92" s="268" t="str">
        <f>IF(AD69=2,"","May,19")</f>
        <v>May,19</v>
      </c>
      <c r="AF92" s="268">
        <v>31</v>
      </c>
      <c r="AG92" s="268"/>
      <c r="AH92" s="268"/>
      <c r="AI92" s="268"/>
      <c r="AJ92" s="268"/>
      <c r="AK92" s="268"/>
      <c r="AL92" s="268"/>
      <c r="AM92" s="268"/>
      <c r="AN92" s="268"/>
      <c r="AO92" s="268"/>
      <c r="AP92" s="268"/>
      <c r="AX92" s="268"/>
      <c r="AY92" s="268"/>
      <c r="AZ92" s="268"/>
      <c r="BA92" s="268"/>
      <c r="BB92" s="268"/>
      <c r="BC92" s="268"/>
      <c r="BD92" s="268"/>
      <c r="BE92" s="268"/>
      <c r="BF92" s="268"/>
      <c r="BG92" s="268"/>
      <c r="BH92" s="268"/>
      <c r="BI92" s="268"/>
      <c r="BJ92" s="268"/>
      <c r="BK92" s="268"/>
      <c r="BL92" s="268"/>
      <c r="BM92" s="268">
        <v>21</v>
      </c>
      <c r="BN92" s="268" t="s">
        <v>809</v>
      </c>
      <c r="BO92" s="268"/>
      <c r="BP92" s="268">
        <f>'Annexure -I'!D13</f>
        <v>55410</v>
      </c>
      <c r="BQ92" s="268">
        <f>'Annexure -I'!E13</f>
        <v>18582</v>
      </c>
      <c r="BR92" s="268">
        <f>'Annexure -I'!F13</f>
        <v>6649</v>
      </c>
      <c r="BS92" s="268">
        <v>0</v>
      </c>
      <c r="BT92" s="268">
        <f>'Annexure -I'!I13</f>
        <v>130</v>
      </c>
      <c r="BU92" s="268">
        <f>'Annexure -I'!J13</f>
        <v>0</v>
      </c>
      <c r="BV92" s="268">
        <f>BV74</f>
        <v>610</v>
      </c>
      <c r="BW92" s="268">
        <f>'Annexure -I'!L13</f>
        <v>0</v>
      </c>
      <c r="BX92" s="268">
        <v>0</v>
      </c>
      <c r="BY92" s="268">
        <f t="shared" si="10"/>
        <v>81381</v>
      </c>
      <c r="BZ92" s="268"/>
      <c r="CA92" s="268"/>
      <c r="CB92" s="268"/>
      <c r="CC92" s="268"/>
      <c r="CD92" s="268"/>
      <c r="CE92" s="268"/>
      <c r="CF92" s="268"/>
      <c r="CG92" s="268"/>
      <c r="CH92" s="268"/>
      <c r="CI92" s="268"/>
      <c r="CJ92" s="268"/>
      <c r="CK92" s="268"/>
      <c r="CL92" s="268"/>
      <c r="CM92" s="268"/>
      <c r="CN92" s="268"/>
      <c r="CO92" s="268"/>
      <c r="CP92" s="268"/>
      <c r="CQ92" s="268"/>
      <c r="CR92" s="268"/>
      <c r="CS92" s="268"/>
      <c r="CT92" s="268"/>
      <c r="CU92" s="268"/>
      <c r="CV92" s="268"/>
      <c r="CW92" s="268"/>
      <c r="CX92" s="268"/>
      <c r="CY92" s="268"/>
      <c r="CZ92" s="268"/>
      <c r="DA92" s="268"/>
      <c r="DB92" s="268"/>
      <c r="DC92" s="268"/>
      <c r="DD92" s="268"/>
      <c r="DE92" s="268"/>
      <c r="DF92" s="268"/>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268"/>
      <c r="EC92" s="268"/>
      <c r="ED92" s="268"/>
      <c r="EE92" s="268"/>
      <c r="EF92" s="268"/>
      <c r="EG92" s="268"/>
      <c r="EH92" s="268"/>
      <c r="EI92" s="268"/>
      <c r="EJ92" s="268"/>
      <c r="EK92" s="268"/>
      <c r="EL92" s="268"/>
      <c r="EM92" s="268"/>
      <c r="EN92" s="268"/>
      <c r="EO92" s="268"/>
      <c r="EP92" s="268"/>
      <c r="EQ92" s="268"/>
      <c r="ER92" s="268"/>
      <c r="ES92" s="268"/>
      <c r="ET92" s="268"/>
      <c r="EU92" s="268"/>
      <c r="EV92" s="268"/>
      <c r="EW92" s="268"/>
      <c r="EX92" s="268"/>
      <c r="EY92" s="268"/>
      <c r="EZ92" s="268"/>
      <c r="FA92" s="268"/>
      <c r="FB92" s="268"/>
      <c r="FC92" s="268"/>
      <c r="FD92" s="268"/>
      <c r="FE92" s="268"/>
      <c r="FF92" s="268"/>
      <c r="FG92" s="268"/>
      <c r="FH92" s="268"/>
      <c r="FI92" s="268"/>
      <c r="FJ92" s="268"/>
      <c r="FK92" s="268"/>
      <c r="FL92" s="268"/>
      <c r="FM92" s="268"/>
      <c r="FN92" s="268"/>
      <c r="FO92" s="268"/>
      <c r="FP92" s="268"/>
      <c r="FQ92" s="268"/>
      <c r="FR92" s="268"/>
      <c r="FS92" s="268"/>
      <c r="FT92" s="268"/>
      <c r="FU92" s="268"/>
      <c r="FV92" s="268"/>
      <c r="FW92" s="268"/>
      <c r="FX92" s="268"/>
      <c r="FY92" s="268"/>
      <c r="FZ92" s="268"/>
      <c r="GA92" s="268"/>
      <c r="GB92" s="268"/>
      <c r="GC92" s="268"/>
      <c r="GD92" s="268"/>
      <c r="GE92" s="268"/>
      <c r="GF92" s="268"/>
      <c r="GG92" s="268"/>
      <c r="GH92" s="268"/>
      <c r="GI92" s="268"/>
      <c r="GJ92" s="268"/>
      <c r="GK92" s="268"/>
      <c r="GL92" s="268"/>
      <c r="GM92" s="268"/>
      <c r="GN92" s="268"/>
      <c r="GO92" s="268"/>
    </row>
    <row r="93" spans="2:197" s="275" customFormat="1" ht="39.75" hidden="1" customHeight="1">
      <c r="B93" s="268"/>
      <c r="C93" s="319"/>
      <c r="D93" s="319"/>
      <c r="E93" s="319"/>
      <c r="F93" s="319"/>
      <c r="G93" s="319"/>
      <c r="H93" s="319"/>
      <c r="I93" s="319"/>
      <c r="J93" s="319"/>
      <c r="K93" s="319"/>
      <c r="L93" s="319"/>
      <c r="N93" s="319"/>
      <c r="O93" s="268"/>
      <c r="P93" s="268"/>
      <c r="Q93" s="268" t="s">
        <v>4</v>
      </c>
      <c r="R93" s="268"/>
      <c r="S93" s="574"/>
      <c r="T93" s="574"/>
      <c r="U93" s="574"/>
      <c r="V93" s="552"/>
      <c r="W93" s="268"/>
      <c r="X93" s="268"/>
      <c r="Y93" s="268"/>
      <c r="Z93" s="268"/>
      <c r="AA93" s="268"/>
      <c r="AB93" s="268" t="str">
        <f>IF(AD89=2,"","24")</f>
        <v>24</v>
      </c>
      <c r="AC93" s="268">
        <v>4</v>
      </c>
      <c r="AD93" s="268"/>
      <c r="AE93" s="268" t="str">
        <f>IF(AD69=2,"","June,19")</f>
        <v>June,19</v>
      </c>
      <c r="AF93" s="268">
        <v>30</v>
      </c>
      <c r="AG93" s="268"/>
      <c r="AH93" s="268"/>
      <c r="AI93" s="268"/>
      <c r="AJ93" s="268"/>
      <c r="AK93" s="268"/>
      <c r="AL93" s="268"/>
      <c r="AM93" s="268"/>
      <c r="AN93" s="268"/>
      <c r="AO93" s="268"/>
      <c r="AP93" s="268"/>
      <c r="AX93" s="268"/>
      <c r="AY93" s="268"/>
      <c r="AZ93" s="268"/>
      <c r="BA93" s="268"/>
      <c r="BB93" s="268"/>
      <c r="BC93" s="268"/>
      <c r="BD93" s="268"/>
      <c r="BE93" s="268"/>
      <c r="BF93" s="268"/>
      <c r="BG93" s="268"/>
      <c r="BH93" s="268"/>
      <c r="BI93" s="268"/>
      <c r="BJ93" s="268"/>
      <c r="BK93" s="268"/>
      <c r="BL93" s="268"/>
      <c r="BM93" s="268">
        <v>22</v>
      </c>
      <c r="BN93" s="268" t="s">
        <v>810</v>
      </c>
      <c r="BO93" s="268"/>
      <c r="BP93" s="268">
        <f>ROUND('Annexure -I'!D14/2,0.1)</f>
        <v>28435</v>
      </c>
      <c r="BQ93" s="268">
        <f>ROUND('Annexure -I'!E14/2,0.1)</f>
        <v>9536</v>
      </c>
      <c r="BR93" s="268">
        <f>ROUND('Annexure -I'!F14/2,0.1)</f>
        <v>3412</v>
      </c>
      <c r="BS93" s="268">
        <v>0</v>
      </c>
      <c r="BT93" s="268">
        <f>ROUND('Annexure -I'!I14/2,0.1)</f>
        <v>65</v>
      </c>
      <c r="BU93" s="268">
        <f>ROUND('Annexure -I'!J14/2,0.1)</f>
        <v>0</v>
      </c>
      <c r="BV93" s="268">
        <f>BV74/2</f>
        <v>305</v>
      </c>
      <c r="BW93" s="268">
        <f>ROUND('Annexure -I'!L14/2,0.1)</f>
        <v>0</v>
      </c>
      <c r="BX93" s="268">
        <v>0</v>
      </c>
      <c r="BY93" s="268">
        <f t="shared" si="10"/>
        <v>41753</v>
      </c>
      <c r="BZ93" s="268"/>
      <c r="CA93" s="268"/>
      <c r="CB93" s="268"/>
      <c r="CC93" s="268"/>
      <c r="CD93" s="268"/>
      <c r="CE93" s="268"/>
      <c r="CF93" s="268"/>
      <c r="CG93" s="268"/>
      <c r="CH93" s="268"/>
      <c r="CI93" s="268"/>
      <c r="CJ93" s="268"/>
      <c r="CK93" s="268"/>
      <c r="CL93" s="268"/>
      <c r="CM93" s="268"/>
      <c r="CN93" s="268"/>
      <c r="CO93" s="268"/>
      <c r="CP93" s="268"/>
      <c r="CQ93" s="268"/>
      <c r="CR93" s="268"/>
      <c r="CS93" s="268"/>
      <c r="CT93" s="268"/>
      <c r="CU93" s="268"/>
      <c r="CV93" s="268"/>
      <c r="CW93" s="268"/>
      <c r="CX93" s="268"/>
      <c r="CY93" s="268"/>
      <c r="CZ93" s="268"/>
      <c r="DA93" s="268"/>
      <c r="DB93" s="268"/>
      <c r="DC93" s="268"/>
      <c r="DD93" s="268"/>
      <c r="DE93" s="268"/>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68"/>
      <c r="EB93" s="268"/>
      <c r="EC93" s="268"/>
      <c r="ED93" s="268"/>
      <c r="EE93" s="268"/>
      <c r="EF93" s="268"/>
      <c r="EG93" s="268"/>
      <c r="EH93" s="268"/>
      <c r="EI93" s="268"/>
      <c r="EJ93" s="268"/>
      <c r="EK93" s="268"/>
      <c r="EL93" s="268"/>
      <c r="EM93" s="268"/>
      <c r="EN93" s="268"/>
      <c r="EO93" s="268"/>
      <c r="EP93" s="268"/>
      <c r="EQ93" s="268"/>
      <c r="ER93" s="268"/>
      <c r="ES93" s="268"/>
      <c r="ET93" s="268"/>
      <c r="EU93" s="268"/>
      <c r="EV93" s="268"/>
      <c r="EW93" s="268"/>
      <c r="EX93" s="268"/>
      <c r="EY93" s="268"/>
      <c r="EZ93" s="268"/>
      <c r="FA93" s="268"/>
      <c r="FB93" s="268"/>
      <c r="FC93" s="268"/>
      <c r="FD93" s="268"/>
      <c r="FE93" s="268"/>
      <c r="FF93" s="268"/>
      <c r="FG93" s="268"/>
      <c r="FH93" s="268"/>
      <c r="FI93" s="268"/>
      <c r="FJ93" s="268"/>
      <c r="FK93" s="268"/>
      <c r="FL93" s="268"/>
      <c r="FM93" s="268"/>
      <c r="FN93" s="268"/>
      <c r="FO93" s="268"/>
      <c r="FP93" s="268"/>
      <c r="FQ93" s="268"/>
      <c r="FR93" s="268"/>
      <c r="FS93" s="268"/>
      <c r="FT93" s="268"/>
      <c r="FU93" s="268"/>
      <c r="FV93" s="268"/>
      <c r="FW93" s="268"/>
      <c r="FX93" s="268"/>
      <c r="FY93" s="268"/>
      <c r="FZ93" s="268"/>
      <c r="GA93" s="268"/>
      <c r="GB93" s="268"/>
      <c r="GC93" s="268"/>
      <c r="GD93" s="268"/>
      <c r="GE93" s="268"/>
      <c r="GF93" s="268"/>
      <c r="GG93" s="268"/>
      <c r="GH93" s="268"/>
      <c r="GI93" s="268"/>
      <c r="GJ93" s="268"/>
      <c r="GK93" s="268"/>
      <c r="GL93" s="268"/>
      <c r="GM93" s="268"/>
      <c r="GN93" s="268"/>
      <c r="GO93" s="268"/>
    </row>
    <row r="94" spans="2:197" s="275" customFormat="1" ht="39.75" hidden="1" customHeight="1">
      <c r="B94" s="268"/>
      <c r="C94" s="319"/>
      <c r="D94" s="319"/>
      <c r="E94" s="319"/>
      <c r="F94" s="319"/>
      <c r="G94" s="319"/>
      <c r="H94" s="319"/>
      <c r="I94" s="319"/>
      <c r="J94" s="319"/>
      <c r="K94" s="319"/>
      <c r="L94" s="319"/>
      <c r="M94" s="319"/>
      <c r="N94" s="319"/>
      <c r="O94" s="268"/>
      <c r="P94" s="268"/>
      <c r="Q94" s="268" t="s">
        <v>2</v>
      </c>
      <c r="R94" s="268"/>
      <c r="S94" s="574"/>
      <c r="T94" s="574"/>
      <c r="U94" s="574"/>
      <c r="V94" s="552"/>
      <c r="W94" s="268"/>
      <c r="X94" s="268"/>
      <c r="Y94" s="268"/>
      <c r="Z94" s="268"/>
      <c r="AA94" s="268"/>
      <c r="AB94" s="268" t="str">
        <f>IF(AD89=2,"","25")</f>
        <v>25</v>
      </c>
      <c r="AC94" s="268">
        <v>5</v>
      </c>
      <c r="AD94" s="268"/>
      <c r="AE94" s="268" t="str">
        <f>IF(AD69=2,"","July,19")</f>
        <v>July,19</v>
      </c>
      <c r="AF94" s="268">
        <v>31</v>
      </c>
      <c r="AG94" s="268"/>
      <c r="AH94" s="268"/>
      <c r="AI94" s="268"/>
      <c r="AJ94" s="268"/>
      <c r="AK94" s="268"/>
      <c r="AL94" s="268"/>
      <c r="AM94" s="268"/>
      <c r="AN94" s="268"/>
      <c r="AO94" s="268"/>
      <c r="AP94" s="268"/>
      <c r="AQ94" s="268"/>
      <c r="AR94" s="268"/>
      <c r="AS94" s="268"/>
      <c r="AT94" s="268"/>
      <c r="AU94" s="268"/>
      <c r="AV94" s="268"/>
      <c r="AW94" s="268"/>
      <c r="AX94" s="268"/>
      <c r="AY94" s="268"/>
      <c r="AZ94" s="268"/>
      <c r="BA94" s="268"/>
      <c r="BB94" s="268"/>
      <c r="BC94" s="268"/>
      <c r="BD94" s="268"/>
      <c r="BE94" s="268"/>
      <c r="BF94" s="268"/>
      <c r="BG94" s="268"/>
      <c r="BH94" s="268"/>
      <c r="BI94" s="268"/>
      <c r="BJ94" s="268"/>
      <c r="BK94" s="268"/>
      <c r="BL94" s="268"/>
      <c r="BM94" s="268">
        <v>23</v>
      </c>
      <c r="BN94" s="268" t="s">
        <v>811</v>
      </c>
      <c r="BO94" s="268"/>
      <c r="BP94" s="268">
        <f>'Annexure -I'!D14</f>
        <v>56870</v>
      </c>
      <c r="BQ94" s="268">
        <f>'Annexure -I'!E14</f>
        <v>19072</v>
      </c>
      <c r="BR94" s="268">
        <f>'Annexure -I'!F14</f>
        <v>6824</v>
      </c>
      <c r="BS94" s="268">
        <v>0</v>
      </c>
      <c r="BT94" s="268">
        <f>'Annexure -I'!I14</f>
        <v>130</v>
      </c>
      <c r="BU94" s="268">
        <f>'Annexure -I'!J14</f>
        <v>0</v>
      </c>
      <c r="BV94" s="268">
        <f>BV74</f>
        <v>610</v>
      </c>
      <c r="BW94" s="268">
        <f>'Annexure -I'!L14</f>
        <v>0</v>
      </c>
      <c r="BX94" s="268">
        <v>0</v>
      </c>
      <c r="BY94" s="268">
        <f t="shared" si="10"/>
        <v>83506</v>
      </c>
      <c r="BZ94" s="268"/>
      <c r="CA94" s="268"/>
      <c r="CB94" s="268"/>
      <c r="CC94" s="268"/>
      <c r="CD94" s="268"/>
      <c r="CE94" s="268"/>
      <c r="CF94" s="268"/>
      <c r="CG94" s="268"/>
      <c r="CH94" s="268"/>
      <c r="CI94" s="268"/>
      <c r="CJ94" s="268"/>
      <c r="CK94" s="268"/>
      <c r="CL94" s="268"/>
      <c r="CM94" s="268"/>
      <c r="CN94" s="268"/>
      <c r="CO94" s="268"/>
      <c r="CP94" s="268"/>
      <c r="CQ94" s="268"/>
      <c r="CR94" s="268"/>
      <c r="CS94" s="268"/>
      <c r="CT94" s="268"/>
      <c r="CU94" s="268"/>
      <c r="CV94" s="268"/>
      <c r="CW94" s="268"/>
      <c r="CX94" s="268"/>
      <c r="CY94" s="268"/>
      <c r="CZ94" s="268"/>
      <c r="DA94" s="268"/>
      <c r="DB94" s="268"/>
      <c r="DC94" s="268"/>
      <c r="DD94" s="268"/>
      <c r="DE94" s="268"/>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8"/>
      <c r="EB94" s="268"/>
      <c r="EC94" s="268"/>
      <c r="ED94" s="268"/>
      <c r="EE94" s="268"/>
      <c r="EF94" s="268"/>
      <c r="EG94" s="268"/>
      <c r="EH94" s="268"/>
      <c r="EI94" s="268"/>
      <c r="EJ94" s="268"/>
      <c r="EK94" s="268"/>
      <c r="EL94" s="268"/>
      <c r="EM94" s="268"/>
      <c r="EN94" s="268"/>
      <c r="EO94" s="268"/>
      <c r="EP94" s="268"/>
      <c r="EQ94" s="268"/>
      <c r="ER94" s="268"/>
      <c r="ES94" s="268"/>
      <c r="ET94" s="268"/>
      <c r="EU94" s="268"/>
      <c r="EV94" s="268"/>
      <c r="EW94" s="268"/>
      <c r="EX94" s="268"/>
      <c r="EY94" s="268"/>
      <c r="EZ94" s="268"/>
      <c r="FA94" s="268"/>
      <c r="FB94" s="268"/>
      <c r="FC94" s="268"/>
      <c r="FD94" s="268"/>
      <c r="FE94" s="268"/>
      <c r="FF94" s="268"/>
      <c r="FG94" s="268"/>
      <c r="FH94" s="268"/>
      <c r="FI94" s="268"/>
      <c r="FJ94" s="268"/>
      <c r="FK94" s="268"/>
      <c r="FL94" s="268"/>
      <c r="FM94" s="268"/>
      <c r="FN94" s="268"/>
      <c r="FO94" s="268"/>
      <c r="FP94" s="268"/>
      <c r="FQ94" s="268"/>
      <c r="FR94" s="268"/>
      <c r="FS94" s="268"/>
      <c r="FT94" s="268"/>
      <c r="FU94" s="268"/>
      <c r="FV94" s="268"/>
      <c r="FW94" s="268"/>
      <c r="FX94" s="268"/>
      <c r="FY94" s="268"/>
      <c r="FZ94" s="268"/>
      <c r="GA94" s="268"/>
      <c r="GB94" s="268"/>
      <c r="GC94" s="268"/>
      <c r="GD94" s="268"/>
      <c r="GE94" s="268"/>
      <c r="GF94" s="268"/>
      <c r="GG94" s="268"/>
      <c r="GH94" s="268"/>
      <c r="GI94" s="268"/>
      <c r="GJ94" s="268"/>
      <c r="GK94" s="268"/>
      <c r="GL94" s="268"/>
      <c r="GM94" s="268"/>
      <c r="GN94" s="268"/>
      <c r="GO94" s="268"/>
    </row>
    <row r="95" spans="2:197" s="275" customFormat="1" ht="39.75" hidden="1" customHeight="1">
      <c r="B95" s="268"/>
      <c r="C95" s="319"/>
      <c r="D95" s="319"/>
      <c r="E95" s="319"/>
      <c r="F95" s="319"/>
      <c r="G95" s="319"/>
      <c r="H95" s="319"/>
      <c r="I95" s="319"/>
      <c r="J95" s="319"/>
      <c r="K95" s="319"/>
      <c r="L95" s="319"/>
      <c r="M95" s="319"/>
      <c r="N95" s="319"/>
      <c r="O95" s="268"/>
      <c r="P95" s="268"/>
      <c r="Q95" s="268" t="s">
        <v>3</v>
      </c>
      <c r="S95" s="574">
        <f>'Annexure -I'!F23</f>
        <v>78637</v>
      </c>
      <c r="T95" s="574"/>
      <c r="U95" s="574"/>
      <c r="V95" s="552"/>
      <c r="W95" s="268"/>
      <c r="X95" s="268"/>
      <c r="Y95" s="268"/>
      <c r="Z95" s="268"/>
      <c r="AA95" s="268"/>
      <c r="AB95" s="268" t="str">
        <f>IF(AD89=2,"","26")</f>
        <v>26</v>
      </c>
      <c r="AC95" s="268">
        <v>6</v>
      </c>
      <c r="AD95" s="268"/>
      <c r="AE95" s="268" t="str">
        <f>IF(AD69=2,"","Aug,19")</f>
        <v>Aug,19</v>
      </c>
      <c r="AF95" s="268">
        <v>31</v>
      </c>
      <c r="AG95" s="268"/>
      <c r="AH95" s="268"/>
      <c r="AI95" s="268"/>
      <c r="AJ95" s="268"/>
      <c r="AK95" s="268"/>
      <c r="AL95" s="268"/>
      <c r="AM95" s="268"/>
      <c r="AN95" s="903" t="s">
        <v>171</v>
      </c>
      <c r="AO95" s="904"/>
      <c r="AP95" s="267">
        <v>33.536000000000001</v>
      </c>
      <c r="AQ95" s="267">
        <v>30.391999999999999</v>
      </c>
      <c r="AR95" s="267"/>
      <c r="AS95" s="268"/>
      <c r="AT95" s="268"/>
      <c r="AU95" s="268"/>
      <c r="AV95" s="268"/>
      <c r="AW95" s="268"/>
      <c r="AX95" s="298"/>
      <c r="AY95" s="298"/>
      <c r="AZ95" s="298"/>
      <c r="BA95" s="298"/>
      <c r="BB95" s="268"/>
      <c r="BC95" s="268"/>
      <c r="BD95" s="268"/>
      <c r="BE95" s="268"/>
      <c r="BF95" s="268"/>
      <c r="BG95" s="268"/>
      <c r="BH95" s="268"/>
      <c r="BI95" s="268"/>
      <c r="BJ95" s="268"/>
      <c r="BK95" s="268"/>
      <c r="BL95" s="268"/>
      <c r="BM95" s="268">
        <v>24</v>
      </c>
      <c r="BN95" s="268" t="s">
        <v>812</v>
      </c>
      <c r="BO95" s="268"/>
      <c r="BP95" s="268">
        <f>ROUND('Annexure -I'!D15/2,0.1)</f>
        <v>28435</v>
      </c>
      <c r="BQ95" s="268">
        <f>ROUND('Annexure -I'!E15/2,0.1)</f>
        <v>9536</v>
      </c>
      <c r="BR95" s="268">
        <f>ROUND('Annexure -I'!F15/2,0.1)</f>
        <v>3412</v>
      </c>
      <c r="BS95" s="268">
        <v>0</v>
      </c>
      <c r="BT95" s="268">
        <f>ROUND('Annexure -I'!I15/2,0.1)</f>
        <v>65</v>
      </c>
      <c r="BU95" s="268">
        <f>ROUND('Annexure -I'!J15/2,0.1)</f>
        <v>0</v>
      </c>
      <c r="BV95" s="268">
        <f>BV74/2</f>
        <v>305</v>
      </c>
      <c r="BW95" s="268">
        <f>ROUND('Annexure -I'!L15/2,0.1)</f>
        <v>0</v>
      </c>
      <c r="BX95" s="268">
        <v>0</v>
      </c>
      <c r="BY95" s="268">
        <f>SUM(BP95:BX95)</f>
        <v>41753</v>
      </c>
      <c r="BZ95" s="268"/>
      <c r="CA95" s="268"/>
      <c r="CB95" s="268"/>
      <c r="CC95" s="268"/>
      <c r="CD95" s="268"/>
      <c r="CE95" s="268"/>
      <c r="CF95" s="268"/>
      <c r="CG95" s="268"/>
      <c r="CH95" s="268"/>
      <c r="CI95" s="268"/>
      <c r="CJ95" s="268"/>
      <c r="CK95" s="268"/>
      <c r="CL95" s="268"/>
      <c r="CM95" s="268"/>
      <c r="CN95" s="268"/>
      <c r="CO95" s="268"/>
      <c r="CP95" s="268"/>
      <c r="CQ95" s="268"/>
      <c r="CR95" s="268"/>
      <c r="CS95" s="268"/>
      <c r="CT95" s="268"/>
      <c r="CU95" s="268"/>
      <c r="CV95" s="268"/>
      <c r="CW95" s="268"/>
      <c r="CX95" s="268"/>
      <c r="CY95" s="268"/>
      <c r="CZ95" s="268"/>
      <c r="DA95" s="268"/>
      <c r="DB95" s="268"/>
      <c r="DC95" s="268"/>
      <c r="DD95" s="268"/>
      <c r="DE95" s="268"/>
      <c r="DF95" s="268"/>
      <c r="DG95" s="268"/>
      <c r="DH95" s="268"/>
      <c r="DI95" s="268"/>
      <c r="DJ95" s="268"/>
      <c r="DK95" s="268"/>
      <c r="DL95" s="268"/>
      <c r="DM95" s="268"/>
      <c r="DN95" s="268"/>
      <c r="DO95" s="268"/>
      <c r="DP95" s="268"/>
      <c r="DQ95" s="268"/>
      <c r="DR95" s="268"/>
      <c r="DS95" s="268"/>
      <c r="DT95" s="268"/>
      <c r="DU95" s="268"/>
      <c r="DV95" s="268"/>
      <c r="DW95" s="268"/>
      <c r="DX95" s="268"/>
      <c r="DY95" s="268"/>
      <c r="DZ95" s="268"/>
      <c r="EA95" s="268"/>
      <c r="EB95" s="268"/>
      <c r="EC95" s="268"/>
      <c r="ED95" s="268"/>
      <c r="EE95" s="268"/>
      <c r="EF95" s="268"/>
      <c r="EG95" s="268"/>
      <c r="EH95" s="268"/>
      <c r="EI95" s="268"/>
      <c r="EJ95" s="268"/>
      <c r="EK95" s="268"/>
      <c r="EL95" s="268"/>
      <c r="EM95" s="268"/>
      <c r="EN95" s="268"/>
      <c r="EO95" s="268"/>
      <c r="EP95" s="268"/>
      <c r="EQ95" s="268"/>
      <c r="ER95" s="268"/>
      <c r="ES95" s="268"/>
      <c r="ET95" s="268"/>
      <c r="EU95" s="268"/>
      <c r="EV95" s="268"/>
      <c r="EW95" s="268"/>
      <c r="EX95" s="268"/>
      <c r="EY95" s="268"/>
      <c r="EZ95" s="268"/>
      <c r="FA95" s="268"/>
      <c r="FB95" s="268"/>
      <c r="FC95" s="268"/>
      <c r="FD95" s="268"/>
      <c r="FE95" s="268"/>
      <c r="FF95" s="268"/>
      <c r="FG95" s="268"/>
      <c r="FH95" s="268"/>
      <c r="FI95" s="268"/>
      <c r="FJ95" s="268"/>
      <c r="FK95" s="268"/>
      <c r="FL95" s="268"/>
      <c r="FM95" s="268"/>
      <c r="FN95" s="268"/>
      <c r="FO95" s="268"/>
      <c r="FP95" s="268"/>
      <c r="FQ95" s="268"/>
      <c r="FR95" s="268"/>
      <c r="FS95" s="268"/>
      <c r="FT95" s="268"/>
      <c r="FU95" s="268"/>
      <c r="FV95" s="268"/>
      <c r="FW95" s="268"/>
      <c r="FX95" s="268"/>
      <c r="FY95" s="268"/>
      <c r="FZ95" s="268"/>
      <c r="GA95" s="268"/>
      <c r="GB95" s="268"/>
      <c r="GC95" s="268"/>
      <c r="GD95" s="268"/>
      <c r="GE95" s="268"/>
      <c r="GF95" s="268"/>
      <c r="GG95" s="268"/>
      <c r="GH95" s="268"/>
      <c r="GI95" s="268"/>
      <c r="GJ95" s="268"/>
      <c r="GK95" s="268"/>
      <c r="GL95" s="268"/>
      <c r="GM95" s="268"/>
      <c r="GN95" s="268"/>
      <c r="GO95" s="268"/>
    </row>
    <row r="96" spans="2:197" s="275" customFormat="1" ht="39.75" hidden="1" customHeight="1">
      <c r="B96" s="268"/>
      <c r="C96" s="319"/>
      <c r="D96" s="319"/>
      <c r="E96" s="319"/>
      <c r="F96" s="319"/>
      <c r="G96" s="319"/>
      <c r="H96" s="319"/>
      <c r="I96" s="319"/>
      <c r="J96" s="319"/>
      <c r="K96" s="319"/>
      <c r="L96" s="319"/>
      <c r="M96" s="319"/>
      <c r="N96" s="319"/>
      <c r="O96" s="268"/>
      <c r="P96" s="268"/>
      <c r="Q96" s="268" t="s">
        <v>157</v>
      </c>
      <c r="S96" s="598">
        <f>'Annexure -I'!D23</f>
        <v>655313</v>
      </c>
      <c r="T96" s="574"/>
      <c r="U96" s="574"/>
      <c r="V96" s="552"/>
      <c r="W96" s="268"/>
      <c r="X96" s="268"/>
      <c r="Y96" s="268"/>
      <c r="Z96" s="268"/>
      <c r="AA96" s="268"/>
      <c r="AB96" s="268" t="str">
        <f>IF(AD89=2,"","27")</f>
        <v>27</v>
      </c>
      <c r="AC96" s="268">
        <v>7</v>
      </c>
      <c r="AD96" s="268"/>
      <c r="AE96" s="268" t="str">
        <f>IF(AD69=2,"","Sept,19")</f>
        <v>Sept,19</v>
      </c>
      <c r="AF96" s="268">
        <v>30</v>
      </c>
      <c r="AG96" s="268"/>
      <c r="AH96" s="268"/>
      <c r="AI96" s="268"/>
      <c r="AJ96" s="268"/>
      <c r="AK96" s="268"/>
      <c r="AL96" s="268"/>
      <c r="AM96" s="268"/>
      <c r="AN96" s="903"/>
      <c r="AO96" s="904"/>
      <c r="AP96" s="267" t="s">
        <v>173</v>
      </c>
      <c r="AQ96" s="267" t="s">
        <v>175</v>
      </c>
      <c r="AR96" s="267"/>
      <c r="AS96" s="268"/>
      <c r="AT96" s="268"/>
      <c r="AU96" s="268"/>
      <c r="AV96" s="268"/>
      <c r="AW96" s="268"/>
      <c r="AX96" s="298"/>
      <c r="AY96" s="298"/>
      <c r="AZ96" s="298"/>
      <c r="BA96" s="298"/>
      <c r="BB96" s="268"/>
      <c r="BC96" s="268"/>
      <c r="BD96" s="268"/>
      <c r="BE96" s="268"/>
      <c r="BF96" s="268"/>
      <c r="BG96" s="268"/>
      <c r="BH96" s="268"/>
      <c r="BI96" s="268"/>
      <c r="BJ96" s="268"/>
      <c r="BK96" s="268"/>
      <c r="BL96" s="268"/>
      <c r="BM96" s="268">
        <v>25</v>
      </c>
      <c r="BN96" s="268" t="s">
        <v>813</v>
      </c>
      <c r="BO96" s="268"/>
      <c r="BP96" s="268">
        <f>'Annexure -I'!D15</f>
        <v>56870</v>
      </c>
      <c r="BQ96" s="268">
        <f>'Annexure -I'!E15</f>
        <v>19072</v>
      </c>
      <c r="BR96" s="268">
        <f>'Annexure -I'!F15</f>
        <v>6824</v>
      </c>
      <c r="BS96" s="268">
        <v>0</v>
      </c>
      <c r="BT96" s="268">
        <f>'Annexure -I'!I15</f>
        <v>130</v>
      </c>
      <c r="BU96" s="268">
        <f>'Annexure -I'!J15</f>
        <v>0</v>
      </c>
      <c r="BV96" s="268">
        <f>BV74</f>
        <v>610</v>
      </c>
      <c r="BW96" s="268">
        <f>'Annexure -I'!L15</f>
        <v>0</v>
      </c>
      <c r="BX96" s="268">
        <v>0</v>
      </c>
      <c r="BY96" s="268">
        <f t="shared" si="10"/>
        <v>83506</v>
      </c>
      <c r="BZ96" s="268"/>
      <c r="CA96" s="268"/>
      <c r="CB96" s="268"/>
      <c r="CC96" s="268"/>
      <c r="CD96" s="268"/>
      <c r="CE96" s="268"/>
      <c r="CF96" s="268"/>
      <c r="CG96" s="268"/>
      <c r="CH96" s="268"/>
      <c r="CI96" s="268"/>
      <c r="CJ96" s="268"/>
      <c r="CK96" s="268"/>
      <c r="CL96" s="268"/>
      <c r="CM96" s="268"/>
      <c r="CN96" s="268"/>
      <c r="CO96" s="268"/>
      <c r="CP96" s="268"/>
      <c r="CQ96" s="268"/>
      <c r="CR96" s="268"/>
      <c r="CS96" s="268"/>
      <c r="CT96" s="268"/>
      <c r="CU96" s="268"/>
      <c r="CV96" s="268"/>
      <c r="CW96" s="268"/>
      <c r="CX96" s="268"/>
      <c r="CY96" s="268"/>
      <c r="CZ96" s="268"/>
      <c r="DA96" s="268"/>
      <c r="DB96" s="268"/>
      <c r="DC96" s="268"/>
      <c r="DD96" s="268"/>
      <c r="DE96" s="268"/>
      <c r="DF96" s="268"/>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268"/>
      <c r="EC96" s="268"/>
      <c r="ED96" s="268"/>
      <c r="EE96" s="268"/>
      <c r="EF96" s="268"/>
      <c r="EG96" s="268"/>
      <c r="EH96" s="268"/>
      <c r="EI96" s="268"/>
      <c r="EJ96" s="268"/>
      <c r="EK96" s="268"/>
      <c r="EL96" s="268"/>
      <c r="EM96" s="268"/>
      <c r="EN96" s="268"/>
      <c r="EO96" s="268"/>
      <c r="EP96" s="268"/>
      <c r="EQ96" s="268"/>
      <c r="ER96" s="268"/>
      <c r="ES96" s="268"/>
      <c r="ET96" s="268"/>
      <c r="EU96" s="268"/>
      <c r="EV96" s="268"/>
      <c r="EW96" s="268"/>
      <c r="EX96" s="268"/>
      <c r="EY96" s="268"/>
      <c r="EZ96" s="268"/>
      <c r="FA96" s="268"/>
      <c r="FB96" s="268"/>
      <c r="FC96" s="268"/>
      <c r="FD96" s="268"/>
      <c r="FE96" s="268"/>
      <c r="FF96" s="268"/>
      <c r="FG96" s="268"/>
      <c r="FH96" s="268"/>
      <c r="FI96" s="268"/>
      <c r="FJ96" s="268"/>
      <c r="FK96" s="268"/>
      <c r="FL96" s="268"/>
      <c r="FM96" s="268"/>
      <c r="FN96" s="268"/>
      <c r="FO96" s="268"/>
      <c r="FP96" s="268"/>
      <c r="FQ96" s="268"/>
      <c r="FR96" s="268"/>
      <c r="FS96" s="268"/>
      <c r="FT96" s="268"/>
      <c r="FU96" s="268"/>
      <c r="FV96" s="268"/>
      <c r="FW96" s="268"/>
      <c r="FX96" s="268"/>
      <c r="FY96" s="268"/>
      <c r="FZ96" s="268"/>
      <c r="GA96" s="268"/>
      <c r="GB96" s="268"/>
      <c r="GC96" s="268"/>
      <c r="GD96" s="268"/>
      <c r="GE96" s="268"/>
      <c r="GF96" s="268"/>
      <c r="GG96" s="268"/>
      <c r="GH96" s="268"/>
      <c r="GI96" s="268"/>
      <c r="GJ96" s="268"/>
      <c r="GK96" s="268"/>
      <c r="GL96" s="268"/>
      <c r="GM96" s="268"/>
      <c r="GN96" s="268"/>
      <c r="GO96" s="268"/>
    </row>
    <row r="97" spans="2:197" s="275" customFormat="1" ht="39.75" hidden="1" customHeight="1">
      <c r="B97" s="268"/>
      <c r="C97" s="319"/>
      <c r="D97" s="319"/>
      <c r="E97" s="319"/>
      <c r="F97" s="319"/>
      <c r="G97" s="319"/>
      <c r="H97" s="319"/>
      <c r="I97" s="319"/>
      <c r="J97" s="319"/>
      <c r="K97" s="319"/>
      <c r="L97" s="319"/>
      <c r="M97" s="319"/>
      <c r="N97" s="319"/>
      <c r="O97" s="268"/>
      <c r="P97" s="268"/>
      <c r="Q97" s="268"/>
      <c r="S97" s="599">
        <f>IF(O99=1,'Annexure -I'!E23,0)</f>
        <v>236516</v>
      </c>
      <c r="T97" s="574"/>
      <c r="U97" s="574"/>
      <c r="V97" s="552"/>
      <c r="W97" s="268"/>
      <c r="X97" s="268"/>
      <c r="Y97" s="268"/>
      <c r="Z97" s="268"/>
      <c r="AA97" s="268"/>
      <c r="AB97" s="268" t="str">
        <f>IF(AD89=2,"","28")</f>
        <v>28</v>
      </c>
      <c r="AC97" s="268">
        <v>8</v>
      </c>
      <c r="AD97" s="268"/>
      <c r="AE97" s="268" t="str">
        <f>IF(AD69=2,"","Oct,19")</f>
        <v>Oct,19</v>
      </c>
      <c r="AF97" s="268">
        <v>31</v>
      </c>
      <c r="AG97" s="268"/>
      <c r="AH97" s="268"/>
      <c r="AI97" s="268"/>
      <c r="AJ97" s="268"/>
      <c r="AK97" s="268"/>
      <c r="AL97" s="268"/>
      <c r="AM97" s="268"/>
      <c r="AN97" s="267" t="s">
        <v>749</v>
      </c>
      <c r="AO97" s="267">
        <f>AE191</f>
        <v>53950</v>
      </c>
      <c r="AP97" s="267">
        <f>ROUND(AO97*$AP$95/100,0.1)</f>
        <v>18093</v>
      </c>
      <c r="AQ97" s="267">
        <f>ROUND(AO97*$AQ$95/100,0.1)</f>
        <v>16396</v>
      </c>
      <c r="AR97" s="267">
        <f t="shared" ref="AR97:AR104" si="11">AP97-AQ97</f>
        <v>1697</v>
      </c>
      <c r="AS97" s="267"/>
      <c r="AT97" s="267">
        <f t="shared" ref="AT97:AT102" si="12">ROUND(AP97*10%,0.1)</f>
        <v>1809</v>
      </c>
      <c r="AU97" s="267">
        <f t="shared" ref="AU97:AU102" si="13">ROUND(AQ97*10%,0.1)</f>
        <v>1640</v>
      </c>
      <c r="AV97" s="267">
        <f t="shared" ref="AV97:AV104" si="14">AT97-AU97</f>
        <v>169</v>
      </c>
      <c r="AW97" s="268"/>
      <c r="AX97" s="268"/>
      <c r="AY97" s="268"/>
      <c r="AZ97" s="268"/>
      <c r="BA97" s="268"/>
      <c r="BB97" s="268"/>
      <c r="BC97" s="268"/>
      <c r="BD97" s="268"/>
      <c r="BE97" s="268"/>
      <c r="BF97" s="268"/>
      <c r="BG97" s="268"/>
      <c r="BH97" s="268"/>
      <c r="BI97" s="268"/>
      <c r="BJ97" s="268"/>
      <c r="BK97" s="268"/>
      <c r="BL97" s="268"/>
      <c r="BM97" s="268"/>
      <c r="BN97" s="268"/>
      <c r="BO97" s="268"/>
      <c r="BP97" s="268"/>
      <c r="BQ97" s="268"/>
      <c r="BR97" s="268"/>
      <c r="BS97" s="268"/>
      <c r="BT97" s="268"/>
      <c r="BU97" s="268"/>
      <c r="BV97" s="268"/>
      <c r="BW97" s="268"/>
      <c r="BX97" s="268"/>
      <c r="BY97" s="268" t="s">
        <v>676</v>
      </c>
      <c r="BZ97" s="268"/>
      <c r="CA97" s="268"/>
      <c r="CB97" s="268"/>
      <c r="CC97" s="268"/>
      <c r="CD97" s="268"/>
      <c r="CE97" s="268"/>
      <c r="CF97" s="268"/>
      <c r="CG97" s="268"/>
      <c r="CH97" s="268"/>
      <c r="CI97" s="268"/>
      <c r="CJ97" s="268"/>
      <c r="CK97" s="268"/>
      <c r="CL97" s="268"/>
      <c r="CM97" s="268"/>
      <c r="CN97" s="268"/>
      <c r="CO97" s="268"/>
      <c r="CP97" s="268"/>
      <c r="CQ97" s="268"/>
      <c r="CR97" s="268"/>
      <c r="CS97" s="268"/>
      <c r="CT97" s="268"/>
      <c r="CU97" s="268"/>
      <c r="CV97" s="268"/>
      <c r="CW97" s="268"/>
      <c r="CX97" s="268"/>
      <c r="CY97" s="268"/>
      <c r="CZ97" s="268"/>
      <c r="DA97" s="268"/>
      <c r="DB97" s="268"/>
      <c r="DC97" s="268"/>
      <c r="DD97" s="268"/>
      <c r="DE97" s="268"/>
      <c r="DF97" s="268"/>
      <c r="DG97" s="268"/>
      <c r="DH97" s="268"/>
      <c r="DI97" s="268"/>
      <c r="DJ97" s="268"/>
      <c r="DK97" s="268"/>
      <c r="DL97" s="268"/>
      <c r="DM97" s="268"/>
      <c r="DN97" s="268"/>
      <c r="DO97" s="268"/>
      <c r="DP97" s="268"/>
      <c r="DQ97" s="268"/>
      <c r="DR97" s="268"/>
      <c r="DS97" s="268"/>
      <c r="DT97" s="268"/>
      <c r="DU97" s="268"/>
      <c r="DV97" s="268"/>
      <c r="DW97" s="268"/>
      <c r="DX97" s="268"/>
      <c r="DY97" s="268"/>
      <c r="DZ97" s="268"/>
      <c r="EA97" s="268"/>
      <c r="EB97" s="268"/>
      <c r="EC97" s="268"/>
      <c r="ED97" s="268"/>
      <c r="EE97" s="268"/>
      <c r="EF97" s="268"/>
      <c r="EG97" s="268"/>
      <c r="EH97" s="268"/>
      <c r="EI97" s="268"/>
      <c r="EJ97" s="268"/>
      <c r="EK97" s="268"/>
      <c r="EL97" s="268"/>
      <c r="EM97" s="268"/>
      <c r="EN97" s="268"/>
      <c r="EO97" s="268"/>
      <c r="EP97" s="268"/>
      <c r="EQ97" s="268"/>
      <c r="ER97" s="268"/>
      <c r="ES97" s="268"/>
      <c r="ET97" s="268"/>
      <c r="EU97" s="268"/>
      <c r="EV97" s="268"/>
      <c r="EW97" s="268"/>
      <c r="EX97" s="268"/>
      <c r="EY97" s="268"/>
      <c r="EZ97" s="268"/>
      <c r="FA97" s="268"/>
      <c r="FB97" s="268"/>
      <c r="FC97" s="268"/>
      <c r="FD97" s="268"/>
      <c r="FE97" s="268"/>
      <c r="FF97" s="268"/>
      <c r="FG97" s="268"/>
      <c r="FH97" s="268"/>
      <c r="FI97" s="268"/>
      <c r="FJ97" s="268"/>
      <c r="FK97" s="268"/>
      <c r="FL97" s="268"/>
      <c r="FM97" s="268"/>
      <c r="FN97" s="268"/>
      <c r="FO97" s="268"/>
      <c r="FP97" s="268"/>
      <c r="FQ97" s="268"/>
      <c r="FR97" s="268"/>
      <c r="FS97" s="268"/>
      <c r="FT97" s="268"/>
      <c r="FU97" s="268"/>
      <c r="FV97" s="268"/>
      <c r="FW97" s="268"/>
      <c r="FX97" s="268"/>
      <c r="FY97" s="268"/>
      <c r="FZ97" s="268"/>
      <c r="GA97" s="268"/>
      <c r="GB97" s="268"/>
      <c r="GC97" s="268"/>
      <c r="GD97" s="268"/>
      <c r="GE97" s="268"/>
      <c r="GF97" s="268"/>
      <c r="GG97" s="268"/>
      <c r="GH97" s="268"/>
      <c r="GI97" s="268"/>
      <c r="GJ97" s="268"/>
      <c r="GK97" s="268"/>
      <c r="GL97" s="268"/>
      <c r="GM97" s="268"/>
      <c r="GN97" s="268"/>
      <c r="GO97" s="268"/>
    </row>
    <row r="98" spans="2:197" s="275" customFormat="1" ht="39.75" hidden="1" customHeight="1" thickBot="1">
      <c r="B98" s="268"/>
      <c r="C98" s="319"/>
      <c r="D98" s="319"/>
      <c r="E98" s="319"/>
      <c r="F98" s="319"/>
      <c r="G98" s="319"/>
      <c r="H98" s="319"/>
      <c r="I98" s="319"/>
      <c r="J98" s="319"/>
      <c r="K98" s="319"/>
      <c r="L98" s="319"/>
      <c r="M98" s="319"/>
      <c r="N98" s="319"/>
      <c r="O98" s="268"/>
      <c r="P98" s="268"/>
      <c r="Q98" s="268"/>
      <c r="S98" s="574">
        <f>SUM(S96:S97)</f>
        <v>891829</v>
      </c>
      <c r="T98" s="574"/>
      <c r="U98" s="574"/>
      <c r="V98" s="552"/>
      <c r="W98" s="268"/>
      <c r="X98" s="268"/>
      <c r="Y98" s="268"/>
      <c r="Z98" s="268"/>
      <c r="AA98" s="268"/>
      <c r="AB98" s="268" t="str">
        <f>IF(AD89=2,"","29")</f>
        <v>29</v>
      </c>
      <c r="AC98" s="268">
        <v>9</v>
      </c>
      <c r="AD98" s="268"/>
      <c r="AE98" s="268" t="str">
        <f>IF(AD69=2,"","Nov,19")</f>
        <v>Nov,19</v>
      </c>
      <c r="AF98" s="268">
        <v>30</v>
      </c>
      <c r="AG98" s="268"/>
      <c r="AH98" s="268"/>
      <c r="AI98" s="268"/>
      <c r="AJ98" s="268"/>
      <c r="AK98" s="268"/>
      <c r="AL98" s="268"/>
      <c r="AM98" s="268"/>
      <c r="AN98" s="267" t="s">
        <v>825</v>
      </c>
      <c r="AO98" s="267">
        <f>AE193</f>
        <v>53950</v>
      </c>
      <c r="AP98" s="267">
        <f>ROUND(AO98*$AP$95/100,0.1)</f>
        <v>18093</v>
      </c>
      <c r="AQ98" s="267">
        <f t="shared" ref="AQ98:AQ109" si="15">ROUND(AO98*$AQ$95/100,0.1)</f>
        <v>16396</v>
      </c>
      <c r="AR98" s="267">
        <f t="shared" si="11"/>
        <v>1697</v>
      </c>
      <c r="AS98" s="267"/>
      <c r="AT98" s="267">
        <f t="shared" si="12"/>
        <v>1809</v>
      </c>
      <c r="AU98" s="267">
        <f t="shared" si="13"/>
        <v>1640</v>
      </c>
      <c r="AV98" s="267">
        <f t="shared" si="14"/>
        <v>169</v>
      </c>
      <c r="AW98" s="268"/>
      <c r="AX98" s="268"/>
      <c r="AY98" s="268"/>
      <c r="AZ98" s="268"/>
      <c r="BA98" s="268"/>
      <c r="BB98" s="268"/>
      <c r="BC98" s="268"/>
      <c r="BD98" s="268"/>
      <c r="BE98" s="268"/>
      <c r="BF98" s="268"/>
      <c r="BG98" s="268"/>
      <c r="BH98" s="268"/>
      <c r="BI98" s="268"/>
      <c r="BJ98" s="268"/>
      <c r="BK98" s="268"/>
      <c r="BL98" s="268"/>
      <c r="BM98" s="268"/>
      <c r="BN98" s="268"/>
      <c r="BO98" s="268"/>
      <c r="BP98" s="268">
        <f>VLOOKUP(BM70,BM72:BU96,4,0)</f>
        <v>0</v>
      </c>
      <c r="BQ98" s="268">
        <f>VLOOKUP(BM70,BM72:BU96,5,0)</f>
        <v>0</v>
      </c>
      <c r="BR98" s="268">
        <f>VLOOKUP(BM70,BM72:BU96,6,0)</f>
        <v>0</v>
      </c>
      <c r="BS98" s="268">
        <v>0</v>
      </c>
      <c r="BT98" s="268">
        <f>VLOOKUP(BM70,BM72:BU96,8,0)</f>
        <v>0</v>
      </c>
      <c r="BU98" s="268">
        <f>VLOOKUP(BM70,BM72:BU96,9,0)</f>
        <v>0</v>
      </c>
      <c r="BV98" s="268">
        <v>0</v>
      </c>
      <c r="BW98" s="268">
        <f>VLOOKUP(BM70,BM72:BW96,11,0)</f>
        <v>0</v>
      </c>
      <c r="BX98" s="268">
        <v>0</v>
      </c>
      <c r="BY98" s="268">
        <f>SUM(BP98:BX98)</f>
        <v>0</v>
      </c>
      <c r="BZ98" s="268"/>
      <c r="CA98" s="268"/>
      <c r="CB98" s="268"/>
      <c r="CC98" s="268"/>
      <c r="CD98" s="268"/>
      <c r="CE98" s="268"/>
      <c r="CF98" s="268"/>
      <c r="CG98" s="268"/>
      <c r="CH98" s="268"/>
      <c r="CI98" s="268"/>
      <c r="CJ98" s="268"/>
      <c r="CK98" s="268"/>
      <c r="CL98" s="268"/>
      <c r="CM98" s="268"/>
      <c r="CN98" s="268"/>
      <c r="CO98" s="268"/>
      <c r="CP98" s="268"/>
      <c r="CQ98" s="268"/>
      <c r="CR98" s="268"/>
      <c r="CS98" s="268"/>
      <c r="CT98" s="268"/>
      <c r="CU98" s="268"/>
      <c r="CV98" s="268"/>
      <c r="CW98" s="268"/>
      <c r="CX98" s="268"/>
      <c r="CY98" s="268"/>
      <c r="CZ98" s="268"/>
      <c r="DA98" s="268"/>
      <c r="DB98" s="268"/>
      <c r="DC98" s="268"/>
      <c r="DD98" s="268"/>
      <c r="DE98" s="268"/>
      <c r="DF98" s="268"/>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68"/>
      <c r="EC98" s="268"/>
      <c r="ED98" s="268"/>
      <c r="EE98" s="268"/>
      <c r="EF98" s="268"/>
      <c r="EG98" s="268"/>
      <c r="EH98" s="268"/>
      <c r="EI98" s="268"/>
      <c r="EJ98" s="268"/>
      <c r="EK98" s="268"/>
      <c r="EL98" s="268"/>
      <c r="EM98" s="268"/>
      <c r="EN98" s="268"/>
      <c r="EO98" s="268"/>
      <c r="EP98" s="268"/>
      <c r="EQ98" s="268"/>
      <c r="ER98" s="268"/>
      <c r="ES98" s="268"/>
      <c r="ET98" s="268"/>
      <c r="EU98" s="268"/>
      <c r="EV98" s="268"/>
      <c r="EW98" s="268"/>
      <c r="EX98" s="268"/>
      <c r="EY98" s="268"/>
      <c r="EZ98" s="268"/>
      <c r="FA98" s="268"/>
      <c r="FB98" s="268"/>
      <c r="FC98" s="268"/>
      <c r="FD98" s="268"/>
      <c r="FE98" s="268"/>
      <c r="FF98" s="268"/>
      <c r="FG98" s="268"/>
      <c r="FH98" s="268"/>
      <c r="FI98" s="268"/>
      <c r="FJ98" s="268"/>
      <c r="FK98" s="268"/>
      <c r="FL98" s="268"/>
      <c r="FM98" s="268"/>
      <c r="FN98" s="268"/>
      <c r="FO98" s="268"/>
      <c r="FP98" s="268"/>
      <c r="FQ98" s="268"/>
      <c r="FR98" s="268"/>
      <c r="FS98" s="268"/>
      <c r="FT98" s="268"/>
      <c r="FU98" s="268"/>
      <c r="FV98" s="268"/>
      <c r="FW98" s="268"/>
      <c r="FX98" s="268"/>
      <c r="FY98" s="268"/>
      <c r="FZ98" s="268"/>
      <c r="GA98" s="268"/>
      <c r="GB98" s="268"/>
      <c r="GC98" s="268"/>
      <c r="GD98" s="268"/>
      <c r="GE98" s="268"/>
      <c r="GF98" s="268"/>
      <c r="GG98" s="268"/>
      <c r="GH98" s="268"/>
      <c r="GI98" s="268"/>
      <c r="GJ98" s="268"/>
      <c r="GK98" s="268"/>
      <c r="GL98" s="268"/>
      <c r="GM98" s="268"/>
      <c r="GN98" s="268"/>
      <c r="GO98" s="268"/>
    </row>
    <row r="99" spans="2:197" s="275" customFormat="1" ht="39.75" hidden="1" customHeight="1" thickBot="1">
      <c r="B99" s="268"/>
      <c r="C99" s="319"/>
      <c r="D99" s="319"/>
      <c r="E99" s="319"/>
      <c r="F99" s="319"/>
      <c r="G99" s="319"/>
      <c r="H99" s="319"/>
      <c r="I99" s="319"/>
      <c r="J99" s="319"/>
      <c r="K99" s="319"/>
      <c r="L99" s="319"/>
      <c r="N99" s="319"/>
      <c r="O99" s="417">
        <v>1</v>
      </c>
      <c r="P99" s="268"/>
      <c r="Q99" s="268">
        <f>ROUND((S95+S99)/12,-2)+100</f>
        <v>14100</v>
      </c>
      <c r="S99" s="600">
        <f>ROUND(S98*10%,0.1)</f>
        <v>89183</v>
      </c>
      <c r="T99" s="574"/>
      <c r="U99" s="574"/>
      <c r="V99" s="552"/>
      <c r="W99" s="268"/>
      <c r="X99" s="268"/>
      <c r="Y99" s="268"/>
      <c r="Z99" s="268"/>
      <c r="AA99" s="268"/>
      <c r="AB99" s="268" t="str">
        <f>IF(AD89=2,"","30")</f>
        <v>30</v>
      </c>
      <c r="AC99" s="268">
        <v>10</v>
      </c>
      <c r="AD99" s="268"/>
      <c r="AE99" s="268" t="str">
        <f>IF(AD69=2,"","Dec,19")</f>
        <v>Dec,19</v>
      </c>
      <c r="AF99" s="268">
        <v>31</v>
      </c>
      <c r="AG99" s="268"/>
      <c r="AH99" s="268"/>
      <c r="AI99" s="268"/>
      <c r="AJ99" s="268"/>
      <c r="AK99" s="268"/>
      <c r="AL99" s="268"/>
      <c r="AM99" s="268"/>
      <c r="AN99" s="267" t="str">
        <f>IF(AM102=4,"","March,19")</f>
        <v>March,19</v>
      </c>
      <c r="AO99" s="267">
        <f>'Annexure -I'!D4</f>
        <v>53950</v>
      </c>
      <c r="AP99" s="267">
        <f t="shared" ref="AP99:AP109" si="16">ROUND(AO99*$AP$95/100,0.1)</f>
        <v>18093</v>
      </c>
      <c r="AQ99" s="267">
        <f t="shared" si="15"/>
        <v>16396</v>
      </c>
      <c r="AR99" s="267">
        <f t="shared" si="11"/>
        <v>1697</v>
      </c>
      <c r="AS99" s="267"/>
      <c r="AT99" s="267">
        <f t="shared" si="12"/>
        <v>1809</v>
      </c>
      <c r="AU99" s="267">
        <f t="shared" si="13"/>
        <v>1640</v>
      </c>
      <c r="AV99" s="267">
        <f t="shared" si="14"/>
        <v>169</v>
      </c>
      <c r="AW99" s="268"/>
      <c r="AX99" s="268"/>
      <c r="AY99" s="268"/>
      <c r="AZ99" s="268"/>
      <c r="BA99" s="268"/>
      <c r="BB99" s="268"/>
      <c r="BC99" s="268"/>
      <c r="BD99" s="268"/>
      <c r="BE99" s="268"/>
      <c r="BF99" s="268"/>
      <c r="BG99" s="268"/>
      <c r="BH99" s="268"/>
      <c r="BI99" s="268"/>
      <c r="BJ99" s="268"/>
      <c r="BK99" s="268"/>
      <c r="BL99" s="268"/>
      <c r="BM99" s="268"/>
      <c r="BN99" s="268"/>
      <c r="BO99" s="268"/>
      <c r="BP99" s="268"/>
      <c r="BQ99" s="268"/>
      <c r="BR99" s="268"/>
      <c r="BS99" s="268"/>
      <c r="BT99" s="268"/>
      <c r="BU99" s="268"/>
      <c r="BV99" s="268"/>
      <c r="BW99" s="268"/>
      <c r="BX99" s="268"/>
      <c r="BY99" s="268"/>
      <c r="BZ99" s="268"/>
      <c r="CA99" s="268"/>
      <c r="CB99" s="268"/>
      <c r="CC99" s="268"/>
      <c r="CD99" s="268"/>
      <c r="CE99" s="268"/>
      <c r="CF99" s="268"/>
      <c r="CG99" s="268"/>
      <c r="CH99" s="268"/>
      <c r="CI99" s="268"/>
      <c r="CJ99" s="268"/>
      <c r="CK99" s="268"/>
      <c r="CL99" s="268"/>
      <c r="CM99" s="268"/>
      <c r="CN99" s="268"/>
      <c r="CO99" s="268"/>
      <c r="CP99" s="268"/>
      <c r="CQ99" s="268"/>
      <c r="CR99" s="268"/>
      <c r="CS99" s="268"/>
      <c r="CT99" s="268"/>
      <c r="CU99" s="268"/>
      <c r="CV99" s="268"/>
      <c r="CW99" s="268"/>
      <c r="CX99" s="268"/>
      <c r="CY99" s="268"/>
      <c r="CZ99" s="268"/>
      <c r="DA99" s="268"/>
      <c r="DB99" s="268"/>
      <c r="DC99" s="268"/>
      <c r="DD99" s="268"/>
      <c r="DE99" s="268"/>
      <c r="DF99" s="268"/>
      <c r="DG99" s="268"/>
      <c r="DH99" s="268"/>
      <c r="DI99" s="268"/>
      <c r="DJ99" s="268"/>
      <c r="DK99" s="268"/>
      <c r="DL99" s="268"/>
      <c r="DM99" s="268"/>
      <c r="DN99" s="268"/>
      <c r="DO99" s="268"/>
      <c r="DP99" s="268"/>
      <c r="DQ99" s="268"/>
      <c r="DR99" s="268"/>
      <c r="DS99" s="268"/>
      <c r="DT99" s="268"/>
      <c r="DU99" s="268"/>
      <c r="DV99" s="268"/>
      <c r="DW99" s="268"/>
      <c r="DX99" s="268"/>
      <c r="DY99" s="268"/>
      <c r="DZ99" s="268"/>
      <c r="EA99" s="268"/>
      <c r="EB99" s="268"/>
      <c r="EC99" s="268"/>
      <c r="ED99" s="268"/>
      <c r="EE99" s="268"/>
      <c r="EF99" s="268"/>
      <c r="EG99" s="268"/>
      <c r="EH99" s="268"/>
      <c r="EI99" s="268"/>
      <c r="EJ99" s="268"/>
      <c r="EK99" s="268"/>
      <c r="EL99" s="268"/>
      <c r="EM99" s="268"/>
      <c r="EN99" s="268"/>
      <c r="EO99" s="268"/>
      <c r="EP99" s="268"/>
      <c r="EQ99" s="268"/>
      <c r="ER99" s="268"/>
      <c r="ES99" s="268"/>
      <c r="ET99" s="268"/>
      <c r="EU99" s="268"/>
      <c r="EV99" s="268"/>
      <c r="EW99" s="268"/>
      <c r="EX99" s="268"/>
      <c r="EY99" s="268"/>
      <c r="EZ99" s="268"/>
      <c r="FA99" s="268"/>
      <c r="FB99" s="268"/>
      <c r="FC99" s="268"/>
      <c r="FD99" s="268"/>
      <c r="FE99" s="268"/>
      <c r="FF99" s="268"/>
      <c r="FG99" s="268"/>
      <c r="FH99" s="268"/>
      <c r="FI99" s="268"/>
      <c r="FJ99" s="268"/>
      <c r="FK99" s="268"/>
      <c r="FL99" s="268"/>
      <c r="FM99" s="268"/>
      <c r="FN99" s="268"/>
      <c r="FO99" s="268"/>
      <c r="FP99" s="268"/>
      <c r="FQ99" s="268"/>
      <c r="FR99" s="268"/>
      <c r="FS99" s="268"/>
      <c r="FT99" s="268"/>
      <c r="FU99" s="268"/>
      <c r="FV99" s="268"/>
      <c r="FW99" s="268"/>
      <c r="FX99" s="268"/>
      <c r="FY99" s="268"/>
      <c r="FZ99" s="268"/>
      <c r="GA99" s="268"/>
      <c r="GB99" s="268"/>
      <c r="GC99" s="268"/>
      <c r="GD99" s="268"/>
      <c r="GE99" s="268"/>
      <c r="GF99" s="268"/>
      <c r="GG99" s="268"/>
      <c r="GH99" s="268"/>
      <c r="GI99" s="268"/>
      <c r="GJ99" s="268"/>
      <c r="GK99" s="268"/>
      <c r="GL99" s="268"/>
      <c r="GM99" s="268"/>
      <c r="GN99" s="268"/>
      <c r="GO99" s="268"/>
    </row>
    <row r="100" spans="2:197" s="275" customFormat="1" ht="39.75" hidden="1" customHeight="1">
      <c r="B100" s="268"/>
      <c r="C100" s="319"/>
      <c r="D100" s="319"/>
      <c r="E100" s="319"/>
      <c r="F100" s="319"/>
      <c r="G100" s="319"/>
      <c r="H100" s="319"/>
      <c r="I100" s="319"/>
      <c r="J100" s="319"/>
      <c r="K100" s="319"/>
      <c r="L100" s="319"/>
      <c r="M100" s="319"/>
      <c r="N100" s="319"/>
      <c r="O100" s="268"/>
      <c r="P100" s="300" t="s">
        <v>215</v>
      </c>
      <c r="Q100" s="300" t="s">
        <v>245</v>
      </c>
      <c r="R100" s="268"/>
      <c r="S100" s="574"/>
      <c r="T100" s="574"/>
      <c r="U100" s="574"/>
      <c r="V100" s="558">
        <v>2</v>
      </c>
      <c r="W100" s="283" t="s">
        <v>147</v>
      </c>
      <c r="X100" s="268"/>
      <c r="Y100" s="268"/>
      <c r="Z100" s="268"/>
      <c r="AA100" s="268"/>
      <c r="AB100" s="268" t="str">
        <f>IF(AD89=2,"","31")</f>
        <v>31</v>
      </c>
      <c r="AC100" s="268">
        <v>11</v>
      </c>
      <c r="AD100" s="268"/>
      <c r="AE100" s="268" t="str">
        <f>IF(AD69=2,"","Jan,20")</f>
        <v>Jan,20</v>
      </c>
      <c r="AF100" s="268">
        <v>31</v>
      </c>
      <c r="AG100" s="268"/>
      <c r="AH100" s="268"/>
      <c r="AI100" s="268"/>
      <c r="AJ100" s="268"/>
      <c r="AK100" s="268"/>
      <c r="AL100" s="268"/>
      <c r="AM100" s="268"/>
      <c r="AN100" s="267" t="str">
        <f>IF(AM102=4,"","April,19")</f>
        <v>April,19</v>
      </c>
      <c r="AO100" s="267">
        <f>'Annexure -I'!D5</f>
        <v>53950</v>
      </c>
      <c r="AP100" s="267">
        <f t="shared" si="16"/>
        <v>18093</v>
      </c>
      <c r="AQ100" s="267">
        <f t="shared" si="15"/>
        <v>16396</v>
      </c>
      <c r="AR100" s="267">
        <f t="shared" si="11"/>
        <v>1697</v>
      </c>
      <c r="AS100" s="267"/>
      <c r="AT100" s="267">
        <f t="shared" si="12"/>
        <v>1809</v>
      </c>
      <c r="AU100" s="267">
        <f t="shared" si="13"/>
        <v>1640</v>
      </c>
      <c r="AV100" s="267">
        <f t="shared" si="14"/>
        <v>169</v>
      </c>
      <c r="AW100" s="268"/>
      <c r="AX100" s="268"/>
      <c r="AY100" s="268"/>
      <c r="AZ100" s="268"/>
      <c r="BA100" s="268"/>
      <c r="BB100" s="268"/>
      <c r="BC100" s="268"/>
      <c r="BD100" s="268"/>
      <c r="BE100" s="268"/>
      <c r="BF100" s="268"/>
      <c r="BG100" s="268"/>
      <c r="BH100" s="268"/>
      <c r="BI100" s="268"/>
      <c r="BJ100" s="268"/>
      <c r="BK100" s="268"/>
      <c r="BL100" s="268"/>
      <c r="BM100" s="268"/>
      <c r="BN100" s="268"/>
      <c r="BO100" s="268"/>
      <c r="BP100" s="268"/>
      <c r="BQ100" s="268"/>
      <c r="BR100" s="268"/>
      <c r="BS100" s="268"/>
      <c r="BT100" s="268"/>
      <c r="BU100" s="268"/>
      <c r="BV100" s="268"/>
      <c r="BW100" s="268"/>
      <c r="BX100" s="268"/>
      <c r="BY100" s="268"/>
      <c r="BZ100" s="268"/>
      <c r="CA100" s="268"/>
      <c r="CB100" s="268"/>
      <c r="CC100" s="268"/>
      <c r="CD100" s="268"/>
      <c r="CE100" s="268"/>
      <c r="CF100" s="268"/>
      <c r="CG100" s="268"/>
      <c r="CH100" s="268"/>
      <c r="CI100" s="268"/>
      <c r="CJ100" s="268"/>
      <c r="CK100" s="268"/>
      <c r="CL100" s="268"/>
      <c r="CM100" s="268"/>
      <c r="CN100" s="268"/>
      <c r="CO100" s="268"/>
      <c r="CP100" s="268"/>
      <c r="CQ100" s="268"/>
      <c r="CR100" s="268"/>
      <c r="CS100" s="268"/>
      <c r="CT100" s="268"/>
      <c r="CU100" s="268"/>
      <c r="CV100" s="268"/>
      <c r="CW100" s="268"/>
      <c r="CX100" s="268"/>
      <c r="CY100" s="268"/>
      <c r="CZ100" s="268"/>
      <c r="DA100" s="268"/>
      <c r="DB100" s="268"/>
      <c r="DC100" s="268"/>
      <c r="DD100" s="268"/>
      <c r="DE100" s="268"/>
      <c r="DF100" s="268"/>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268"/>
      <c r="EC100" s="268"/>
      <c r="ED100" s="268"/>
      <c r="EE100" s="268"/>
      <c r="EF100" s="268"/>
      <c r="EG100" s="268"/>
      <c r="EH100" s="268"/>
      <c r="EI100" s="268"/>
      <c r="EJ100" s="268"/>
      <c r="EK100" s="268"/>
      <c r="EL100" s="268"/>
      <c r="EM100" s="268"/>
      <c r="EN100" s="268"/>
      <c r="EO100" s="268"/>
      <c r="EP100" s="268"/>
      <c r="EQ100" s="268"/>
      <c r="ER100" s="268"/>
      <c r="ES100" s="268"/>
      <c r="ET100" s="268"/>
      <c r="EU100" s="268"/>
      <c r="EV100" s="268"/>
      <c r="EW100" s="268"/>
      <c r="EX100" s="268"/>
      <c r="EY100" s="268"/>
      <c r="EZ100" s="268"/>
      <c r="FA100" s="268"/>
      <c r="FB100" s="268"/>
      <c r="FC100" s="268"/>
      <c r="FD100" s="268"/>
      <c r="FE100" s="268"/>
      <c r="FF100" s="268"/>
      <c r="FG100" s="268"/>
      <c r="FH100" s="268"/>
      <c r="FI100" s="268"/>
      <c r="FJ100" s="268"/>
      <c r="FK100" s="268"/>
      <c r="FL100" s="268"/>
      <c r="FM100" s="268"/>
      <c r="FN100" s="268"/>
      <c r="FO100" s="268"/>
      <c r="FP100" s="268"/>
      <c r="FQ100" s="268"/>
      <c r="FR100" s="268"/>
      <c r="FS100" s="268"/>
      <c r="FT100" s="268"/>
      <c r="FU100" s="268"/>
      <c r="FV100" s="268"/>
      <c r="FW100" s="268"/>
      <c r="FX100" s="268"/>
      <c r="FY100" s="268"/>
      <c r="FZ100" s="268"/>
      <c r="GA100" s="268"/>
      <c r="GB100" s="268"/>
      <c r="GC100" s="268"/>
      <c r="GD100" s="268"/>
      <c r="GE100" s="268"/>
      <c r="GF100" s="268"/>
      <c r="GG100" s="268"/>
      <c r="GH100" s="268"/>
      <c r="GI100" s="268"/>
      <c r="GJ100" s="268"/>
      <c r="GK100" s="268"/>
      <c r="GL100" s="268"/>
      <c r="GM100" s="268"/>
      <c r="GN100" s="268"/>
      <c r="GO100" s="268"/>
    </row>
    <row r="101" spans="2:197" s="275" customFormat="1" ht="39.75" hidden="1" customHeight="1" thickBot="1">
      <c r="B101" s="268"/>
      <c r="C101" s="319"/>
      <c r="D101" s="319"/>
      <c r="E101" s="319"/>
      <c r="F101" s="319"/>
      <c r="G101" s="319"/>
      <c r="H101" s="319"/>
      <c r="I101" s="319"/>
      <c r="J101" s="319"/>
      <c r="K101" s="319"/>
      <c r="L101" s="319"/>
      <c r="M101" s="319"/>
      <c r="N101" s="319"/>
      <c r="O101" s="268"/>
      <c r="P101" s="268" t="str">
        <f>CONCATENATE(P100,Q100,R102,S102)</f>
        <v>Rent paid in excess of 10% Salary(Rent: @ 14100/-PM)</v>
      </c>
      <c r="Q101" s="268"/>
      <c r="R101" s="268">
        <f>IF(ROUND(R102*12-S99,0.1)&gt;0,ROUND(R102*12-S99,0.1),0)</f>
        <v>80017</v>
      </c>
      <c r="S101" s="574"/>
      <c r="T101" s="574"/>
      <c r="U101" s="574"/>
      <c r="V101" s="559" t="str">
        <f>VLOOKUP(V100,AD70:AE71,2,0)</f>
        <v>No</v>
      </c>
      <c r="W101" s="293"/>
      <c r="X101" s="268"/>
      <c r="Y101" s="268"/>
      <c r="Z101" s="268"/>
      <c r="AA101" s="268"/>
      <c r="AB101" s="268"/>
      <c r="AC101" s="268">
        <v>12</v>
      </c>
      <c r="AD101" s="268"/>
      <c r="AE101" s="268" t="str">
        <f>IF(AD69=2,"","Feb,20")</f>
        <v>Feb,20</v>
      </c>
      <c r="AF101" s="268">
        <v>28</v>
      </c>
      <c r="AG101" s="268"/>
      <c r="AH101" s="268"/>
      <c r="AI101" s="268"/>
      <c r="AJ101" s="268"/>
      <c r="AK101" s="268"/>
      <c r="AL101" s="268"/>
      <c r="AM101" s="268"/>
      <c r="AN101" s="267" t="str">
        <f>IF(AM102=4,"","May,19")</f>
        <v>May,19</v>
      </c>
      <c r="AO101" s="267">
        <f>'Annexure -I'!D6</f>
        <v>53950</v>
      </c>
      <c r="AP101" s="267">
        <f t="shared" si="16"/>
        <v>18093</v>
      </c>
      <c r="AQ101" s="267">
        <f t="shared" si="15"/>
        <v>16396</v>
      </c>
      <c r="AR101" s="267">
        <f t="shared" si="11"/>
        <v>1697</v>
      </c>
      <c r="AS101" s="267"/>
      <c r="AT101" s="267">
        <f t="shared" si="12"/>
        <v>1809</v>
      </c>
      <c r="AU101" s="267">
        <f t="shared" si="13"/>
        <v>1640</v>
      </c>
      <c r="AV101" s="267">
        <f t="shared" si="14"/>
        <v>169</v>
      </c>
      <c r="AW101" s="268"/>
      <c r="AX101" s="268"/>
      <c r="AY101" s="268"/>
      <c r="AZ101" s="268"/>
      <c r="BA101" s="268"/>
      <c r="BB101" s="268"/>
      <c r="BC101" s="268"/>
      <c r="BD101" s="268"/>
      <c r="BE101" s="268"/>
      <c r="BF101" s="268"/>
      <c r="BG101" s="268"/>
      <c r="BH101" s="268"/>
      <c r="BI101" s="268"/>
      <c r="BJ101" s="268"/>
      <c r="BK101" s="268"/>
      <c r="BL101" s="268"/>
      <c r="BM101" s="268"/>
      <c r="BN101" s="268"/>
      <c r="BO101" s="268"/>
      <c r="BP101" s="268"/>
      <c r="BQ101" s="268"/>
      <c r="BR101" s="268"/>
      <c r="BS101" s="268"/>
      <c r="BT101" s="268"/>
      <c r="BU101" s="268"/>
      <c r="BV101" s="268"/>
      <c r="BW101" s="268"/>
      <c r="BX101" s="268"/>
      <c r="BY101" s="268"/>
      <c r="BZ101" s="268"/>
      <c r="CA101" s="268"/>
      <c r="CB101" s="268"/>
      <c r="CC101" s="268"/>
      <c r="CD101" s="268"/>
      <c r="CE101" s="268"/>
      <c r="CF101" s="268"/>
      <c r="CG101" s="268"/>
      <c r="CH101" s="268"/>
      <c r="CI101" s="268"/>
      <c r="CJ101" s="268"/>
      <c r="CK101" s="268"/>
      <c r="CL101" s="268"/>
      <c r="CM101" s="268"/>
      <c r="CN101" s="268"/>
      <c r="CO101" s="268"/>
      <c r="CP101" s="268"/>
      <c r="CQ101" s="268"/>
      <c r="CR101" s="268"/>
      <c r="CS101" s="268"/>
      <c r="CT101" s="268"/>
      <c r="CU101" s="268"/>
      <c r="CV101" s="268"/>
      <c r="CW101" s="268"/>
      <c r="CX101" s="268"/>
      <c r="CY101" s="268"/>
      <c r="CZ101" s="268"/>
      <c r="DA101" s="268"/>
      <c r="DB101" s="268"/>
      <c r="DC101" s="268"/>
      <c r="DD101" s="268"/>
      <c r="DE101" s="268"/>
      <c r="DF101" s="268"/>
      <c r="DG101" s="268"/>
      <c r="DH101" s="268"/>
      <c r="DI101" s="268"/>
      <c r="DJ101" s="268"/>
      <c r="DK101" s="268"/>
      <c r="DL101" s="268"/>
      <c r="DM101" s="268"/>
      <c r="DN101" s="268"/>
      <c r="DO101" s="268"/>
      <c r="DP101" s="268"/>
      <c r="DQ101" s="268"/>
      <c r="DR101" s="268"/>
      <c r="DS101" s="268"/>
      <c r="DT101" s="268"/>
      <c r="DU101" s="268"/>
      <c r="DV101" s="268"/>
      <c r="DW101" s="268"/>
      <c r="DX101" s="268"/>
      <c r="DY101" s="268"/>
      <c r="DZ101" s="268"/>
      <c r="EA101" s="268"/>
      <c r="EB101" s="268"/>
      <c r="EC101" s="268"/>
      <c r="ED101" s="268"/>
      <c r="EE101" s="268"/>
      <c r="EF101" s="268"/>
      <c r="EG101" s="268"/>
      <c r="EH101" s="268"/>
      <c r="EI101" s="268"/>
      <c r="EJ101" s="268"/>
      <c r="EK101" s="268"/>
      <c r="EL101" s="268"/>
      <c r="EM101" s="268"/>
      <c r="EN101" s="268"/>
      <c r="EO101" s="268"/>
      <c r="EP101" s="268"/>
      <c r="EQ101" s="268"/>
      <c r="ER101" s="268"/>
      <c r="ES101" s="268"/>
      <c r="ET101" s="268"/>
      <c r="EU101" s="268"/>
      <c r="EV101" s="268"/>
      <c r="EW101" s="268"/>
      <c r="EX101" s="268"/>
      <c r="EY101" s="268"/>
      <c r="EZ101" s="268"/>
      <c r="FA101" s="268"/>
      <c r="FB101" s="268"/>
      <c r="FC101" s="268"/>
      <c r="FD101" s="268"/>
      <c r="FE101" s="268"/>
      <c r="FF101" s="268"/>
      <c r="FG101" s="268"/>
      <c r="FH101" s="268"/>
      <c r="FI101" s="268"/>
      <c r="FJ101" s="268"/>
      <c r="FK101" s="268"/>
      <c r="FL101" s="268"/>
      <c r="FM101" s="268"/>
      <c r="FN101" s="268"/>
      <c r="FO101" s="268"/>
      <c r="FP101" s="268"/>
      <c r="FQ101" s="268"/>
      <c r="FR101" s="268"/>
      <c r="FS101" s="268"/>
      <c r="FT101" s="268"/>
      <c r="FU101" s="268"/>
      <c r="FV101" s="268"/>
      <c r="FW101" s="268"/>
      <c r="FX101" s="268"/>
      <c r="FY101" s="268"/>
      <c r="FZ101" s="268"/>
      <c r="GA101" s="268"/>
      <c r="GB101" s="268"/>
      <c r="GC101" s="268"/>
      <c r="GD101" s="268"/>
      <c r="GE101" s="268"/>
      <c r="GF101" s="268"/>
      <c r="GG101" s="268"/>
      <c r="GH101" s="268"/>
      <c r="GI101" s="268"/>
      <c r="GJ101" s="268"/>
      <c r="GK101" s="268"/>
      <c r="GL101" s="268"/>
      <c r="GM101" s="268"/>
      <c r="GN101" s="268"/>
      <c r="GO101" s="268"/>
    </row>
    <row r="102" spans="2:197" s="275" customFormat="1" ht="39.75" hidden="1" customHeight="1" thickBot="1">
      <c r="B102" s="268"/>
      <c r="C102" s="319"/>
      <c r="D102" s="319"/>
      <c r="E102" s="319"/>
      <c r="F102" s="319"/>
      <c r="G102" s="319"/>
      <c r="H102" s="319"/>
      <c r="I102" s="319"/>
      <c r="J102" s="319"/>
      <c r="K102" s="319"/>
      <c r="L102" s="319"/>
      <c r="M102" s="319"/>
      <c r="N102" s="319"/>
      <c r="R102" s="301">
        <f>Q19</f>
        <v>14100</v>
      </c>
      <c r="S102" s="601" t="s">
        <v>246</v>
      </c>
      <c r="T102" s="574"/>
      <c r="U102" s="574"/>
      <c r="V102" s="560" t="s">
        <v>147</v>
      </c>
      <c r="W102" s="282"/>
      <c r="X102" s="282">
        <v>19</v>
      </c>
      <c r="Y102" s="283"/>
      <c r="Z102" s="270"/>
      <c r="AA102" s="270"/>
      <c r="AB102" s="268"/>
      <c r="AC102" s="268"/>
      <c r="AD102" s="268"/>
      <c r="AE102" s="268"/>
      <c r="AF102" s="268"/>
      <c r="AG102" s="302">
        <v>3850</v>
      </c>
      <c r="AH102" s="268"/>
      <c r="AI102" s="373"/>
      <c r="AJ102" s="373"/>
      <c r="AK102" s="268"/>
      <c r="AL102" s="268"/>
      <c r="AM102" s="268"/>
      <c r="AN102" s="267" t="str">
        <f>IF(AM102=4,"","June,19")</f>
        <v>June,19</v>
      </c>
      <c r="AO102" s="267">
        <f>'Annexure -I'!D7</f>
        <v>53950</v>
      </c>
      <c r="AP102" s="267">
        <f t="shared" si="16"/>
        <v>18093</v>
      </c>
      <c r="AQ102" s="267">
        <f t="shared" si="15"/>
        <v>16396</v>
      </c>
      <c r="AR102" s="267">
        <f t="shared" si="11"/>
        <v>1697</v>
      </c>
      <c r="AS102" s="385"/>
      <c r="AT102" s="267">
        <f t="shared" si="12"/>
        <v>1809</v>
      </c>
      <c r="AU102" s="267">
        <f t="shared" si="13"/>
        <v>1640</v>
      </c>
      <c r="AV102" s="267">
        <f t="shared" si="14"/>
        <v>169</v>
      </c>
      <c r="AX102" s="268"/>
      <c r="AY102" s="268"/>
      <c r="AZ102" s="268"/>
      <c r="BA102" s="268"/>
      <c r="BB102" s="268"/>
      <c r="BC102" s="268"/>
      <c r="BD102" s="268"/>
      <c r="BE102" s="268"/>
      <c r="BF102" s="268"/>
      <c r="BG102" s="268"/>
      <c r="BH102" s="268"/>
      <c r="BI102" s="268"/>
      <c r="BJ102" s="268"/>
      <c r="BK102" s="268"/>
      <c r="BL102" s="268"/>
      <c r="BM102" s="268"/>
      <c r="BN102" s="268"/>
      <c r="BO102" s="268"/>
      <c r="BP102" s="268"/>
      <c r="BQ102" s="268"/>
      <c r="BR102" s="268"/>
      <c r="BS102" s="268"/>
      <c r="BT102" s="268"/>
      <c r="BU102" s="268"/>
      <c r="BV102" s="268"/>
      <c r="BW102" s="268"/>
      <c r="BX102" s="268"/>
      <c r="BY102" s="268"/>
      <c r="BZ102" s="268"/>
      <c r="CA102" s="268"/>
      <c r="CB102" s="268"/>
      <c r="CC102" s="268"/>
      <c r="CD102" s="268"/>
      <c r="CE102" s="268"/>
      <c r="CF102" s="268"/>
      <c r="CG102" s="268"/>
      <c r="CH102" s="268"/>
      <c r="CI102" s="268"/>
      <c r="CJ102" s="268"/>
      <c r="CK102" s="268"/>
      <c r="CL102" s="268"/>
      <c r="CM102" s="268"/>
      <c r="CN102" s="268"/>
      <c r="CO102" s="268"/>
      <c r="CP102" s="268"/>
      <c r="CQ102" s="268"/>
      <c r="CR102" s="268"/>
      <c r="CS102" s="268"/>
      <c r="CT102" s="268"/>
      <c r="CU102" s="268"/>
      <c r="CV102" s="268"/>
      <c r="CW102" s="268"/>
      <c r="CX102" s="268"/>
      <c r="CY102" s="268"/>
      <c r="CZ102" s="268"/>
      <c r="DA102" s="268"/>
      <c r="DB102" s="268"/>
      <c r="DC102" s="268"/>
      <c r="DD102" s="268"/>
      <c r="DE102" s="268"/>
      <c r="DF102" s="268"/>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268"/>
      <c r="EC102" s="268"/>
      <c r="ED102" s="268"/>
      <c r="EE102" s="268"/>
      <c r="EF102" s="268"/>
      <c r="EG102" s="268"/>
      <c r="EH102" s="268"/>
      <c r="EI102" s="268"/>
      <c r="EJ102" s="268"/>
      <c r="EK102" s="268"/>
      <c r="EL102" s="268"/>
      <c r="EM102" s="268"/>
      <c r="EN102" s="268"/>
      <c r="EO102" s="268"/>
      <c r="EP102" s="268"/>
      <c r="EQ102" s="268"/>
      <c r="ER102" s="268"/>
      <c r="ES102" s="268"/>
      <c r="ET102" s="268"/>
      <c r="EU102" s="268"/>
      <c r="EV102" s="268"/>
      <c r="EW102" s="268"/>
      <c r="EX102" s="268"/>
      <c r="EY102" s="268"/>
      <c r="EZ102" s="268"/>
      <c r="FA102" s="268"/>
      <c r="FB102" s="268"/>
      <c r="FC102" s="268"/>
      <c r="FD102" s="268"/>
      <c r="FE102" s="268"/>
      <c r="FF102" s="268"/>
      <c r="FG102" s="268"/>
      <c r="FH102" s="268"/>
      <c r="FI102" s="268"/>
      <c r="FJ102" s="268"/>
      <c r="FK102" s="268"/>
      <c r="FL102" s="268"/>
      <c r="FM102" s="268"/>
      <c r="FN102" s="268"/>
      <c r="FO102" s="268"/>
      <c r="FP102" s="268"/>
      <c r="FQ102" s="268"/>
      <c r="FR102" s="268"/>
      <c r="FS102" s="268"/>
      <c r="FT102" s="268"/>
      <c r="FU102" s="268"/>
      <c r="FV102" s="268"/>
      <c r="FW102" s="268"/>
      <c r="FX102" s="268"/>
      <c r="FY102" s="268"/>
      <c r="FZ102" s="268"/>
      <c r="GA102" s="268"/>
      <c r="GB102" s="268"/>
      <c r="GC102" s="268"/>
      <c r="GD102" s="268"/>
      <c r="GE102" s="268"/>
      <c r="GF102" s="268"/>
      <c r="GG102" s="268"/>
      <c r="GH102" s="268"/>
      <c r="GI102" s="268"/>
      <c r="GJ102" s="268"/>
      <c r="GK102" s="268"/>
      <c r="GL102" s="268"/>
      <c r="GM102" s="268"/>
      <c r="GN102" s="268"/>
      <c r="GO102" s="268"/>
    </row>
    <row r="103" spans="2:197" s="275" customFormat="1" ht="39.75" hidden="1" customHeight="1">
      <c r="B103" s="268"/>
      <c r="C103" s="319"/>
      <c r="D103" s="319"/>
      <c r="E103" s="319"/>
      <c r="F103" s="319"/>
      <c r="G103" s="319"/>
      <c r="H103" s="319"/>
      <c r="I103" s="319"/>
      <c r="J103" s="319"/>
      <c r="K103" s="319"/>
      <c r="L103" s="319"/>
      <c r="M103" s="319"/>
      <c r="N103" s="319"/>
      <c r="R103" s="268"/>
      <c r="S103" s="574"/>
      <c r="T103" s="574"/>
      <c r="U103" s="574"/>
      <c r="V103" s="561"/>
      <c r="W103" s="270"/>
      <c r="X103" s="270">
        <v>5</v>
      </c>
      <c r="Y103" s="285"/>
      <c r="Z103" s="270"/>
      <c r="AA103" s="270"/>
      <c r="AB103" s="268"/>
      <c r="AC103" s="268"/>
      <c r="AD103" s="281">
        <v>1</v>
      </c>
      <c r="AE103" s="373">
        <v>13000</v>
      </c>
      <c r="AF103" s="368">
        <v>3850</v>
      </c>
      <c r="AG103" s="303">
        <v>3950</v>
      </c>
      <c r="AH103" s="373">
        <v>13000</v>
      </c>
      <c r="AI103" s="373">
        <v>13390</v>
      </c>
      <c r="AJ103" s="373">
        <v>13780</v>
      </c>
      <c r="AK103" s="268"/>
      <c r="AL103" s="268"/>
      <c r="AM103" s="268"/>
      <c r="AN103" s="385" t="s">
        <v>826</v>
      </c>
      <c r="AO103" s="267">
        <f>'Annexure -I'!D8</f>
        <v>53950</v>
      </c>
      <c r="AP103" s="267">
        <f t="shared" si="16"/>
        <v>18093</v>
      </c>
      <c r="AQ103" s="267">
        <f t="shared" si="15"/>
        <v>16396</v>
      </c>
      <c r="AR103" s="267">
        <f t="shared" si="11"/>
        <v>1697</v>
      </c>
      <c r="AS103" s="385"/>
      <c r="AT103" s="267">
        <f t="shared" ref="AT103:AU104" si="17">ROUND(AP103*10%,0.1)</f>
        <v>1809</v>
      </c>
      <c r="AU103" s="267">
        <f t="shared" si="17"/>
        <v>1640</v>
      </c>
      <c r="AV103" s="267">
        <f t="shared" si="14"/>
        <v>169</v>
      </c>
      <c r="AW103" s="268"/>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8"/>
      <c r="BT103" s="268"/>
      <c r="BU103" s="268"/>
      <c r="BV103" s="268"/>
      <c r="BW103" s="268"/>
      <c r="BX103" s="268"/>
      <c r="BY103" s="268"/>
      <c r="BZ103" s="268"/>
      <c r="CA103" s="268"/>
      <c r="CB103" s="268"/>
      <c r="CC103" s="268"/>
      <c r="CD103" s="268"/>
      <c r="CE103" s="268"/>
      <c r="CF103" s="268"/>
      <c r="CG103" s="268"/>
      <c r="CH103" s="268"/>
      <c r="CI103" s="268"/>
      <c r="CJ103" s="268"/>
      <c r="CK103" s="268"/>
      <c r="CL103" s="268"/>
      <c r="CM103" s="268"/>
      <c r="CN103" s="268"/>
      <c r="CO103" s="268"/>
      <c r="CP103" s="268"/>
      <c r="CQ103" s="268"/>
      <c r="CR103" s="268"/>
      <c r="CS103" s="268"/>
      <c r="CT103" s="268"/>
      <c r="CU103" s="268"/>
      <c r="CV103" s="268"/>
      <c r="CW103" s="268"/>
      <c r="CX103" s="268"/>
      <c r="CY103" s="268"/>
      <c r="CZ103" s="268"/>
      <c r="DA103" s="268"/>
      <c r="DB103" s="268"/>
      <c r="DC103" s="268"/>
      <c r="DD103" s="268"/>
      <c r="DE103" s="268"/>
      <c r="DF103" s="268"/>
      <c r="DG103" s="268"/>
      <c r="DH103" s="268"/>
      <c r="DI103" s="268"/>
      <c r="DJ103" s="268"/>
      <c r="DK103" s="268"/>
      <c r="DL103" s="268"/>
      <c r="DM103" s="268"/>
      <c r="DN103" s="268"/>
      <c r="DO103" s="268"/>
      <c r="DP103" s="268"/>
      <c r="DQ103" s="268"/>
      <c r="DR103" s="268"/>
      <c r="DS103" s="268"/>
      <c r="DT103" s="268"/>
      <c r="DU103" s="268"/>
      <c r="DV103" s="268"/>
      <c r="DW103" s="268"/>
      <c r="DX103" s="268"/>
      <c r="DY103" s="268"/>
      <c r="DZ103" s="268"/>
      <c r="EA103" s="268"/>
      <c r="EB103" s="268"/>
      <c r="EC103" s="268"/>
      <c r="ED103" s="268"/>
      <c r="EE103" s="268"/>
      <c r="EF103" s="268"/>
      <c r="EG103" s="268"/>
      <c r="EH103" s="268"/>
      <c r="EI103" s="268"/>
      <c r="EJ103" s="268"/>
      <c r="EK103" s="268"/>
      <c r="EL103" s="268"/>
      <c r="EM103" s="268"/>
      <c r="EN103" s="268"/>
      <c r="EO103" s="268"/>
      <c r="EP103" s="268"/>
      <c r="EQ103" s="268"/>
      <c r="ER103" s="268"/>
      <c r="ES103" s="268"/>
      <c r="ET103" s="268"/>
      <c r="EU103" s="268"/>
      <c r="EV103" s="268"/>
      <c r="EW103" s="268"/>
      <c r="EX103" s="268"/>
      <c r="EY103" s="268"/>
      <c r="EZ103" s="268"/>
      <c r="FA103" s="268"/>
      <c r="FB103" s="268"/>
      <c r="FC103" s="268"/>
      <c r="FD103" s="268"/>
      <c r="FE103" s="268"/>
      <c r="FF103" s="268"/>
      <c r="FG103" s="268"/>
      <c r="FH103" s="268"/>
      <c r="FI103" s="268"/>
      <c r="FJ103" s="268"/>
      <c r="FK103" s="268"/>
      <c r="FL103" s="268"/>
      <c r="FM103" s="268"/>
      <c r="FN103" s="268"/>
      <c r="FO103" s="268"/>
      <c r="FP103" s="268"/>
      <c r="FQ103" s="268"/>
      <c r="FR103" s="268"/>
      <c r="FS103" s="268"/>
      <c r="FT103" s="268"/>
      <c r="FU103" s="268"/>
      <c r="FV103" s="268"/>
      <c r="FW103" s="268"/>
      <c r="FX103" s="268"/>
      <c r="FY103" s="268"/>
      <c r="FZ103" s="268"/>
      <c r="GA103" s="268"/>
      <c r="GB103" s="268"/>
      <c r="GC103" s="268"/>
      <c r="GD103" s="268"/>
      <c r="GE103" s="268"/>
      <c r="GF103" s="268"/>
      <c r="GG103" s="268"/>
      <c r="GH103" s="268"/>
      <c r="GI103" s="268"/>
      <c r="GJ103" s="268"/>
      <c r="GK103" s="268"/>
      <c r="GL103" s="268"/>
      <c r="GM103" s="268"/>
      <c r="GN103" s="268"/>
      <c r="GO103" s="268"/>
    </row>
    <row r="104" spans="2:197" s="275" customFormat="1" ht="39.75" hidden="1" customHeight="1" thickBot="1">
      <c r="B104" s="268"/>
      <c r="C104" s="319"/>
      <c r="D104" s="319"/>
      <c r="E104" s="319"/>
      <c r="F104" s="319"/>
      <c r="G104" s="319"/>
      <c r="H104" s="319"/>
      <c r="I104" s="319"/>
      <c r="J104" s="319"/>
      <c r="K104" s="319"/>
      <c r="L104" s="319"/>
      <c r="M104" s="319"/>
      <c r="N104" s="319"/>
      <c r="S104" s="577"/>
      <c r="T104" s="577"/>
      <c r="U104" s="574"/>
      <c r="V104" s="559"/>
      <c r="W104" s="287"/>
      <c r="X104" s="287" t="str">
        <f>VLOOKUP(X103+1,AD75:AE86,2,0)</f>
        <v>July,19</v>
      </c>
      <c r="Y104" s="293"/>
      <c r="Z104" s="270"/>
      <c r="AA104" s="270"/>
      <c r="AB104" s="268"/>
      <c r="AC104" s="268"/>
      <c r="AD104" s="284">
        <v>2</v>
      </c>
      <c r="AE104" s="373">
        <v>13390</v>
      </c>
      <c r="AF104" s="369">
        <v>3950</v>
      </c>
      <c r="AG104" s="303">
        <v>4050</v>
      </c>
      <c r="AH104" s="373">
        <v>13390</v>
      </c>
      <c r="AI104" s="373">
        <v>13780</v>
      </c>
      <c r="AJ104" s="367">
        <v>14170</v>
      </c>
      <c r="AK104" s="605">
        <v>13000</v>
      </c>
      <c r="AL104" s="268"/>
      <c r="AM104" s="268"/>
      <c r="AN104" s="385" t="s">
        <v>783</v>
      </c>
      <c r="AO104" s="267">
        <f>'Annexure -I'!D9</f>
        <v>53950</v>
      </c>
      <c r="AP104" s="267">
        <f t="shared" si="16"/>
        <v>18093</v>
      </c>
      <c r="AQ104" s="267">
        <f t="shared" si="15"/>
        <v>16396</v>
      </c>
      <c r="AR104" s="267">
        <f t="shared" si="11"/>
        <v>1697</v>
      </c>
      <c r="AS104" s="385"/>
      <c r="AT104" s="267">
        <f t="shared" si="17"/>
        <v>1809</v>
      </c>
      <c r="AU104" s="267">
        <f t="shared" si="17"/>
        <v>1640</v>
      </c>
      <c r="AV104" s="267">
        <f t="shared" si="14"/>
        <v>169</v>
      </c>
      <c r="AX104" s="268"/>
      <c r="AY104" s="268"/>
      <c r="AZ104" s="268"/>
      <c r="BA104" s="268"/>
      <c r="BB104" s="268"/>
      <c r="BC104" s="268"/>
      <c r="BD104" s="268"/>
      <c r="BE104" s="268"/>
      <c r="BF104" s="268"/>
      <c r="BG104" s="268"/>
      <c r="BH104" s="268"/>
      <c r="BI104" s="268"/>
      <c r="BJ104" s="268"/>
      <c r="BK104" s="268"/>
      <c r="BL104" s="268"/>
      <c r="BM104" s="268"/>
      <c r="BN104" s="268"/>
      <c r="BO104" s="268"/>
      <c r="BP104" s="268"/>
      <c r="BQ104" s="268"/>
      <c r="BR104" s="268"/>
      <c r="BS104" s="268"/>
      <c r="BT104" s="268"/>
      <c r="BU104" s="268"/>
      <c r="BV104" s="268"/>
      <c r="BW104" s="268"/>
      <c r="BX104" s="268"/>
      <c r="BY104" s="268"/>
      <c r="BZ104" s="268"/>
      <c r="CA104" s="268"/>
      <c r="CB104" s="268"/>
      <c r="CC104" s="268"/>
      <c r="CD104" s="268"/>
      <c r="CE104" s="268"/>
      <c r="CF104" s="268"/>
      <c r="CG104" s="268"/>
      <c r="CH104" s="268"/>
      <c r="CI104" s="268"/>
      <c r="CJ104" s="268"/>
      <c r="CK104" s="268"/>
      <c r="CL104" s="268"/>
      <c r="CM104" s="268"/>
      <c r="CN104" s="268"/>
      <c r="CO104" s="268"/>
      <c r="CP104" s="268"/>
      <c r="CQ104" s="268"/>
      <c r="CR104" s="268"/>
      <c r="CS104" s="268"/>
      <c r="CT104" s="268"/>
      <c r="CU104" s="268"/>
      <c r="CV104" s="268"/>
      <c r="CW104" s="268"/>
      <c r="CX104" s="268"/>
      <c r="CY104" s="268"/>
      <c r="CZ104" s="268"/>
      <c r="DA104" s="268"/>
      <c r="DB104" s="268"/>
      <c r="DC104" s="268"/>
      <c r="DD104" s="268"/>
      <c r="DE104" s="268"/>
      <c r="DF104" s="268"/>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268"/>
      <c r="EC104" s="268"/>
      <c r="ED104" s="268"/>
      <c r="EE104" s="268"/>
      <c r="EF104" s="268"/>
      <c r="EG104" s="268"/>
      <c r="EH104" s="268"/>
      <c r="EI104" s="268"/>
      <c r="EJ104" s="268"/>
      <c r="EK104" s="268"/>
      <c r="EL104" s="268"/>
      <c r="EM104" s="268"/>
      <c r="EN104" s="268"/>
      <c r="EO104" s="268"/>
      <c r="EP104" s="268"/>
      <c r="EQ104" s="268"/>
      <c r="ER104" s="268"/>
      <c r="ES104" s="268"/>
      <c r="ET104" s="268"/>
      <c r="EU104" s="268"/>
      <c r="EV104" s="268"/>
      <c r="EW104" s="268"/>
      <c r="EX104" s="268"/>
      <c r="EY104" s="268"/>
      <c r="EZ104" s="268"/>
      <c r="FA104" s="268"/>
      <c r="FB104" s="268"/>
      <c r="FC104" s="268"/>
      <c r="FD104" s="268"/>
      <c r="FE104" s="268"/>
      <c r="FF104" s="268"/>
      <c r="FG104" s="268"/>
      <c r="FH104" s="268"/>
      <c r="FI104" s="268"/>
      <c r="FJ104" s="268"/>
      <c r="FK104" s="268"/>
      <c r="FL104" s="268"/>
      <c r="FM104" s="268"/>
      <c r="FN104" s="268"/>
      <c r="FO104" s="268"/>
      <c r="FP104" s="268"/>
      <c r="FQ104" s="268"/>
      <c r="FR104" s="268"/>
      <c r="FS104" s="268"/>
      <c r="FT104" s="268"/>
      <c r="FU104" s="268"/>
      <c r="FV104" s="268"/>
      <c r="FW104" s="268"/>
      <c r="FX104" s="268"/>
      <c r="FY104" s="268"/>
      <c r="FZ104" s="268"/>
      <c r="GA104" s="268"/>
      <c r="GB104" s="268"/>
      <c r="GC104" s="268"/>
      <c r="GD104" s="268"/>
      <c r="GE104" s="268"/>
      <c r="GF104" s="268"/>
      <c r="GG104" s="268"/>
      <c r="GH104" s="268"/>
      <c r="GI104" s="268"/>
      <c r="GJ104" s="268"/>
      <c r="GK104" s="268"/>
      <c r="GL104" s="268"/>
      <c r="GM104" s="268"/>
      <c r="GN104" s="268"/>
      <c r="GO104" s="268"/>
    </row>
    <row r="105" spans="2:197" s="275" customFormat="1" ht="39.75" hidden="1" customHeight="1">
      <c r="B105" s="268"/>
      <c r="C105" s="319"/>
      <c r="D105" s="319"/>
      <c r="E105" s="319"/>
      <c r="F105" s="319"/>
      <c r="G105" s="319"/>
      <c r="H105" s="319"/>
      <c r="I105" s="319"/>
      <c r="J105" s="319"/>
      <c r="K105" s="319"/>
      <c r="L105" s="319"/>
      <c r="M105" s="319"/>
      <c r="N105" s="319"/>
      <c r="O105" s="268" t="str">
        <f>IF(AD35=1,O108,O109)</f>
        <v>Rs.2,50,001 To 5,00,000.    (@ 10%)</v>
      </c>
      <c r="P105" s="268"/>
      <c r="Q105" s="268"/>
      <c r="S105" s="577"/>
      <c r="T105" s="577"/>
      <c r="U105" s="574"/>
      <c r="V105" s="552"/>
      <c r="W105" s="268"/>
      <c r="X105" s="268"/>
      <c r="Y105" s="268"/>
      <c r="Z105" s="268"/>
      <c r="AA105" s="268"/>
      <c r="AB105" s="268"/>
      <c r="AC105" s="268"/>
      <c r="AD105" s="284">
        <v>3</v>
      </c>
      <c r="AE105" s="373">
        <v>13780</v>
      </c>
      <c r="AF105" s="369">
        <v>4050</v>
      </c>
      <c r="AG105" s="303">
        <v>4150</v>
      </c>
      <c r="AH105" s="373">
        <v>13780</v>
      </c>
      <c r="AI105" s="367">
        <v>14170</v>
      </c>
      <c r="AJ105" s="367">
        <v>14600</v>
      </c>
      <c r="AK105" s="605">
        <v>13390</v>
      </c>
      <c r="AL105" s="268"/>
      <c r="AM105" s="268"/>
      <c r="AN105" s="385" t="s">
        <v>827</v>
      </c>
      <c r="AO105" s="267">
        <f>'Annexure -I'!D10</f>
        <v>53950</v>
      </c>
      <c r="AP105" s="267">
        <f t="shared" ref="AP105:AP106" si="18">ROUND(AO105*$AP$95/100,0.1)</f>
        <v>18093</v>
      </c>
      <c r="AQ105" s="267">
        <f t="shared" ref="AQ105:AQ106" si="19">ROUND(AO105*$AQ$95/100,0.1)</f>
        <v>16396</v>
      </c>
      <c r="AR105" s="267">
        <f t="shared" ref="AR105:AR106" si="20">AP105-AQ105</f>
        <v>1697</v>
      </c>
      <c r="AS105" s="385"/>
      <c r="AT105" s="267">
        <f t="shared" ref="AT105:AT106" si="21">ROUND(AP105*10%,0.1)</f>
        <v>1809</v>
      </c>
      <c r="AU105" s="267">
        <f t="shared" ref="AU105:AU106" si="22">ROUND(AQ105*10%,0.1)</f>
        <v>1640</v>
      </c>
      <c r="AV105" s="267">
        <f t="shared" ref="AV105:AV106" si="23">AT105-AU105</f>
        <v>169</v>
      </c>
      <c r="AW105" s="268"/>
      <c r="AX105" s="268"/>
      <c r="AY105" s="268"/>
      <c r="AZ105" s="268"/>
      <c r="BA105" s="268"/>
      <c r="BB105" s="268"/>
      <c r="BC105" s="268"/>
      <c r="BD105" s="268"/>
      <c r="BE105" s="268"/>
      <c r="BF105" s="268"/>
      <c r="BG105" s="268"/>
      <c r="BH105" s="268"/>
      <c r="BI105" s="268"/>
      <c r="BJ105" s="268"/>
      <c r="BK105" s="268"/>
      <c r="BL105" s="268"/>
      <c r="BM105" s="268"/>
      <c r="BN105" s="268"/>
      <c r="BO105" s="268"/>
      <c r="BP105" s="268"/>
      <c r="BQ105" s="268"/>
      <c r="BR105" s="268"/>
      <c r="BS105" s="268"/>
      <c r="BT105" s="268"/>
      <c r="BU105" s="268"/>
      <c r="BV105" s="268"/>
      <c r="BW105" s="268"/>
      <c r="BX105" s="268"/>
      <c r="BY105" s="268"/>
      <c r="BZ105" s="268"/>
      <c r="CA105" s="268"/>
      <c r="CB105" s="268"/>
      <c r="CC105" s="268"/>
      <c r="CD105" s="268"/>
      <c r="CE105" s="268"/>
      <c r="CF105" s="268"/>
      <c r="CG105" s="268"/>
      <c r="CH105" s="268"/>
      <c r="CI105" s="268"/>
      <c r="CJ105" s="268"/>
      <c r="CK105" s="268"/>
      <c r="CL105" s="268"/>
      <c r="CM105" s="268"/>
      <c r="CN105" s="268"/>
      <c r="CO105" s="268"/>
      <c r="CP105" s="268"/>
      <c r="CQ105" s="268"/>
      <c r="CR105" s="268"/>
      <c r="CS105" s="268"/>
      <c r="CT105" s="268"/>
      <c r="CU105" s="268"/>
      <c r="CV105" s="268"/>
      <c r="CW105" s="268"/>
      <c r="CX105" s="268"/>
      <c r="CY105" s="268"/>
      <c r="CZ105" s="268"/>
      <c r="DA105" s="268"/>
      <c r="DB105" s="268"/>
      <c r="DC105" s="268"/>
      <c r="DD105" s="268"/>
      <c r="DE105" s="268"/>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68"/>
      <c r="EB105" s="268"/>
      <c r="EC105" s="268"/>
      <c r="ED105" s="268"/>
      <c r="EE105" s="268"/>
      <c r="EF105" s="268"/>
      <c r="EG105" s="268"/>
      <c r="EH105" s="268"/>
      <c r="EI105" s="268"/>
      <c r="EJ105" s="268"/>
      <c r="EK105" s="268"/>
      <c r="EL105" s="268"/>
      <c r="EM105" s="268"/>
      <c r="EN105" s="268"/>
      <c r="EO105" s="268"/>
      <c r="EP105" s="268"/>
      <c r="EQ105" s="268"/>
      <c r="ER105" s="268"/>
      <c r="ES105" s="268"/>
      <c r="ET105" s="268"/>
      <c r="EU105" s="268"/>
      <c r="EV105" s="268"/>
      <c r="EW105" s="268"/>
      <c r="EX105" s="268"/>
      <c r="EY105" s="268"/>
      <c r="EZ105" s="268"/>
      <c r="FA105" s="268"/>
      <c r="FB105" s="268"/>
      <c r="FC105" s="268"/>
      <c r="FD105" s="268"/>
      <c r="FE105" s="268"/>
      <c r="FF105" s="268"/>
      <c r="FG105" s="268"/>
      <c r="FH105" s="268"/>
      <c r="FI105" s="268"/>
      <c r="FJ105" s="268"/>
      <c r="FK105" s="268"/>
      <c r="FL105" s="268"/>
      <c r="FM105" s="268"/>
      <c r="FN105" s="268"/>
      <c r="FO105" s="268"/>
      <c r="FP105" s="268"/>
      <c r="FQ105" s="268"/>
      <c r="FR105" s="268"/>
      <c r="FS105" s="268"/>
      <c r="FT105" s="268"/>
      <c r="FU105" s="268"/>
      <c r="FV105" s="268"/>
      <c r="FW105" s="268"/>
      <c r="FX105" s="268"/>
      <c r="FY105" s="268"/>
      <c r="FZ105" s="268"/>
      <c r="GA105" s="268"/>
      <c r="GB105" s="268"/>
      <c r="GC105" s="268"/>
      <c r="GD105" s="268"/>
      <c r="GE105" s="268"/>
      <c r="GF105" s="268"/>
      <c r="GG105" s="268"/>
      <c r="GH105" s="268"/>
      <c r="GI105" s="268"/>
      <c r="GJ105" s="268"/>
      <c r="GK105" s="268"/>
      <c r="GL105" s="268"/>
      <c r="GM105" s="268"/>
      <c r="GN105" s="268"/>
      <c r="GO105" s="268"/>
    </row>
    <row r="106" spans="2:197" s="275" customFormat="1" ht="39.75" hidden="1" customHeight="1">
      <c r="B106" s="268"/>
      <c r="C106" s="319"/>
      <c r="D106" s="319"/>
      <c r="E106" s="319"/>
      <c r="F106" s="319"/>
      <c r="G106" s="319"/>
      <c r="H106" s="319"/>
      <c r="I106" s="319"/>
      <c r="J106" s="319"/>
      <c r="K106" s="319"/>
      <c r="L106" s="319"/>
      <c r="M106" s="319"/>
      <c r="N106" s="319"/>
      <c r="O106" s="268"/>
      <c r="P106" s="268"/>
      <c r="Q106" s="268"/>
      <c r="S106" s="577"/>
      <c r="T106" s="577"/>
      <c r="U106" s="574"/>
      <c r="V106" s="552">
        <v>1</v>
      </c>
      <c r="W106" s="268" t="s">
        <v>750</v>
      </c>
      <c r="X106" s="268"/>
      <c r="Y106" s="268" t="str">
        <f>IF(V100=2,"","1")</f>
        <v/>
      </c>
      <c r="Z106" s="268"/>
      <c r="AA106" s="268"/>
      <c r="AB106" s="268" t="str">
        <f>IF($AD$69=2,"","1")</f>
        <v>1</v>
      </c>
      <c r="AC106" s="268"/>
      <c r="AD106" s="284">
        <v>4</v>
      </c>
      <c r="AE106" s="367">
        <v>14170</v>
      </c>
      <c r="AF106" s="369">
        <v>4150</v>
      </c>
      <c r="AG106" s="303">
        <v>4260</v>
      </c>
      <c r="AH106" s="367">
        <v>14170</v>
      </c>
      <c r="AI106" s="367">
        <v>14600</v>
      </c>
      <c r="AJ106" s="367">
        <v>15030</v>
      </c>
      <c r="AK106" s="605">
        <v>13780</v>
      </c>
      <c r="AL106" s="268"/>
      <c r="AM106" s="268"/>
      <c r="AN106" s="385" t="s">
        <v>785</v>
      </c>
      <c r="AO106" s="267">
        <f>'Annexure -I'!D11</f>
        <v>53950</v>
      </c>
      <c r="AP106" s="267">
        <f t="shared" si="18"/>
        <v>18093</v>
      </c>
      <c r="AQ106" s="267">
        <f t="shared" si="19"/>
        <v>16396</v>
      </c>
      <c r="AR106" s="267">
        <f t="shared" si="20"/>
        <v>1697</v>
      </c>
      <c r="AS106" s="385"/>
      <c r="AT106" s="267">
        <f t="shared" si="21"/>
        <v>1809</v>
      </c>
      <c r="AU106" s="267">
        <f t="shared" si="22"/>
        <v>1640</v>
      </c>
      <c r="AV106" s="267">
        <f t="shared" si="23"/>
        <v>169</v>
      </c>
      <c r="AX106" s="268"/>
      <c r="AY106" s="268"/>
      <c r="AZ106" s="268"/>
      <c r="BA106" s="268"/>
      <c r="BB106" s="268"/>
      <c r="BC106" s="268"/>
      <c r="BD106" s="268"/>
      <c r="BE106" s="268"/>
      <c r="BF106" s="268"/>
      <c r="BG106" s="268"/>
      <c r="BH106" s="268"/>
      <c r="BI106" s="268"/>
      <c r="BJ106" s="268"/>
      <c r="BK106" s="268"/>
      <c r="BL106" s="268"/>
      <c r="BM106" s="268"/>
      <c r="BN106" s="268"/>
      <c r="BO106" s="268"/>
      <c r="BP106" s="268"/>
      <c r="BQ106" s="268"/>
      <c r="BR106" s="268"/>
      <c r="BS106" s="268"/>
      <c r="BT106" s="268"/>
      <c r="BU106" s="268"/>
      <c r="BV106" s="268"/>
      <c r="BW106" s="268"/>
      <c r="BX106" s="268"/>
      <c r="BY106" s="268"/>
      <c r="BZ106" s="268"/>
      <c r="CA106" s="268"/>
      <c r="CB106" s="268"/>
      <c r="CC106" s="268"/>
      <c r="CD106" s="268"/>
      <c r="CE106" s="268"/>
      <c r="CF106" s="268"/>
      <c r="CG106" s="268"/>
      <c r="CH106" s="268"/>
      <c r="CI106" s="268"/>
      <c r="CJ106" s="268"/>
      <c r="CK106" s="268"/>
      <c r="CL106" s="268"/>
      <c r="CM106" s="268"/>
      <c r="CN106" s="268"/>
      <c r="CO106" s="268"/>
      <c r="CP106" s="268"/>
      <c r="CQ106" s="268"/>
      <c r="CR106" s="268"/>
      <c r="CS106" s="268"/>
      <c r="CT106" s="268"/>
      <c r="CU106" s="268"/>
      <c r="CV106" s="268"/>
      <c r="CW106" s="268"/>
      <c r="CX106" s="268"/>
      <c r="CY106" s="268"/>
      <c r="CZ106" s="268"/>
      <c r="DA106" s="268"/>
      <c r="DB106" s="268"/>
      <c r="DC106" s="268"/>
      <c r="DD106" s="268"/>
      <c r="DE106" s="268"/>
      <c r="DF106" s="268"/>
      <c r="DG106" s="268"/>
      <c r="DH106" s="268"/>
      <c r="DI106" s="268"/>
      <c r="DJ106" s="268"/>
      <c r="DK106" s="268"/>
      <c r="DL106" s="268"/>
      <c r="DM106" s="268"/>
      <c r="DN106" s="268"/>
      <c r="DO106" s="268"/>
      <c r="DP106" s="268"/>
      <c r="DQ106" s="268"/>
      <c r="DR106" s="268"/>
      <c r="DS106" s="268"/>
      <c r="DT106" s="268"/>
      <c r="DU106" s="268"/>
      <c r="DV106" s="268"/>
      <c r="DW106" s="268"/>
      <c r="DX106" s="268"/>
      <c r="DY106" s="268"/>
      <c r="DZ106" s="268"/>
      <c r="EA106" s="268"/>
      <c r="EB106" s="268"/>
      <c r="EC106" s="268"/>
      <c r="ED106" s="268"/>
      <c r="EE106" s="268"/>
      <c r="EF106" s="268"/>
      <c r="EG106" s="268"/>
      <c r="EH106" s="268"/>
      <c r="EI106" s="268"/>
      <c r="EJ106" s="268"/>
      <c r="EK106" s="268"/>
      <c r="EL106" s="268"/>
      <c r="EM106" s="268"/>
      <c r="EN106" s="268"/>
      <c r="EO106" s="268"/>
      <c r="EP106" s="268"/>
      <c r="EQ106" s="268"/>
      <c r="ER106" s="268"/>
      <c r="ES106" s="268"/>
      <c r="ET106" s="268"/>
      <c r="EU106" s="268"/>
      <c r="EV106" s="268"/>
      <c r="EW106" s="268"/>
      <c r="EX106" s="268"/>
      <c r="EY106" s="268"/>
      <c r="EZ106" s="268"/>
      <c r="FA106" s="268"/>
      <c r="FB106" s="268"/>
      <c r="FC106" s="268"/>
      <c r="FD106" s="268"/>
      <c r="FE106" s="268"/>
      <c r="FF106" s="268"/>
      <c r="FG106" s="268"/>
      <c r="FH106" s="268"/>
      <c r="FI106" s="268"/>
      <c r="FJ106" s="268"/>
      <c r="FK106" s="268"/>
      <c r="FL106" s="268"/>
      <c r="FM106" s="268"/>
      <c r="FN106" s="268"/>
      <c r="FO106" s="268"/>
      <c r="FP106" s="268"/>
      <c r="FQ106" s="268"/>
      <c r="FR106" s="268"/>
      <c r="FS106" s="268"/>
      <c r="FT106" s="268"/>
      <c r="FU106" s="268"/>
      <c r="FV106" s="268"/>
      <c r="FW106" s="268"/>
      <c r="FX106" s="268"/>
      <c r="FY106" s="268"/>
      <c r="FZ106" s="268"/>
      <c r="GA106" s="268"/>
      <c r="GB106" s="268"/>
      <c r="GC106" s="268"/>
      <c r="GD106" s="268"/>
      <c r="GE106" s="268"/>
      <c r="GF106" s="268"/>
      <c r="GG106" s="268"/>
      <c r="GH106" s="268"/>
      <c r="GI106" s="268"/>
      <c r="GJ106" s="268"/>
      <c r="GK106" s="268"/>
      <c r="GL106" s="268"/>
      <c r="GM106" s="268"/>
      <c r="GN106" s="268"/>
      <c r="GO106" s="268"/>
    </row>
    <row r="107" spans="2:197" s="275" customFormat="1" ht="39.75" hidden="1" customHeight="1">
      <c r="B107" s="268"/>
      <c r="C107" s="319"/>
      <c r="D107" s="319"/>
      <c r="E107" s="319"/>
      <c r="F107" s="319"/>
      <c r="G107" s="319"/>
      <c r="H107" s="319"/>
      <c r="I107" s="319"/>
      <c r="J107" s="319"/>
      <c r="K107" s="319"/>
      <c r="L107" s="319"/>
      <c r="M107" s="319"/>
      <c r="N107" s="319"/>
      <c r="O107" s="300" t="s">
        <v>491</v>
      </c>
      <c r="P107" s="268"/>
      <c r="Q107" s="268"/>
      <c r="R107" s="268"/>
      <c r="S107" s="574"/>
      <c r="T107" s="574"/>
      <c r="U107" s="574"/>
      <c r="V107" s="552">
        <v>2</v>
      </c>
      <c r="W107" s="268" t="s">
        <v>779</v>
      </c>
      <c r="X107" s="268"/>
      <c r="Y107" s="268" t="str">
        <f>IF(V100=2,"","2")</f>
        <v/>
      </c>
      <c r="Z107" s="268"/>
      <c r="AA107" s="268"/>
      <c r="AB107" s="268" t="str">
        <f>IF($AD$69=2,"","2")</f>
        <v>2</v>
      </c>
      <c r="AC107" s="268"/>
      <c r="AD107" s="284">
        <v>5</v>
      </c>
      <c r="AE107" s="367">
        <v>14600</v>
      </c>
      <c r="AF107" s="369">
        <v>4260</v>
      </c>
      <c r="AG107" s="303">
        <v>4370</v>
      </c>
      <c r="AH107" s="367">
        <v>14600</v>
      </c>
      <c r="AI107" s="367">
        <v>15030</v>
      </c>
      <c r="AJ107" s="367">
        <v>15460</v>
      </c>
      <c r="AK107" s="606">
        <v>14170</v>
      </c>
      <c r="AL107" s="268"/>
      <c r="AM107" s="268"/>
      <c r="AN107" s="267" t="s">
        <v>454</v>
      </c>
      <c r="AO107" s="267">
        <f>IF(AND(AD69=1,P114&lt;7),G127,0)</f>
        <v>0</v>
      </c>
      <c r="AP107" s="267">
        <f t="shared" si="16"/>
        <v>0</v>
      </c>
      <c r="AQ107" s="267">
        <f t="shared" si="15"/>
        <v>0</v>
      </c>
      <c r="AR107" s="267">
        <f>AP107-AQ107</f>
        <v>0</v>
      </c>
      <c r="AS107" s="267"/>
      <c r="AT107" s="267">
        <f t="shared" ref="AT107:AU109" si="24">ROUND(AP107*10%,0.1)</f>
        <v>0</v>
      </c>
      <c r="AU107" s="267">
        <f t="shared" si="24"/>
        <v>0</v>
      </c>
      <c r="AV107" s="267">
        <f>AT107-AU107</f>
        <v>0</v>
      </c>
      <c r="AX107" s="268"/>
      <c r="AY107" s="268"/>
      <c r="AZ107" s="268"/>
      <c r="BA107" s="268"/>
      <c r="BB107" s="268"/>
      <c r="BC107" s="268"/>
      <c r="BD107" s="268"/>
      <c r="BE107" s="268"/>
      <c r="BF107" s="268"/>
      <c r="BG107" s="268"/>
      <c r="BH107" s="268"/>
      <c r="BI107" s="268"/>
      <c r="BJ107" s="268"/>
      <c r="BK107" s="268"/>
      <c r="BL107" s="268"/>
      <c r="BM107" s="268"/>
      <c r="BN107" s="268"/>
      <c r="BO107" s="268"/>
      <c r="BP107" s="268"/>
      <c r="BQ107" s="268"/>
      <c r="BR107" s="268"/>
      <c r="BS107" s="268"/>
      <c r="BT107" s="268"/>
      <c r="BU107" s="268"/>
      <c r="BV107" s="268"/>
      <c r="BW107" s="268"/>
      <c r="BX107" s="268"/>
      <c r="BY107" s="268"/>
      <c r="BZ107" s="268"/>
      <c r="CA107" s="268"/>
      <c r="CB107" s="268"/>
      <c r="CC107" s="268"/>
      <c r="CD107" s="268"/>
      <c r="CE107" s="268"/>
      <c r="CF107" s="268"/>
      <c r="CG107" s="268"/>
      <c r="CH107" s="268"/>
      <c r="CI107" s="268"/>
      <c r="CJ107" s="268"/>
      <c r="CK107" s="268"/>
      <c r="CL107" s="268"/>
      <c r="CM107" s="268"/>
      <c r="CN107" s="268"/>
      <c r="CO107" s="268"/>
      <c r="CP107" s="268"/>
      <c r="CQ107" s="268"/>
      <c r="CR107" s="268"/>
      <c r="CS107" s="268"/>
      <c r="CT107" s="268"/>
      <c r="CU107" s="268"/>
      <c r="CV107" s="268"/>
      <c r="CW107" s="268"/>
      <c r="CX107" s="268"/>
      <c r="CY107" s="268"/>
      <c r="CZ107" s="268"/>
      <c r="DA107" s="268"/>
      <c r="DB107" s="268"/>
      <c r="DC107" s="268"/>
      <c r="DD107" s="268"/>
      <c r="DE107" s="268"/>
      <c r="DF107" s="268"/>
      <c r="DG107" s="268"/>
      <c r="DH107" s="268"/>
      <c r="DI107" s="268"/>
      <c r="DJ107" s="268"/>
      <c r="DK107" s="268"/>
      <c r="DL107" s="268"/>
      <c r="DM107" s="268"/>
      <c r="DN107" s="268"/>
      <c r="DO107" s="268"/>
      <c r="DP107" s="268"/>
      <c r="DQ107" s="268"/>
      <c r="DR107" s="268"/>
      <c r="DS107" s="268"/>
      <c r="DT107" s="268"/>
      <c r="DU107" s="268"/>
      <c r="DV107" s="268"/>
      <c r="DW107" s="268"/>
      <c r="DX107" s="268"/>
      <c r="DY107" s="268"/>
      <c r="DZ107" s="268"/>
      <c r="EA107" s="268"/>
      <c r="EB107" s="268"/>
      <c r="EC107" s="268"/>
      <c r="ED107" s="268"/>
      <c r="EE107" s="268"/>
      <c r="EF107" s="268"/>
      <c r="EG107" s="268"/>
      <c r="EH107" s="268"/>
      <c r="EI107" s="268"/>
      <c r="EJ107" s="268"/>
      <c r="EK107" s="268"/>
      <c r="EL107" s="268"/>
      <c r="EM107" s="268"/>
      <c r="EN107" s="268"/>
      <c r="EO107" s="268"/>
      <c r="EP107" s="268"/>
      <c r="EQ107" s="268"/>
      <c r="ER107" s="268"/>
      <c r="ES107" s="268"/>
      <c r="ET107" s="268"/>
      <c r="EU107" s="268"/>
      <c r="EV107" s="268"/>
      <c r="EW107" s="268"/>
      <c r="EX107" s="268"/>
      <c r="EY107" s="268"/>
      <c r="EZ107" s="268"/>
      <c r="FA107" s="268"/>
      <c r="FB107" s="268"/>
      <c r="FC107" s="268"/>
      <c r="FD107" s="268"/>
      <c r="FE107" s="268"/>
      <c r="FF107" s="268"/>
      <c r="FG107" s="268"/>
      <c r="FH107" s="268"/>
      <c r="FI107" s="268"/>
      <c r="FJ107" s="268"/>
      <c r="FK107" s="268"/>
      <c r="FL107" s="268"/>
      <c r="FM107" s="268"/>
      <c r="FN107" s="268"/>
      <c r="FO107" s="268"/>
      <c r="FP107" s="268"/>
      <c r="FQ107" s="268"/>
      <c r="FR107" s="268"/>
      <c r="FS107" s="268"/>
      <c r="FT107" s="268"/>
      <c r="FU107" s="268"/>
      <c r="FV107" s="268"/>
      <c r="FW107" s="268"/>
      <c r="FX107" s="268"/>
      <c r="FY107" s="268"/>
      <c r="FZ107" s="268"/>
      <c r="GA107" s="268"/>
      <c r="GB107" s="268"/>
      <c r="GC107" s="268"/>
      <c r="GD107" s="268"/>
      <c r="GE107" s="268"/>
      <c r="GF107" s="268"/>
      <c r="GG107" s="268"/>
      <c r="GH107" s="268"/>
      <c r="GI107" s="268"/>
      <c r="GJ107" s="268"/>
      <c r="GK107" s="268"/>
      <c r="GL107" s="268"/>
      <c r="GM107" s="268"/>
      <c r="GN107" s="268"/>
      <c r="GO107" s="268"/>
    </row>
    <row r="108" spans="2:197" s="275" customFormat="1" ht="39.75" hidden="1" customHeight="1">
      <c r="B108" s="268"/>
      <c r="C108" s="319"/>
      <c r="D108" s="319"/>
      <c r="E108" s="319"/>
      <c r="F108" s="319"/>
      <c r="G108" s="319"/>
      <c r="H108" s="319"/>
      <c r="I108" s="319"/>
      <c r="J108" s="319"/>
      <c r="K108" s="319"/>
      <c r="L108" s="319"/>
      <c r="M108" s="319"/>
      <c r="N108" s="319"/>
      <c r="O108" s="300" t="s">
        <v>492</v>
      </c>
      <c r="P108" s="268"/>
      <c r="Q108" s="268"/>
      <c r="R108" s="268"/>
      <c r="S108" s="574"/>
      <c r="T108" s="574"/>
      <c r="U108" s="574"/>
      <c r="V108" s="552">
        <v>3</v>
      </c>
      <c r="W108" s="268" t="s">
        <v>780</v>
      </c>
      <c r="X108" s="268"/>
      <c r="Y108" s="268" t="str">
        <f>IF(V100=2,"","3")</f>
        <v/>
      </c>
      <c r="Z108" s="268"/>
      <c r="AA108" s="268"/>
      <c r="AB108" s="268" t="str">
        <f>IF($AD$69=2,"","3")</f>
        <v>3</v>
      </c>
      <c r="AC108" s="268"/>
      <c r="AD108" s="284">
        <v>6</v>
      </c>
      <c r="AE108" s="367">
        <v>15030</v>
      </c>
      <c r="AF108" s="369">
        <v>4370</v>
      </c>
      <c r="AG108" s="303">
        <v>4480</v>
      </c>
      <c r="AH108" s="367">
        <v>15030</v>
      </c>
      <c r="AI108" s="367">
        <v>15460</v>
      </c>
      <c r="AJ108" s="367">
        <v>15930</v>
      </c>
      <c r="AK108" s="606">
        <v>14600</v>
      </c>
      <c r="AL108" s="268"/>
      <c r="AM108" s="268"/>
      <c r="AN108" s="267" t="s">
        <v>455</v>
      </c>
      <c r="AO108" s="267">
        <f>IF(AND(V100=1,M129&lt;3),G135,0)</f>
        <v>0</v>
      </c>
      <c r="AP108" s="267">
        <f t="shared" si="16"/>
        <v>0</v>
      </c>
      <c r="AQ108" s="267">
        <f t="shared" si="15"/>
        <v>0</v>
      </c>
      <c r="AR108" s="267">
        <f>AP108-AQ108</f>
        <v>0</v>
      </c>
      <c r="AS108" s="267"/>
      <c r="AT108" s="267">
        <f t="shared" si="24"/>
        <v>0</v>
      </c>
      <c r="AU108" s="267">
        <f t="shared" si="24"/>
        <v>0</v>
      </c>
      <c r="AV108" s="267">
        <f>AT108-AU108</f>
        <v>0</v>
      </c>
      <c r="AX108" s="268"/>
      <c r="AY108" s="268"/>
      <c r="AZ108" s="268"/>
      <c r="BA108" s="268"/>
      <c r="BB108" s="268"/>
      <c r="BC108" s="268"/>
      <c r="BD108" s="268"/>
      <c r="BE108" s="268"/>
      <c r="BF108" s="268"/>
      <c r="BG108" s="268"/>
      <c r="BH108" s="268"/>
      <c r="BI108" s="268"/>
      <c r="BJ108" s="268"/>
      <c r="BK108" s="268"/>
      <c r="BL108" s="268"/>
      <c r="BM108" s="268"/>
      <c r="BN108" s="268"/>
      <c r="BO108" s="268"/>
      <c r="BP108" s="268"/>
      <c r="BQ108" s="268"/>
      <c r="BR108" s="268"/>
      <c r="BS108" s="268"/>
      <c r="BT108" s="268"/>
      <c r="BU108" s="268"/>
      <c r="BV108" s="268"/>
      <c r="BW108" s="268"/>
      <c r="BX108" s="268"/>
      <c r="BY108" s="268"/>
      <c r="BZ108" s="268"/>
      <c r="CA108" s="268"/>
      <c r="CB108" s="268"/>
      <c r="CC108" s="268"/>
      <c r="CD108" s="268"/>
      <c r="CE108" s="268"/>
      <c r="CF108" s="268"/>
      <c r="CG108" s="268"/>
      <c r="CH108" s="268"/>
      <c r="CI108" s="268"/>
      <c r="CJ108" s="268"/>
      <c r="CK108" s="268"/>
      <c r="CL108" s="268"/>
      <c r="CM108" s="268"/>
      <c r="CN108" s="268"/>
      <c r="CO108" s="268"/>
      <c r="CP108" s="268"/>
      <c r="CQ108" s="268"/>
      <c r="CR108" s="268"/>
      <c r="CS108" s="268"/>
      <c r="CT108" s="268"/>
      <c r="CU108" s="268"/>
      <c r="CV108" s="268"/>
      <c r="CW108" s="268"/>
      <c r="CX108" s="268"/>
      <c r="CY108" s="268"/>
      <c r="CZ108" s="268"/>
      <c r="DA108" s="268"/>
      <c r="DB108" s="268"/>
      <c r="DC108" s="268"/>
      <c r="DD108" s="268"/>
      <c r="DE108" s="268"/>
      <c r="DF108" s="268"/>
      <c r="DG108" s="268"/>
      <c r="DH108" s="268"/>
      <c r="DI108" s="268"/>
      <c r="DJ108" s="268"/>
      <c r="DK108" s="268"/>
      <c r="DL108" s="268"/>
      <c r="DM108" s="268"/>
      <c r="DN108" s="268"/>
      <c r="DO108" s="268"/>
      <c r="DP108" s="268"/>
      <c r="DQ108" s="268"/>
      <c r="DR108" s="268"/>
      <c r="DS108" s="268"/>
      <c r="DT108" s="268"/>
      <c r="DU108" s="268"/>
      <c r="DV108" s="268"/>
      <c r="DW108" s="268"/>
      <c r="DX108" s="268"/>
      <c r="DY108" s="268"/>
      <c r="DZ108" s="268"/>
      <c r="EA108" s="268"/>
      <c r="EB108" s="268"/>
      <c r="EC108" s="268"/>
      <c r="ED108" s="268"/>
      <c r="EE108" s="268"/>
      <c r="EF108" s="268"/>
      <c r="EG108" s="268"/>
      <c r="EH108" s="268"/>
      <c r="EI108" s="268"/>
      <c r="EJ108" s="268"/>
      <c r="EK108" s="268"/>
      <c r="EL108" s="268"/>
      <c r="EM108" s="268"/>
      <c r="EN108" s="268"/>
      <c r="EO108" s="268"/>
      <c r="EP108" s="268"/>
      <c r="EQ108" s="268"/>
      <c r="ER108" s="268"/>
      <c r="ES108" s="268"/>
      <c r="ET108" s="268"/>
      <c r="EU108" s="268"/>
      <c r="EV108" s="268"/>
      <c r="EW108" s="268"/>
      <c r="EX108" s="268"/>
      <c r="EY108" s="268"/>
      <c r="EZ108" s="268"/>
      <c r="FA108" s="268"/>
      <c r="FB108" s="268"/>
      <c r="FC108" s="268"/>
      <c r="FD108" s="268"/>
      <c r="FE108" s="268"/>
      <c r="FF108" s="268"/>
      <c r="FG108" s="268"/>
      <c r="FH108" s="268"/>
      <c r="FI108" s="268"/>
      <c r="FJ108" s="268"/>
      <c r="FK108" s="268"/>
      <c r="FL108" s="268"/>
      <c r="FM108" s="268"/>
      <c r="FN108" s="268"/>
      <c r="FO108" s="268"/>
      <c r="FP108" s="268"/>
      <c r="FQ108" s="268"/>
      <c r="FR108" s="268"/>
      <c r="FS108" s="268"/>
      <c r="FT108" s="268"/>
      <c r="FU108" s="268"/>
      <c r="FV108" s="268"/>
      <c r="FW108" s="268"/>
      <c r="FX108" s="268"/>
      <c r="FY108" s="268"/>
      <c r="FZ108" s="268"/>
      <c r="GA108" s="268"/>
      <c r="GB108" s="268"/>
      <c r="GC108" s="268"/>
      <c r="GD108" s="268"/>
      <c r="GE108" s="268"/>
      <c r="GF108" s="268"/>
      <c r="GG108" s="268"/>
      <c r="GH108" s="268"/>
      <c r="GI108" s="268"/>
      <c r="GJ108" s="268"/>
      <c r="GK108" s="268"/>
      <c r="GL108" s="268"/>
      <c r="GM108" s="268"/>
      <c r="GN108" s="268"/>
      <c r="GO108" s="268"/>
    </row>
    <row r="109" spans="2:197" s="275" customFormat="1" ht="39.75" hidden="1" customHeight="1">
      <c r="B109" s="268"/>
      <c r="C109" s="319"/>
      <c r="D109" s="319"/>
      <c r="E109" s="319"/>
      <c r="F109" s="319"/>
      <c r="G109" s="319"/>
      <c r="H109" s="319"/>
      <c r="I109" s="319"/>
      <c r="J109" s="319"/>
      <c r="K109" s="319"/>
      <c r="L109" s="319"/>
      <c r="M109" s="319"/>
      <c r="N109" s="319"/>
      <c r="O109" s="300" t="s">
        <v>492</v>
      </c>
      <c r="P109" s="268"/>
      <c r="Q109" s="268"/>
      <c r="R109" s="268"/>
      <c r="S109" s="574"/>
      <c r="T109" s="574"/>
      <c r="U109" s="574"/>
      <c r="V109" s="552">
        <v>4</v>
      </c>
      <c r="W109" s="268" t="s">
        <v>781</v>
      </c>
      <c r="X109" s="268"/>
      <c r="Y109" s="268" t="str">
        <f>IF(V100=2,"","4")</f>
        <v/>
      </c>
      <c r="Z109" s="268"/>
      <c r="AA109" s="268"/>
      <c r="AB109" s="268" t="str">
        <f>IF($AD$69=2,"","4")</f>
        <v>4</v>
      </c>
      <c r="AC109" s="268"/>
      <c r="AD109" s="284">
        <v>7</v>
      </c>
      <c r="AE109" s="367">
        <v>15460</v>
      </c>
      <c r="AF109" s="369">
        <v>4480</v>
      </c>
      <c r="AG109" s="303">
        <v>4595</v>
      </c>
      <c r="AH109" s="367">
        <v>15460</v>
      </c>
      <c r="AI109" s="367">
        <v>15930</v>
      </c>
      <c r="AJ109" s="367">
        <v>16400</v>
      </c>
      <c r="AK109" s="606">
        <v>15030</v>
      </c>
      <c r="AL109" s="268"/>
      <c r="AM109" s="268"/>
      <c r="AN109" s="816" t="s">
        <v>172</v>
      </c>
      <c r="AO109" s="461">
        <f>IF(BK16&gt;=14,BN16,IF(BM70&lt;14,BP98,0))</f>
        <v>0</v>
      </c>
      <c r="AP109" s="817">
        <f t="shared" si="16"/>
        <v>0</v>
      </c>
      <c r="AQ109" s="817">
        <f t="shared" si="15"/>
        <v>0</v>
      </c>
      <c r="AR109" s="817">
        <f>AP109-AQ109</f>
        <v>0</v>
      </c>
      <c r="AS109" s="817"/>
      <c r="AT109" s="817">
        <f t="shared" si="24"/>
        <v>0</v>
      </c>
      <c r="AU109" s="817">
        <f t="shared" si="24"/>
        <v>0</v>
      </c>
      <c r="AV109" s="817">
        <v>0</v>
      </c>
      <c r="AX109" s="268"/>
      <c r="AY109" s="268"/>
      <c r="AZ109" s="268"/>
      <c r="BA109" s="268"/>
      <c r="BB109" s="268"/>
      <c r="BC109" s="268"/>
      <c r="BD109" s="268"/>
      <c r="BE109" s="268"/>
      <c r="BF109" s="268"/>
      <c r="BG109" s="268"/>
      <c r="BH109" s="268"/>
      <c r="BI109" s="268"/>
      <c r="BJ109" s="268"/>
      <c r="BK109" s="268"/>
      <c r="BL109" s="268"/>
      <c r="BM109" s="268"/>
      <c r="BN109" s="268"/>
      <c r="BO109" s="268"/>
      <c r="BP109" s="268"/>
      <c r="BQ109" s="268"/>
      <c r="BR109" s="268"/>
      <c r="BS109" s="268"/>
      <c r="BT109" s="268"/>
      <c r="BU109" s="268"/>
      <c r="BV109" s="268"/>
      <c r="BW109" s="268"/>
      <c r="BX109" s="268"/>
      <c r="BY109" s="268"/>
      <c r="BZ109" s="268"/>
      <c r="CA109" s="268"/>
      <c r="CB109" s="268"/>
      <c r="CC109" s="268"/>
      <c r="CD109" s="268"/>
      <c r="CE109" s="268"/>
      <c r="CF109" s="268"/>
      <c r="CG109" s="268"/>
      <c r="CH109" s="268"/>
      <c r="CI109" s="268"/>
      <c r="CJ109" s="268"/>
      <c r="CK109" s="268"/>
      <c r="CL109" s="268"/>
      <c r="CM109" s="268"/>
      <c r="CN109" s="268"/>
      <c r="CO109" s="268"/>
      <c r="CP109" s="268"/>
      <c r="CQ109" s="268"/>
      <c r="CR109" s="268"/>
      <c r="CS109" s="268"/>
      <c r="CT109" s="268"/>
      <c r="CU109" s="268"/>
      <c r="CV109" s="268"/>
      <c r="CW109" s="268"/>
      <c r="CX109" s="268"/>
      <c r="CY109" s="268"/>
      <c r="CZ109" s="268"/>
      <c r="DA109" s="268"/>
      <c r="DB109" s="268"/>
      <c r="DC109" s="268"/>
      <c r="DD109" s="268"/>
      <c r="DE109" s="268"/>
      <c r="DF109" s="268"/>
      <c r="DG109" s="268"/>
      <c r="DH109" s="268"/>
      <c r="DI109" s="268"/>
      <c r="DJ109" s="268"/>
      <c r="DK109" s="268"/>
      <c r="DL109" s="268"/>
      <c r="DM109" s="268"/>
      <c r="DN109" s="268"/>
      <c r="DO109" s="268"/>
      <c r="DP109" s="268"/>
      <c r="DQ109" s="268"/>
      <c r="DR109" s="268"/>
      <c r="DS109" s="268"/>
      <c r="DT109" s="268"/>
      <c r="DU109" s="268"/>
      <c r="DV109" s="268"/>
      <c r="DW109" s="268"/>
      <c r="DX109" s="268"/>
      <c r="DY109" s="268"/>
      <c r="DZ109" s="268"/>
      <c r="EA109" s="268"/>
      <c r="EB109" s="268"/>
      <c r="EC109" s="268"/>
      <c r="ED109" s="268"/>
      <c r="EE109" s="268"/>
      <c r="EF109" s="268"/>
      <c r="EG109" s="268"/>
      <c r="EH109" s="268"/>
      <c r="EI109" s="268"/>
      <c r="EJ109" s="268"/>
      <c r="EK109" s="268"/>
      <c r="EL109" s="268"/>
      <c r="EM109" s="268"/>
      <c r="EN109" s="268"/>
      <c r="EO109" s="268"/>
      <c r="EP109" s="268"/>
      <c r="EQ109" s="268"/>
      <c r="ER109" s="268"/>
      <c r="ES109" s="268"/>
      <c r="ET109" s="268"/>
      <c r="EU109" s="268"/>
      <c r="EV109" s="268"/>
      <c r="EW109" s="268"/>
      <c r="EX109" s="268"/>
      <c r="EY109" s="268"/>
      <c r="EZ109" s="268"/>
      <c r="FA109" s="268"/>
      <c r="FB109" s="268"/>
      <c r="FC109" s="268"/>
      <c r="FD109" s="268"/>
      <c r="FE109" s="268"/>
      <c r="FF109" s="268"/>
      <c r="FG109" s="268"/>
      <c r="FH109" s="268"/>
      <c r="FI109" s="268"/>
      <c r="FJ109" s="268"/>
      <c r="FK109" s="268"/>
      <c r="FL109" s="268"/>
      <c r="FM109" s="268"/>
      <c r="FN109" s="268"/>
      <c r="FO109" s="268"/>
      <c r="FP109" s="268"/>
      <c r="FQ109" s="268"/>
      <c r="FR109" s="268"/>
      <c r="FS109" s="268"/>
      <c r="FT109" s="268"/>
      <c r="FU109" s="268"/>
      <c r="FV109" s="268"/>
      <c r="FW109" s="268"/>
      <c r="FX109" s="268"/>
      <c r="FY109" s="268"/>
      <c r="FZ109" s="268"/>
      <c r="GA109" s="268"/>
      <c r="GB109" s="268"/>
      <c r="GC109" s="268"/>
      <c r="GD109" s="268"/>
      <c r="GE109" s="268"/>
      <c r="GF109" s="268"/>
      <c r="GG109" s="268"/>
      <c r="GH109" s="268"/>
      <c r="GI109" s="268"/>
      <c r="GJ109" s="268"/>
      <c r="GK109" s="268"/>
      <c r="GL109" s="268"/>
      <c r="GM109" s="268"/>
      <c r="GN109" s="268"/>
      <c r="GO109" s="268"/>
    </row>
    <row r="110" spans="2:197" s="275" customFormat="1" ht="39.75" hidden="1" customHeight="1">
      <c r="B110" s="268"/>
      <c r="C110" s="319"/>
      <c r="D110" s="319"/>
      <c r="E110" s="319"/>
      <c r="F110" s="319"/>
      <c r="G110" s="319"/>
      <c r="H110" s="319"/>
      <c r="I110" s="319"/>
      <c r="J110" s="319"/>
      <c r="K110" s="319"/>
      <c r="L110" s="319"/>
      <c r="M110" s="319"/>
      <c r="N110" s="319"/>
      <c r="O110" s="268"/>
      <c r="P110" s="268"/>
      <c r="Q110" s="268"/>
      <c r="R110" s="268"/>
      <c r="S110" s="574"/>
      <c r="T110" s="574"/>
      <c r="U110" s="574"/>
      <c r="V110" s="552">
        <v>5</v>
      </c>
      <c r="W110" s="268" t="s">
        <v>782</v>
      </c>
      <c r="X110" s="268"/>
      <c r="Y110" s="268" t="str">
        <f>IF(V100=2,"","5")</f>
        <v/>
      </c>
      <c r="Z110" s="268"/>
      <c r="AA110" s="268"/>
      <c r="AB110" s="268" t="str">
        <f>IF($AD$69=2,"","5")</f>
        <v>5</v>
      </c>
      <c r="AC110" s="268"/>
      <c r="AD110" s="284">
        <v>8</v>
      </c>
      <c r="AE110" s="367">
        <v>15930</v>
      </c>
      <c r="AF110" s="369">
        <v>4595</v>
      </c>
      <c r="AG110" s="303">
        <v>4710</v>
      </c>
      <c r="AH110" s="367">
        <v>15930</v>
      </c>
      <c r="AI110" s="367">
        <v>16400</v>
      </c>
      <c r="AJ110" s="367">
        <v>16870</v>
      </c>
      <c r="AK110" s="606">
        <v>15460</v>
      </c>
      <c r="AL110" s="268"/>
      <c r="AM110" s="385"/>
      <c r="AN110" s="385" t="s">
        <v>560</v>
      </c>
      <c r="AO110" s="385"/>
      <c r="AP110" s="385"/>
      <c r="AQ110" s="385"/>
      <c r="AR110" s="267">
        <f>SUM(AR97:AR109)</f>
        <v>16970</v>
      </c>
      <c r="AS110" s="385"/>
      <c r="AT110" s="385"/>
      <c r="AU110" s="385"/>
      <c r="AV110" s="267">
        <f>SUM(AV97:AV109)</f>
        <v>1690</v>
      </c>
      <c r="AX110" s="268"/>
      <c r="AY110" s="268"/>
      <c r="AZ110" s="268"/>
      <c r="BA110" s="268"/>
      <c r="BB110" s="268"/>
      <c r="BC110" s="268"/>
      <c r="BD110" s="268"/>
      <c r="BE110" s="268"/>
      <c r="BF110" s="268"/>
      <c r="BG110" s="268"/>
      <c r="BH110" s="268"/>
      <c r="BI110" s="268"/>
      <c r="BJ110" s="268"/>
      <c r="BK110" s="268"/>
      <c r="BL110" s="268"/>
      <c r="BM110" s="268"/>
      <c r="BN110" s="268"/>
      <c r="BO110" s="268"/>
      <c r="BP110" s="268"/>
      <c r="BQ110" s="268"/>
      <c r="BR110" s="268"/>
      <c r="BS110" s="268"/>
      <c r="BT110" s="268"/>
      <c r="BU110" s="268"/>
      <c r="BV110" s="268"/>
      <c r="BW110" s="268"/>
      <c r="BX110" s="268"/>
      <c r="BY110" s="268"/>
      <c r="BZ110" s="268"/>
      <c r="CA110" s="268"/>
      <c r="CB110" s="268"/>
      <c r="CC110" s="268"/>
      <c r="CD110" s="268"/>
      <c r="CE110" s="268"/>
      <c r="CF110" s="268"/>
      <c r="CG110" s="268"/>
      <c r="CH110" s="268"/>
      <c r="CI110" s="268"/>
      <c r="CJ110" s="268"/>
      <c r="CK110" s="268"/>
      <c r="CL110" s="268"/>
      <c r="CM110" s="268"/>
      <c r="CN110" s="268"/>
      <c r="CO110" s="268"/>
      <c r="CP110" s="268"/>
      <c r="CQ110" s="268"/>
      <c r="CR110" s="268"/>
      <c r="CS110" s="268"/>
      <c r="CT110" s="268"/>
      <c r="CU110" s="268"/>
      <c r="CV110" s="268"/>
      <c r="CW110" s="268"/>
      <c r="CX110" s="268"/>
      <c r="CY110" s="268"/>
      <c r="CZ110" s="268"/>
      <c r="DA110" s="268"/>
      <c r="DB110" s="268"/>
      <c r="DC110" s="268"/>
      <c r="DD110" s="268"/>
      <c r="DE110" s="268"/>
      <c r="DF110" s="268"/>
      <c r="DG110" s="268"/>
      <c r="DH110" s="268"/>
      <c r="DI110" s="268"/>
      <c r="DJ110" s="268"/>
      <c r="DK110" s="268"/>
      <c r="DL110" s="268"/>
      <c r="DM110" s="268"/>
      <c r="DN110" s="268"/>
      <c r="DO110" s="268"/>
      <c r="DP110" s="268"/>
      <c r="DQ110" s="268"/>
      <c r="DR110" s="268"/>
      <c r="DS110" s="268"/>
      <c r="DT110" s="268"/>
      <c r="DU110" s="268"/>
      <c r="DV110" s="268"/>
      <c r="DW110" s="268"/>
      <c r="DX110" s="268"/>
      <c r="DY110" s="268"/>
      <c r="DZ110" s="268"/>
      <c r="EA110" s="268"/>
      <c r="EB110" s="268"/>
      <c r="EC110" s="268"/>
      <c r="ED110" s="268"/>
      <c r="EE110" s="268"/>
      <c r="EF110" s="268"/>
      <c r="EG110" s="268"/>
      <c r="EH110" s="268"/>
      <c r="EI110" s="268"/>
      <c r="EJ110" s="268"/>
      <c r="EK110" s="268"/>
      <c r="EL110" s="268"/>
      <c r="EM110" s="268"/>
      <c r="EN110" s="268"/>
      <c r="EO110" s="268"/>
      <c r="EP110" s="268"/>
      <c r="EQ110" s="268"/>
      <c r="ER110" s="268"/>
      <c r="ES110" s="268"/>
      <c r="ET110" s="268"/>
      <c r="EU110" s="268"/>
      <c r="EV110" s="268"/>
      <c r="EW110" s="268"/>
      <c r="EX110" s="268"/>
      <c r="EY110" s="268"/>
      <c r="EZ110" s="268"/>
      <c r="FA110" s="268"/>
      <c r="FB110" s="268"/>
      <c r="FC110" s="268"/>
      <c r="FD110" s="268"/>
      <c r="FE110" s="268"/>
      <c r="FF110" s="268"/>
      <c r="FG110" s="268"/>
      <c r="FH110" s="268"/>
      <c r="FI110" s="268"/>
      <c r="FJ110" s="268"/>
      <c r="FK110" s="268"/>
      <c r="FL110" s="268"/>
      <c r="FM110" s="268"/>
      <c r="FN110" s="268"/>
      <c r="FO110" s="268"/>
      <c r="FP110" s="268"/>
      <c r="FQ110" s="268"/>
      <c r="FR110" s="268"/>
      <c r="FS110" s="268"/>
      <c r="FT110" s="268"/>
      <c r="FU110" s="268"/>
      <c r="FV110" s="268"/>
      <c r="FW110" s="268"/>
      <c r="FX110" s="268"/>
      <c r="FY110" s="268"/>
      <c r="FZ110" s="268"/>
      <c r="GA110" s="268"/>
      <c r="GB110" s="268"/>
      <c r="GC110" s="268"/>
      <c r="GD110" s="268"/>
      <c r="GE110" s="268"/>
      <c r="GF110" s="268"/>
      <c r="GG110" s="268"/>
      <c r="GH110" s="268"/>
      <c r="GI110" s="268"/>
      <c r="GJ110" s="268"/>
      <c r="GK110" s="268"/>
      <c r="GL110" s="268"/>
      <c r="GM110" s="268"/>
      <c r="GN110" s="268"/>
      <c r="GO110" s="268"/>
    </row>
    <row r="111" spans="2:197" s="275" customFormat="1" ht="39.75" hidden="1" customHeight="1">
      <c r="B111" s="268"/>
      <c r="C111" s="319"/>
      <c r="D111" s="319"/>
      <c r="E111" s="319"/>
      <c r="F111" s="319"/>
      <c r="G111" s="319"/>
      <c r="H111" s="319"/>
      <c r="I111" s="319"/>
      <c r="J111" s="319"/>
      <c r="K111" s="319"/>
      <c r="L111" s="319"/>
      <c r="M111" s="319"/>
      <c r="N111" s="319"/>
      <c r="O111" s="268"/>
      <c r="P111" s="268"/>
      <c r="Q111" s="268"/>
      <c r="R111" s="268"/>
      <c r="S111" s="574"/>
      <c r="T111" s="574"/>
      <c r="U111" s="574"/>
      <c r="V111" s="552">
        <v>6</v>
      </c>
      <c r="W111" s="268" t="s">
        <v>783</v>
      </c>
      <c r="X111" s="268"/>
      <c r="Y111" s="268" t="str">
        <f>IF(V100=2,"","6")</f>
        <v/>
      </c>
      <c r="Z111" s="268"/>
      <c r="AA111" s="268"/>
      <c r="AB111" s="268" t="str">
        <f>IF($AD$69=2,"","6")</f>
        <v>6</v>
      </c>
      <c r="AC111" s="268"/>
      <c r="AD111" s="284">
        <v>9</v>
      </c>
      <c r="AE111" s="367">
        <v>16400</v>
      </c>
      <c r="AF111" s="369">
        <v>4710</v>
      </c>
      <c r="AG111" s="303">
        <v>4825</v>
      </c>
      <c r="AH111" s="367">
        <v>16400</v>
      </c>
      <c r="AI111" s="367">
        <v>16870</v>
      </c>
      <c r="AJ111" s="367">
        <v>17380</v>
      </c>
      <c r="AK111" s="606">
        <v>15930</v>
      </c>
      <c r="AL111" s="268"/>
      <c r="AM111" s="268"/>
      <c r="AX111" s="268"/>
      <c r="AY111" s="268"/>
      <c r="AZ111" s="268"/>
      <c r="BA111" s="268"/>
      <c r="BB111" s="268"/>
      <c r="BC111" s="268"/>
      <c r="BD111" s="268"/>
      <c r="BE111" s="268"/>
      <c r="BF111" s="268"/>
      <c r="BG111" s="268"/>
      <c r="BH111" s="268"/>
      <c r="BI111" s="268"/>
      <c r="BJ111" s="268"/>
      <c r="BK111" s="268"/>
      <c r="BL111" s="268"/>
      <c r="BM111" s="268"/>
      <c r="BN111" s="268"/>
      <c r="BO111" s="268"/>
      <c r="BP111" s="268"/>
      <c r="BQ111" s="268"/>
      <c r="BR111" s="268"/>
      <c r="BS111" s="268"/>
      <c r="BT111" s="268"/>
      <c r="BU111" s="268"/>
      <c r="BV111" s="268"/>
      <c r="BW111" s="268"/>
      <c r="BX111" s="268"/>
      <c r="BY111" s="268"/>
      <c r="BZ111" s="268"/>
      <c r="CA111" s="268"/>
      <c r="CB111" s="268"/>
      <c r="CC111" s="268"/>
      <c r="CD111" s="268"/>
      <c r="CE111" s="268"/>
      <c r="CF111" s="268"/>
      <c r="CG111" s="268"/>
      <c r="CH111" s="268"/>
      <c r="CI111" s="268"/>
      <c r="CJ111" s="268"/>
      <c r="CK111" s="268"/>
      <c r="CL111" s="268"/>
      <c r="CM111" s="268"/>
      <c r="CN111" s="268"/>
      <c r="CO111" s="268"/>
      <c r="CP111" s="268"/>
      <c r="CQ111" s="268"/>
      <c r="CR111" s="268"/>
      <c r="CS111" s="268"/>
      <c r="CT111" s="268"/>
      <c r="CU111" s="268"/>
      <c r="CV111" s="268"/>
      <c r="CW111" s="268"/>
      <c r="CX111" s="268"/>
      <c r="CY111" s="268"/>
      <c r="CZ111" s="268"/>
      <c r="DA111" s="268"/>
      <c r="DB111" s="268"/>
      <c r="DC111" s="268"/>
      <c r="DD111" s="268"/>
      <c r="DE111" s="268"/>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68"/>
      <c r="EB111" s="268"/>
      <c r="EC111" s="268"/>
      <c r="ED111" s="268"/>
      <c r="EE111" s="268"/>
      <c r="EF111" s="268"/>
      <c r="EG111" s="268"/>
      <c r="EH111" s="268"/>
      <c r="EI111" s="268"/>
      <c r="EJ111" s="268"/>
      <c r="EK111" s="268"/>
      <c r="EL111" s="268"/>
      <c r="EM111" s="268"/>
      <c r="EN111" s="268"/>
      <c r="EO111" s="268"/>
      <c r="EP111" s="268"/>
      <c r="EQ111" s="268"/>
      <c r="ER111" s="268"/>
      <c r="ES111" s="268"/>
      <c r="ET111" s="268"/>
      <c r="EU111" s="268"/>
      <c r="EV111" s="268"/>
      <c r="EW111" s="268"/>
      <c r="EX111" s="268"/>
      <c r="EY111" s="268"/>
      <c r="EZ111" s="268"/>
      <c r="FA111" s="268"/>
      <c r="FB111" s="268"/>
      <c r="FC111" s="268"/>
      <c r="FD111" s="268"/>
      <c r="FE111" s="268"/>
      <c r="FF111" s="268"/>
      <c r="FG111" s="268"/>
      <c r="FH111" s="268"/>
      <c r="FI111" s="268"/>
      <c r="FJ111" s="268"/>
      <c r="FK111" s="268"/>
      <c r="FL111" s="268"/>
      <c r="FM111" s="268"/>
      <c r="FN111" s="268"/>
      <c r="FO111" s="268"/>
      <c r="FP111" s="268"/>
      <c r="FQ111" s="268"/>
      <c r="FR111" s="268"/>
      <c r="FS111" s="268"/>
      <c r="FT111" s="268"/>
      <c r="FU111" s="268"/>
      <c r="FV111" s="268"/>
      <c r="FW111" s="268"/>
      <c r="FX111" s="268"/>
      <c r="FY111" s="268"/>
      <c r="FZ111" s="268"/>
      <c r="GA111" s="268"/>
      <c r="GB111" s="268"/>
      <c r="GC111" s="268"/>
      <c r="GD111" s="268"/>
      <c r="GE111" s="268"/>
      <c r="GF111" s="268"/>
      <c r="GG111" s="268"/>
      <c r="GH111" s="268"/>
      <c r="GI111" s="268"/>
      <c r="GJ111" s="268"/>
      <c r="GK111" s="268"/>
      <c r="GL111" s="268"/>
      <c r="GM111" s="268"/>
      <c r="GN111" s="268"/>
      <c r="GO111" s="268"/>
    </row>
    <row r="112" spans="2:197" s="275" customFormat="1" ht="39.75" hidden="1" customHeight="1">
      <c r="B112" s="268"/>
      <c r="C112" s="319"/>
      <c r="D112" s="319"/>
      <c r="E112" s="319"/>
      <c r="F112" s="319"/>
      <c r="G112" s="319"/>
      <c r="H112" s="319"/>
      <c r="I112" s="319"/>
      <c r="J112" s="319"/>
      <c r="K112" s="319"/>
      <c r="L112" s="319"/>
      <c r="M112" s="319"/>
      <c r="N112" s="319"/>
      <c r="O112" s="268"/>
      <c r="P112" s="268"/>
      <c r="Q112" s="268"/>
      <c r="R112" s="268"/>
      <c r="S112" s="574"/>
      <c r="T112" s="574"/>
      <c r="U112" s="574"/>
      <c r="V112" s="552">
        <v>7</v>
      </c>
      <c r="W112" s="268" t="s">
        <v>784</v>
      </c>
      <c r="X112" s="268"/>
      <c r="Y112" s="268" t="str">
        <f>IF(V100=2,"","7")</f>
        <v/>
      </c>
      <c r="Z112" s="268"/>
      <c r="AA112" s="268"/>
      <c r="AB112" s="268" t="str">
        <f>IF($AD$69=2,"","7")</f>
        <v>7</v>
      </c>
      <c r="AC112" s="268"/>
      <c r="AD112" s="284">
        <v>10</v>
      </c>
      <c r="AE112" s="367">
        <v>16870</v>
      </c>
      <c r="AF112" s="369">
        <v>4825</v>
      </c>
      <c r="AG112" s="303">
        <v>4950</v>
      </c>
      <c r="AH112" s="367">
        <v>16870</v>
      </c>
      <c r="AI112" s="367">
        <v>17380</v>
      </c>
      <c r="AJ112" s="367">
        <v>17890</v>
      </c>
      <c r="AK112" s="606">
        <v>16400</v>
      </c>
      <c r="AL112" s="268"/>
      <c r="AM112" s="268"/>
      <c r="AX112" s="268"/>
      <c r="AY112" s="268"/>
      <c r="AZ112" s="268"/>
      <c r="BA112" s="268"/>
      <c r="BB112" s="268"/>
      <c r="BC112" s="268"/>
      <c r="BD112" s="268"/>
      <c r="BE112" s="268"/>
      <c r="BF112" s="268"/>
      <c r="BG112" s="268"/>
      <c r="BH112" s="268"/>
      <c r="BI112" s="268"/>
      <c r="BJ112" s="268"/>
      <c r="BK112" s="268"/>
      <c r="BL112" s="268"/>
      <c r="BM112" s="268"/>
      <c r="BN112" s="268"/>
      <c r="BO112" s="268"/>
      <c r="BP112" s="268"/>
      <c r="BQ112" s="268"/>
      <c r="BR112" s="268"/>
      <c r="BS112" s="268"/>
      <c r="BT112" s="268"/>
      <c r="BU112" s="268"/>
      <c r="BV112" s="268"/>
      <c r="BW112" s="268"/>
      <c r="BX112" s="268"/>
      <c r="BY112" s="268"/>
      <c r="BZ112" s="268"/>
      <c r="CA112" s="268"/>
      <c r="CB112" s="268"/>
      <c r="CC112" s="268"/>
      <c r="CD112" s="268"/>
      <c r="CE112" s="268"/>
      <c r="CF112" s="268"/>
      <c r="CG112" s="268"/>
      <c r="CH112" s="268"/>
      <c r="CI112" s="268"/>
      <c r="CJ112" s="268"/>
      <c r="CK112" s="268"/>
      <c r="CL112" s="268"/>
      <c r="CM112" s="268"/>
      <c r="CN112" s="268"/>
      <c r="CO112" s="268"/>
      <c r="CP112" s="268"/>
      <c r="CQ112" s="268"/>
      <c r="CR112" s="268"/>
      <c r="CS112" s="268"/>
      <c r="CT112" s="268"/>
      <c r="CU112" s="268"/>
      <c r="CV112" s="268"/>
      <c r="CW112" s="268"/>
      <c r="CX112" s="268"/>
      <c r="CY112" s="268"/>
      <c r="CZ112" s="268"/>
      <c r="DA112" s="268"/>
      <c r="DB112" s="268"/>
      <c r="DC112" s="268"/>
      <c r="DD112" s="268"/>
      <c r="DE112" s="268"/>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268"/>
      <c r="EC112" s="268"/>
      <c r="ED112" s="268"/>
      <c r="EE112" s="268"/>
      <c r="EF112" s="268"/>
      <c r="EG112" s="268"/>
      <c r="EH112" s="268"/>
      <c r="EI112" s="268"/>
      <c r="EJ112" s="268"/>
      <c r="EK112" s="268"/>
      <c r="EL112" s="268"/>
      <c r="EM112" s="268"/>
      <c r="EN112" s="268"/>
      <c r="EO112" s="268"/>
      <c r="EP112" s="268"/>
      <c r="EQ112" s="268"/>
      <c r="ER112" s="268"/>
      <c r="ES112" s="268"/>
      <c r="ET112" s="268"/>
      <c r="EU112" s="268"/>
      <c r="EV112" s="268"/>
      <c r="EW112" s="268"/>
      <c r="EX112" s="268"/>
      <c r="EY112" s="268"/>
      <c r="EZ112" s="268"/>
      <c r="FA112" s="268"/>
      <c r="FB112" s="268"/>
      <c r="FC112" s="268"/>
      <c r="FD112" s="268"/>
      <c r="FE112" s="268"/>
      <c r="FF112" s="268"/>
      <c r="FG112" s="268"/>
      <c r="FH112" s="268"/>
      <c r="FI112" s="268"/>
      <c r="FJ112" s="268"/>
      <c r="FK112" s="268"/>
      <c r="FL112" s="268"/>
      <c r="FM112" s="268"/>
      <c r="FN112" s="268"/>
      <c r="FO112" s="268"/>
      <c r="FP112" s="268"/>
      <c r="FQ112" s="268"/>
      <c r="FR112" s="268"/>
      <c r="FS112" s="268"/>
      <c r="FT112" s="268"/>
      <c r="FU112" s="268"/>
      <c r="FV112" s="268"/>
      <c r="FW112" s="268"/>
      <c r="FX112" s="268"/>
      <c r="FY112" s="268"/>
      <c r="FZ112" s="268"/>
      <c r="GA112" s="268"/>
      <c r="GB112" s="268"/>
      <c r="GC112" s="268"/>
      <c r="GD112" s="268"/>
      <c r="GE112" s="268"/>
      <c r="GF112" s="268"/>
      <c r="GG112" s="268"/>
      <c r="GH112" s="268"/>
      <c r="GI112" s="268"/>
      <c r="GJ112" s="268"/>
      <c r="GK112" s="268"/>
      <c r="GL112" s="268"/>
      <c r="GM112" s="268"/>
      <c r="GN112" s="268"/>
      <c r="GO112" s="268"/>
    </row>
    <row r="113" spans="2:197" s="275" customFormat="1" ht="39.75" hidden="1" customHeight="1">
      <c r="B113" s="268"/>
      <c r="C113" s="319"/>
      <c r="D113" s="319"/>
      <c r="E113" s="319"/>
      <c r="F113" s="319"/>
      <c r="G113" s="319"/>
      <c r="H113" s="319"/>
      <c r="I113" s="319"/>
      <c r="J113" s="319"/>
      <c r="K113" s="319"/>
      <c r="L113" s="319"/>
      <c r="M113" s="319"/>
      <c r="N113" s="319"/>
      <c r="O113" s="268"/>
      <c r="P113" s="268"/>
      <c r="Q113" s="268"/>
      <c r="R113" s="268"/>
      <c r="S113" s="574"/>
      <c r="T113" s="574"/>
      <c r="U113" s="574"/>
      <c r="V113" s="552">
        <v>8</v>
      </c>
      <c r="W113" s="268" t="s">
        <v>785</v>
      </c>
      <c r="X113" s="268"/>
      <c r="Y113" s="268" t="str">
        <f>IF(V100=2,"","8")</f>
        <v/>
      </c>
      <c r="Z113" s="268"/>
      <c r="AA113" s="268"/>
      <c r="AB113" s="268" t="str">
        <f>IF($AD$69=2,"","8")</f>
        <v>8</v>
      </c>
      <c r="AC113" s="268"/>
      <c r="AD113" s="284">
        <v>11</v>
      </c>
      <c r="AE113" s="367">
        <v>17380</v>
      </c>
      <c r="AF113" s="369">
        <v>4950</v>
      </c>
      <c r="AG113" s="303">
        <v>5075</v>
      </c>
      <c r="AH113" s="367">
        <v>17380</v>
      </c>
      <c r="AI113" s="367">
        <v>17890</v>
      </c>
      <c r="AJ113" s="367">
        <v>18400</v>
      </c>
      <c r="AK113" s="606">
        <v>16870</v>
      </c>
      <c r="AL113" s="268"/>
      <c r="AM113" s="268"/>
      <c r="AX113" s="268"/>
      <c r="AY113" s="268"/>
      <c r="AZ113" s="268"/>
      <c r="BA113" s="268"/>
      <c r="BB113" s="268"/>
      <c r="BC113" s="268"/>
      <c r="BD113" s="268"/>
      <c r="BE113" s="268"/>
      <c r="BF113" s="268"/>
      <c r="BG113" s="268"/>
      <c r="BH113" s="268"/>
      <c r="BI113" s="268"/>
      <c r="BJ113" s="268"/>
      <c r="BK113" s="268"/>
      <c r="BL113" s="268"/>
      <c r="BM113" s="268"/>
      <c r="BN113" s="268"/>
      <c r="BO113" s="268"/>
      <c r="BP113" s="268"/>
      <c r="BQ113" s="268"/>
      <c r="BR113" s="268"/>
      <c r="BS113" s="268"/>
      <c r="BT113" s="268"/>
      <c r="BU113" s="268"/>
      <c r="BV113" s="268"/>
      <c r="BW113" s="268"/>
      <c r="BX113" s="268"/>
      <c r="BY113" s="268"/>
      <c r="BZ113" s="268"/>
      <c r="CA113" s="268"/>
      <c r="CB113" s="268"/>
      <c r="CC113" s="268"/>
      <c r="CD113" s="268"/>
      <c r="CE113" s="268"/>
      <c r="CF113" s="268"/>
      <c r="CG113" s="268"/>
      <c r="CH113" s="268"/>
      <c r="CI113" s="268"/>
      <c r="CJ113" s="268"/>
      <c r="CK113" s="268"/>
      <c r="CL113" s="268"/>
      <c r="CM113" s="268"/>
      <c r="CN113" s="268"/>
      <c r="CO113" s="268"/>
      <c r="CP113" s="268"/>
      <c r="CQ113" s="268"/>
      <c r="CR113" s="268"/>
      <c r="CS113" s="268"/>
      <c r="CT113" s="268"/>
      <c r="CU113" s="268"/>
      <c r="CV113" s="268"/>
      <c r="CW113" s="268"/>
      <c r="CX113" s="268"/>
      <c r="CY113" s="268"/>
      <c r="CZ113" s="268"/>
      <c r="DA113" s="268"/>
      <c r="DB113" s="268"/>
      <c r="DC113" s="268"/>
      <c r="DD113" s="268"/>
      <c r="DE113" s="268"/>
      <c r="DF113" s="268"/>
      <c r="DG113" s="268"/>
      <c r="DH113" s="268"/>
      <c r="DI113" s="268"/>
      <c r="DJ113" s="268"/>
      <c r="DK113" s="268"/>
      <c r="DL113" s="268"/>
      <c r="DM113" s="268"/>
      <c r="DN113" s="268"/>
      <c r="DO113" s="268"/>
      <c r="DP113" s="268"/>
      <c r="DQ113" s="268"/>
      <c r="DR113" s="268"/>
      <c r="DS113" s="268"/>
      <c r="DT113" s="268"/>
      <c r="DU113" s="268"/>
      <c r="DV113" s="268"/>
      <c r="DW113" s="268"/>
      <c r="DX113" s="268"/>
      <c r="DY113" s="268"/>
      <c r="DZ113" s="268"/>
      <c r="EA113" s="268"/>
      <c r="EB113" s="268"/>
      <c r="EC113" s="268"/>
      <c r="ED113" s="268"/>
      <c r="EE113" s="268"/>
      <c r="EF113" s="268"/>
      <c r="EG113" s="268"/>
      <c r="EH113" s="268"/>
      <c r="EI113" s="268"/>
      <c r="EJ113" s="268"/>
      <c r="EK113" s="268"/>
      <c r="EL113" s="268"/>
      <c r="EM113" s="268"/>
      <c r="EN113" s="268"/>
      <c r="EO113" s="268"/>
      <c r="EP113" s="268"/>
      <c r="EQ113" s="268"/>
      <c r="ER113" s="268"/>
      <c r="ES113" s="268"/>
      <c r="ET113" s="268"/>
      <c r="EU113" s="268"/>
      <c r="EV113" s="268"/>
      <c r="EW113" s="268"/>
      <c r="EX113" s="268"/>
      <c r="EY113" s="268"/>
      <c r="EZ113" s="268"/>
      <c r="FA113" s="268"/>
      <c r="FB113" s="268"/>
      <c r="FC113" s="268"/>
      <c r="FD113" s="268"/>
      <c r="FE113" s="268"/>
      <c r="FF113" s="268"/>
      <c r="FG113" s="268"/>
      <c r="FH113" s="268"/>
      <c r="FI113" s="268"/>
      <c r="FJ113" s="268"/>
      <c r="FK113" s="268"/>
      <c r="FL113" s="268"/>
      <c r="FM113" s="268"/>
      <c r="FN113" s="268"/>
      <c r="FO113" s="268"/>
      <c r="FP113" s="268"/>
      <c r="FQ113" s="268"/>
      <c r="FR113" s="268"/>
      <c r="FS113" s="268"/>
      <c r="FT113" s="268"/>
      <c r="FU113" s="268"/>
      <c r="FV113" s="268"/>
      <c r="FW113" s="268"/>
      <c r="FX113" s="268"/>
      <c r="FY113" s="268"/>
      <c r="FZ113" s="268"/>
      <c r="GA113" s="268"/>
      <c r="GB113" s="268"/>
      <c r="GC113" s="268"/>
      <c r="GD113" s="268"/>
      <c r="GE113" s="268"/>
      <c r="GF113" s="268"/>
      <c r="GG113" s="268"/>
      <c r="GH113" s="268"/>
      <c r="GI113" s="268"/>
      <c r="GJ113" s="268"/>
      <c r="GK113" s="268"/>
      <c r="GL113" s="268"/>
      <c r="GM113" s="268"/>
      <c r="GN113" s="268"/>
      <c r="GO113" s="268"/>
    </row>
    <row r="114" spans="2:197" s="275" customFormat="1" ht="39.75" hidden="1" customHeight="1">
      <c r="B114" s="268"/>
      <c r="C114" s="319"/>
      <c r="D114" s="319"/>
      <c r="E114" s="319"/>
      <c r="F114" s="319"/>
      <c r="G114" s="319"/>
      <c r="H114" s="319"/>
      <c r="I114" s="319"/>
      <c r="J114" s="319"/>
      <c r="K114" s="319"/>
      <c r="L114" s="319"/>
      <c r="M114" s="319"/>
      <c r="N114" s="319"/>
      <c r="O114" s="268">
        <f>AB69</f>
        <v>19</v>
      </c>
      <c r="P114" s="268">
        <f>AD91</f>
        <v>10</v>
      </c>
      <c r="Q114" s="268"/>
      <c r="R114" s="268"/>
      <c r="S114" s="574"/>
      <c r="T114" s="574"/>
      <c r="U114" s="574"/>
      <c r="V114" s="552">
        <v>9</v>
      </c>
      <c r="W114" s="268" t="s">
        <v>786</v>
      </c>
      <c r="X114" s="268"/>
      <c r="Y114" s="268" t="str">
        <f>IF(V100=2,"","9")</f>
        <v/>
      </c>
      <c r="Z114" s="268"/>
      <c r="AA114" s="268"/>
      <c r="AB114" s="268" t="str">
        <f>IF($AD$69=2,"","9")</f>
        <v>9</v>
      </c>
      <c r="AC114" s="268"/>
      <c r="AD114" s="284">
        <v>12</v>
      </c>
      <c r="AE114" s="367">
        <v>17890</v>
      </c>
      <c r="AF114" s="369">
        <v>5075</v>
      </c>
      <c r="AG114" s="303">
        <v>5200</v>
      </c>
      <c r="AH114" s="367">
        <v>17890</v>
      </c>
      <c r="AI114" s="367">
        <v>18400</v>
      </c>
      <c r="AJ114" s="367">
        <v>18950</v>
      </c>
      <c r="AK114" s="606">
        <v>17380</v>
      </c>
      <c r="AL114" s="268"/>
      <c r="AM114" s="268"/>
      <c r="AX114" s="268"/>
      <c r="AY114" s="268"/>
      <c r="AZ114" s="268"/>
      <c r="BA114" s="268"/>
      <c r="BB114" s="268"/>
      <c r="BC114" s="268"/>
      <c r="BD114" s="268"/>
      <c r="BE114" s="268"/>
      <c r="BF114" s="268"/>
      <c r="BG114" s="268"/>
      <c r="BH114" s="268"/>
      <c r="BI114" s="268"/>
      <c r="BJ114" s="268"/>
      <c r="BK114" s="268"/>
      <c r="BL114" s="268"/>
      <c r="BM114" s="268"/>
      <c r="BN114" s="268"/>
      <c r="BO114" s="268"/>
      <c r="BP114" s="268"/>
      <c r="BQ114" s="268"/>
      <c r="BR114" s="268"/>
      <c r="BS114" s="268"/>
      <c r="BT114" s="268"/>
      <c r="BU114" s="268"/>
      <c r="BV114" s="268"/>
      <c r="BW114" s="268"/>
      <c r="BX114" s="268"/>
      <c r="BY114" s="268"/>
      <c r="BZ114" s="268"/>
      <c r="CA114" s="268"/>
      <c r="CB114" s="268"/>
      <c r="CC114" s="268"/>
      <c r="CD114" s="268"/>
      <c r="CE114" s="268"/>
      <c r="CF114" s="268"/>
      <c r="CG114" s="268"/>
      <c r="CH114" s="268"/>
      <c r="CI114" s="268"/>
      <c r="CJ114" s="268"/>
      <c r="CK114" s="268"/>
      <c r="CL114" s="268"/>
      <c r="CM114" s="268"/>
      <c r="CN114" s="268"/>
      <c r="CO114" s="268"/>
      <c r="CP114" s="268"/>
      <c r="CQ114" s="268"/>
      <c r="CR114" s="268"/>
      <c r="CS114" s="268"/>
      <c r="CT114" s="268"/>
      <c r="CU114" s="268"/>
      <c r="CV114" s="268"/>
      <c r="CW114" s="268"/>
      <c r="CX114" s="268"/>
      <c r="CY114" s="268"/>
      <c r="CZ114" s="268"/>
      <c r="DA114" s="268"/>
      <c r="DB114" s="268"/>
      <c r="DC114" s="268"/>
      <c r="DD114" s="268"/>
      <c r="DE114" s="268"/>
      <c r="DF114" s="268"/>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68"/>
      <c r="EC114" s="268"/>
      <c r="ED114" s="268"/>
      <c r="EE114" s="268"/>
      <c r="EF114" s="268"/>
      <c r="EG114" s="268"/>
      <c r="EH114" s="268"/>
      <c r="EI114" s="268"/>
      <c r="EJ114" s="268"/>
      <c r="EK114" s="268"/>
      <c r="EL114" s="268"/>
      <c r="EM114" s="268"/>
      <c r="EN114" s="268"/>
      <c r="EO114" s="268"/>
      <c r="EP114" s="268"/>
      <c r="EQ114" s="268"/>
      <c r="ER114" s="268"/>
      <c r="ES114" s="268"/>
      <c r="ET114" s="268"/>
      <c r="EU114" s="268"/>
      <c r="EV114" s="268"/>
      <c r="EW114" s="268"/>
      <c r="EX114" s="268"/>
      <c r="EY114" s="268"/>
      <c r="EZ114" s="268"/>
      <c r="FA114" s="268"/>
      <c r="FB114" s="268"/>
      <c r="FC114" s="268"/>
      <c r="FD114" s="268"/>
      <c r="FE114" s="268"/>
      <c r="FF114" s="268"/>
      <c r="FG114" s="268"/>
      <c r="FH114" s="268"/>
      <c r="FI114" s="268"/>
      <c r="FJ114" s="268"/>
      <c r="FK114" s="268"/>
      <c r="FL114" s="268"/>
      <c r="FM114" s="268"/>
      <c r="FN114" s="268"/>
      <c r="FO114" s="268"/>
      <c r="FP114" s="268"/>
      <c r="FQ114" s="268"/>
      <c r="FR114" s="268"/>
      <c r="FS114" s="268"/>
      <c r="FT114" s="268"/>
      <c r="FU114" s="268"/>
      <c r="FV114" s="268"/>
      <c r="FW114" s="268"/>
      <c r="FX114" s="268"/>
      <c r="FY114" s="268"/>
      <c r="FZ114" s="268"/>
      <c r="GA114" s="268"/>
      <c r="GB114" s="268"/>
      <c r="GC114" s="268"/>
      <c r="GD114" s="268"/>
      <c r="GE114" s="268"/>
      <c r="GF114" s="268"/>
      <c r="GG114" s="268"/>
      <c r="GH114" s="268"/>
      <c r="GI114" s="268"/>
      <c r="GJ114" s="268"/>
      <c r="GK114" s="268"/>
      <c r="GL114" s="268"/>
      <c r="GM114" s="268"/>
      <c r="GN114" s="268"/>
      <c r="GO114" s="268"/>
    </row>
    <row r="115" spans="2:197" s="275" customFormat="1" ht="39.75" hidden="1" customHeight="1">
      <c r="B115" s="268"/>
      <c r="C115" s="319"/>
      <c r="D115" s="319"/>
      <c r="E115" s="319"/>
      <c r="F115" s="319"/>
      <c r="G115" s="319"/>
      <c r="H115" s="319"/>
      <c r="I115" s="319"/>
      <c r="J115" s="319"/>
      <c r="K115" s="319"/>
      <c r="L115" s="319"/>
      <c r="M115" s="319"/>
      <c r="N115" s="319"/>
      <c r="O115" s="268">
        <f>VLOOKUP(P114,P117:R128,3,0)</f>
        <v>31</v>
      </c>
      <c r="P115" s="269">
        <f>VLOOKUP(P114+1,AD75:AF87,3,0)</f>
        <v>12</v>
      </c>
      <c r="Q115" s="268">
        <f>IF(P115&lt;3,2020,2019)</f>
        <v>2019</v>
      </c>
      <c r="R115" s="268"/>
      <c r="S115" s="574"/>
      <c r="T115" s="574"/>
      <c r="U115" s="574"/>
      <c r="V115" s="552">
        <v>10</v>
      </c>
      <c r="W115" s="268" t="s">
        <v>787</v>
      </c>
      <c r="X115" s="268"/>
      <c r="Y115" s="268" t="str">
        <f>IF(V100=2,"","10")</f>
        <v/>
      </c>
      <c r="Z115" s="268"/>
      <c r="AA115" s="268"/>
      <c r="AB115" s="268" t="str">
        <f>IF($AD$69=2,"","10")</f>
        <v>10</v>
      </c>
      <c r="AC115" s="268"/>
      <c r="AD115" s="284">
        <v>13</v>
      </c>
      <c r="AE115" s="367">
        <v>18400</v>
      </c>
      <c r="AF115" s="369">
        <v>5200</v>
      </c>
      <c r="AG115" s="303">
        <v>5335</v>
      </c>
      <c r="AH115" s="367">
        <v>18400</v>
      </c>
      <c r="AI115" s="367">
        <v>18950</v>
      </c>
      <c r="AJ115" s="367">
        <v>19500</v>
      </c>
      <c r="AK115" s="606">
        <v>17890</v>
      </c>
      <c r="AL115" s="268"/>
      <c r="AM115" s="268"/>
      <c r="AN115" s="268"/>
      <c r="AO115" s="268"/>
      <c r="AP115" s="268" t="s">
        <v>174</v>
      </c>
      <c r="AQ115" s="268" t="s">
        <v>175</v>
      </c>
      <c r="AR115" s="268"/>
      <c r="AS115" s="268"/>
      <c r="AT115" s="268"/>
      <c r="AU115" s="268"/>
      <c r="AV115" s="268"/>
      <c r="AW115" s="268"/>
      <c r="AX115" s="268"/>
      <c r="AY115" s="268"/>
      <c r="AZ115" s="268"/>
      <c r="BA115" s="268"/>
      <c r="BB115" s="268"/>
      <c r="BC115" s="268"/>
      <c r="BD115" s="268"/>
      <c r="BE115" s="268"/>
      <c r="BF115" s="268"/>
      <c r="BG115" s="268"/>
      <c r="BH115" s="268"/>
      <c r="BI115" s="268"/>
      <c r="BJ115" s="268"/>
      <c r="BK115" s="268"/>
      <c r="BL115" s="268"/>
      <c r="BM115" s="268"/>
      <c r="BN115" s="268"/>
      <c r="BO115" s="268"/>
      <c r="BP115" s="268"/>
      <c r="BQ115" s="268"/>
      <c r="BR115" s="268"/>
      <c r="BS115" s="268"/>
      <c r="BT115" s="268"/>
      <c r="BU115" s="268"/>
      <c r="BV115" s="268"/>
      <c r="BW115" s="268"/>
      <c r="BX115" s="268"/>
      <c r="BY115" s="268"/>
      <c r="BZ115" s="268"/>
      <c r="CA115" s="268"/>
      <c r="CB115" s="268"/>
      <c r="CC115" s="268"/>
      <c r="CD115" s="268"/>
      <c r="CE115" s="268"/>
      <c r="CF115" s="268"/>
      <c r="CG115" s="268"/>
      <c r="CH115" s="268"/>
      <c r="CI115" s="268"/>
      <c r="CJ115" s="268"/>
      <c r="CK115" s="268"/>
      <c r="CL115" s="268"/>
      <c r="CM115" s="268"/>
      <c r="CN115" s="268"/>
      <c r="CO115" s="268"/>
      <c r="CP115" s="268"/>
      <c r="CQ115" s="268"/>
      <c r="CR115" s="268"/>
      <c r="CS115" s="268"/>
      <c r="CT115" s="268"/>
      <c r="CU115" s="268"/>
      <c r="CV115" s="268"/>
      <c r="CW115" s="268"/>
      <c r="CX115" s="268"/>
      <c r="CY115" s="268"/>
      <c r="CZ115" s="268"/>
      <c r="DA115" s="268"/>
      <c r="DB115" s="268"/>
      <c r="DC115" s="268"/>
      <c r="DD115" s="268"/>
      <c r="DE115" s="268"/>
      <c r="DF115" s="268"/>
      <c r="DG115" s="268"/>
      <c r="DH115" s="268"/>
      <c r="DI115" s="268"/>
      <c r="DJ115" s="268"/>
      <c r="DK115" s="268"/>
      <c r="DL115" s="268"/>
      <c r="DM115" s="268"/>
      <c r="DN115" s="268"/>
      <c r="DO115" s="268"/>
      <c r="DP115" s="268"/>
      <c r="DQ115" s="268"/>
      <c r="DR115" s="268"/>
      <c r="DS115" s="268"/>
      <c r="DT115" s="268"/>
      <c r="DU115" s="268"/>
      <c r="DV115" s="268"/>
      <c r="DW115" s="268"/>
      <c r="DX115" s="268"/>
      <c r="DY115" s="268"/>
      <c r="DZ115" s="268"/>
      <c r="EA115" s="268"/>
      <c r="EB115" s="268"/>
      <c r="EC115" s="268"/>
      <c r="ED115" s="268"/>
      <c r="EE115" s="268"/>
      <c r="EF115" s="268"/>
      <c r="EG115" s="268"/>
      <c r="EH115" s="268"/>
      <c r="EI115" s="268"/>
      <c r="EJ115" s="268"/>
      <c r="EK115" s="268"/>
      <c r="EL115" s="268"/>
      <c r="EM115" s="268"/>
      <c r="EN115" s="268"/>
      <c r="EO115" s="268"/>
      <c r="EP115" s="268"/>
      <c r="EQ115" s="268"/>
      <c r="ER115" s="268"/>
      <c r="ES115" s="268"/>
      <c r="ET115" s="268"/>
      <c r="EU115" s="268"/>
      <c r="EV115" s="268"/>
      <c r="EW115" s="268"/>
      <c r="EX115" s="268"/>
      <c r="EY115" s="268"/>
      <c r="EZ115" s="268"/>
      <c r="FA115" s="268"/>
      <c r="FB115" s="268"/>
      <c r="FC115" s="268"/>
      <c r="FD115" s="268"/>
      <c r="FE115" s="268"/>
      <c r="FF115" s="268"/>
      <c r="FG115" s="268"/>
      <c r="FH115" s="268"/>
      <c r="FI115" s="268"/>
      <c r="FJ115" s="268"/>
      <c r="FK115" s="268"/>
      <c r="FL115" s="268"/>
      <c r="FM115" s="268"/>
      <c r="FN115" s="268"/>
      <c r="FO115" s="268"/>
      <c r="FP115" s="268"/>
      <c r="FQ115" s="268"/>
      <c r="FR115" s="268"/>
      <c r="FS115" s="268"/>
      <c r="FT115" s="268"/>
      <c r="FU115" s="268"/>
      <c r="FV115" s="268"/>
      <c r="FW115" s="268"/>
      <c r="FX115" s="268"/>
      <c r="FY115" s="268"/>
      <c r="FZ115" s="268"/>
      <c r="GA115" s="268"/>
      <c r="GB115" s="268"/>
      <c r="GC115" s="268"/>
      <c r="GD115" s="268"/>
      <c r="GE115" s="268"/>
      <c r="GF115" s="268"/>
      <c r="GG115" s="268"/>
      <c r="GH115" s="268"/>
      <c r="GI115" s="268"/>
      <c r="GJ115" s="268"/>
      <c r="GK115" s="268"/>
      <c r="GL115" s="268"/>
      <c r="GM115" s="268"/>
      <c r="GN115" s="268"/>
      <c r="GO115" s="268"/>
    </row>
    <row r="116" spans="2:197" s="275" customFormat="1" ht="39.75" hidden="1" customHeight="1">
      <c r="B116" s="268"/>
      <c r="C116" s="319"/>
      <c r="D116" s="319"/>
      <c r="E116" s="319"/>
      <c r="F116" s="319"/>
      <c r="G116" s="319"/>
      <c r="H116" s="319"/>
      <c r="I116" s="319"/>
      <c r="J116" s="319"/>
      <c r="K116" s="319"/>
      <c r="L116" s="319"/>
      <c r="M116" s="319"/>
      <c r="N116" s="319"/>
      <c r="O116" s="268"/>
      <c r="P116" s="268"/>
      <c r="Q116" s="268"/>
      <c r="R116" s="268"/>
      <c r="S116" s="574"/>
      <c r="T116" s="574"/>
      <c r="U116" s="574"/>
      <c r="V116" s="552">
        <v>11</v>
      </c>
      <c r="W116" s="268" t="s">
        <v>788</v>
      </c>
      <c r="X116" s="268"/>
      <c r="Y116" s="268" t="str">
        <f>IF(V100=2,"","11")</f>
        <v/>
      </c>
      <c r="Z116" s="268"/>
      <c r="AA116" s="268"/>
      <c r="AB116" s="268" t="str">
        <f>IF($AD$69=2,"","11")</f>
        <v>11</v>
      </c>
      <c r="AC116" s="268"/>
      <c r="AD116" s="284">
        <v>14</v>
      </c>
      <c r="AE116" s="367">
        <v>18950</v>
      </c>
      <c r="AF116" s="369">
        <v>5335</v>
      </c>
      <c r="AG116" s="303">
        <v>5470</v>
      </c>
      <c r="AH116" s="367">
        <v>18950</v>
      </c>
      <c r="AI116" s="367">
        <v>19500</v>
      </c>
      <c r="AJ116" s="367">
        <v>20050</v>
      </c>
      <c r="AK116" s="606">
        <v>18400</v>
      </c>
      <c r="AL116" s="268"/>
      <c r="AM116" s="268"/>
      <c r="AN116" s="267" t="str">
        <f>IF(AM102=2,"","July,16")</f>
        <v>July,16</v>
      </c>
      <c r="AO116" s="268">
        <f t="shared" ref="AO116:AO123" si="25">T13</f>
        <v>52590</v>
      </c>
      <c r="AP116" s="268">
        <f>ROUND(AO116*18.34/100,0.1)</f>
        <v>9645</v>
      </c>
      <c r="AQ116" s="268">
        <f>ROUND(AO116*18.34/100,0.1)</f>
        <v>9645</v>
      </c>
      <c r="AR116" s="268">
        <f t="shared" ref="AR116:AR127" si="26">AP116-AQ116</f>
        <v>0</v>
      </c>
      <c r="AS116" s="268"/>
      <c r="AT116" s="268">
        <f t="shared" ref="AT116:AT127" si="27">ROUND(AP116*10%,0.1)</f>
        <v>965</v>
      </c>
      <c r="AU116" s="268">
        <f t="shared" ref="AU116:AU127" si="28">ROUND(AQ116*10%,0.1)</f>
        <v>965</v>
      </c>
      <c r="AV116" s="268">
        <f t="shared" ref="AV116:AV127" si="29">AT116-AU116</f>
        <v>0</v>
      </c>
      <c r="AW116" s="268"/>
      <c r="AX116" s="268"/>
      <c r="AY116" s="268"/>
      <c r="AZ116" s="268"/>
      <c r="BA116" s="268"/>
      <c r="BB116" s="268"/>
      <c r="BC116" s="268"/>
      <c r="BD116" s="268"/>
      <c r="BE116" s="268"/>
      <c r="BF116" s="268"/>
      <c r="BG116" s="268"/>
      <c r="BH116" s="268"/>
      <c r="BI116" s="268"/>
      <c r="BJ116" s="268"/>
      <c r="BK116" s="268"/>
      <c r="BL116" s="268"/>
      <c r="BM116" s="268"/>
      <c r="BN116" s="268"/>
      <c r="BO116" s="268"/>
      <c r="BP116" s="268"/>
      <c r="BQ116" s="268"/>
      <c r="BR116" s="268"/>
      <c r="BS116" s="268"/>
      <c r="BT116" s="268"/>
      <c r="BU116" s="268"/>
      <c r="BV116" s="268"/>
      <c r="BW116" s="268"/>
      <c r="BX116" s="268"/>
      <c r="BY116" s="268"/>
      <c r="BZ116" s="268"/>
      <c r="CA116" s="268"/>
      <c r="CB116" s="268"/>
      <c r="CC116" s="268"/>
      <c r="CD116" s="268"/>
      <c r="CE116" s="268"/>
      <c r="CF116" s="268"/>
      <c r="CG116" s="268"/>
      <c r="CH116" s="268"/>
      <c r="CI116" s="268"/>
      <c r="CJ116" s="268"/>
      <c r="CK116" s="268"/>
      <c r="CL116" s="268"/>
      <c r="CM116" s="268"/>
      <c r="CN116" s="268"/>
      <c r="CO116" s="268"/>
      <c r="CP116" s="268"/>
      <c r="CQ116" s="268"/>
      <c r="CR116" s="268"/>
      <c r="CS116" s="268"/>
      <c r="CT116" s="268"/>
      <c r="CU116" s="268"/>
      <c r="CV116" s="268"/>
      <c r="CW116" s="268"/>
      <c r="CX116" s="268"/>
      <c r="CY116" s="268"/>
      <c r="CZ116" s="268"/>
      <c r="DA116" s="268"/>
      <c r="DB116" s="268"/>
      <c r="DC116" s="268"/>
      <c r="DD116" s="268"/>
      <c r="DE116" s="268"/>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268"/>
      <c r="EC116" s="268"/>
      <c r="ED116" s="268"/>
      <c r="EE116" s="268"/>
      <c r="EF116" s="268"/>
      <c r="EG116" s="268"/>
      <c r="EH116" s="268"/>
      <c r="EI116" s="268"/>
      <c r="EJ116" s="268"/>
      <c r="EK116" s="268"/>
      <c r="EL116" s="268"/>
      <c r="EM116" s="268"/>
      <c r="EN116" s="268"/>
      <c r="EO116" s="268"/>
      <c r="EP116" s="268"/>
      <c r="EQ116" s="268"/>
      <c r="ER116" s="268"/>
      <c r="ES116" s="268"/>
      <c r="ET116" s="268"/>
      <c r="EU116" s="268"/>
      <c r="EV116" s="268"/>
      <c r="EW116" s="268"/>
      <c r="EX116" s="268"/>
      <c r="EY116" s="268"/>
      <c r="EZ116" s="268"/>
      <c r="FA116" s="268"/>
      <c r="FB116" s="268"/>
      <c r="FC116" s="268"/>
      <c r="FD116" s="268"/>
      <c r="FE116" s="268"/>
      <c r="FF116" s="268"/>
      <c r="FG116" s="268"/>
      <c r="FH116" s="268"/>
      <c r="FI116" s="268"/>
      <c r="FJ116" s="268"/>
      <c r="FK116" s="268"/>
      <c r="FL116" s="268"/>
      <c r="FM116" s="268"/>
      <c r="FN116" s="268"/>
      <c r="FO116" s="268"/>
      <c r="FP116" s="268"/>
      <c r="FQ116" s="268"/>
      <c r="FR116" s="268"/>
      <c r="FS116" s="268"/>
      <c r="FT116" s="268"/>
      <c r="FU116" s="268"/>
      <c r="FV116" s="268"/>
      <c r="FW116" s="268"/>
      <c r="FX116" s="268"/>
      <c r="FY116" s="268"/>
      <c r="FZ116" s="268"/>
      <c r="GA116" s="268"/>
      <c r="GB116" s="268"/>
      <c r="GC116" s="268"/>
      <c r="GD116" s="268"/>
      <c r="GE116" s="268"/>
      <c r="GF116" s="268"/>
      <c r="GG116" s="268"/>
      <c r="GH116" s="268"/>
      <c r="GI116" s="268"/>
      <c r="GJ116" s="268"/>
      <c r="GK116" s="268"/>
      <c r="GL116" s="268"/>
      <c r="GM116" s="268"/>
      <c r="GN116" s="268"/>
      <c r="GO116" s="268"/>
    </row>
    <row r="117" spans="2:197" s="275" customFormat="1" ht="39.75" hidden="1" customHeight="1">
      <c r="B117" s="268"/>
      <c r="C117" s="319"/>
      <c r="D117" s="328">
        <v>19</v>
      </c>
      <c r="E117" s="319"/>
      <c r="F117" s="319"/>
      <c r="G117" s="319"/>
      <c r="H117" s="319"/>
      <c r="I117" s="319"/>
      <c r="J117" s="319"/>
      <c r="K117" s="319"/>
      <c r="L117" s="319"/>
      <c r="M117" s="319" t="str">
        <f>CONCATENATE(O114,"-",O115,"/",P115,"/",Q115)</f>
        <v>19-31/12/2019</v>
      </c>
      <c r="N117" s="319"/>
      <c r="O117" s="268"/>
      <c r="P117" s="268">
        <v>1</v>
      </c>
      <c r="Q117" s="268" t="str">
        <f>IF(P116=2,"","March,19")</f>
        <v>March,19</v>
      </c>
      <c r="R117" s="268">
        <v>31</v>
      </c>
      <c r="S117" s="574"/>
      <c r="T117" s="574"/>
      <c r="U117" s="574"/>
      <c r="V117" s="552">
        <v>12</v>
      </c>
      <c r="W117" s="268" t="s">
        <v>789</v>
      </c>
      <c r="X117" s="268"/>
      <c r="Y117" s="268" t="str">
        <f>IF(V100=2,"","12")</f>
        <v/>
      </c>
      <c r="Z117" s="268"/>
      <c r="AA117" s="268"/>
      <c r="AB117" s="268" t="str">
        <f>IF($AD$69=2,"","12")</f>
        <v>12</v>
      </c>
      <c r="AC117" s="268"/>
      <c r="AD117" s="284">
        <v>15</v>
      </c>
      <c r="AE117" s="367">
        <v>19500</v>
      </c>
      <c r="AF117" s="369">
        <v>5470</v>
      </c>
      <c r="AG117" s="303">
        <v>5605</v>
      </c>
      <c r="AH117" s="367">
        <v>19500</v>
      </c>
      <c r="AI117" s="367">
        <v>20050</v>
      </c>
      <c r="AJ117" s="367">
        <v>20640</v>
      </c>
      <c r="AK117" s="606">
        <v>18950</v>
      </c>
      <c r="AL117" s="268"/>
      <c r="AM117" s="268"/>
      <c r="AN117" s="267" t="str">
        <f>IF(AM102=2,"","Aug,16")</f>
        <v>Aug,16</v>
      </c>
      <c r="AO117" s="268">
        <f t="shared" si="25"/>
        <v>52590</v>
      </c>
      <c r="AP117" s="268">
        <f>ROUND(AO117*18.34/100,0.1)</f>
        <v>9645</v>
      </c>
      <c r="AQ117" s="268">
        <f t="shared" ref="AQ117:AQ127" si="30">ROUND(AO117*18.34/100,0.1)</f>
        <v>9645</v>
      </c>
      <c r="AR117" s="268">
        <f t="shared" si="26"/>
        <v>0</v>
      </c>
      <c r="AS117" s="268"/>
      <c r="AT117" s="268">
        <f t="shared" si="27"/>
        <v>965</v>
      </c>
      <c r="AU117" s="268">
        <f t="shared" si="28"/>
        <v>965</v>
      </c>
      <c r="AV117" s="268">
        <f t="shared" si="29"/>
        <v>0</v>
      </c>
      <c r="AW117" s="268"/>
      <c r="AX117" s="268"/>
      <c r="AY117" s="268"/>
      <c r="AZ117" s="268"/>
      <c r="BA117" s="268"/>
      <c r="BB117" s="268"/>
      <c r="BC117" s="268"/>
      <c r="BD117" s="268"/>
      <c r="BE117" s="268"/>
      <c r="BF117" s="268"/>
      <c r="BG117" s="268"/>
      <c r="BH117" s="268"/>
      <c r="BI117" s="268"/>
      <c r="BJ117" s="268"/>
      <c r="BK117" s="268"/>
      <c r="BL117" s="268"/>
      <c r="BM117" s="268"/>
      <c r="BN117" s="268"/>
      <c r="BO117" s="268"/>
      <c r="BP117" s="268"/>
      <c r="BQ117" s="268"/>
      <c r="BR117" s="268"/>
      <c r="BS117" s="268"/>
      <c r="BT117" s="268"/>
      <c r="BU117" s="268"/>
      <c r="BV117" s="268"/>
      <c r="BW117" s="268"/>
      <c r="BX117" s="268"/>
      <c r="BY117" s="268"/>
      <c r="BZ117" s="268"/>
      <c r="CA117" s="268"/>
      <c r="CB117" s="268"/>
      <c r="CC117" s="268"/>
      <c r="CD117" s="268"/>
      <c r="CE117" s="268"/>
      <c r="CF117" s="268"/>
      <c r="CG117" s="268"/>
      <c r="CH117" s="268"/>
      <c r="CI117" s="268"/>
      <c r="CJ117" s="268"/>
      <c r="CK117" s="268"/>
      <c r="CL117" s="268"/>
      <c r="CM117" s="268"/>
      <c r="CN117" s="268"/>
      <c r="CO117" s="268"/>
      <c r="CP117" s="268"/>
      <c r="CQ117" s="268"/>
      <c r="CR117" s="268"/>
      <c r="CS117" s="268"/>
      <c r="CT117" s="268"/>
      <c r="CU117" s="268"/>
      <c r="CV117" s="268"/>
      <c r="CW117" s="268"/>
      <c r="CX117" s="268"/>
      <c r="CY117" s="268"/>
      <c r="CZ117" s="268"/>
      <c r="DA117" s="268"/>
      <c r="DB117" s="268"/>
      <c r="DC117" s="268"/>
      <c r="DD117" s="268"/>
      <c r="DE117" s="268"/>
      <c r="DF117" s="268"/>
      <c r="DG117" s="268"/>
      <c r="DH117" s="268"/>
      <c r="DI117" s="268"/>
      <c r="DJ117" s="268"/>
      <c r="DK117" s="268"/>
      <c r="DL117" s="268"/>
      <c r="DM117" s="268"/>
      <c r="DN117" s="268"/>
      <c r="DO117" s="268"/>
      <c r="DP117" s="268"/>
      <c r="DQ117" s="268"/>
      <c r="DR117" s="268"/>
      <c r="DS117" s="268"/>
      <c r="DT117" s="268"/>
      <c r="DU117" s="268"/>
      <c r="DV117" s="268"/>
      <c r="DW117" s="268"/>
      <c r="DX117" s="268"/>
      <c r="DY117" s="268"/>
      <c r="DZ117" s="268"/>
      <c r="EA117" s="268"/>
      <c r="EB117" s="268"/>
      <c r="EC117" s="268"/>
      <c r="ED117" s="268"/>
      <c r="EE117" s="268"/>
      <c r="EF117" s="268"/>
      <c r="EG117" s="268"/>
      <c r="EH117" s="268"/>
      <c r="EI117" s="268"/>
      <c r="EJ117" s="268"/>
      <c r="EK117" s="268"/>
      <c r="EL117" s="268"/>
      <c r="EM117" s="268"/>
      <c r="EN117" s="268"/>
      <c r="EO117" s="268"/>
      <c r="EP117" s="268"/>
      <c r="EQ117" s="268"/>
      <c r="ER117" s="268"/>
      <c r="ES117" s="268"/>
      <c r="ET117" s="268"/>
      <c r="EU117" s="268"/>
      <c r="EV117" s="268"/>
      <c r="EW117" s="268"/>
      <c r="EX117" s="268"/>
      <c r="EY117" s="268"/>
      <c r="EZ117" s="268"/>
      <c r="FA117" s="268"/>
      <c r="FB117" s="268"/>
      <c r="FC117" s="268"/>
      <c r="FD117" s="268"/>
      <c r="FE117" s="268"/>
      <c r="FF117" s="268"/>
      <c r="FG117" s="268"/>
      <c r="FH117" s="268"/>
      <c r="FI117" s="268"/>
      <c r="FJ117" s="268"/>
      <c r="FK117" s="268"/>
      <c r="FL117" s="268"/>
      <c r="FM117" s="268"/>
      <c r="FN117" s="268"/>
      <c r="FO117" s="268"/>
      <c r="FP117" s="268"/>
      <c r="FQ117" s="268"/>
      <c r="FR117" s="268"/>
      <c r="FS117" s="268"/>
      <c r="FT117" s="268"/>
      <c r="FU117" s="268"/>
      <c r="FV117" s="268"/>
      <c r="FW117" s="268"/>
      <c r="FX117" s="268"/>
      <c r="FY117" s="268"/>
      <c r="FZ117" s="268"/>
      <c r="GA117" s="268"/>
      <c r="GB117" s="268"/>
      <c r="GC117" s="268"/>
      <c r="GD117" s="268"/>
      <c r="GE117" s="268"/>
      <c r="GF117" s="268"/>
      <c r="GG117" s="268"/>
      <c r="GH117" s="268"/>
      <c r="GI117" s="268"/>
      <c r="GJ117" s="268"/>
      <c r="GK117" s="268"/>
      <c r="GL117" s="268"/>
      <c r="GM117" s="268"/>
      <c r="GN117" s="268"/>
      <c r="GO117" s="268"/>
    </row>
    <row r="118" spans="2:197" s="275" customFormat="1" ht="39.75" hidden="1" customHeight="1">
      <c r="B118" s="268"/>
      <c r="C118" s="319"/>
      <c r="D118" s="319"/>
      <c r="E118" s="319"/>
      <c r="F118" s="319"/>
      <c r="G118" s="319"/>
      <c r="H118" s="319"/>
      <c r="I118" s="319"/>
      <c r="J118" s="319"/>
      <c r="K118" s="319"/>
      <c r="L118" s="319"/>
      <c r="M118" s="319"/>
      <c r="N118" s="319"/>
      <c r="O118" s="268"/>
      <c r="P118" s="268">
        <v>2</v>
      </c>
      <c r="Q118" s="268" t="str">
        <f>IF(P116=2,"","April,19")</f>
        <v>April,19</v>
      </c>
      <c r="R118" s="268">
        <v>30</v>
      </c>
      <c r="S118" s="574"/>
      <c r="T118" s="574"/>
      <c r="U118" s="574"/>
      <c r="V118" s="552"/>
      <c r="W118" s="268"/>
      <c r="X118" s="268"/>
      <c r="Y118" s="268" t="str">
        <f>IF(V100=2,"","13")</f>
        <v/>
      </c>
      <c r="Z118" s="268"/>
      <c r="AA118" s="268"/>
      <c r="AB118" s="268" t="str">
        <f>IF($AD$69=2,"","13")</f>
        <v>13</v>
      </c>
      <c r="AC118" s="268"/>
      <c r="AD118" s="284">
        <v>16</v>
      </c>
      <c r="AE118" s="367">
        <v>20050</v>
      </c>
      <c r="AF118" s="369">
        <v>5605</v>
      </c>
      <c r="AG118" s="303">
        <v>5750</v>
      </c>
      <c r="AH118" s="367">
        <v>20050</v>
      </c>
      <c r="AI118" s="367">
        <v>20640</v>
      </c>
      <c r="AJ118" s="367">
        <v>21230</v>
      </c>
      <c r="AK118" s="606">
        <v>19500</v>
      </c>
      <c r="AL118" s="268"/>
      <c r="AM118" s="268"/>
      <c r="AN118" s="267" t="str">
        <f>IF(AM102=2,"","Sept,16")</f>
        <v>Sept,16</v>
      </c>
      <c r="AO118" s="268">
        <f t="shared" si="25"/>
        <v>52590</v>
      </c>
      <c r="AP118" s="268">
        <f t="shared" ref="AP118:AP127" si="31">ROUND(AO118*18.34/100,0.1)</f>
        <v>9645</v>
      </c>
      <c r="AQ118" s="268">
        <f t="shared" si="30"/>
        <v>9645</v>
      </c>
      <c r="AR118" s="268">
        <f t="shared" si="26"/>
        <v>0</v>
      </c>
      <c r="AS118" s="268"/>
      <c r="AT118" s="268">
        <f t="shared" si="27"/>
        <v>965</v>
      </c>
      <c r="AU118" s="268">
        <f t="shared" si="28"/>
        <v>965</v>
      </c>
      <c r="AV118" s="268">
        <f t="shared" si="29"/>
        <v>0</v>
      </c>
      <c r="AW118" s="268"/>
      <c r="AX118" s="268"/>
      <c r="AY118" s="268"/>
      <c r="AZ118" s="268"/>
      <c r="BA118" s="268"/>
      <c r="BB118" s="268"/>
      <c r="BC118" s="268"/>
      <c r="BD118" s="268"/>
      <c r="BE118" s="268"/>
      <c r="BF118" s="268"/>
      <c r="BG118" s="268"/>
      <c r="BH118" s="268"/>
      <c r="BI118" s="268"/>
      <c r="BJ118" s="268"/>
      <c r="BK118" s="268"/>
      <c r="BL118" s="268"/>
      <c r="BM118" s="268"/>
      <c r="BN118" s="268"/>
      <c r="BO118" s="268"/>
      <c r="BP118" s="268"/>
      <c r="BQ118" s="268"/>
      <c r="BR118" s="268"/>
      <c r="BS118" s="268"/>
      <c r="BT118" s="268"/>
      <c r="BU118" s="268"/>
      <c r="BV118" s="268"/>
      <c r="BW118" s="268"/>
      <c r="BX118" s="268"/>
      <c r="BY118" s="268"/>
      <c r="BZ118" s="268"/>
      <c r="CA118" s="268"/>
      <c r="CB118" s="268"/>
      <c r="CC118" s="268"/>
      <c r="CD118" s="268"/>
      <c r="CE118" s="268"/>
      <c r="CF118" s="268"/>
      <c r="CG118" s="268"/>
      <c r="CH118" s="268"/>
      <c r="CI118" s="268"/>
      <c r="CJ118" s="268"/>
      <c r="CK118" s="268"/>
      <c r="CL118" s="268"/>
      <c r="CM118" s="268"/>
      <c r="CN118" s="268"/>
      <c r="CO118" s="268"/>
      <c r="CP118" s="268"/>
      <c r="CQ118" s="268"/>
      <c r="CR118" s="268"/>
      <c r="CS118" s="268"/>
      <c r="CT118" s="268"/>
      <c r="CU118" s="268"/>
      <c r="CV118" s="268"/>
      <c r="CW118" s="268"/>
      <c r="CX118" s="268"/>
      <c r="CY118" s="268"/>
      <c r="CZ118" s="268"/>
      <c r="DA118" s="268"/>
      <c r="DB118" s="268"/>
      <c r="DC118" s="268"/>
      <c r="DD118" s="268"/>
      <c r="DE118" s="268"/>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68"/>
      <c r="EB118" s="268"/>
      <c r="EC118" s="268"/>
      <c r="ED118" s="268"/>
      <c r="EE118" s="268"/>
      <c r="EF118" s="268"/>
      <c r="EG118" s="268"/>
      <c r="EH118" s="268"/>
      <c r="EI118" s="268"/>
      <c r="EJ118" s="268"/>
      <c r="EK118" s="268"/>
      <c r="EL118" s="268"/>
      <c r="EM118" s="268"/>
      <c r="EN118" s="268"/>
      <c r="EO118" s="268"/>
      <c r="EP118" s="268"/>
      <c r="EQ118" s="268"/>
      <c r="ER118" s="268"/>
      <c r="ES118" s="268"/>
      <c r="ET118" s="268"/>
      <c r="EU118" s="268"/>
      <c r="EV118" s="268"/>
      <c r="EW118" s="268"/>
      <c r="EX118" s="268"/>
      <c r="EY118" s="268"/>
      <c r="EZ118" s="268"/>
      <c r="FA118" s="268"/>
      <c r="FB118" s="268"/>
      <c r="FC118" s="268"/>
      <c r="FD118" s="268"/>
      <c r="FE118" s="268"/>
      <c r="FF118" s="268"/>
      <c r="FG118" s="268"/>
      <c r="FH118" s="268"/>
      <c r="FI118" s="268"/>
      <c r="FJ118" s="268"/>
      <c r="FK118" s="268"/>
      <c r="FL118" s="268"/>
      <c r="FM118" s="268"/>
      <c r="FN118" s="268"/>
      <c r="FO118" s="268"/>
      <c r="FP118" s="268"/>
      <c r="FQ118" s="268"/>
      <c r="FR118" s="268"/>
      <c r="FS118" s="268"/>
      <c r="FT118" s="268"/>
      <c r="FU118" s="268"/>
      <c r="FV118" s="268"/>
      <c r="FW118" s="268"/>
      <c r="FX118" s="268"/>
      <c r="FY118" s="268"/>
      <c r="FZ118" s="268"/>
      <c r="GA118" s="268"/>
      <c r="GB118" s="268"/>
      <c r="GC118" s="268"/>
      <c r="GD118" s="268"/>
      <c r="GE118" s="268"/>
      <c r="GF118" s="268"/>
      <c r="GG118" s="268"/>
      <c r="GH118" s="268"/>
      <c r="GI118" s="268"/>
      <c r="GJ118" s="268"/>
      <c r="GK118" s="268"/>
      <c r="GL118" s="268"/>
      <c r="GM118" s="268"/>
      <c r="GN118" s="268"/>
      <c r="GO118" s="268"/>
    </row>
    <row r="119" spans="2:197" s="275" customFormat="1" ht="39.75" hidden="1" customHeight="1">
      <c r="B119" s="268"/>
      <c r="C119" s="319"/>
      <c r="D119" s="319"/>
      <c r="E119" s="319"/>
      <c r="F119" s="319"/>
      <c r="G119" s="319"/>
      <c r="H119" s="319"/>
      <c r="I119" s="319"/>
      <c r="J119" s="319"/>
      <c r="K119" s="319"/>
      <c r="L119" s="319"/>
      <c r="M119" s="319">
        <f>VLOOKUP(P114+1,AQ40:AS51,3,0)</f>
        <v>55410</v>
      </c>
      <c r="N119" s="319"/>
      <c r="O119" s="268"/>
      <c r="P119" s="268">
        <v>3</v>
      </c>
      <c r="Q119" s="268" t="str">
        <f>IF(P116=2,"","May,19")</f>
        <v>May,19</v>
      </c>
      <c r="R119" s="268">
        <v>31</v>
      </c>
      <c r="S119" s="574"/>
      <c r="T119" s="574"/>
      <c r="U119" s="574"/>
      <c r="V119" s="552"/>
      <c r="W119" s="268"/>
      <c r="X119" s="268"/>
      <c r="Y119" s="268" t="str">
        <f>IF(V100=2,"","14")</f>
        <v/>
      </c>
      <c r="Z119" s="268"/>
      <c r="AA119" s="268"/>
      <c r="AB119" s="268" t="str">
        <f>IF($AD$69=2,"","14")</f>
        <v>14</v>
      </c>
      <c r="AC119" s="268"/>
      <c r="AD119" s="284">
        <v>17</v>
      </c>
      <c r="AE119" s="367">
        <v>20640</v>
      </c>
      <c r="AF119" s="369">
        <v>5750</v>
      </c>
      <c r="AG119" s="303">
        <v>5895</v>
      </c>
      <c r="AH119" s="367">
        <v>20640</v>
      </c>
      <c r="AI119" s="367">
        <v>21230</v>
      </c>
      <c r="AJ119" s="367">
        <v>21820</v>
      </c>
      <c r="AK119" s="606">
        <v>20050</v>
      </c>
      <c r="AL119" s="268"/>
      <c r="AM119" s="268"/>
      <c r="AN119" s="267" t="str">
        <f>IF(AM102=2,"","Oct,16")</f>
        <v>Oct,16</v>
      </c>
      <c r="AO119" s="268">
        <f t="shared" si="25"/>
        <v>52590</v>
      </c>
      <c r="AP119" s="268">
        <f t="shared" si="31"/>
        <v>9645</v>
      </c>
      <c r="AQ119" s="268">
        <f t="shared" si="30"/>
        <v>9645</v>
      </c>
      <c r="AR119" s="268">
        <f t="shared" si="26"/>
        <v>0</v>
      </c>
      <c r="AS119" s="268"/>
      <c r="AT119" s="268">
        <f t="shared" si="27"/>
        <v>965</v>
      </c>
      <c r="AU119" s="268">
        <f t="shared" si="28"/>
        <v>965</v>
      </c>
      <c r="AV119" s="268">
        <f t="shared" si="29"/>
        <v>0</v>
      </c>
      <c r="AW119" s="268"/>
      <c r="AX119" s="268"/>
      <c r="AY119" s="268"/>
      <c r="AZ119" s="268"/>
      <c r="BA119" s="268"/>
      <c r="BB119" s="268"/>
      <c r="BC119" s="268"/>
      <c r="BD119" s="268"/>
      <c r="BE119" s="268"/>
      <c r="BF119" s="268"/>
      <c r="BG119" s="268"/>
      <c r="BH119" s="268"/>
      <c r="BI119" s="268"/>
      <c r="BJ119" s="268"/>
      <c r="BK119" s="268"/>
      <c r="BL119" s="268"/>
      <c r="BM119" s="268"/>
      <c r="BN119" s="268"/>
      <c r="BO119" s="268"/>
      <c r="BP119" s="268"/>
      <c r="BQ119" s="268"/>
      <c r="BR119" s="268"/>
      <c r="BS119" s="268"/>
      <c r="BT119" s="268"/>
      <c r="BU119" s="268"/>
      <c r="BV119" s="268"/>
      <c r="BW119" s="268"/>
      <c r="BX119" s="268"/>
      <c r="BY119" s="268"/>
      <c r="BZ119" s="268"/>
      <c r="CA119" s="268"/>
      <c r="CB119" s="268"/>
      <c r="CC119" s="268"/>
      <c r="CD119" s="268"/>
      <c r="CE119" s="268"/>
      <c r="CF119" s="268"/>
      <c r="CG119" s="268"/>
      <c r="CH119" s="268"/>
      <c r="CI119" s="268"/>
      <c r="CJ119" s="268"/>
      <c r="CK119" s="268"/>
      <c r="CL119" s="268"/>
      <c r="CM119" s="268"/>
      <c r="CN119" s="268"/>
      <c r="CO119" s="268"/>
      <c r="CP119" s="268"/>
      <c r="CQ119" s="268"/>
      <c r="CR119" s="268"/>
      <c r="CS119" s="268"/>
      <c r="CT119" s="268"/>
      <c r="CU119" s="268"/>
      <c r="CV119" s="268"/>
      <c r="CW119" s="268"/>
      <c r="CX119" s="268"/>
      <c r="CY119" s="268"/>
      <c r="CZ119" s="268"/>
      <c r="DA119" s="268"/>
      <c r="DB119" s="268"/>
      <c r="DC119" s="268"/>
      <c r="DD119" s="268"/>
      <c r="DE119" s="268"/>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68"/>
      <c r="EB119" s="268"/>
      <c r="EC119" s="268"/>
      <c r="ED119" s="268"/>
      <c r="EE119" s="268"/>
      <c r="EF119" s="268"/>
      <c r="EG119" s="268"/>
      <c r="EH119" s="268"/>
      <c r="EI119" s="268"/>
      <c r="EJ119" s="268"/>
      <c r="EK119" s="268"/>
      <c r="EL119" s="268"/>
      <c r="EM119" s="268"/>
      <c r="EN119" s="268"/>
      <c r="EO119" s="268"/>
      <c r="EP119" s="268"/>
      <c r="EQ119" s="268"/>
      <c r="ER119" s="268"/>
      <c r="ES119" s="268"/>
      <c r="ET119" s="268"/>
      <c r="EU119" s="268"/>
      <c r="EV119" s="268"/>
      <c r="EW119" s="268"/>
      <c r="EX119" s="268"/>
      <c r="EY119" s="268"/>
      <c r="EZ119" s="268"/>
      <c r="FA119" s="268"/>
      <c r="FB119" s="268"/>
      <c r="FC119" s="268"/>
      <c r="FD119" s="268"/>
      <c r="FE119" s="268"/>
      <c r="FF119" s="268"/>
      <c r="FG119" s="268"/>
      <c r="FH119" s="268"/>
      <c r="FI119" s="268"/>
      <c r="FJ119" s="268"/>
      <c r="FK119" s="268"/>
      <c r="FL119" s="268"/>
      <c r="FM119" s="268"/>
      <c r="FN119" s="268"/>
      <c r="FO119" s="268"/>
      <c r="FP119" s="268"/>
      <c r="FQ119" s="268"/>
      <c r="FR119" s="268"/>
      <c r="FS119" s="268"/>
      <c r="FT119" s="268"/>
      <c r="FU119" s="268"/>
      <c r="FV119" s="268"/>
      <c r="FW119" s="268"/>
      <c r="FX119" s="268"/>
      <c r="FY119" s="268"/>
      <c r="FZ119" s="268"/>
      <c r="GA119" s="268"/>
      <c r="GB119" s="268"/>
      <c r="GC119" s="268"/>
      <c r="GD119" s="268"/>
      <c r="GE119" s="268"/>
      <c r="GF119" s="268"/>
      <c r="GG119" s="268"/>
      <c r="GH119" s="268"/>
      <c r="GI119" s="268"/>
      <c r="GJ119" s="268"/>
      <c r="GK119" s="268"/>
      <c r="GL119" s="268"/>
      <c r="GM119" s="268"/>
      <c r="GN119" s="268"/>
      <c r="GO119" s="268"/>
    </row>
    <row r="120" spans="2:197" s="275" customFormat="1" ht="39.75" hidden="1" customHeight="1">
      <c r="B120" s="268"/>
      <c r="C120" s="319"/>
      <c r="D120" s="319"/>
      <c r="E120" s="319"/>
      <c r="F120" s="319"/>
      <c r="G120" s="319"/>
      <c r="H120" s="319"/>
      <c r="I120" s="319"/>
      <c r="J120" s="319"/>
      <c r="K120" s="319"/>
      <c r="L120" s="319"/>
      <c r="M120" s="319">
        <f>VLOOKUP(P114+2,AQ40:AS52,3,0)</f>
        <v>56870</v>
      </c>
      <c r="N120" s="319"/>
      <c r="O120" s="268"/>
      <c r="P120" s="268">
        <v>4</v>
      </c>
      <c r="Q120" s="268" t="str">
        <f>IF(P116=2,"","June,19")</f>
        <v>June,19</v>
      </c>
      <c r="R120" s="268">
        <v>30</v>
      </c>
      <c r="S120" s="574"/>
      <c r="T120" s="574"/>
      <c r="U120" s="574"/>
      <c r="V120" s="552"/>
      <c r="W120" s="268"/>
      <c r="X120" s="268"/>
      <c r="Y120" s="268" t="str">
        <f>IF(V100=2,"","15")</f>
        <v/>
      </c>
      <c r="Z120" s="268"/>
      <c r="AA120" s="268"/>
      <c r="AB120" s="268" t="str">
        <f>IF($AD$69=2,"","15")</f>
        <v>15</v>
      </c>
      <c r="AC120" s="268"/>
      <c r="AD120" s="284">
        <v>18</v>
      </c>
      <c r="AE120" s="367">
        <v>21230</v>
      </c>
      <c r="AF120" s="369">
        <v>5895</v>
      </c>
      <c r="AG120" s="303">
        <v>6040</v>
      </c>
      <c r="AH120" s="367">
        <v>21230</v>
      </c>
      <c r="AI120" s="367">
        <v>21820</v>
      </c>
      <c r="AJ120" s="367">
        <v>22460</v>
      </c>
      <c r="AK120" s="606">
        <v>20640</v>
      </c>
      <c r="AL120" s="268"/>
      <c r="AM120" s="268"/>
      <c r="AN120" s="267" t="str">
        <f>IF(AM102=2,"","Nov,16")</f>
        <v>Nov,16</v>
      </c>
      <c r="AO120" s="268">
        <f t="shared" si="25"/>
        <v>52590</v>
      </c>
      <c r="AP120" s="268">
        <f t="shared" si="31"/>
        <v>9645</v>
      </c>
      <c r="AQ120" s="268">
        <f t="shared" si="30"/>
        <v>9645</v>
      </c>
      <c r="AR120" s="268">
        <f t="shared" si="26"/>
        <v>0</v>
      </c>
      <c r="AS120" s="268"/>
      <c r="AT120" s="268">
        <f t="shared" si="27"/>
        <v>965</v>
      </c>
      <c r="AU120" s="268">
        <f t="shared" si="28"/>
        <v>965</v>
      </c>
      <c r="AV120" s="268">
        <f t="shared" si="29"/>
        <v>0</v>
      </c>
      <c r="AW120" s="268"/>
      <c r="AX120" s="268"/>
      <c r="AY120" s="268"/>
      <c r="AZ120" s="268"/>
      <c r="BA120" s="268"/>
      <c r="BB120" s="268"/>
      <c r="BC120" s="268"/>
      <c r="BD120" s="268"/>
      <c r="BE120" s="268"/>
      <c r="BF120" s="268"/>
      <c r="BG120" s="268"/>
      <c r="BH120" s="268"/>
      <c r="BI120" s="268"/>
      <c r="BJ120" s="268"/>
      <c r="BK120" s="268"/>
      <c r="BL120" s="268"/>
      <c r="BM120" s="268"/>
      <c r="BN120" s="268"/>
      <c r="BO120" s="268"/>
      <c r="BP120" s="268"/>
      <c r="BQ120" s="268"/>
      <c r="BR120" s="268"/>
      <c r="BS120" s="268"/>
      <c r="BT120" s="268"/>
      <c r="BU120" s="268"/>
      <c r="BV120" s="268"/>
      <c r="BW120" s="268"/>
      <c r="BX120" s="268"/>
      <c r="BY120" s="268"/>
      <c r="BZ120" s="268"/>
      <c r="CA120" s="268"/>
      <c r="CB120" s="268"/>
      <c r="CC120" s="268"/>
      <c r="CD120" s="268"/>
      <c r="CE120" s="268"/>
      <c r="CF120" s="268"/>
      <c r="CG120" s="268"/>
      <c r="CH120" s="268"/>
      <c r="CI120" s="268"/>
      <c r="CJ120" s="268"/>
      <c r="CK120" s="268"/>
      <c r="CL120" s="268"/>
      <c r="CM120" s="268"/>
      <c r="CN120" s="268"/>
      <c r="CO120" s="268"/>
      <c r="CP120" s="268"/>
      <c r="CQ120" s="268"/>
      <c r="CR120" s="268"/>
      <c r="CS120" s="268"/>
      <c r="CT120" s="268"/>
      <c r="CU120" s="268"/>
      <c r="CV120" s="268"/>
      <c r="CW120" s="268"/>
      <c r="CX120" s="268"/>
      <c r="CY120" s="268"/>
      <c r="CZ120" s="268"/>
      <c r="DA120" s="268"/>
      <c r="DB120" s="268"/>
      <c r="DC120" s="268"/>
      <c r="DD120" s="268"/>
      <c r="DE120" s="268"/>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268"/>
      <c r="EC120" s="268"/>
      <c r="ED120" s="268"/>
      <c r="EE120" s="268"/>
      <c r="EF120" s="268"/>
      <c r="EG120" s="268"/>
      <c r="EH120" s="268"/>
      <c r="EI120" s="268"/>
      <c r="EJ120" s="268"/>
      <c r="EK120" s="268"/>
      <c r="EL120" s="268"/>
      <c r="EM120" s="268"/>
      <c r="EN120" s="268"/>
      <c r="EO120" s="268"/>
      <c r="EP120" s="268"/>
      <c r="EQ120" s="268"/>
      <c r="ER120" s="268"/>
      <c r="ES120" s="268"/>
      <c r="ET120" s="268"/>
      <c r="EU120" s="268"/>
      <c r="EV120" s="268"/>
      <c r="EW120" s="268"/>
      <c r="EX120" s="268"/>
      <c r="EY120" s="268"/>
      <c r="EZ120" s="268"/>
      <c r="FA120" s="268"/>
      <c r="FB120" s="268"/>
      <c r="FC120" s="268"/>
      <c r="FD120" s="268"/>
      <c r="FE120" s="268"/>
      <c r="FF120" s="268"/>
      <c r="FG120" s="268"/>
      <c r="FH120" s="268"/>
      <c r="FI120" s="268"/>
      <c r="FJ120" s="268"/>
      <c r="FK120" s="268"/>
      <c r="FL120" s="268"/>
      <c r="FM120" s="268"/>
      <c r="FN120" s="268"/>
      <c r="FO120" s="268"/>
      <c r="FP120" s="268"/>
      <c r="FQ120" s="268"/>
      <c r="FR120" s="268"/>
      <c r="FS120" s="268"/>
      <c r="FT120" s="268"/>
      <c r="FU120" s="268"/>
      <c r="FV120" s="268"/>
      <c r="FW120" s="268"/>
      <c r="FX120" s="268"/>
      <c r="FY120" s="268"/>
      <c r="FZ120" s="268"/>
      <c r="GA120" s="268"/>
      <c r="GB120" s="268"/>
      <c r="GC120" s="268"/>
      <c r="GD120" s="268"/>
      <c r="GE120" s="268"/>
      <c r="GF120" s="268"/>
      <c r="GG120" s="268"/>
      <c r="GH120" s="268"/>
      <c r="GI120" s="268"/>
      <c r="GJ120" s="268"/>
      <c r="GK120" s="268"/>
      <c r="GL120" s="268"/>
      <c r="GM120" s="268"/>
      <c r="GN120" s="268"/>
      <c r="GO120" s="268"/>
    </row>
    <row r="121" spans="2:197" s="275" customFormat="1" ht="39.75" hidden="1" customHeight="1" thickBot="1">
      <c r="B121" s="268"/>
      <c r="C121" s="319"/>
      <c r="D121" s="319"/>
      <c r="E121" s="319"/>
      <c r="F121" s="319"/>
      <c r="G121" s="319"/>
      <c r="H121" s="319"/>
      <c r="I121" s="319"/>
      <c r="J121" s="319"/>
      <c r="K121" s="319"/>
      <c r="L121" s="319"/>
      <c r="M121" s="319"/>
      <c r="N121" s="319"/>
      <c r="O121" s="268"/>
      <c r="P121" s="268">
        <v>5</v>
      </c>
      <c r="Q121" s="268" t="str">
        <f>IF(P116=2,"","July,19")</f>
        <v>July,19</v>
      </c>
      <c r="R121" s="268">
        <v>31</v>
      </c>
      <c r="S121" s="574"/>
      <c r="T121" s="574"/>
      <c r="U121" s="574">
        <v>2</v>
      </c>
      <c r="V121" s="552" t="str">
        <f>VLOOKUP(U121,U122:V123,2,0)</f>
        <v/>
      </c>
      <c r="W121" s="268"/>
      <c r="X121" s="268"/>
      <c r="Y121" s="268" t="str">
        <f>IF(V100=2,"","16")</f>
        <v/>
      </c>
      <c r="Z121" s="268"/>
      <c r="AA121" s="268"/>
      <c r="AB121" s="268" t="str">
        <f>IF($AD$69=2,"","16")</f>
        <v>16</v>
      </c>
      <c r="AC121" s="268"/>
      <c r="AD121" s="284">
        <v>19</v>
      </c>
      <c r="AE121" s="367">
        <v>21820</v>
      </c>
      <c r="AF121" s="369">
        <v>6040</v>
      </c>
      <c r="AG121" s="304">
        <v>6195</v>
      </c>
      <c r="AH121" s="367">
        <v>21820</v>
      </c>
      <c r="AI121" s="367">
        <v>22460</v>
      </c>
      <c r="AJ121" s="367">
        <v>23100</v>
      </c>
      <c r="AK121" s="606">
        <v>21230</v>
      </c>
      <c r="AL121" s="268"/>
      <c r="AM121" s="268"/>
      <c r="AN121" s="385" t="s">
        <v>569</v>
      </c>
      <c r="AO121" s="268">
        <f t="shared" si="25"/>
        <v>53950</v>
      </c>
      <c r="AP121" s="268">
        <f t="shared" si="31"/>
        <v>9894</v>
      </c>
      <c r="AQ121" s="268">
        <f t="shared" si="30"/>
        <v>9894</v>
      </c>
      <c r="AR121" s="268">
        <f t="shared" si="26"/>
        <v>0</v>
      </c>
      <c r="AS121" s="268"/>
      <c r="AT121" s="268">
        <f t="shared" si="27"/>
        <v>989</v>
      </c>
      <c r="AU121" s="268">
        <f t="shared" si="28"/>
        <v>989</v>
      </c>
      <c r="AV121" s="268">
        <f t="shared" si="29"/>
        <v>0</v>
      </c>
      <c r="AX121" s="268"/>
      <c r="AY121" s="268"/>
      <c r="AZ121" s="268"/>
      <c r="BA121" s="268"/>
      <c r="BB121" s="268"/>
      <c r="BC121" s="268"/>
      <c r="BD121" s="268"/>
      <c r="BE121" s="268"/>
      <c r="BF121" s="268"/>
      <c r="BG121" s="268"/>
      <c r="BH121" s="268"/>
      <c r="BI121" s="268"/>
      <c r="BJ121" s="268"/>
      <c r="BK121" s="268"/>
      <c r="BL121" s="268"/>
      <c r="BM121" s="268"/>
      <c r="BN121" s="268"/>
      <c r="BO121" s="268"/>
      <c r="BP121" s="268"/>
      <c r="BQ121" s="268"/>
      <c r="BR121" s="268"/>
      <c r="BS121" s="268"/>
      <c r="BT121" s="268"/>
      <c r="BU121" s="268"/>
      <c r="BV121" s="268"/>
      <c r="BW121" s="268"/>
      <c r="BX121" s="268"/>
      <c r="BY121" s="268"/>
      <c r="BZ121" s="268"/>
      <c r="CA121" s="268"/>
      <c r="CB121" s="268"/>
      <c r="CC121" s="268"/>
      <c r="CD121" s="268"/>
      <c r="CE121" s="268"/>
      <c r="CF121" s="268"/>
      <c r="CG121" s="268"/>
      <c r="CH121" s="268"/>
      <c r="CI121" s="268"/>
      <c r="CJ121" s="268"/>
      <c r="CK121" s="268"/>
      <c r="CL121" s="268"/>
      <c r="CM121" s="268"/>
      <c r="CN121" s="268"/>
      <c r="CO121" s="268"/>
      <c r="CP121" s="268"/>
      <c r="CQ121" s="268"/>
      <c r="CR121" s="268"/>
      <c r="CS121" s="268"/>
      <c r="CT121" s="268"/>
      <c r="CU121" s="268"/>
      <c r="CV121" s="268"/>
      <c r="CW121" s="268"/>
      <c r="CX121" s="268"/>
      <c r="CY121" s="268"/>
      <c r="CZ121" s="268"/>
      <c r="DA121" s="268"/>
      <c r="DB121" s="268"/>
      <c r="DC121" s="268"/>
      <c r="DD121" s="268"/>
      <c r="DE121" s="268"/>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68"/>
      <c r="EB121" s="268"/>
      <c r="EC121" s="268"/>
      <c r="ED121" s="268"/>
      <c r="EE121" s="268"/>
      <c r="EF121" s="268"/>
      <c r="EG121" s="268"/>
      <c r="EH121" s="268"/>
      <c r="EI121" s="268"/>
      <c r="EJ121" s="268"/>
      <c r="EK121" s="268"/>
      <c r="EL121" s="268"/>
      <c r="EM121" s="268"/>
      <c r="EN121" s="268"/>
      <c r="EO121" s="268"/>
      <c r="EP121" s="268"/>
      <c r="EQ121" s="268"/>
      <c r="ER121" s="268"/>
      <c r="ES121" s="268"/>
      <c r="ET121" s="268"/>
      <c r="EU121" s="268"/>
      <c r="EV121" s="268"/>
      <c r="EW121" s="268"/>
      <c r="EX121" s="268"/>
      <c r="EY121" s="268"/>
      <c r="EZ121" s="268"/>
      <c r="FA121" s="268"/>
      <c r="FB121" s="268"/>
      <c r="FC121" s="268"/>
      <c r="FD121" s="268"/>
      <c r="FE121" s="268"/>
      <c r="FF121" s="268"/>
      <c r="FG121" s="268"/>
      <c r="FH121" s="268"/>
      <c r="FI121" s="268"/>
      <c r="FJ121" s="268"/>
      <c r="FK121" s="268"/>
      <c r="FL121" s="268"/>
      <c r="FM121" s="268"/>
      <c r="FN121" s="268"/>
      <c r="FO121" s="268"/>
      <c r="FP121" s="268"/>
      <c r="FQ121" s="268"/>
      <c r="FR121" s="268"/>
      <c r="FS121" s="268"/>
      <c r="FT121" s="268"/>
      <c r="FU121" s="268"/>
      <c r="FV121" s="268"/>
      <c r="FW121" s="268"/>
      <c r="FX121" s="268"/>
      <c r="FY121" s="268"/>
      <c r="FZ121" s="268"/>
      <c r="GA121" s="268"/>
      <c r="GB121" s="268"/>
      <c r="GC121" s="268"/>
      <c r="GD121" s="268"/>
      <c r="GE121" s="268"/>
      <c r="GF121" s="268"/>
      <c r="GG121" s="268"/>
      <c r="GH121" s="268"/>
      <c r="GI121" s="268"/>
      <c r="GJ121" s="268"/>
      <c r="GK121" s="268"/>
      <c r="GL121" s="268"/>
      <c r="GM121" s="268"/>
      <c r="GN121" s="268"/>
      <c r="GO121" s="268"/>
    </row>
    <row r="122" spans="2:197" s="275" customFormat="1" ht="39.75" hidden="1" customHeight="1" thickBot="1">
      <c r="B122" s="268"/>
      <c r="C122" s="319"/>
      <c r="D122" s="319"/>
      <c r="E122" s="319"/>
      <c r="F122" s="319"/>
      <c r="G122" s="319"/>
      <c r="H122" s="319"/>
      <c r="I122" s="319"/>
      <c r="J122" s="319"/>
      <c r="K122" s="319"/>
      <c r="L122" s="319"/>
      <c r="M122" s="319">
        <f>VLOOKUP(P114+1,AQ40:AT52,4,0)</f>
        <v>33.536000000000001</v>
      </c>
      <c r="N122" s="319"/>
      <c r="O122" s="268"/>
      <c r="P122" s="268">
        <v>6</v>
      </c>
      <c r="Q122" s="268" t="str">
        <f>IF(P116=2,"","Aug,19")</f>
        <v>Aug,19</v>
      </c>
      <c r="R122" s="268">
        <v>31</v>
      </c>
      <c r="S122" s="574"/>
      <c r="T122" s="574"/>
      <c r="U122" s="574">
        <v>1</v>
      </c>
      <c r="V122" s="552" t="str">
        <f>IF(V100=1,"Promotion Date","")</f>
        <v/>
      </c>
      <c r="W122" s="268"/>
      <c r="X122" s="268"/>
      <c r="Y122" s="268" t="str">
        <f>IF(V100=2,"","17")</f>
        <v/>
      </c>
      <c r="Z122" s="268"/>
      <c r="AA122" s="268"/>
      <c r="AB122" s="268" t="str">
        <f>IF($AD$69=2,"","17")</f>
        <v>17</v>
      </c>
      <c r="AC122" s="268"/>
      <c r="AD122" s="284">
        <v>20</v>
      </c>
      <c r="AE122" s="367">
        <v>22460</v>
      </c>
      <c r="AF122" s="370">
        <v>6195</v>
      </c>
      <c r="AG122" s="305">
        <v>6350</v>
      </c>
      <c r="AH122" s="367">
        <v>22460</v>
      </c>
      <c r="AI122" s="367">
        <v>23100</v>
      </c>
      <c r="AJ122" s="367">
        <v>23740</v>
      </c>
      <c r="AK122" s="606">
        <v>21820</v>
      </c>
      <c r="AL122" s="268"/>
      <c r="AM122" s="268"/>
      <c r="AN122" s="385" t="s">
        <v>570</v>
      </c>
      <c r="AO122" s="268">
        <f t="shared" si="25"/>
        <v>53950</v>
      </c>
      <c r="AP122" s="268">
        <f t="shared" si="31"/>
        <v>9894</v>
      </c>
      <c r="AQ122" s="268">
        <f t="shared" si="30"/>
        <v>9894</v>
      </c>
      <c r="AR122" s="268">
        <f t="shared" si="26"/>
        <v>0</v>
      </c>
      <c r="AS122" s="268"/>
      <c r="AT122" s="268">
        <f t="shared" si="27"/>
        <v>989</v>
      </c>
      <c r="AU122" s="268">
        <f t="shared" si="28"/>
        <v>989</v>
      </c>
      <c r="AV122" s="268">
        <f t="shared" si="29"/>
        <v>0</v>
      </c>
      <c r="AX122" s="268"/>
      <c r="AY122" s="268"/>
      <c r="AZ122" s="268"/>
      <c r="BA122" s="268"/>
      <c r="BB122" s="268"/>
      <c r="BC122" s="268"/>
      <c r="BD122" s="268"/>
      <c r="BE122" s="268"/>
      <c r="BF122" s="268"/>
      <c r="BG122" s="268"/>
      <c r="BH122" s="268"/>
      <c r="BI122" s="268"/>
      <c r="BJ122" s="268"/>
      <c r="BK122" s="268"/>
      <c r="BL122" s="268"/>
      <c r="BM122" s="268"/>
      <c r="BN122" s="268"/>
      <c r="BO122" s="268"/>
      <c r="BP122" s="268"/>
      <c r="BQ122" s="268"/>
      <c r="BR122" s="268"/>
      <c r="BS122" s="268"/>
      <c r="BT122" s="268"/>
      <c r="BU122" s="268"/>
      <c r="BV122" s="268"/>
      <c r="BW122" s="268"/>
      <c r="BX122" s="268"/>
      <c r="BY122" s="268"/>
      <c r="BZ122" s="268"/>
      <c r="CA122" s="268"/>
      <c r="CB122" s="268"/>
      <c r="CC122" s="268"/>
      <c r="CD122" s="268"/>
      <c r="CE122" s="268"/>
      <c r="CF122" s="268"/>
      <c r="CG122" s="268"/>
      <c r="CH122" s="268"/>
      <c r="CI122" s="268"/>
      <c r="CJ122" s="268"/>
      <c r="CK122" s="268"/>
      <c r="CL122" s="268"/>
      <c r="CM122" s="268"/>
      <c r="CN122" s="268"/>
      <c r="CO122" s="268"/>
      <c r="CP122" s="268"/>
      <c r="CQ122" s="268"/>
      <c r="CR122" s="268"/>
      <c r="CS122" s="268"/>
      <c r="CT122" s="268"/>
      <c r="CU122" s="268"/>
      <c r="CV122" s="268"/>
      <c r="CW122" s="268"/>
      <c r="CX122" s="268"/>
      <c r="CY122" s="268"/>
      <c r="CZ122" s="268"/>
      <c r="DA122" s="268"/>
      <c r="DB122" s="268"/>
      <c r="DC122" s="268"/>
      <c r="DD122" s="268"/>
      <c r="DE122" s="268"/>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68"/>
      <c r="EC122" s="268"/>
      <c r="ED122" s="268"/>
      <c r="EE122" s="268"/>
      <c r="EF122" s="268"/>
      <c r="EG122" s="268"/>
      <c r="EH122" s="268"/>
      <c r="EI122" s="268"/>
      <c r="EJ122" s="268"/>
      <c r="EK122" s="268"/>
      <c r="EL122" s="268"/>
      <c r="EM122" s="268"/>
      <c r="EN122" s="268"/>
      <c r="EO122" s="268"/>
      <c r="EP122" s="268"/>
      <c r="EQ122" s="268"/>
      <c r="ER122" s="268"/>
      <c r="ES122" s="268"/>
      <c r="ET122" s="268"/>
      <c r="EU122" s="268"/>
      <c r="EV122" s="268"/>
      <c r="EW122" s="268"/>
      <c r="EX122" s="268"/>
      <c r="EY122" s="268"/>
      <c r="EZ122" s="268"/>
      <c r="FA122" s="268"/>
      <c r="FB122" s="268"/>
      <c r="FC122" s="268"/>
      <c r="FD122" s="268"/>
      <c r="FE122" s="268"/>
      <c r="FF122" s="268"/>
      <c r="FG122" s="268"/>
      <c r="FH122" s="268"/>
      <c r="FI122" s="268"/>
      <c r="FJ122" s="268"/>
      <c r="FK122" s="268"/>
      <c r="FL122" s="268"/>
      <c r="FM122" s="268"/>
      <c r="FN122" s="268"/>
      <c r="FO122" s="268"/>
      <c r="FP122" s="268"/>
      <c r="FQ122" s="268"/>
      <c r="FR122" s="268"/>
      <c r="FS122" s="268"/>
      <c r="FT122" s="268"/>
      <c r="FU122" s="268"/>
      <c r="FV122" s="268"/>
      <c r="FW122" s="268"/>
      <c r="FX122" s="268"/>
      <c r="FY122" s="268"/>
      <c r="FZ122" s="268"/>
      <c r="GA122" s="268"/>
      <c r="GB122" s="268"/>
      <c r="GC122" s="268"/>
      <c r="GD122" s="268"/>
      <c r="GE122" s="268"/>
      <c r="GF122" s="268"/>
      <c r="GG122" s="268"/>
      <c r="GH122" s="268"/>
      <c r="GI122" s="268"/>
      <c r="GJ122" s="268"/>
      <c r="GK122" s="268"/>
      <c r="GL122" s="268"/>
      <c r="GM122" s="268"/>
      <c r="GN122" s="268"/>
      <c r="GO122" s="268"/>
    </row>
    <row r="123" spans="2:197" s="275" customFormat="1" ht="39.75" hidden="1" customHeight="1">
      <c r="B123" s="268"/>
      <c r="C123" s="319"/>
      <c r="D123" s="319"/>
      <c r="E123" s="319"/>
      <c r="F123" s="319"/>
      <c r="G123" s="319"/>
      <c r="H123" s="319"/>
      <c r="I123" s="319"/>
      <c r="J123" s="319"/>
      <c r="K123" s="319"/>
      <c r="L123" s="319"/>
      <c r="M123" s="319">
        <f>VLOOKUP(P114+1,O50:R61,3,)</f>
        <v>12</v>
      </c>
      <c r="N123" s="319"/>
      <c r="O123" s="268"/>
      <c r="P123" s="268">
        <v>7</v>
      </c>
      <c r="Q123" s="268" t="str">
        <f>IF(P116=2,"","Sept,19")</f>
        <v>Sept,19</v>
      </c>
      <c r="R123" s="268">
        <v>30</v>
      </c>
      <c r="S123" s="574"/>
      <c r="T123" s="574"/>
      <c r="U123" s="574">
        <v>2</v>
      </c>
      <c r="V123" s="552" t="str">
        <f>IF(V100=1,"Increment Date","")</f>
        <v/>
      </c>
      <c r="W123" s="268"/>
      <c r="X123" s="268"/>
      <c r="Y123" s="268" t="str">
        <f>IF(V100=2,"","18")</f>
        <v/>
      </c>
      <c r="Z123" s="268"/>
      <c r="AA123" s="268"/>
      <c r="AB123" s="268" t="str">
        <f>IF($AD$69=2,"","18")</f>
        <v>18</v>
      </c>
      <c r="AC123" s="268"/>
      <c r="AD123" s="284">
        <v>21</v>
      </c>
      <c r="AE123" s="367">
        <v>23100</v>
      </c>
      <c r="AF123" s="371">
        <v>6350</v>
      </c>
      <c r="AG123" s="303">
        <v>6505</v>
      </c>
      <c r="AH123" s="367">
        <v>23100</v>
      </c>
      <c r="AI123" s="367">
        <v>23740</v>
      </c>
      <c r="AJ123" s="367">
        <v>24440</v>
      </c>
      <c r="AK123" s="606">
        <v>22460</v>
      </c>
      <c r="AL123" s="268"/>
      <c r="AM123" s="268"/>
      <c r="AN123" s="385" t="s">
        <v>571</v>
      </c>
      <c r="AO123" s="268">
        <f t="shared" si="25"/>
        <v>53950</v>
      </c>
      <c r="AP123" s="268"/>
      <c r="AQ123" s="268"/>
      <c r="AR123" s="268"/>
      <c r="AS123" s="268"/>
      <c r="AT123" s="268"/>
      <c r="AU123" s="268"/>
      <c r="AV123" s="268"/>
      <c r="AX123" s="268"/>
      <c r="AY123" s="268"/>
      <c r="AZ123" s="268"/>
      <c r="BA123" s="268"/>
      <c r="BB123" s="268"/>
      <c r="BC123" s="268"/>
      <c r="BD123" s="268"/>
      <c r="BE123" s="268"/>
      <c r="BF123" s="268"/>
      <c r="BG123" s="268"/>
      <c r="BH123" s="268"/>
      <c r="BI123" s="268"/>
      <c r="BJ123" s="268"/>
      <c r="BK123" s="268"/>
      <c r="BL123" s="268"/>
      <c r="BM123" s="268"/>
      <c r="BN123" s="268"/>
      <c r="BO123" s="268"/>
      <c r="BP123" s="268"/>
      <c r="BQ123" s="268"/>
      <c r="BR123" s="268"/>
      <c r="BS123" s="268"/>
      <c r="BT123" s="268"/>
      <c r="BU123" s="268"/>
      <c r="BV123" s="268"/>
      <c r="BW123" s="268"/>
      <c r="BX123" s="268"/>
      <c r="BY123" s="268"/>
      <c r="BZ123" s="268"/>
      <c r="CA123" s="268"/>
      <c r="CB123" s="268"/>
      <c r="CC123" s="268"/>
      <c r="CD123" s="268"/>
      <c r="CE123" s="268"/>
      <c r="CF123" s="268"/>
      <c r="CG123" s="268"/>
      <c r="CH123" s="268"/>
      <c r="CI123" s="268"/>
      <c r="CJ123" s="268"/>
      <c r="CK123" s="268"/>
      <c r="CL123" s="268"/>
      <c r="CM123" s="268"/>
      <c r="CN123" s="268"/>
      <c r="CO123" s="268"/>
      <c r="CP123" s="268"/>
      <c r="CQ123" s="268"/>
      <c r="CR123" s="268"/>
      <c r="CS123" s="268"/>
      <c r="CT123" s="268"/>
      <c r="CU123" s="268"/>
      <c r="CV123" s="268"/>
      <c r="CW123" s="268"/>
      <c r="CX123" s="268"/>
      <c r="CY123" s="268"/>
      <c r="CZ123" s="268"/>
      <c r="DA123" s="268"/>
      <c r="DB123" s="268"/>
      <c r="DC123" s="268"/>
      <c r="DD123" s="268"/>
      <c r="DE123" s="268"/>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68"/>
      <c r="EB123" s="268"/>
      <c r="EC123" s="268"/>
      <c r="ED123" s="268"/>
      <c r="EE123" s="268"/>
      <c r="EF123" s="268"/>
      <c r="EG123" s="268"/>
      <c r="EH123" s="268"/>
      <c r="EI123" s="268"/>
      <c r="EJ123" s="268"/>
      <c r="EK123" s="268"/>
      <c r="EL123" s="268"/>
      <c r="EM123" s="268"/>
      <c r="EN123" s="268"/>
      <c r="EO123" s="268"/>
      <c r="EP123" s="268"/>
      <c r="EQ123" s="268"/>
      <c r="ER123" s="268"/>
      <c r="ES123" s="268"/>
      <c r="ET123" s="268"/>
      <c r="EU123" s="268"/>
      <c r="EV123" s="268"/>
      <c r="EW123" s="268"/>
      <c r="EX123" s="268"/>
      <c r="EY123" s="268"/>
      <c r="EZ123" s="268"/>
      <c r="FA123" s="268"/>
      <c r="FB123" s="268"/>
      <c r="FC123" s="268"/>
      <c r="FD123" s="268"/>
      <c r="FE123" s="268"/>
      <c r="FF123" s="268"/>
      <c r="FG123" s="268"/>
      <c r="FH123" s="268"/>
      <c r="FI123" s="268"/>
      <c r="FJ123" s="268"/>
      <c r="FK123" s="268"/>
      <c r="FL123" s="268"/>
      <c r="FM123" s="268"/>
      <c r="FN123" s="268"/>
      <c r="FO123" s="268"/>
      <c r="FP123" s="268"/>
      <c r="FQ123" s="268"/>
      <c r="FR123" s="268"/>
      <c r="FS123" s="268"/>
      <c r="FT123" s="268"/>
      <c r="FU123" s="268"/>
      <c r="FV123" s="268"/>
      <c r="FW123" s="268"/>
      <c r="FX123" s="268"/>
      <c r="FY123" s="268"/>
      <c r="FZ123" s="268"/>
      <c r="GA123" s="268"/>
      <c r="GB123" s="268"/>
      <c r="GC123" s="268"/>
      <c r="GD123" s="268"/>
      <c r="GE123" s="268"/>
      <c r="GF123" s="268"/>
      <c r="GG123" s="268"/>
      <c r="GH123" s="268"/>
      <c r="GI123" s="268"/>
      <c r="GJ123" s="268"/>
      <c r="GK123" s="268"/>
      <c r="GL123" s="268"/>
      <c r="GM123" s="268"/>
      <c r="GN123" s="268"/>
      <c r="GO123" s="268"/>
    </row>
    <row r="124" spans="2:197" s="275" customFormat="1" ht="39.75" hidden="1" customHeight="1">
      <c r="B124" s="268"/>
      <c r="C124" s="338"/>
      <c r="D124" s="338" t="str">
        <f>IF(AD69=2,CONCATENATE("No AAS Arrears"),CONCATENATE("AAS  Arrears                                           ",M117))</f>
        <v>AAS  Arrears                                           19-31/12/2019</v>
      </c>
      <c r="E124" s="338"/>
      <c r="F124" s="338"/>
      <c r="G124" s="338"/>
      <c r="H124" s="338"/>
      <c r="I124" s="338"/>
      <c r="J124" s="338"/>
      <c r="K124" s="338"/>
      <c r="L124" s="338"/>
      <c r="M124" s="338"/>
      <c r="N124" s="338"/>
      <c r="O124" s="299"/>
      <c r="P124" s="299">
        <v>8</v>
      </c>
      <c r="Q124" s="299" t="str">
        <f>IF(P116=2,"","Oct,19")</f>
        <v>Oct,19</v>
      </c>
      <c r="R124" s="299">
        <v>31</v>
      </c>
      <c r="S124" s="574"/>
      <c r="T124" s="574"/>
      <c r="U124" s="574"/>
      <c r="V124" s="552"/>
      <c r="W124" s="268"/>
      <c r="X124" s="268"/>
      <c r="Y124" s="268" t="str">
        <f>IF(V100=2,"","19")</f>
        <v/>
      </c>
      <c r="Z124" s="268"/>
      <c r="AA124" s="268"/>
      <c r="AB124" s="268" t="str">
        <f>IF($AD$69=2,"","19")</f>
        <v>19</v>
      </c>
      <c r="AC124" s="268"/>
      <c r="AD124" s="284">
        <v>22</v>
      </c>
      <c r="AE124" s="367">
        <v>23740</v>
      </c>
      <c r="AF124" s="369">
        <v>6505</v>
      </c>
      <c r="AG124" s="303">
        <v>6675</v>
      </c>
      <c r="AH124" s="367">
        <v>23740</v>
      </c>
      <c r="AI124" s="367">
        <v>24440</v>
      </c>
      <c r="AJ124" s="367">
        <v>25140</v>
      </c>
      <c r="AK124" s="606">
        <v>23100</v>
      </c>
      <c r="AL124" s="268"/>
      <c r="AM124" s="268"/>
      <c r="AN124" s="385" t="s">
        <v>655</v>
      </c>
      <c r="AO124" s="268">
        <f>'Annexure -I'!D4</f>
        <v>53950</v>
      </c>
      <c r="AP124" s="268"/>
      <c r="AQ124" s="268"/>
      <c r="AR124" s="268"/>
      <c r="AS124" s="268"/>
      <c r="AT124" s="268"/>
      <c r="AU124" s="268"/>
      <c r="AV124" s="268"/>
      <c r="AX124" s="268"/>
      <c r="AY124" s="268"/>
      <c r="AZ124" s="268"/>
      <c r="BA124" s="268"/>
      <c r="BB124" s="268"/>
      <c r="BC124" s="268"/>
      <c r="BD124" s="268"/>
      <c r="BE124" s="268"/>
      <c r="BF124" s="268"/>
      <c r="BG124" s="268"/>
      <c r="BH124" s="268"/>
      <c r="BI124" s="268"/>
      <c r="BJ124" s="268"/>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68"/>
      <c r="CG124" s="268"/>
      <c r="CH124" s="268"/>
      <c r="CI124" s="268"/>
      <c r="CJ124" s="268"/>
      <c r="CK124" s="268"/>
      <c r="CL124" s="268"/>
      <c r="CM124" s="268"/>
      <c r="CN124" s="268"/>
      <c r="CO124" s="268"/>
      <c r="CP124" s="268"/>
      <c r="CQ124" s="268"/>
      <c r="CR124" s="268"/>
      <c r="CS124" s="268"/>
      <c r="CT124" s="268"/>
      <c r="CU124" s="268"/>
      <c r="CV124" s="268"/>
      <c r="CW124" s="268"/>
      <c r="CX124" s="268"/>
      <c r="CY124" s="268"/>
      <c r="CZ124" s="268"/>
      <c r="DA124" s="268"/>
      <c r="DB124" s="268"/>
      <c r="DC124" s="268"/>
      <c r="DD124" s="268"/>
      <c r="DE124" s="268"/>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268"/>
      <c r="EC124" s="268"/>
      <c r="ED124" s="268"/>
      <c r="EE124" s="268"/>
      <c r="EF124" s="268"/>
      <c r="EG124" s="268"/>
      <c r="EH124" s="268"/>
      <c r="EI124" s="268"/>
      <c r="EJ124" s="268"/>
      <c r="EK124" s="268"/>
      <c r="EL124" s="268"/>
      <c r="EM124" s="268"/>
      <c r="EN124" s="268"/>
      <c r="EO124" s="268"/>
      <c r="EP124" s="268"/>
      <c r="EQ124" s="268"/>
      <c r="ER124" s="268"/>
      <c r="ES124" s="268"/>
      <c r="ET124" s="268"/>
      <c r="EU124" s="268"/>
      <c r="EV124" s="268"/>
      <c r="EW124" s="268"/>
      <c r="EX124" s="268"/>
      <c r="EY124" s="268"/>
      <c r="EZ124" s="268"/>
      <c r="FA124" s="268"/>
      <c r="FB124" s="268"/>
      <c r="FC124" s="268"/>
      <c r="FD124" s="268"/>
      <c r="FE124" s="268"/>
      <c r="FF124" s="268"/>
      <c r="FG124" s="268"/>
      <c r="FH124" s="268"/>
      <c r="FI124" s="268"/>
      <c r="FJ124" s="268"/>
      <c r="FK124" s="268"/>
      <c r="FL124" s="268"/>
      <c r="FM124" s="268"/>
      <c r="FN124" s="268"/>
      <c r="FO124" s="268"/>
      <c r="FP124" s="268"/>
      <c r="FQ124" s="268"/>
      <c r="FR124" s="268"/>
      <c r="FS124" s="268"/>
      <c r="FT124" s="268"/>
      <c r="FU124" s="268"/>
      <c r="FV124" s="268"/>
      <c r="FW124" s="268"/>
      <c r="FX124" s="268"/>
      <c r="FY124" s="268"/>
      <c r="FZ124" s="268"/>
      <c r="GA124" s="268"/>
      <c r="GB124" s="268"/>
      <c r="GC124" s="268"/>
      <c r="GD124" s="268"/>
      <c r="GE124" s="268"/>
      <c r="GF124" s="268"/>
      <c r="GG124" s="268"/>
      <c r="GH124" s="268"/>
      <c r="GI124" s="268"/>
      <c r="GJ124" s="268"/>
      <c r="GK124" s="268"/>
      <c r="GL124" s="268"/>
      <c r="GM124" s="268"/>
      <c r="GN124" s="268"/>
      <c r="GO124" s="268"/>
    </row>
    <row r="125" spans="2:197" s="275" customFormat="1" ht="39.75" hidden="1" customHeight="1" thickBot="1">
      <c r="B125" s="268"/>
      <c r="C125" s="338"/>
      <c r="D125" s="442">
        <f>ROUND(M119*(O115-O114+1)/O115,0.1)</f>
        <v>23236</v>
      </c>
      <c r="E125" s="442">
        <f>ROUND(D125*M122%,0.1)</f>
        <v>7792</v>
      </c>
      <c r="F125" s="442">
        <f>ROUND(D125*M123%,0.1)</f>
        <v>2788</v>
      </c>
      <c r="G125" s="442"/>
      <c r="H125" s="442"/>
      <c r="I125" s="442"/>
      <c r="J125" s="442"/>
      <c r="K125" s="442"/>
      <c r="L125" s="442">
        <f>M119</f>
        <v>55410</v>
      </c>
      <c r="M125" s="442"/>
      <c r="N125" s="442"/>
      <c r="O125" s="299"/>
      <c r="P125" s="299">
        <v>9</v>
      </c>
      <c r="Q125" s="299" t="str">
        <f>IF(P116=2,"","Nov,19")</f>
        <v>Nov,19</v>
      </c>
      <c r="R125" s="299">
        <v>30</v>
      </c>
      <c r="S125" s="574"/>
      <c r="T125" s="574"/>
      <c r="U125" s="574"/>
      <c r="V125" s="552" t="s">
        <v>4</v>
      </c>
      <c r="W125" s="268"/>
      <c r="X125" s="268"/>
      <c r="Y125" s="268" t="str">
        <f>IF(V100=2,"","20")</f>
        <v/>
      </c>
      <c r="Z125" s="268"/>
      <c r="AA125" s="268"/>
      <c r="AB125" s="268" t="str">
        <f>IF($AD$69=2,"","20")</f>
        <v>20</v>
      </c>
      <c r="AC125" s="268"/>
      <c r="AD125" s="284">
        <v>23</v>
      </c>
      <c r="AE125" s="367">
        <v>24440</v>
      </c>
      <c r="AF125" s="369">
        <v>6675</v>
      </c>
      <c r="AG125" s="303">
        <v>6845</v>
      </c>
      <c r="AH125" s="367">
        <v>24440</v>
      </c>
      <c r="AI125" s="367">
        <v>25140</v>
      </c>
      <c r="AJ125" s="367">
        <v>25840</v>
      </c>
      <c r="AK125" s="606">
        <v>23740</v>
      </c>
      <c r="AL125" s="268"/>
      <c r="AM125" s="268"/>
      <c r="AN125" s="267" t="s">
        <v>172</v>
      </c>
      <c r="AO125" s="376">
        <f>IF(AND(BM70&gt;=10,BM70&lt;16),BP98,0)</f>
        <v>0</v>
      </c>
      <c r="AP125" s="268">
        <f t="shared" si="31"/>
        <v>0</v>
      </c>
      <c r="AQ125" s="268">
        <f t="shared" si="30"/>
        <v>0</v>
      </c>
      <c r="AR125" s="268">
        <f t="shared" si="26"/>
        <v>0</v>
      </c>
      <c r="AS125" s="268">
        <f>SUM(AR116:AR127)</f>
        <v>0</v>
      </c>
      <c r="AT125" s="268">
        <f t="shared" si="27"/>
        <v>0</v>
      </c>
      <c r="AU125" s="268">
        <f t="shared" si="28"/>
        <v>0</v>
      </c>
      <c r="AV125" s="268">
        <v>0</v>
      </c>
      <c r="AW125" s="268">
        <f>SUM(AV116:AV127)</f>
        <v>0</v>
      </c>
      <c r="AX125" s="268"/>
      <c r="AY125" s="268"/>
      <c r="AZ125" s="268"/>
      <c r="BA125" s="268"/>
      <c r="BB125" s="268"/>
      <c r="BC125" s="268"/>
      <c r="BD125" s="268"/>
      <c r="BE125" s="268"/>
      <c r="BF125" s="268"/>
      <c r="BG125" s="268"/>
      <c r="BH125" s="268"/>
      <c r="BI125" s="268"/>
      <c r="BJ125" s="268"/>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68"/>
      <c r="CG125" s="268"/>
      <c r="CH125" s="268"/>
      <c r="CI125" s="268"/>
      <c r="CJ125" s="268"/>
      <c r="CK125" s="268"/>
      <c r="CL125" s="268"/>
      <c r="CM125" s="268"/>
      <c r="CN125" s="268"/>
      <c r="CO125" s="268"/>
      <c r="CP125" s="268"/>
      <c r="CQ125" s="268"/>
      <c r="CR125" s="268"/>
      <c r="CS125" s="268"/>
      <c r="CT125" s="268"/>
      <c r="CU125" s="268"/>
      <c r="CV125" s="268"/>
      <c r="CW125" s="268"/>
      <c r="CX125" s="268"/>
      <c r="CY125" s="268"/>
      <c r="CZ125" s="268"/>
      <c r="DA125" s="268"/>
      <c r="DB125" s="268"/>
      <c r="DC125" s="268"/>
      <c r="DD125" s="268"/>
      <c r="DE125" s="268"/>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68"/>
      <c r="EB125" s="268"/>
      <c r="EC125" s="268"/>
      <c r="ED125" s="268"/>
      <c r="EE125" s="268"/>
      <c r="EF125" s="268"/>
      <c r="EG125" s="268"/>
      <c r="EH125" s="268"/>
      <c r="EI125" s="268"/>
      <c r="EJ125" s="268"/>
      <c r="EK125" s="268"/>
      <c r="EL125" s="268"/>
      <c r="EM125" s="268"/>
      <c r="EN125" s="268"/>
      <c r="EO125" s="268"/>
      <c r="EP125" s="268"/>
      <c r="EQ125" s="268"/>
      <c r="ER125" s="268"/>
      <c r="ES125" s="268"/>
      <c r="ET125" s="268"/>
      <c r="EU125" s="268"/>
      <c r="EV125" s="268"/>
      <c r="EW125" s="268"/>
      <c r="EX125" s="268"/>
      <c r="EY125" s="268"/>
      <c r="EZ125" s="268"/>
      <c r="FA125" s="268"/>
      <c r="FB125" s="268"/>
      <c r="FC125" s="268"/>
      <c r="FD125" s="268"/>
      <c r="FE125" s="268"/>
      <c r="FF125" s="268"/>
      <c r="FG125" s="268"/>
      <c r="FH125" s="268"/>
      <c r="FI125" s="268"/>
      <c r="FJ125" s="268"/>
      <c r="FK125" s="268"/>
      <c r="FL125" s="268"/>
      <c r="FM125" s="268"/>
      <c r="FN125" s="268"/>
      <c r="FO125" s="268"/>
      <c r="FP125" s="268"/>
      <c r="FQ125" s="268"/>
      <c r="FR125" s="268"/>
      <c r="FS125" s="268"/>
      <c r="FT125" s="268"/>
      <c r="FU125" s="268"/>
      <c r="FV125" s="268"/>
      <c r="FW125" s="268"/>
      <c r="FX125" s="268"/>
      <c r="FY125" s="268"/>
      <c r="FZ125" s="268"/>
      <c r="GA125" s="268"/>
      <c r="GB125" s="268"/>
      <c r="GC125" s="268"/>
      <c r="GD125" s="268"/>
      <c r="GE125" s="268"/>
      <c r="GF125" s="268"/>
      <c r="GG125" s="268"/>
      <c r="GH125" s="268"/>
      <c r="GI125" s="268"/>
      <c r="GJ125" s="268"/>
      <c r="GK125" s="268"/>
      <c r="GL125" s="268"/>
      <c r="GM125" s="268"/>
      <c r="GN125" s="268"/>
      <c r="GO125" s="268"/>
    </row>
    <row r="126" spans="2:197" s="342" customFormat="1" ht="39.75" hidden="1" customHeight="1" thickBot="1">
      <c r="B126" s="299"/>
      <c r="C126" s="338"/>
      <c r="D126" s="442">
        <f>ROUND(M120*(O115-O114+1)/O115,0.1)</f>
        <v>23849</v>
      </c>
      <c r="E126" s="442">
        <f>ROUND(D126*M122%,0.1)</f>
        <v>7998</v>
      </c>
      <c r="F126" s="442">
        <f>ROUND(D126*M123%,0.1)</f>
        <v>2862</v>
      </c>
      <c r="G126" s="442">
        <f>D126-D125</f>
        <v>613</v>
      </c>
      <c r="H126" s="442">
        <f>E126-E125</f>
        <v>206</v>
      </c>
      <c r="I126" s="442">
        <f>F126-F125</f>
        <v>74</v>
      </c>
      <c r="J126" s="442">
        <f>IF(P114&gt;10,ROUND(G126*27%,0.1),0)</f>
        <v>0</v>
      </c>
      <c r="K126" s="442"/>
      <c r="L126" s="442">
        <f>M120</f>
        <v>56870</v>
      </c>
      <c r="M126" s="442"/>
      <c r="N126" s="442"/>
      <c r="O126" s="299"/>
      <c r="P126" s="299">
        <v>10</v>
      </c>
      <c r="Q126" s="299" t="str">
        <f>IF(P116=2,"","Dec,19")</f>
        <v>Dec,19</v>
      </c>
      <c r="R126" s="299">
        <v>31</v>
      </c>
      <c r="S126" s="599"/>
      <c r="T126" s="599"/>
      <c r="U126" s="602">
        <v>2</v>
      </c>
      <c r="V126" s="562">
        <f>VLOOKUP(U126,U127:V131,2,0)</f>
        <v>12</v>
      </c>
      <c r="W126" s="339"/>
      <c r="X126" s="299"/>
      <c r="Y126" s="299" t="str">
        <f>IF(V100=2,"","21")</f>
        <v/>
      </c>
      <c r="Z126" s="299"/>
      <c r="AA126" s="299"/>
      <c r="AB126" s="299" t="str">
        <f>IF($AD$69=2,"","21")</f>
        <v>21</v>
      </c>
      <c r="AC126" s="299"/>
      <c r="AD126" s="340">
        <v>24</v>
      </c>
      <c r="AE126" s="367">
        <v>25140</v>
      </c>
      <c r="AF126" s="372">
        <v>6845</v>
      </c>
      <c r="AG126" s="341">
        <v>7015</v>
      </c>
      <c r="AH126" s="367">
        <v>25140</v>
      </c>
      <c r="AI126" s="367">
        <v>25840</v>
      </c>
      <c r="AJ126" s="367">
        <v>26600</v>
      </c>
      <c r="AK126" s="606">
        <v>24440</v>
      </c>
      <c r="AL126" s="299"/>
      <c r="AM126" s="299"/>
      <c r="AN126" s="268" t="s">
        <v>454</v>
      </c>
      <c r="AO126" s="268">
        <f>IF(AND(AD69=1,P114&gt;4,P114&lt;8),G127,0)</f>
        <v>0</v>
      </c>
      <c r="AP126" s="268">
        <f t="shared" si="31"/>
        <v>0</v>
      </c>
      <c r="AQ126" s="268">
        <f t="shared" si="30"/>
        <v>0</v>
      </c>
      <c r="AR126" s="268">
        <f t="shared" si="26"/>
        <v>0</v>
      </c>
      <c r="AS126" s="268"/>
      <c r="AT126" s="268">
        <f t="shared" si="27"/>
        <v>0</v>
      </c>
      <c r="AU126" s="268">
        <f t="shared" si="28"/>
        <v>0</v>
      </c>
      <c r="AV126" s="268">
        <f t="shared" si="29"/>
        <v>0</v>
      </c>
      <c r="AW126" s="268"/>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s="299"/>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row>
    <row r="127" spans="2:197" s="342" customFormat="1" ht="39.75" hidden="1" customHeight="1">
      <c r="B127" s="299"/>
      <c r="C127" s="338"/>
      <c r="D127" s="442"/>
      <c r="E127" s="442"/>
      <c r="F127" s="442"/>
      <c r="G127" s="442">
        <f>IF(AD69=2,0,G126)</f>
        <v>613</v>
      </c>
      <c r="H127" s="442">
        <f>IF(AD69=2,0,H126)</f>
        <v>206</v>
      </c>
      <c r="I127" s="442">
        <f>IF(AD69=2,0,I126)</f>
        <v>74</v>
      </c>
      <c r="J127" s="442">
        <f>IF(AE69=2,0,J126)</f>
        <v>0</v>
      </c>
      <c r="K127" s="442"/>
      <c r="L127" s="442"/>
      <c r="M127" s="442"/>
      <c r="N127" s="442"/>
      <c r="O127" s="299"/>
      <c r="P127" s="299">
        <v>11</v>
      </c>
      <c r="Q127" s="299" t="str">
        <f>IF(P116=2,"","Jan,20")</f>
        <v>Jan,20</v>
      </c>
      <c r="R127" s="299">
        <v>31</v>
      </c>
      <c r="S127" s="599"/>
      <c r="T127" s="599"/>
      <c r="U127" s="603">
        <v>1</v>
      </c>
      <c r="V127" s="563">
        <v>0</v>
      </c>
      <c r="W127" s="798">
        <v>0</v>
      </c>
      <c r="X127" s="299"/>
      <c r="Y127" s="299" t="str">
        <f>IF(V100=2,"","22")</f>
        <v/>
      </c>
      <c r="Z127" s="299"/>
      <c r="AA127" s="299"/>
      <c r="AB127" s="299" t="str">
        <f>IF($AD$69=2,"","22")</f>
        <v>22</v>
      </c>
      <c r="AC127" s="299"/>
      <c r="AD127" s="340">
        <v>25</v>
      </c>
      <c r="AE127" s="367">
        <v>25840</v>
      </c>
      <c r="AF127" s="372">
        <v>7015</v>
      </c>
      <c r="AG127" s="341">
        <v>7200</v>
      </c>
      <c r="AH127" s="367">
        <v>25840</v>
      </c>
      <c r="AI127" s="367">
        <v>26600</v>
      </c>
      <c r="AJ127" s="367">
        <v>27360</v>
      </c>
      <c r="AK127" s="606">
        <v>25140</v>
      </c>
      <c r="AL127" s="299"/>
      <c r="AM127" s="299"/>
      <c r="AN127" s="268" t="s">
        <v>455</v>
      </c>
      <c r="AO127" s="268">
        <f>IF(AND(V100=1,M129&gt;4,M129&lt;8),G135,0)</f>
        <v>0</v>
      </c>
      <c r="AP127" s="268">
        <f t="shared" si="31"/>
        <v>0</v>
      </c>
      <c r="AQ127" s="268">
        <f t="shared" si="30"/>
        <v>0</v>
      </c>
      <c r="AR127" s="268">
        <f t="shared" si="26"/>
        <v>0</v>
      </c>
      <c r="AS127" s="268"/>
      <c r="AT127" s="268">
        <f t="shared" si="27"/>
        <v>0</v>
      </c>
      <c r="AU127" s="268">
        <f t="shared" si="28"/>
        <v>0</v>
      </c>
      <c r="AV127" s="268">
        <f t="shared" si="29"/>
        <v>0</v>
      </c>
      <c r="AW127" s="268"/>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s="299"/>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row>
    <row r="128" spans="2:197" s="342" customFormat="1" ht="39.75" hidden="1" customHeight="1">
      <c r="B128" s="299"/>
      <c r="C128" s="338"/>
      <c r="D128" s="442"/>
      <c r="E128" s="442"/>
      <c r="F128" s="442"/>
      <c r="G128" s="442"/>
      <c r="H128" s="442"/>
      <c r="I128" s="442">
        <f>ROUND(G126*10%,0.1)+ROUND(H126*10%,0.1)</f>
        <v>82</v>
      </c>
      <c r="J128" s="442"/>
      <c r="K128" s="442"/>
      <c r="L128" s="442"/>
      <c r="M128" s="442"/>
      <c r="N128" s="442"/>
      <c r="O128" s="299"/>
      <c r="P128" s="299">
        <v>12</v>
      </c>
      <c r="Q128" s="299" t="str">
        <f>IF(P116=2,"","Feb,20")</f>
        <v>Feb,20</v>
      </c>
      <c r="R128" s="299">
        <v>29</v>
      </c>
      <c r="S128" s="599"/>
      <c r="T128" s="599"/>
      <c r="U128" s="603">
        <v>2</v>
      </c>
      <c r="V128" s="563">
        <v>12</v>
      </c>
      <c r="W128" s="799" t="s">
        <v>148</v>
      </c>
      <c r="X128" s="299"/>
      <c r="Y128" s="299" t="str">
        <f>IF(V100=2,"","23")</f>
        <v/>
      </c>
      <c r="Z128" s="299"/>
      <c r="AA128" s="299"/>
      <c r="AB128" s="299" t="str">
        <f>IF($AD$69=2,"","23")</f>
        <v>23</v>
      </c>
      <c r="AC128" s="299"/>
      <c r="AD128" s="340">
        <v>26</v>
      </c>
      <c r="AE128" s="367">
        <v>26600</v>
      </c>
      <c r="AF128" s="372">
        <v>7200</v>
      </c>
      <c r="AG128" s="341">
        <v>7385</v>
      </c>
      <c r="AH128" s="367">
        <v>26600</v>
      </c>
      <c r="AI128" s="367">
        <v>27360</v>
      </c>
      <c r="AJ128" s="367">
        <v>28120</v>
      </c>
      <c r="AK128" s="606">
        <v>25840</v>
      </c>
      <c r="AL128" s="299"/>
      <c r="AM128" s="299"/>
      <c r="AN128" s="268"/>
      <c r="AO128" s="268"/>
      <c r="AP128" s="268"/>
      <c r="AQ128" s="268"/>
      <c r="AR128" s="268">
        <f>SUM(AR116:AR127)</f>
        <v>0</v>
      </c>
      <c r="AS128" s="268">
        <f>SUM(AS116:AS127)</f>
        <v>0</v>
      </c>
      <c r="AT128" s="268">
        <f>SUM(AT116:AT127)</f>
        <v>6803</v>
      </c>
      <c r="AU128" s="268">
        <f>SUM(AU116:AU127)</f>
        <v>6803</v>
      </c>
      <c r="AV128" s="268">
        <f>SUM(AV116:AV127)</f>
        <v>0</v>
      </c>
      <c r="AW128" s="268"/>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s="299"/>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row>
    <row r="129" spans="2:197" s="342" customFormat="1" ht="39.75" hidden="1" customHeight="1">
      <c r="B129" s="299"/>
      <c r="C129" s="338"/>
      <c r="D129" s="442"/>
      <c r="E129" s="442"/>
      <c r="F129" s="442"/>
      <c r="G129" s="442"/>
      <c r="H129" s="442"/>
      <c r="I129" s="442"/>
      <c r="J129" s="442"/>
      <c r="K129" s="442"/>
      <c r="L129" s="442">
        <f>X102</f>
        <v>19</v>
      </c>
      <c r="M129" s="442">
        <f>X103</f>
        <v>5</v>
      </c>
      <c r="N129" s="442"/>
      <c r="O129" s="299"/>
      <c r="P129" s="299"/>
      <c r="Q129" s="299"/>
      <c r="R129" s="299">
        <v>0</v>
      </c>
      <c r="S129" s="599"/>
      <c r="T129" s="599"/>
      <c r="U129" s="603">
        <v>3</v>
      </c>
      <c r="V129" s="563">
        <v>14.5</v>
      </c>
      <c r="W129" s="799" t="s">
        <v>469</v>
      </c>
      <c r="X129" s="299"/>
      <c r="Y129" s="299" t="str">
        <f>IF(V100=2,"","24")</f>
        <v/>
      </c>
      <c r="Z129" s="299"/>
      <c r="AA129" s="299"/>
      <c r="AB129" s="299" t="str">
        <f>IF($AD$69=2,"","24")</f>
        <v>24</v>
      </c>
      <c r="AC129" s="299"/>
      <c r="AD129" s="340">
        <v>27</v>
      </c>
      <c r="AE129" s="367">
        <v>27360</v>
      </c>
      <c r="AF129" s="372">
        <v>7385</v>
      </c>
      <c r="AG129" s="341">
        <v>7570</v>
      </c>
      <c r="AH129" s="367">
        <v>27360</v>
      </c>
      <c r="AI129" s="367">
        <v>28120</v>
      </c>
      <c r="AJ129" s="367">
        <v>28940</v>
      </c>
      <c r="AK129" s="606">
        <v>26600</v>
      </c>
      <c r="AL129" s="299"/>
      <c r="AM129" s="299"/>
      <c r="AN129" s="299"/>
      <c r="AO129" s="299"/>
      <c r="AP129" s="299"/>
      <c r="AQ129" s="299"/>
      <c r="AR129" s="299"/>
      <c r="AS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s="29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row>
    <row r="130" spans="2:197" s="342" customFormat="1" ht="39.75" hidden="1" customHeight="1">
      <c r="B130" s="299"/>
      <c r="C130" s="338"/>
      <c r="D130" s="442"/>
      <c r="E130" s="442"/>
      <c r="F130" s="442"/>
      <c r="G130" s="442"/>
      <c r="H130" s="442"/>
      <c r="I130" s="442"/>
      <c r="J130" s="442"/>
      <c r="K130" s="442"/>
      <c r="L130" s="442">
        <f>VLOOKUP(M129,P119:R130,3,0)</f>
        <v>31</v>
      </c>
      <c r="M130" s="442">
        <f>VLOOKUP(M129+1,AD75:AF87,3,0)</f>
        <v>7</v>
      </c>
      <c r="N130" s="442">
        <f>IF(X103&gt;10,2017,2016)</f>
        <v>2016</v>
      </c>
      <c r="O130" s="299"/>
      <c r="P130" s="299"/>
      <c r="Q130" s="299"/>
      <c r="R130" s="299">
        <v>0</v>
      </c>
      <c r="S130" s="599"/>
      <c r="T130" s="599"/>
      <c r="U130" s="603">
        <v>4</v>
      </c>
      <c r="V130" s="563">
        <v>20</v>
      </c>
      <c r="W130" s="798">
        <v>20</v>
      </c>
      <c r="X130" s="299"/>
      <c r="Y130" s="299" t="str">
        <f>IF(V100=2,"","25")</f>
        <v/>
      </c>
      <c r="Z130" s="299"/>
      <c r="AA130" s="299"/>
      <c r="AB130" s="299" t="str">
        <f>IF($AD$69=2,"","25")</f>
        <v>25</v>
      </c>
      <c r="AC130" s="299"/>
      <c r="AD130" s="340">
        <v>28</v>
      </c>
      <c r="AE130" s="367">
        <v>28120</v>
      </c>
      <c r="AF130" s="372">
        <v>7570</v>
      </c>
      <c r="AG130" s="341">
        <v>7770</v>
      </c>
      <c r="AH130" s="367">
        <v>28120</v>
      </c>
      <c r="AI130" s="367">
        <v>28940</v>
      </c>
      <c r="AJ130" s="367">
        <v>29760</v>
      </c>
      <c r="AK130" s="606">
        <v>27360</v>
      </c>
      <c r="AL130" s="299"/>
      <c r="AM130" s="299"/>
      <c r="AN130" s="299"/>
      <c r="AO130" s="299"/>
      <c r="AP130" s="299"/>
      <c r="AQ130" s="299"/>
      <c r="AR130" s="299"/>
      <c r="AS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s="299"/>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row>
    <row r="131" spans="2:197" s="342" customFormat="1" ht="39.75" hidden="1" customHeight="1">
      <c r="B131" s="299"/>
      <c r="C131" s="338"/>
      <c r="D131" s="338"/>
      <c r="E131" s="338"/>
      <c r="F131" s="338"/>
      <c r="G131" s="338"/>
      <c r="H131" s="338"/>
      <c r="I131" s="338"/>
      <c r="J131" s="338"/>
      <c r="K131" s="338"/>
      <c r="L131" s="338"/>
      <c r="M131" s="338"/>
      <c r="N131" s="338"/>
      <c r="O131" s="299"/>
      <c r="P131" s="299"/>
      <c r="Q131" s="299"/>
      <c r="R131" s="299"/>
      <c r="S131" s="599"/>
      <c r="T131" s="599"/>
      <c r="U131" s="603">
        <v>5</v>
      </c>
      <c r="V131" s="563">
        <v>30</v>
      </c>
      <c r="W131" s="798">
        <v>30</v>
      </c>
      <c r="X131" s="299"/>
      <c r="Y131" s="299" t="str">
        <f>IF(V100=2,"","26")</f>
        <v/>
      </c>
      <c r="Z131" s="299"/>
      <c r="AA131" s="299"/>
      <c r="AB131" s="299" t="str">
        <f>IF($AD$69=2,"","26")</f>
        <v>26</v>
      </c>
      <c r="AC131" s="299"/>
      <c r="AD131" s="340">
        <v>29</v>
      </c>
      <c r="AE131" s="367">
        <v>28940</v>
      </c>
      <c r="AF131" s="372">
        <v>7770</v>
      </c>
      <c r="AG131" s="341">
        <v>7970</v>
      </c>
      <c r="AH131" s="367">
        <v>28940</v>
      </c>
      <c r="AI131" s="367">
        <v>29760</v>
      </c>
      <c r="AJ131" s="367">
        <v>30580</v>
      </c>
      <c r="AK131" s="606">
        <v>28120</v>
      </c>
      <c r="AL131" s="299"/>
      <c r="AM131" s="299"/>
      <c r="AN131" s="299"/>
      <c r="AO131" s="299"/>
      <c r="AP131" s="299"/>
      <c r="AQ131" s="299"/>
      <c r="AR131" s="299"/>
      <c r="AS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s="299"/>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row>
    <row r="132" spans="2:197" s="342" customFormat="1" ht="39.75" hidden="1" customHeight="1" thickBot="1">
      <c r="B132" s="299"/>
      <c r="C132" s="338"/>
      <c r="D132" s="338" t="str">
        <f>IF(V100=2,CONCATENATE("No Promotion "),CONCATENATE("Promotion Arrears                                           ",J132))</f>
        <v xml:space="preserve">No Promotion </v>
      </c>
      <c r="E132" s="338"/>
      <c r="F132" s="338"/>
      <c r="G132" s="338"/>
      <c r="H132" s="338"/>
      <c r="I132" s="338"/>
      <c r="J132" s="338" t="str">
        <f>CONCATENATE(L129,"-",L130,"/",M130,"/",N130)</f>
        <v>19-31/7/2016</v>
      </c>
      <c r="K132" s="338"/>
      <c r="L132" s="338"/>
      <c r="M132" s="338"/>
      <c r="N132" s="338"/>
      <c r="O132" s="299"/>
      <c r="P132" s="299"/>
      <c r="Q132" s="299"/>
      <c r="R132" s="299"/>
      <c r="S132" s="599"/>
      <c r="T132" s="599"/>
      <c r="U132" s="603"/>
      <c r="V132" s="563"/>
      <c r="W132" s="343"/>
      <c r="X132" s="299"/>
      <c r="Y132" s="299" t="str">
        <f>IF(V100=2,"","27")</f>
        <v/>
      </c>
      <c r="Z132" s="299"/>
      <c r="AA132" s="299"/>
      <c r="AB132" s="299" t="str">
        <f>IF($AD$69=2,"","27")</f>
        <v>27</v>
      </c>
      <c r="AC132" s="299"/>
      <c r="AD132" s="340">
        <v>30</v>
      </c>
      <c r="AE132" s="367">
        <v>29760</v>
      </c>
      <c r="AF132" s="372">
        <v>7970</v>
      </c>
      <c r="AG132" s="341">
        <v>8170</v>
      </c>
      <c r="AH132" s="367">
        <v>29760</v>
      </c>
      <c r="AI132" s="367">
        <v>30580</v>
      </c>
      <c r="AJ132" s="367">
        <v>31460</v>
      </c>
      <c r="AK132" s="606">
        <v>28940</v>
      </c>
      <c r="AL132" s="299"/>
      <c r="AM132" s="299"/>
      <c r="AN132" s="299"/>
      <c r="AO132" s="299"/>
      <c r="AP132" s="299"/>
      <c r="AQ132" s="299"/>
      <c r="AR132" s="299"/>
      <c r="AS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s="299"/>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row>
    <row r="133" spans="2:197" s="342" customFormat="1" ht="39.75" hidden="1" customHeight="1" thickBot="1">
      <c r="B133" s="299"/>
      <c r="C133" s="338"/>
      <c r="D133" s="338">
        <f>ROUND(L133*(L130-L129+1)/L130,0.1)</f>
        <v>22624</v>
      </c>
      <c r="E133" s="338">
        <f>ROUND(D133*M133%,0.1)</f>
        <v>6876</v>
      </c>
      <c r="F133" s="338">
        <f>ROUND(D133*M134%,0.1)</f>
        <v>2715</v>
      </c>
      <c r="G133" s="338"/>
      <c r="H133" s="338"/>
      <c r="I133" s="338"/>
      <c r="J133" s="338"/>
      <c r="K133" s="338"/>
      <c r="L133" s="338">
        <f>VLOOKUP(M129+1,AQ40:AS51,3,0)</f>
        <v>53950</v>
      </c>
      <c r="M133" s="323">
        <f>VLOOKUP(M129+1,AQ40:AT51,4,0)</f>
        <v>30.391999999999999</v>
      </c>
      <c r="N133" s="338"/>
      <c r="O133" s="299"/>
      <c r="P133" s="299"/>
      <c r="Q133" s="299"/>
      <c r="R133" s="299"/>
      <c r="S133" s="599"/>
      <c r="T133" s="599"/>
      <c r="U133" s="602">
        <f>AI49</f>
        <v>1</v>
      </c>
      <c r="V133" s="562" t="str">
        <f>VLOOKUP(U133,AD51:AE62,2,0)</f>
        <v>No Change</v>
      </c>
      <c r="W133" s="343"/>
      <c r="X133" s="299"/>
      <c r="Y133" s="299" t="str">
        <f>IF(V100=2,"","28")</f>
        <v/>
      </c>
      <c r="Z133" s="299"/>
      <c r="AA133" s="299"/>
      <c r="AB133" s="299" t="str">
        <f>IF($AD$69=2,"","28")</f>
        <v>28</v>
      </c>
      <c r="AC133" s="299"/>
      <c r="AD133" s="340">
        <v>31</v>
      </c>
      <c r="AE133" s="367">
        <v>30580</v>
      </c>
      <c r="AF133" s="372">
        <v>8170</v>
      </c>
      <c r="AG133" s="341">
        <v>8385</v>
      </c>
      <c r="AH133" s="367">
        <v>30580</v>
      </c>
      <c r="AI133" s="367">
        <v>31460</v>
      </c>
      <c r="AJ133" s="367">
        <v>32340</v>
      </c>
      <c r="AK133" s="606">
        <v>29760</v>
      </c>
      <c r="AL133" s="299"/>
      <c r="AM133" s="299"/>
      <c r="AN133" s="299"/>
      <c r="AO133" s="299"/>
      <c r="AP133" s="299"/>
      <c r="AQ133" s="299"/>
      <c r="AR133" s="299"/>
      <c r="AS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s="299"/>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row>
    <row r="134" spans="2:197" s="342" customFormat="1" ht="39.75" hidden="1" customHeight="1">
      <c r="B134" s="299"/>
      <c r="C134" s="338"/>
      <c r="D134" s="338">
        <f>ROUND(L134*(L130-L129+1)/L130,0.1)</f>
        <v>22624</v>
      </c>
      <c r="E134" s="338">
        <f>ROUND(D134*M133%,0.1)</f>
        <v>6876</v>
      </c>
      <c r="F134" s="338">
        <f>ROUND(D134*M134%,0.1)</f>
        <v>2715</v>
      </c>
      <c r="G134" s="338">
        <f>D134-D133</f>
        <v>0</v>
      </c>
      <c r="H134" s="338">
        <f>E134-E133</f>
        <v>0</v>
      </c>
      <c r="I134" s="338">
        <f>F134-F133</f>
        <v>0</v>
      </c>
      <c r="J134" s="338">
        <f>IF(M129&gt;10,ROUND(G134*27%,0.1),0)</f>
        <v>0</v>
      </c>
      <c r="K134" s="338"/>
      <c r="L134" s="338">
        <f>VLOOKUP(M129+2,AQ40:AS52,3,0)</f>
        <v>53950</v>
      </c>
      <c r="M134" s="338">
        <f>VLOOKUP(M129+1,O52:R63,3,)</f>
        <v>12</v>
      </c>
      <c r="N134" s="338"/>
      <c r="O134" s="299"/>
      <c r="P134" s="299"/>
      <c r="Q134" s="299"/>
      <c r="R134" s="299"/>
      <c r="S134" s="599"/>
      <c r="T134" s="599"/>
      <c r="U134" s="603">
        <v>3</v>
      </c>
      <c r="V134" s="563">
        <f>VLOOKUP(U134,U127:V131,2,)</f>
        <v>14.5</v>
      </c>
      <c r="W134" s="343"/>
      <c r="X134" s="299"/>
      <c r="Y134" s="299" t="str">
        <f>IF(V100=2,"","29")</f>
        <v/>
      </c>
      <c r="Z134" s="299"/>
      <c r="AA134" s="299"/>
      <c r="AB134" s="299" t="str">
        <f>IF($AD$69=2,"","29")</f>
        <v>29</v>
      </c>
      <c r="AC134" s="299"/>
      <c r="AD134" s="340">
        <v>32</v>
      </c>
      <c r="AE134" s="367">
        <v>31460</v>
      </c>
      <c r="AF134" s="372">
        <v>8385</v>
      </c>
      <c r="AG134" s="341">
        <v>8600</v>
      </c>
      <c r="AH134" s="367">
        <v>31460</v>
      </c>
      <c r="AI134" s="367">
        <v>32340</v>
      </c>
      <c r="AJ134" s="367">
        <v>33220</v>
      </c>
      <c r="AK134" s="606">
        <v>30580</v>
      </c>
      <c r="AL134" s="299"/>
      <c r="AM134" s="299"/>
      <c r="AN134" s="299"/>
      <c r="AO134" s="299"/>
      <c r="AP134" s="299"/>
      <c r="AQ134" s="299"/>
      <c r="AR134" s="299"/>
      <c r="AS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s="299"/>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row>
    <row r="135" spans="2:197" s="342" customFormat="1" ht="39.75" hidden="1" customHeight="1">
      <c r="B135" s="299"/>
      <c r="C135" s="338"/>
      <c r="D135" s="338"/>
      <c r="E135" s="338"/>
      <c r="F135" s="338"/>
      <c r="G135" s="338">
        <f>IF(V100=2,0,G134)</f>
        <v>0</v>
      </c>
      <c r="H135" s="338">
        <f>IF(V100=2,0,H134)</f>
        <v>0</v>
      </c>
      <c r="I135" s="338">
        <f>IF(V100=2,0,I134)</f>
        <v>0</v>
      </c>
      <c r="J135" s="338">
        <f>IF(W100=2,0,J134)</f>
        <v>0</v>
      </c>
      <c r="K135" s="338"/>
      <c r="L135" s="338"/>
      <c r="M135" s="338"/>
      <c r="N135" s="338"/>
      <c r="O135" s="299"/>
      <c r="P135" s="299"/>
      <c r="Q135" s="299"/>
      <c r="R135" s="299"/>
      <c r="S135" s="599"/>
      <c r="T135" s="599"/>
      <c r="U135" s="603"/>
      <c r="V135" s="563"/>
      <c r="W135" s="343"/>
      <c r="X135" s="299"/>
      <c r="Y135" s="299" t="str">
        <f>IF(V100=2,"","30")</f>
        <v/>
      </c>
      <c r="Z135" s="299"/>
      <c r="AA135" s="299"/>
      <c r="AB135" s="299" t="str">
        <f>IF($AD$69=2,"","30")</f>
        <v>30</v>
      </c>
      <c r="AC135" s="299"/>
      <c r="AD135" s="340">
        <v>33</v>
      </c>
      <c r="AE135" s="367">
        <v>32340</v>
      </c>
      <c r="AF135" s="372">
        <v>8600</v>
      </c>
      <c r="AG135" s="341">
        <v>8815</v>
      </c>
      <c r="AH135" s="367">
        <v>32340</v>
      </c>
      <c r="AI135" s="367">
        <v>33220</v>
      </c>
      <c r="AJ135" s="367">
        <v>34170</v>
      </c>
      <c r="AK135" s="606">
        <v>31460</v>
      </c>
      <c r="AL135" s="299"/>
      <c r="AM135" s="299"/>
      <c r="AN135" s="299"/>
      <c r="AO135" s="299"/>
      <c r="AP135" s="299"/>
      <c r="AQ135" s="299"/>
      <c r="AR135" s="299"/>
      <c r="AS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s="299"/>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row>
    <row r="136" spans="2:197" s="342" customFormat="1" ht="39.75" hidden="1" customHeight="1" thickBot="1">
      <c r="B136" s="299"/>
      <c r="C136" s="338"/>
      <c r="D136" s="338"/>
      <c r="E136" s="338"/>
      <c r="F136" s="338"/>
      <c r="G136" s="338"/>
      <c r="H136" s="338"/>
      <c r="I136" s="338">
        <f>ROUND(G134*10%,0.1)+ROUND(H134*10%,0.1)</f>
        <v>0</v>
      </c>
      <c r="J136" s="338"/>
      <c r="K136" s="338"/>
      <c r="L136" s="338"/>
      <c r="M136" s="338"/>
      <c r="N136" s="338"/>
      <c r="O136" s="299"/>
      <c r="P136" s="299"/>
      <c r="Q136" s="299"/>
      <c r="R136" s="299"/>
      <c r="S136" s="599"/>
      <c r="T136" s="599"/>
      <c r="U136" s="604">
        <v>17</v>
      </c>
      <c r="V136" s="564"/>
      <c r="W136" s="344"/>
      <c r="X136" s="299"/>
      <c r="Y136" s="299" t="str">
        <f>IF(V100=2,"","31")</f>
        <v/>
      </c>
      <c r="Z136" s="299"/>
      <c r="AA136" s="299"/>
      <c r="AB136" s="299" t="str">
        <f>IF($AD$69=2,"","31")</f>
        <v>31</v>
      </c>
      <c r="AC136" s="299"/>
      <c r="AD136" s="340">
        <v>34</v>
      </c>
      <c r="AE136" s="367">
        <v>33220</v>
      </c>
      <c r="AF136" s="372">
        <v>8815</v>
      </c>
      <c r="AG136" s="341">
        <v>9050</v>
      </c>
      <c r="AH136" s="367">
        <v>33220</v>
      </c>
      <c r="AI136" s="367">
        <v>34170</v>
      </c>
      <c r="AJ136" s="367">
        <v>35120</v>
      </c>
      <c r="AK136" s="606">
        <v>32340</v>
      </c>
      <c r="AL136" s="299"/>
      <c r="AM136" s="299"/>
      <c r="AN136" s="299"/>
      <c r="AO136" s="299"/>
      <c r="AP136" s="299"/>
      <c r="AQ136" s="299"/>
      <c r="AR136" s="299"/>
      <c r="AS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s="299"/>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row>
    <row r="137" spans="2:197" s="342" customFormat="1" ht="39.75" hidden="1" customHeight="1" thickBot="1">
      <c r="B137" s="299"/>
      <c r="C137" s="338"/>
      <c r="D137" s="338"/>
      <c r="E137" s="338"/>
      <c r="F137" s="338"/>
      <c r="G137" s="338"/>
      <c r="H137" s="338"/>
      <c r="I137" s="338"/>
      <c r="J137" s="338"/>
      <c r="K137" s="338"/>
      <c r="L137" s="338"/>
      <c r="M137" s="338"/>
      <c r="N137" s="338"/>
      <c r="O137" s="299"/>
      <c r="P137" s="299"/>
      <c r="Q137" s="299"/>
      <c r="R137" s="299"/>
      <c r="S137" s="599"/>
      <c r="T137" s="599"/>
      <c r="U137" s="599"/>
      <c r="V137" s="565"/>
      <c r="W137" s="299"/>
      <c r="X137" s="299"/>
      <c r="Y137" s="299"/>
      <c r="Z137" s="299"/>
      <c r="AA137" s="299"/>
      <c r="AB137" s="299"/>
      <c r="AC137" s="299"/>
      <c r="AD137" s="340">
        <v>35</v>
      </c>
      <c r="AE137" s="367">
        <v>34170</v>
      </c>
      <c r="AF137" s="372">
        <v>9050</v>
      </c>
      <c r="AG137" s="341">
        <v>9285</v>
      </c>
      <c r="AH137" s="367">
        <v>34170</v>
      </c>
      <c r="AI137" s="367">
        <v>35120</v>
      </c>
      <c r="AJ137" s="367">
        <v>36070</v>
      </c>
      <c r="AK137" s="606">
        <v>33220</v>
      </c>
      <c r="AL137" s="299"/>
      <c r="AM137" s="299"/>
      <c r="AN137" s="299"/>
      <c r="AO137" s="299"/>
      <c r="AP137" s="299"/>
      <c r="AQ137" s="299"/>
      <c r="AR137" s="299"/>
      <c r="AS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s="299"/>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row>
    <row r="138" spans="2:197" s="342" customFormat="1" ht="39.75" hidden="1" customHeight="1" thickBot="1">
      <c r="B138" s="299"/>
      <c r="C138" s="338"/>
      <c r="D138" s="338"/>
      <c r="E138" s="338"/>
      <c r="F138" s="338"/>
      <c r="G138" s="338"/>
      <c r="H138" s="338"/>
      <c r="I138" s="338"/>
      <c r="J138" s="338"/>
      <c r="K138" s="338"/>
      <c r="L138" s="338"/>
      <c r="M138" s="338"/>
      <c r="N138" s="338"/>
      <c r="O138" s="299"/>
      <c r="P138" s="299"/>
      <c r="Q138" s="299"/>
      <c r="R138" s="299"/>
      <c r="S138" s="599"/>
      <c r="T138" s="599"/>
      <c r="U138" s="599"/>
      <c r="V138" s="565"/>
      <c r="W138" s="299"/>
      <c r="X138" s="299"/>
      <c r="Y138" s="786">
        <v>11</v>
      </c>
      <c r="Z138" s="634" t="s">
        <v>4</v>
      </c>
      <c r="AA138" s="299"/>
      <c r="AB138" s="299"/>
      <c r="AC138" s="299"/>
      <c r="AD138" s="340">
        <v>36</v>
      </c>
      <c r="AE138" s="367">
        <v>35120</v>
      </c>
      <c r="AF138" s="372">
        <v>9285</v>
      </c>
      <c r="AG138" s="341">
        <v>9520</v>
      </c>
      <c r="AH138" s="367">
        <v>35120</v>
      </c>
      <c r="AI138" s="367">
        <v>36070</v>
      </c>
      <c r="AJ138" s="367">
        <v>37100</v>
      </c>
      <c r="AK138" s="606">
        <v>34170</v>
      </c>
      <c r="AL138" s="299"/>
      <c r="AM138" s="299"/>
      <c r="AN138" s="299"/>
      <c r="AO138" s="299"/>
      <c r="AP138" s="299"/>
      <c r="AQ138" s="299"/>
      <c r="AR138" s="299"/>
      <c r="AS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s="299"/>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row>
    <row r="139" spans="2:197" s="342" customFormat="1" ht="39.75" hidden="1" customHeight="1">
      <c r="B139" s="299"/>
      <c r="C139" s="338"/>
      <c r="D139" s="338"/>
      <c r="E139" s="338"/>
      <c r="F139" s="338"/>
      <c r="G139" s="338"/>
      <c r="H139" s="338"/>
      <c r="I139" s="338"/>
      <c r="J139" s="338"/>
      <c r="K139" s="338"/>
      <c r="L139" s="338"/>
      <c r="M139" s="338"/>
      <c r="N139" s="338"/>
      <c r="O139" s="299"/>
      <c r="P139" s="299"/>
      <c r="Q139" s="299"/>
      <c r="R139" s="299"/>
      <c r="S139" s="599"/>
      <c r="T139" s="599"/>
      <c r="U139" s="599"/>
      <c r="V139" s="565"/>
      <c r="W139" s="299"/>
      <c r="X139" s="299"/>
      <c r="Y139" s="288" t="str">
        <f>IF($U$133=1,"","1")</f>
        <v/>
      </c>
      <c r="Z139" s="299"/>
      <c r="AA139" s="299"/>
      <c r="AB139" s="299"/>
      <c r="AC139" s="299"/>
      <c r="AD139" s="340">
        <v>37</v>
      </c>
      <c r="AE139" s="367">
        <v>36070</v>
      </c>
      <c r="AF139" s="372">
        <v>9520</v>
      </c>
      <c r="AG139" s="341">
        <v>9775</v>
      </c>
      <c r="AH139" s="367">
        <v>36070</v>
      </c>
      <c r="AI139" s="367">
        <v>37100</v>
      </c>
      <c r="AJ139" s="367">
        <v>38130</v>
      </c>
      <c r="AK139" s="606">
        <v>35120</v>
      </c>
      <c r="AL139" s="299"/>
      <c r="AM139" s="299"/>
      <c r="AN139" s="299"/>
      <c r="AO139" s="299"/>
      <c r="AP139" s="299"/>
      <c r="AQ139" s="299"/>
      <c r="AR139" s="299"/>
      <c r="AS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s="29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row>
    <row r="140" spans="2:197" s="342" customFormat="1" ht="39.75" hidden="1" customHeight="1">
      <c r="B140" s="299"/>
      <c r="C140" s="319"/>
      <c r="D140" s="319"/>
      <c r="E140" s="319"/>
      <c r="F140" s="319"/>
      <c r="G140" s="319"/>
      <c r="H140" s="319"/>
      <c r="I140" s="319"/>
      <c r="J140" s="319"/>
      <c r="K140" s="319"/>
      <c r="L140" s="319"/>
      <c r="M140" s="319"/>
      <c r="N140" s="319"/>
      <c r="O140" s="268"/>
      <c r="P140" s="268"/>
      <c r="Q140" s="268"/>
      <c r="R140" s="299"/>
      <c r="S140" s="599"/>
      <c r="T140" s="599"/>
      <c r="U140" s="599"/>
      <c r="V140" s="565"/>
      <c r="W140" s="299"/>
      <c r="X140" s="299"/>
      <c r="Y140" s="289" t="str">
        <f>IF($U$133=1,"","2")</f>
        <v/>
      </c>
      <c r="Z140" s="299"/>
      <c r="AA140" s="299"/>
      <c r="AB140" s="299"/>
      <c r="AC140" s="299"/>
      <c r="AD140" s="340">
        <v>38</v>
      </c>
      <c r="AE140" s="367">
        <v>37100</v>
      </c>
      <c r="AF140" s="372">
        <v>9775</v>
      </c>
      <c r="AG140" s="341">
        <v>10030</v>
      </c>
      <c r="AH140" s="367">
        <v>37100</v>
      </c>
      <c r="AI140" s="367">
        <v>38130</v>
      </c>
      <c r="AJ140" s="367">
        <v>39160</v>
      </c>
      <c r="AK140" s="606">
        <v>36070</v>
      </c>
      <c r="AL140" s="299"/>
      <c r="AM140" s="299"/>
      <c r="AN140" s="299"/>
      <c r="AO140" s="299"/>
      <c r="AP140" s="299"/>
      <c r="AQ140" s="299"/>
      <c r="AR140" s="299"/>
      <c r="AS140" s="299"/>
      <c r="AT140" s="299"/>
      <c r="AU140" s="299"/>
      <c r="AV140" s="299"/>
      <c r="AW140" s="299"/>
      <c r="AX140" s="299"/>
      <c r="AY140" s="299"/>
      <c r="AZ140" s="299"/>
      <c r="BA140" s="299"/>
      <c r="BB140" s="299"/>
      <c r="BC140" s="299"/>
      <c r="BD140" s="299"/>
      <c r="BE140" s="299"/>
      <c r="BF140" s="299"/>
      <c r="BG140" s="299"/>
      <c r="BH140" s="299"/>
      <c r="BI140" s="299"/>
      <c r="BJ140" s="299"/>
      <c r="BK140" s="268"/>
      <c r="BL140" s="268"/>
      <c r="BM140" s="268"/>
      <c r="BN140" s="268"/>
      <c r="BO140" s="268"/>
      <c r="BP140" s="268"/>
      <c r="BQ140" s="268"/>
      <c r="BR140" s="268"/>
      <c r="BS140" s="268"/>
      <c r="BT140" s="268"/>
      <c r="BU140" s="268"/>
      <c r="BV140" s="268"/>
      <c r="BW140" s="268"/>
      <c r="BX140" s="268"/>
      <c r="BY140" s="268"/>
      <c r="BZ140" s="268"/>
      <c r="CA140" s="268"/>
      <c r="CB140" s="268"/>
      <c r="CC140" s="268"/>
      <c r="CD140" s="268"/>
      <c r="CE140" s="268"/>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s="299"/>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row>
    <row r="141" spans="2:197" s="342" customFormat="1" ht="39.75" hidden="1" customHeight="1" thickBot="1">
      <c r="B141" s="299"/>
      <c r="C141" s="319"/>
      <c r="D141" s="319"/>
      <c r="E141" s="319"/>
      <c r="F141" s="319"/>
      <c r="G141" s="319"/>
      <c r="H141" s="319"/>
      <c r="I141" s="319"/>
      <c r="J141" s="319"/>
      <c r="K141" s="319"/>
      <c r="L141" s="319"/>
      <c r="M141" s="319"/>
      <c r="N141" s="319"/>
      <c r="O141" s="268"/>
      <c r="P141" s="268"/>
      <c r="Q141" s="268"/>
      <c r="R141" s="299"/>
      <c r="S141" s="599"/>
      <c r="T141" s="599"/>
      <c r="U141" s="599"/>
      <c r="V141" s="565"/>
      <c r="W141" s="299"/>
      <c r="X141" s="299"/>
      <c r="Y141" s="289" t="str">
        <f>IF($U$133=1,"","3")</f>
        <v/>
      </c>
      <c r="Z141" s="299"/>
      <c r="AA141" s="299"/>
      <c r="AB141" s="299"/>
      <c r="AC141" s="299"/>
      <c r="AD141" s="340">
        <v>39</v>
      </c>
      <c r="AE141" s="367">
        <v>38130</v>
      </c>
      <c r="AF141" s="372">
        <v>10030</v>
      </c>
      <c r="AG141" s="345">
        <v>10285</v>
      </c>
      <c r="AH141" s="367">
        <v>38130</v>
      </c>
      <c r="AI141" s="367">
        <v>39160</v>
      </c>
      <c r="AJ141" s="367">
        <v>40270</v>
      </c>
      <c r="AK141" s="606">
        <v>37100</v>
      </c>
      <c r="AL141" s="299"/>
      <c r="AM141" s="299"/>
      <c r="AN141" s="299"/>
      <c r="AO141" s="299"/>
      <c r="AP141" s="299"/>
      <c r="AQ141" s="299"/>
      <c r="AR141" s="299"/>
      <c r="AS141" s="299"/>
      <c r="AT141" s="299"/>
      <c r="AU141" s="299"/>
      <c r="AV141" s="299"/>
      <c r="AW141" s="299"/>
      <c r="AX141" s="299"/>
      <c r="AY141" s="299"/>
      <c r="AZ141" s="299"/>
      <c r="BA141" s="299"/>
      <c r="BB141" s="299"/>
      <c r="BC141" s="299"/>
      <c r="BD141" s="299"/>
      <c r="BE141" s="299"/>
      <c r="BF141" s="299"/>
      <c r="BG141" s="299"/>
      <c r="BH141" s="299"/>
      <c r="BI141" s="299"/>
      <c r="BJ141" s="299"/>
      <c r="BK141" s="268"/>
      <c r="BL141" s="268"/>
      <c r="BM141" s="268"/>
      <c r="BN141" s="268"/>
      <c r="BO141" s="268"/>
      <c r="BP141" s="268"/>
      <c r="BQ141" s="268"/>
      <c r="BR141" s="268"/>
      <c r="BS141" s="268"/>
      <c r="BT141" s="268"/>
      <c r="BU141" s="268"/>
      <c r="BV141" s="268"/>
      <c r="BW141" s="268"/>
      <c r="BX141" s="268"/>
      <c r="BY141" s="268"/>
      <c r="BZ141" s="268"/>
      <c r="CA141" s="268"/>
      <c r="CB141" s="268"/>
      <c r="CC141" s="268"/>
      <c r="CD141" s="268"/>
      <c r="CE141" s="268"/>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s="299"/>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row>
    <row r="142" spans="2:197" s="275" customFormat="1" ht="39.75" hidden="1" customHeight="1" thickBot="1">
      <c r="B142" s="268"/>
      <c r="C142" s="319"/>
      <c r="D142" s="319"/>
      <c r="E142" s="319"/>
      <c r="F142" s="319"/>
      <c r="G142" s="319"/>
      <c r="H142" s="319"/>
      <c r="I142" s="319"/>
      <c r="J142" s="319"/>
      <c r="K142" s="319"/>
      <c r="L142" s="319"/>
      <c r="M142" s="319"/>
      <c r="N142" s="319"/>
      <c r="O142" s="268"/>
      <c r="P142" s="268"/>
      <c r="Q142" s="268"/>
      <c r="R142" s="268"/>
      <c r="S142" s="574"/>
      <c r="T142" s="574"/>
      <c r="U142" s="574"/>
      <c r="V142" s="552"/>
      <c r="W142" s="268"/>
      <c r="X142" s="268"/>
      <c r="Y142" s="289" t="str">
        <f>IF($U$133=1,"","4")</f>
        <v/>
      </c>
      <c r="Z142" s="268"/>
      <c r="AA142" s="268"/>
      <c r="AB142" s="268"/>
      <c r="AC142" s="268"/>
      <c r="AD142" s="284">
        <v>40</v>
      </c>
      <c r="AE142" s="367">
        <v>39160</v>
      </c>
      <c r="AF142" s="370">
        <v>10285</v>
      </c>
      <c r="AG142" s="305">
        <v>10565</v>
      </c>
      <c r="AH142" s="367">
        <v>39160</v>
      </c>
      <c r="AI142" s="367">
        <v>40270</v>
      </c>
      <c r="AJ142" s="367">
        <v>41380</v>
      </c>
      <c r="AK142" s="606">
        <v>38130</v>
      </c>
      <c r="AL142" s="268"/>
      <c r="AM142" s="268"/>
      <c r="AN142" s="299"/>
      <c r="AO142" s="299"/>
      <c r="AP142" s="299"/>
      <c r="AQ142" s="299"/>
      <c r="AR142" s="299"/>
      <c r="AS142" s="299"/>
      <c r="AT142" s="299"/>
      <c r="AU142" s="299"/>
      <c r="AV142" s="299"/>
      <c r="AW142" s="299"/>
      <c r="AX142" s="268"/>
      <c r="AY142" s="268"/>
      <c r="AZ142" s="268"/>
      <c r="BA142" s="268"/>
      <c r="BB142" s="268"/>
      <c r="BC142" s="268"/>
      <c r="BD142" s="268"/>
      <c r="BE142" s="268"/>
      <c r="BF142" s="268"/>
      <c r="BG142" s="268"/>
      <c r="BH142" s="268"/>
      <c r="BI142" s="268"/>
      <c r="BJ142" s="268"/>
      <c r="BK142" s="268"/>
      <c r="BL142" s="268"/>
      <c r="BM142" s="268"/>
      <c r="BN142" s="268"/>
      <c r="BO142" s="268"/>
      <c r="BP142" s="268"/>
      <c r="BQ142" s="268"/>
      <c r="BR142" s="268"/>
      <c r="BS142" s="268"/>
      <c r="BT142" s="268"/>
      <c r="BU142" s="268"/>
      <c r="BV142" s="268"/>
      <c r="BW142" s="268"/>
      <c r="BX142" s="268"/>
      <c r="BY142" s="268"/>
      <c r="BZ142" s="268"/>
      <c r="CA142" s="268"/>
      <c r="CB142" s="268"/>
      <c r="CC142" s="268"/>
      <c r="CD142" s="268"/>
      <c r="CE142" s="268"/>
      <c r="CF142" s="268"/>
      <c r="CG142" s="268"/>
      <c r="CH142" s="268"/>
      <c r="CI142" s="268"/>
      <c r="CJ142" s="268"/>
      <c r="CK142" s="268"/>
      <c r="CL142" s="268"/>
      <c r="CM142" s="268"/>
      <c r="CN142" s="268"/>
      <c r="CO142" s="268"/>
      <c r="CP142" s="268"/>
      <c r="CQ142" s="268"/>
      <c r="CR142" s="268"/>
      <c r="CS142" s="268"/>
      <c r="CT142" s="268"/>
      <c r="CU142" s="268"/>
      <c r="CV142" s="268"/>
      <c r="CW142" s="268"/>
      <c r="CX142" s="268"/>
      <c r="CY142" s="268"/>
      <c r="CZ142" s="268"/>
      <c r="DA142" s="268"/>
      <c r="DB142" s="268"/>
      <c r="DC142" s="268"/>
      <c r="DD142" s="268"/>
      <c r="DE142" s="268"/>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68"/>
      <c r="EC142" s="268"/>
      <c r="ED142" s="268"/>
      <c r="EE142" s="268"/>
      <c r="EF142" s="268"/>
      <c r="EG142" s="268"/>
      <c r="EH142" s="268"/>
      <c r="EI142" s="268"/>
      <c r="EJ142" s="268"/>
      <c r="EK142" s="268"/>
      <c r="EL142" s="268"/>
      <c r="EM142" s="268"/>
      <c r="EN142" s="268"/>
      <c r="EO142" s="268"/>
      <c r="EP142" s="268"/>
      <c r="EQ142" s="268"/>
      <c r="ER142" s="268"/>
      <c r="ES142" s="268"/>
      <c r="ET142" s="268"/>
      <c r="EU142" s="268"/>
      <c r="EV142" s="268"/>
      <c r="EW142" s="268"/>
      <c r="EX142" s="268"/>
      <c r="EY142" s="268"/>
      <c r="EZ142" s="268"/>
      <c r="FA142" s="268"/>
      <c r="FB142" s="268"/>
      <c r="FC142" s="268"/>
      <c r="FD142" s="268"/>
      <c r="FE142" s="268"/>
      <c r="FF142" s="268"/>
      <c r="FG142" s="268"/>
      <c r="FH142" s="268"/>
      <c r="FI142" s="268"/>
      <c r="FJ142" s="268"/>
      <c r="FK142" s="268"/>
      <c r="FL142" s="268"/>
      <c r="FM142" s="268"/>
      <c r="FN142" s="268"/>
      <c r="FO142" s="268"/>
      <c r="FP142" s="268"/>
      <c r="FQ142" s="268"/>
      <c r="FR142" s="268"/>
      <c r="FS142" s="268"/>
      <c r="FT142" s="268"/>
      <c r="FU142" s="268"/>
      <c r="FV142" s="268"/>
      <c r="FW142" s="268"/>
      <c r="FX142" s="268"/>
      <c r="FY142" s="268"/>
      <c r="FZ142" s="268"/>
      <c r="GA142" s="268"/>
      <c r="GB142" s="268"/>
      <c r="GC142" s="268"/>
      <c r="GD142" s="268"/>
      <c r="GE142" s="268"/>
      <c r="GF142" s="268"/>
      <c r="GG142" s="268"/>
      <c r="GH142" s="268"/>
      <c r="GI142" s="268"/>
      <c r="GJ142" s="268"/>
      <c r="GK142" s="268"/>
      <c r="GL142" s="268"/>
      <c r="GM142" s="268"/>
      <c r="GN142" s="268"/>
      <c r="GO142" s="268"/>
    </row>
    <row r="143" spans="2:197" s="275" customFormat="1" ht="39.75" hidden="1" customHeight="1">
      <c r="B143" s="268"/>
      <c r="C143" s="319"/>
      <c r="D143" s="319"/>
      <c r="E143" s="319"/>
      <c r="F143" s="319"/>
      <c r="G143" s="319"/>
      <c r="H143" s="319"/>
      <c r="I143" s="319"/>
      <c r="J143" s="319"/>
      <c r="K143" s="319"/>
      <c r="L143" s="319"/>
      <c r="M143" s="319"/>
      <c r="N143" s="319"/>
      <c r="O143" s="268"/>
      <c r="P143" s="268"/>
      <c r="Q143" s="268"/>
      <c r="R143" s="268"/>
      <c r="S143" s="574"/>
      <c r="T143" s="574"/>
      <c r="U143" s="574"/>
      <c r="V143" s="552"/>
      <c r="W143" s="268"/>
      <c r="X143" s="268"/>
      <c r="Y143" s="289" t="str">
        <f>IF($U$133=1,"","5")</f>
        <v/>
      </c>
      <c r="Z143" s="268"/>
      <c r="AA143" s="268"/>
      <c r="AB143" s="268"/>
      <c r="AC143" s="268"/>
      <c r="AD143" s="284">
        <v>41</v>
      </c>
      <c r="AE143" s="367">
        <v>40270</v>
      </c>
      <c r="AF143" s="371">
        <v>10565</v>
      </c>
      <c r="AG143" s="303">
        <v>10845</v>
      </c>
      <c r="AH143" s="367">
        <v>40270</v>
      </c>
      <c r="AI143" s="367">
        <v>41380</v>
      </c>
      <c r="AJ143" s="367">
        <v>42490</v>
      </c>
      <c r="AK143" s="606">
        <v>39160</v>
      </c>
      <c r="AL143" s="268"/>
      <c r="AM143" s="268"/>
      <c r="AN143" s="299"/>
      <c r="AO143" s="299"/>
      <c r="AP143" s="299"/>
      <c r="AQ143" s="299"/>
      <c r="AR143" s="299"/>
      <c r="AS143" s="299"/>
      <c r="AT143" s="299"/>
      <c r="AU143" s="299"/>
      <c r="AV143" s="299"/>
      <c r="AW143" s="299"/>
      <c r="AX143" s="268"/>
      <c r="AY143" s="268"/>
      <c r="AZ143" s="268"/>
      <c r="BA143" s="268"/>
      <c r="BB143" s="268"/>
      <c r="BC143" s="268"/>
      <c r="BD143" s="268"/>
      <c r="BE143" s="268"/>
      <c r="BF143" s="268"/>
      <c r="BG143" s="268"/>
      <c r="BH143" s="268"/>
      <c r="BI143" s="268"/>
      <c r="BJ143" s="268"/>
      <c r="BK143" s="268"/>
      <c r="BL143" s="268"/>
      <c r="BM143" s="268"/>
      <c r="BN143" s="268"/>
      <c r="BO143" s="268"/>
      <c r="BP143" s="268"/>
      <c r="BQ143" s="268"/>
      <c r="BR143" s="268"/>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c r="CU143" s="268"/>
      <c r="CV143" s="268"/>
      <c r="CW143" s="268"/>
      <c r="CX143" s="268"/>
      <c r="CY143" s="268"/>
      <c r="CZ143" s="268"/>
      <c r="DA143" s="268"/>
      <c r="DB143" s="268"/>
      <c r="DC143" s="268"/>
      <c r="DD143" s="268"/>
      <c r="DE143" s="268"/>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68"/>
      <c r="EB143" s="268"/>
      <c r="EC143" s="268"/>
      <c r="ED143" s="268"/>
      <c r="EE143" s="268"/>
      <c r="EF143" s="268"/>
      <c r="EG143" s="268"/>
      <c r="EH143" s="268"/>
      <c r="EI143" s="268"/>
      <c r="EJ143" s="268"/>
      <c r="EK143" s="268"/>
      <c r="EL143" s="268"/>
      <c r="EM143" s="268"/>
      <c r="EN143" s="268"/>
      <c r="EO143" s="268"/>
      <c r="EP143" s="268"/>
      <c r="EQ143" s="268"/>
      <c r="ER143" s="268"/>
      <c r="ES143" s="268"/>
      <c r="ET143" s="268"/>
      <c r="EU143" s="268"/>
      <c r="EV143" s="268"/>
      <c r="EW143" s="268"/>
      <c r="EX143" s="268"/>
      <c r="EY143" s="268"/>
      <c r="EZ143" s="268"/>
      <c r="FA143" s="268"/>
      <c r="FB143" s="268"/>
      <c r="FC143" s="268"/>
      <c r="FD143" s="268"/>
      <c r="FE143" s="268"/>
      <c r="FF143" s="268"/>
      <c r="FG143" s="268"/>
      <c r="FH143" s="268"/>
      <c r="FI143" s="268"/>
      <c r="FJ143" s="268"/>
      <c r="FK143" s="268"/>
      <c r="FL143" s="268"/>
      <c r="FM143" s="268"/>
      <c r="FN143" s="268"/>
      <c r="FO143" s="268"/>
      <c r="FP143" s="268"/>
      <c r="FQ143" s="268"/>
      <c r="FR143" s="268"/>
      <c r="FS143" s="268"/>
      <c r="FT143" s="268"/>
      <c r="FU143" s="268"/>
      <c r="FV143" s="268"/>
      <c r="FW143" s="268"/>
      <c r="FX143" s="268"/>
      <c r="FY143" s="268"/>
      <c r="FZ143" s="268"/>
      <c r="GA143" s="268"/>
      <c r="GB143" s="268"/>
      <c r="GC143" s="268"/>
      <c r="GD143" s="268"/>
      <c r="GE143" s="268"/>
      <c r="GF143" s="268"/>
      <c r="GG143" s="268"/>
      <c r="GH143" s="268"/>
      <c r="GI143" s="268"/>
      <c r="GJ143" s="268"/>
      <c r="GK143" s="268"/>
      <c r="GL143" s="268"/>
      <c r="GM143" s="268"/>
      <c r="GN143" s="268"/>
      <c r="GO143" s="268"/>
    </row>
    <row r="144" spans="2:197" s="275" customFormat="1" ht="39.75" hidden="1" customHeight="1">
      <c r="B144" s="268"/>
      <c r="C144" s="319"/>
      <c r="D144" s="319"/>
      <c r="E144" s="319"/>
      <c r="F144" s="319"/>
      <c r="G144" s="319"/>
      <c r="H144" s="319"/>
      <c r="I144" s="319"/>
      <c r="J144" s="319"/>
      <c r="K144" s="319"/>
      <c r="L144" s="319"/>
      <c r="M144" s="319"/>
      <c r="N144" s="319"/>
      <c r="O144" s="268"/>
      <c r="P144" s="268"/>
      <c r="Q144" s="268"/>
      <c r="R144" s="268"/>
      <c r="S144" s="574"/>
      <c r="T144" s="574"/>
      <c r="U144" s="574"/>
      <c r="V144" s="552"/>
      <c r="W144" s="268"/>
      <c r="X144" s="268"/>
      <c r="Y144" s="289" t="str">
        <f>IF($U$133=1,"","6")</f>
        <v/>
      </c>
      <c r="Z144" s="268"/>
      <c r="AA144" s="268"/>
      <c r="AB144" s="268"/>
      <c r="AC144" s="268"/>
      <c r="AD144" s="284">
        <v>42</v>
      </c>
      <c r="AE144" s="367">
        <v>41380</v>
      </c>
      <c r="AF144" s="369">
        <v>10845</v>
      </c>
      <c r="AG144" s="303">
        <v>11125</v>
      </c>
      <c r="AH144" s="367">
        <v>41380</v>
      </c>
      <c r="AI144" s="367">
        <v>42490</v>
      </c>
      <c r="AJ144" s="367">
        <v>43680</v>
      </c>
      <c r="AK144" s="606">
        <v>40270</v>
      </c>
      <c r="AL144" s="268"/>
      <c r="AM144" s="268"/>
      <c r="AN144" s="268"/>
      <c r="AO144" s="268"/>
      <c r="AP144" s="268"/>
      <c r="AQ144" s="268"/>
      <c r="AR144" s="268"/>
      <c r="AS144" s="268"/>
      <c r="AT144" s="268"/>
      <c r="AU144" s="268"/>
      <c r="AV144" s="268"/>
      <c r="AW144" s="268"/>
      <c r="AX144" s="268"/>
      <c r="AY144" s="268"/>
      <c r="AZ144" s="268"/>
      <c r="BA144" s="268"/>
      <c r="BB144" s="268"/>
      <c r="BC144" s="268"/>
      <c r="BD144" s="268"/>
      <c r="BE144" s="268"/>
      <c r="BF144" s="268"/>
      <c r="BG144" s="268"/>
      <c r="BH144" s="268"/>
      <c r="BI144" s="268"/>
      <c r="BJ144" s="268"/>
      <c r="BK144" s="268"/>
      <c r="BL144" s="268"/>
      <c r="BM144" s="268"/>
      <c r="BN144" s="268"/>
      <c r="BO144" s="268"/>
      <c r="BP144" s="268"/>
      <c r="BQ144" s="268"/>
      <c r="BR144" s="268"/>
      <c r="BS144" s="268"/>
      <c r="BT144" s="268"/>
      <c r="BU144" s="268"/>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c r="CU144" s="268"/>
      <c r="CV144" s="268"/>
      <c r="CW144" s="268"/>
      <c r="CX144" s="268"/>
      <c r="CY144" s="268"/>
      <c r="CZ144" s="268"/>
      <c r="DA144" s="268"/>
      <c r="DB144" s="268"/>
      <c r="DC144" s="268"/>
      <c r="DD144" s="268"/>
      <c r="DE144" s="268"/>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268"/>
      <c r="EC144" s="268"/>
      <c r="ED144" s="268"/>
      <c r="EE144" s="268"/>
      <c r="EF144" s="268"/>
      <c r="EG144" s="268"/>
      <c r="EH144" s="268"/>
      <c r="EI144" s="268"/>
      <c r="EJ144" s="268"/>
      <c r="EK144" s="268"/>
      <c r="EL144" s="268"/>
      <c r="EM144" s="268"/>
      <c r="EN144" s="268"/>
      <c r="EO144" s="268"/>
      <c r="EP144" s="268"/>
      <c r="EQ144" s="268"/>
      <c r="ER144" s="268"/>
      <c r="ES144" s="268"/>
      <c r="ET144" s="268"/>
      <c r="EU144" s="268"/>
      <c r="EV144" s="268"/>
      <c r="EW144" s="268"/>
      <c r="EX144" s="268"/>
      <c r="EY144" s="268"/>
      <c r="EZ144" s="268"/>
      <c r="FA144" s="268"/>
      <c r="FB144" s="268"/>
      <c r="FC144" s="268"/>
      <c r="FD144" s="268"/>
      <c r="FE144" s="268"/>
      <c r="FF144" s="268"/>
      <c r="FG144" s="268"/>
      <c r="FH144" s="268"/>
      <c r="FI144" s="268"/>
      <c r="FJ144" s="268"/>
      <c r="FK144" s="268"/>
      <c r="FL144" s="268"/>
      <c r="FM144" s="268"/>
      <c r="FN144" s="268"/>
      <c r="FO144" s="268"/>
      <c r="FP144" s="268"/>
      <c r="FQ144" s="268"/>
      <c r="FR144" s="268"/>
      <c r="FS144" s="268"/>
      <c r="FT144" s="268"/>
      <c r="FU144" s="268"/>
      <c r="FV144" s="268"/>
      <c r="FW144" s="268"/>
      <c r="FX144" s="268"/>
      <c r="FY144" s="268"/>
      <c r="FZ144" s="268"/>
      <c r="GA144" s="268"/>
      <c r="GB144" s="268"/>
      <c r="GC144" s="268"/>
      <c r="GD144" s="268"/>
      <c r="GE144" s="268"/>
      <c r="GF144" s="268"/>
      <c r="GG144" s="268"/>
      <c r="GH144" s="268"/>
      <c r="GI144" s="268"/>
      <c r="GJ144" s="268"/>
      <c r="GK144" s="268"/>
      <c r="GL144" s="268"/>
      <c r="GM144" s="268"/>
      <c r="GN144" s="268"/>
      <c r="GO144" s="268"/>
    </row>
    <row r="145" spans="2:197" s="275" customFormat="1" ht="39.75" hidden="1" customHeight="1">
      <c r="B145" s="268"/>
      <c r="C145" s="319"/>
      <c r="D145" s="319"/>
      <c r="E145" s="319"/>
      <c r="F145" s="319"/>
      <c r="G145" s="319"/>
      <c r="H145" s="319"/>
      <c r="I145" s="319"/>
      <c r="J145" s="319"/>
      <c r="K145" s="319"/>
      <c r="L145" s="319"/>
      <c r="M145" s="319"/>
      <c r="N145" s="319"/>
      <c r="O145" s="268"/>
      <c r="P145" s="268"/>
      <c r="Q145" s="268"/>
      <c r="R145" s="268"/>
      <c r="S145" s="574"/>
      <c r="T145" s="574"/>
      <c r="U145" s="574"/>
      <c r="V145" s="552"/>
      <c r="W145" s="268"/>
      <c r="X145" s="268"/>
      <c r="Y145" s="289" t="str">
        <f>IF($U$133=1,"","7")</f>
        <v/>
      </c>
      <c r="Z145" s="268"/>
      <c r="AA145" s="268"/>
      <c r="AB145" s="268"/>
      <c r="AC145" s="268"/>
      <c r="AD145" s="284">
        <v>43</v>
      </c>
      <c r="AE145" s="367">
        <v>42490</v>
      </c>
      <c r="AF145" s="369">
        <v>11125</v>
      </c>
      <c r="AG145" s="303">
        <v>11440</v>
      </c>
      <c r="AH145" s="367">
        <v>42490</v>
      </c>
      <c r="AI145" s="367">
        <v>43680</v>
      </c>
      <c r="AJ145" s="367">
        <v>44870</v>
      </c>
      <c r="AK145" s="606">
        <v>41380</v>
      </c>
      <c r="AL145" s="268"/>
      <c r="AM145" s="268"/>
      <c r="AN145" s="268"/>
      <c r="AO145" s="268"/>
      <c r="AP145" s="268"/>
      <c r="AQ145" s="268"/>
      <c r="AR145" s="268"/>
      <c r="AS145" s="268"/>
      <c r="AT145" s="268"/>
      <c r="AU145" s="268"/>
      <c r="AV145" s="268"/>
      <c r="AW145" s="268"/>
      <c r="AX145" s="268"/>
      <c r="AY145" s="268"/>
      <c r="AZ145" s="268"/>
      <c r="BA145" s="268"/>
      <c r="BB145" s="268"/>
      <c r="BC145" s="268"/>
      <c r="BD145" s="268"/>
      <c r="BE145" s="268"/>
      <c r="BF145" s="268"/>
      <c r="BG145" s="268"/>
      <c r="BH145" s="268"/>
      <c r="BI145" s="268"/>
      <c r="BJ145" s="268"/>
      <c r="BK145" s="268"/>
      <c r="BL145" s="268"/>
      <c r="BM145" s="268"/>
      <c r="BN145" s="268"/>
      <c r="BO145" s="268"/>
      <c r="BP145" s="268"/>
      <c r="BQ145" s="268"/>
      <c r="BR145" s="268"/>
      <c r="BS145" s="268"/>
      <c r="BT145" s="268"/>
      <c r="BU145" s="268"/>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c r="CU145" s="268"/>
      <c r="CV145" s="268"/>
      <c r="CW145" s="268"/>
      <c r="CX145" s="268"/>
      <c r="CY145" s="268"/>
      <c r="CZ145" s="268"/>
      <c r="DA145" s="268"/>
      <c r="DB145" s="268"/>
      <c r="DC145" s="268"/>
      <c r="DD145" s="268"/>
      <c r="DE145" s="268"/>
      <c r="DF145" s="268"/>
      <c r="DG145" s="268"/>
      <c r="DH145" s="268"/>
      <c r="DI145" s="268"/>
      <c r="DJ145" s="268"/>
      <c r="DK145" s="268"/>
      <c r="DL145" s="268"/>
      <c r="DM145" s="268"/>
      <c r="DN145" s="268"/>
      <c r="DO145" s="268"/>
      <c r="DP145" s="268"/>
      <c r="DQ145" s="268"/>
      <c r="DR145" s="268"/>
      <c r="DS145" s="268"/>
      <c r="DT145" s="268"/>
      <c r="DU145" s="268"/>
      <c r="DV145" s="268"/>
      <c r="DW145" s="268"/>
      <c r="DX145" s="268"/>
      <c r="DY145" s="268"/>
      <c r="DZ145" s="268"/>
      <c r="EA145" s="268"/>
      <c r="EB145" s="268"/>
      <c r="EC145" s="268"/>
      <c r="ED145" s="268"/>
      <c r="EE145" s="268"/>
      <c r="EF145" s="268"/>
      <c r="EG145" s="268"/>
      <c r="EH145" s="268"/>
      <c r="EI145" s="268"/>
      <c r="EJ145" s="268"/>
      <c r="EK145" s="268"/>
      <c r="EL145" s="268"/>
      <c r="EM145" s="268"/>
      <c r="EN145" s="268"/>
      <c r="EO145" s="268"/>
      <c r="EP145" s="268"/>
      <c r="EQ145" s="268"/>
      <c r="ER145" s="268"/>
      <c r="ES145" s="268"/>
      <c r="ET145" s="268"/>
      <c r="EU145" s="268"/>
      <c r="EV145" s="268"/>
      <c r="EW145" s="268"/>
      <c r="EX145" s="268"/>
      <c r="EY145" s="268"/>
      <c r="EZ145" s="268"/>
      <c r="FA145" s="268"/>
      <c r="FB145" s="268"/>
      <c r="FC145" s="268"/>
      <c r="FD145" s="268"/>
      <c r="FE145" s="268"/>
      <c r="FF145" s="268"/>
      <c r="FG145" s="268"/>
      <c r="FH145" s="268"/>
      <c r="FI145" s="268"/>
      <c r="FJ145" s="268"/>
      <c r="FK145" s="268"/>
      <c r="FL145" s="268"/>
      <c r="FM145" s="268"/>
      <c r="FN145" s="268"/>
      <c r="FO145" s="268"/>
      <c r="FP145" s="268"/>
      <c r="FQ145" s="268"/>
      <c r="FR145" s="268"/>
      <c r="FS145" s="268"/>
      <c r="FT145" s="268"/>
      <c r="FU145" s="268"/>
      <c r="FV145" s="268"/>
      <c r="FW145" s="268"/>
      <c r="FX145" s="268"/>
      <c r="FY145" s="268"/>
      <c r="FZ145" s="268"/>
      <c r="GA145" s="268"/>
      <c r="GB145" s="268"/>
      <c r="GC145" s="268"/>
      <c r="GD145" s="268"/>
      <c r="GE145" s="268"/>
      <c r="GF145" s="268"/>
      <c r="GG145" s="268"/>
      <c r="GH145" s="268"/>
      <c r="GI145" s="268"/>
      <c r="GJ145" s="268"/>
      <c r="GK145" s="268"/>
      <c r="GL145" s="268"/>
      <c r="GM145" s="268"/>
      <c r="GN145" s="268"/>
      <c r="GO145" s="268"/>
    </row>
    <row r="146" spans="2:197" s="275" customFormat="1" ht="39.75" hidden="1" customHeight="1">
      <c r="B146" s="268"/>
      <c r="C146" s="319"/>
      <c r="D146" s="319"/>
      <c r="E146" s="319"/>
      <c r="F146" s="319"/>
      <c r="G146" s="319"/>
      <c r="H146" s="319"/>
      <c r="I146" s="319"/>
      <c r="J146" s="319"/>
      <c r="K146" s="319"/>
      <c r="L146" s="319"/>
      <c r="M146" s="319"/>
      <c r="N146" s="319"/>
      <c r="O146" s="268"/>
      <c r="P146" s="268"/>
      <c r="Q146" s="268"/>
      <c r="R146" s="268"/>
      <c r="S146" s="574"/>
      <c r="T146" s="574"/>
      <c r="U146" s="574"/>
      <c r="V146" s="552"/>
      <c r="W146" s="268"/>
      <c r="X146" s="268"/>
      <c r="Y146" s="289" t="str">
        <f>IF($U$133=1,"","8")</f>
        <v/>
      </c>
      <c r="Z146" s="268"/>
      <c r="AA146" s="268"/>
      <c r="AB146" s="268"/>
      <c r="AC146" s="268"/>
      <c r="AD146" s="284">
        <v>44</v>
      </c>
      <c r="AE146" s="367">
        <v>43680</v>
      </c>
      <c r="AF146" s="369">
        <v>11440</v>
      </c>
      <c r="AG146" s="303">
        <v>11755</v>
      </c>
      <c r="AH146" s="367">
        <v>43680</v>
      </c>
      <c r="AI146" s="367">
        <v>44870</v>
      </c>
      <c r="AJ146" s="367">
        <v>46060</v>
      </c>
      <c r="AK146" s="606">
        <v>42490</v>
      </c>
      <c r="AL146" s="268"/>
      <c r="AM146" s="268"/>
      <c r="AN146" s="268"/>
      <c r="AO146" s="268"/>
      <c r="AP146" s="268"/>
      <c r="AQ146" s="268"/>
      <c r="AR146" s="268"/>
      <c r="AS146" s="268"/>
      <c r="AT146" s="268"/>
      <c r="AU146" s="268"/>
      <c r="AV146" s="268"/>
      <c r="AW146" s="268"/>
      <c r="AX146" s="268"/>
      <c r="AY146" s="268"/>
      <c r="AZ146" s="268"/>
      <c r="BA146" s="268"/>
      <c r="BB146" s="268"/>
      <c r="BC146" s="268"/>
      <c r="BD146" s="268"/>
      <c r="BE146" s="268"/>
      <c r="BF146" s="268"/>
      <c r="BG146" s="268"/>
      <c r="BH146" s="268"/>
      <c r="BI146" s="268"/>
      <c r="BJ146" s="268"/>
      <c r="BK146" s="268"/>
      <c r="BL146" s="268"/>
      <c r="BM146" s="268"/>
      <c r="BN146" s="268"/>
      <c r="BO146" s="268"/>
      <c r="BP146" s="268"/>
      <c r="BQ146" s="268"/>
      <c r="BR146" s="268"/>
      <c r="BS146" s="268"/>
      <c r="BT146" s="268"/>
      <c r="BU146" s="268"/>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c r="CU146" s="268"/>
      <c r="CV146" s="268"/>
      <c r="CW146" s="268"/>
      <c r="CX146" s="268"/>
      <c r="CY146" s="268"/>
      <c r="CZ146" s="268"/>
      <c r="DA146" s="268"/>
      <c r="DB146" s="268"/>
      <c r="DC146" s="268"/>
      <c r="DD146" s="268"/>
      <c r="DE146" s="268"/>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68"/>
      <c r="EC146" s="268"/>
      <c r="ED146" s="268"/>
      <c r="EE146" s="268"/>
      <c r="EF146" s="268"/>
      <c r="EG146" s="268"/>
      <c r="EH146" s="268"/>
      <c r="EI146" s="268"/>
      <c r="EJ146" s="268"/>
      <c r="EK146" s="268"/>
      <c r="EL146" s="268"/>
      <c r="EM146" s="268"/>
      <c r="EN146" s="268"/>
      <c r="EO146" s="268"/>
      <c r="EP146" s="268"/>
      <c r="EQ146" s="268"/>
      <c r="ER146" s="268"/>
      <c r="ES146" s="268"/>
      <c r="ET146" s="268"/>
      <c r="EU146" s="268"/>
      <c r="EV146" s="268"/>
      <c r="EW146" s="268"/>
      <c r="EX146" s="268"/>
      <c r="EY146" s="268"/>
      <c r="EZ146" s="268"/>
      <c r="FA146" s="268"/>
      <c r="FB146" s="268"/>
      <c r="FC146" s="268"/>
      <c r="FD146" s="268"/>
      <c r="FE146" s="268"/>
      <c r="FF146" s="268"/>
      <c r="FG146" s="268"/>
      <c r="FH146" s="268"/>
      <c r="FI146" s="268"/>
      <c r="FJ146" s="268"/>
      <c r="FK146" s="268"/>
      <c r="FL146" s="268"/>
      <c r="FM146" s="268"/>
      <c r="FN146" s="268"/>
      <c r="FO146" s="268"/>
      <c r="FP146" s="268"/>
      <c r="FQ146" s="268"/>
      <c r="FR146" s="268"/>
      <c r="FS146" s="268"/>
      <c r="FT146" s="268"/>
      <c r="FU146" s="268"/>
      <c r="FV146" s="268"/>
      <c r="FW146" s="268"/>
      <c r="FX146" s="268"/>
      <c r="FY146" s="268"/>
      <c r="FZ146" s="268"/>
      <c r="GA146" s="268"/>
      <c r="GB146" s="268"/>
      <c r="GC146" s="268"/>
      <c r="GD146" s="268"/>
      <c r="GE146" s="268"/>
      <c r="GF146" s="268"/>
      <c r="GG146" s="268"/>
      <c r="GH146" s="268"/>
      <c r="GI146" s="268"/>
      <c r="GJ146" s="268"/>
      <c r="GK146" s="268"/>
      <c r="GL146" s="268"/>
      <c r="GM146" s="268"/>
      <c r="GN146" s="268"/>
      <c r="GO146" s="268"/>
    </row>
    <row r="147" spans="2:197" s="275" customFormat="1" ht="39.75" hidden="1" customHeight="1">
      <c r="B147" s="268"/>
      <c r="C147" s="319"/>
      <c r="D147" s="319"/>
      <c r="E147" s="319"/>
      <c r="F147" s="319"/>
      <c r="G147" s="319"/>
      <c r="H147" s="319"/>
      <c r="I147" s="319"/>
      <c r="J147" s="319"/>
      <c r="K147" s="319"/>
      <c r="L147" s="319"/>
      <c r="M147" s="319"/>
      <c r="N147" s="319"/>
      <c r="O147" s="268"/>
      <c r="P147" s="268"/>
      <c r="Q147" s="268"/>
      <c r="R147" s="268"/>
      <c r="S147" s="574"/>
      <c r="T147" s="574"/>
      <c r="U147" s="574"/>
      <c r="V147" s="552"/>
      <c r="W147" s="268"/>
      <c r="X147" s="268"/>
      <c r="Y147" s="289" t="str">
        <f>IF($U$133=1,"","9")</f>
        <v/>
      </c>
      <c r="Z147" s="268"/>
      <c r="AA147" s="268"/>
      <c r="AB147" s="268"/>
      <c r="AC147" s="268"/>
      <c r="AD147" s="284">
        <v>45</v>
      </c>
      <c r="AE147" s="367">
        <v>44870</v>
      </c>
      <c r="AF147" s="369">
        <v>11755</v>
      </c>
      <c r="AG147" s="303">
        <v>12070</v>
      </c>
      <c r="AH147" s="367">
        <v>44870</v>
      </c>
      <c r="AI147" s="367">
        <v>46060</v>
      </c>
      <c r="AJ147" s="367">
        <v>47330</v>
      </c>
      <c r="AK147" s="606">
        <v>43680</v>
      </c>
      <c r="AL147" s="268"/>
      <c r="AM147" s="268"/>
      <c r="AN147" s="268"/>
      <c r="AO147" s="268"/>
      <c r="AP147" s="268"/>
      <c r="AQ147" s="268"/>
      <c r="AR147" s="268"/>
      <c r="AS147" s="268"/>
      <c r="AT147" s="268"/>
      <c r="AU147" s="268"/>
      <c r="AV147" s="268"/>
      <c r="AW147" s="268"/>
      <c r="AX147" s="268"/>
      <c r="AY147" s="268"/>
      <c r="AZ147" s="268"/>
      <c r="BA147" s="268"/>
      <c r="BB147" s="268"/>
      <c r="BC147" s="268"/>
      <c r="BD147" s="268"/>
      <c r="BE147" s="268"/>
      <c r="BF147" s="268"/>
      <c r="BG147" s="268"/>
      <c r="BH147" s="268"/>
      <c r="BI147" s="268"/>
      <c r="BJ147" s="268"/>
      <c r="BK147" s="268"/>
      <c r="BL147" s="268"/>
      <c r="BM147" s="268"/>
      <c r="BN147" s="268"/>
      <c r="BO147" s="268"/>
      <c r="BP147" s="268"/>
      <c r="BQ147" s="268"/>
      <c r="BR147" s="268"/>
      <c r="BS147" s="268"/>
      <c r="BT147" s="268"/>
      <c r="BU147" s="268"/>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c r="CU147" s="268"/>
      <c r="CV147" s="268"/>
      <c r="CW147" s="268"/>
      <c r="CX147" s="268"/>
      <c r="CY147" s="268"/>
      <c r="CZ147" s="268"/>
      <c r="DA147" s="268"/>
      <c r="DB147" s="268"/>
      <c r="DC147" s="268"/>
      <c r="DD147" s="268"/>
      <c r="DE147" s="268"/>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68"/>
      <c r="EB147" s="268"/>
      <c r="EC147" s="268"/>
      <c r="ED147" s="268"/>
      <c r="EE147" s="268"/>
      <c r="EF147" s="268"/>
      <c r="EG147" s="268"/>
      <c r="EH147" s="268"/>
      <c r="EI147" s="268"/>
      <c r="EJ147" s="268"/>
      <c r="EK147" s="268"/>
      <c r="EL147" s="268"/>
      <c r="EM147" s="268"/>
      <c r="EN147" s="268"/>
      <c r="EO147" s="268"/>
      <c r="EP147" s="268"/>
      <c r="EQ147" s="268"/>
      <c r="ER147" s="268"/>
      <c r="ES147" s="268"/>
      <c r="ET147" s="268"/>
      <c r="EU147" s="268"/>
      <c r="EV147" s="268"/>
      <c r="EW147" s="268"/>
      <c r="EX147" s="268"/>
      <c r="EY147" s="268"/>
      <c r="EZ147" s="268"/>
      <c r="FA147" s="268"/>
      <c r="FB147" s="268"/>
      <c r="FC147" s="268"/>
      <c r="FD147" s="268"/>
      <c r="FE147" s="268"/>
      <c r="FF147" s="268"/>
      <c r="FG147" s="268"/>
      <c r="FH147" s="268"/>
      <c r="FI147" s="268"/>
      <c r="FJ147" s="268"/>
      <c r="FK147" s="268"/>
      <c r="FL147" s="268"/>
      <c r="FM147" s="268"/>
      <c r="FN147" s="268"/>
      <c r="FO147" s="268"/>
      <c r="FP147" s="268"/>
      <c r="FQ147" s="268"/>
      <c r="FR147" s="268"/>
      <c r="FS147" s="268"/>
      <c r="FT147" s="268"/>
      <c r="FU147" s="268"/>
      <c r="FV147" s="268"/>
      <c r="FW147" s="268"/>
      <c r="FX147" s="268"/>
      <c r="FY147" s="268"/>
      <c r="FZ147" s="268"/>
      <c r="GA147" s="268"/>
      <c r="GB147" s="268"/>
      <c r="GC147" s="268"/>
      <c r="GD147" s="268"/>
      <c r="GE147" s="268"/>
      <c r="GF147" s="268"/>
      <c r="GG147" s="268"/>
      <c r="GH147" s="268"/>
      <c r="GI147" s="268"/>
      <c r="GJ147" s="268"/>
      <c r="GK147" s="268"/>
      <c r="GL147" s="268"/>
      <c r="GM147" s="268"/>
      <c r="GN147" s="268"/>
      <c r="GO147" s="268"/>
    </row>
    <row r="148" spans="2:197" s="275" customFormat="1" ht="39.75" hidden="1" customHeight="1">
      <c r="B148" s="268"/>
      <c r="C148" s="319"/>
      <c r="D148" s="319"/>
      <c r="E148" s="319"/>
      <c r="F148" s="319"/>
      <c r="G148" s="319"/>
      <c r="H148" s="319"/>
      <c r="I148" s="319"/>
      <c r="J148" s="319"/>
      <c r="K148" s="319"/>
      <c r="L148" s="319"/>
      <c r="M148" s="319"/>
      <c r="N148" s="319"/>
      <c r="O148" s="268"/>
      <c r="P148" s="268"/>
      <c r="Q148" s="268"/>
      <c r="R148" s="268"/>
      <c r="S148" s="574"/>
      <c r="T148" s="574"/>
      <c r="U148" s="574"/>
      <c r="V148" s="552"/>
      <c r="W148" s="268"/>
      <c r="X148" s="268"/>
      <c r="Y148" s="289" t="str">
        <f>IF($U$133=1,"","10")</f>
        <v/>
      </c>
      <c r="Z148" s="268"/>
      <c r="AA148" s="268"/>
      <c r="AB148" s="268"/>
      <c r="AC148" s="268"/>
      <c r="AD148" s="284">
        <v>46</v>
      </c>
      <c r="AE148" s="367">
        <v>46060</v>
      </c>
      <c r="AF148" s="369">
        <v>12070</v>
      </c>
      <c r="AG148" s="303">
        <v>12385</v>
      </c>
      <c r="AH148" s="367">
        <v>46060</v>
      </c>
      <c r="AI148" s="367">
        <v>47330</v>
      </c>
      <c r="AJ148" s="367">
        <v>48600</v>
      </c>
      <c r="AK148" s="606">
        <v>44870</v>
      </c>
      <c r="AL148" s="268"/>
      <c r="AM148" s="268"/>
      <c r="AN148" s="268"/>
      <c r="AO148" s="268"/>
      <c r="AP148" s="268"/>
      <c r="AQ148" s="268"/>
      <c r="AR148" s="268"/>
      <c r="AS148" s="268"/>
      <c r="AT148" s="268"/>
      <c r="AU148" s="268"/>
      <c r="AV148" s="268"/>
      <c r="AW148" s="268"/>
      <c r="AX148" s="268"/>
      <c r="AY148" s="268"/>
      <c r="AZ148" s="268"/>
      <c r="BA148" s="268"/>
      <c r="BB148" s="268"/>
      <c r="BC148" s="268"/>
      <c r="BD148" s="268"/>
      <c r="BE148" s="268"/>
      <c r="BF148" s="268"/>
      <c r="BG148" s="268"/>
      <c r="BH148" s="268"/>
      <c r="BI148" s="268"/>
      <c r="BJ148" s="268"/>
      <c r="BK148" s="268"/>
      <c r="BL148" s="268"/>
      <c r="BM148" s="268"/>
      <c r="BN148" s="268"/>
      <c r="BO148" s="268"/>
      <c r="BP148" s="268"/>
      <c r="BQ148" s="268"/>
      <c r="BR148" s="268"/>
      <c r="BS148" s="268"/>
      <c r="BT148" s="268"/>
      <c r="BU148" s="268"/>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c r="CU148" s="268"/>
      <c r="CV148" s="268"/>
      <c r="CW148" s="268"/>
      <c r="CX148" s="268"/>
      <c r="CY148" s="268"/>
      <c r="CZ148" s="268"/>
      <c r="DA148" s="268"/>
      <c r="DB148" s="268"/>
      <c r="DC148" s="268"/>
      <c r="DD148" s="268"/>
      <c r="DE148" s="268"/>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268"/>
      <c r="EC148" s="268"/>
      <c r="ED148" s="268"/>
      <c r="EE148" s="268"/>
      <c r="EF148" s="268"/>
      <c r="EG148" s="268"/>
      <c r="EH148" s="268"/>
      <c r="EI148" s="268"/>
      <c r="EJ148" s="268"/>
      <c r="EK148" s="268"/>
      <c r="EL148" s="268"/>
      <c r="EM148" s="268"/>
      <c r="EN148" s="268"/>
      <c r="EO148" s="268"/>
      <c r="EP148" s="268"/>
      <c r="EQ148" s="268"/>
      <c r="ER148" s="268"/>
      <c r="ES148" s="268"/>
      <c r="ET148" s="268"/>
      <c r="EU148" s="268"/>
      <c r="EV148" s="268"/>
      <c r="EW148" s="268"/>
      <c r="EX148" s="268"/>
      <c r="EY148" s="268"/>
      <c r="EZ148" s="268"/>
      <c r="FA148" s="268"/>
      <c r="FB148" s="268"/>
      <c r="FC148" s="268"/>
      <c r="FD148" s="268"/>
      <c r="FE148" s="268"/>
      <c r="FF148" s="268"/>
      <c r="FG148" s="268"/>
      <c r="FH148" s="268"/>
      <c r="FI148" s="268"/>
      <c r="FJ148" s="268"/>
      <c r="FK148" s="268"/>
      <c r="FL148" s="268"/>
      <c r="FM148" s="268"/>
      <c r="FN148" s="268"/>
      <c r="FO148" s="268"/>
      <c r="FP148" s="268"/>
      <c r="FQ148" s="268"/>
      <c r="FR148" s="268"/>
      <c r="FS148" s="268"/>
      <c r="FT148" s="268"/>
      <c r="FU148" s="268"/>
      <c r="FV148" s="268"/>
      <c r="FW148" s="268"/>
      <c r="FX148" s="268"/>
      <c r="FY148" s="268"/>
      <c r="FZ148" s="268"/>
      <c r="GA148" s="268"/>
      <c r="GB148" s="268"/>
      <c r="GC148" s="268"/>
      <c r="GD148" s="268"/>
      <c r="GE148" s="268"/>
      <c r="GF148" s="268"/>
      <c r="GG148" s="268"/>
      <c r="GH148" s="268"/>
      <c r="GI148" s="268"/>
      <c r="GJ148" s="268"/>
      <c r="GK148" s="268"/>
      <c r="GL148" s="268"/>
      <c r="GM148" s="268"/>
      <c r="GN148" s="268"/>
      <c r="GO148" s="268"/>
    </row>
    <row r="149" spans="2:197" s="275" customFormat="1" ht="39.75" hidden="1" customHeight="1">
      <c r="B149" s="268"/>
      <c r="C149" s="319"/>
      <c r="D149" s="319"/>
      <c r="E149" s="319"/>
      <c r="F149" s="319"/>
      <c r="G149" s="319"/>
      <c r="H149" s="319"/>
      <c r="I149" s="319"/>
      <c r="J149" s="319"/>
      <c r="K149" s="319"/>
      <c r="L149" s="319"/>
      <c r="M149" s="319"/>
      <c r="N149" s="319"/>
      <c r="O149" s="268"/>
      <c r="P149" s="268"/>
      <c r="Q149" s="268"/>
      <c r="R149" s="268"/>
      <c r="S149" s="574"/>
      <c r="T149" s="574"/>
      <c r="U149" s="574"/>
      <c r="V149" s="552"/>
      <c r="W149" s="268"/>
      <c r="X149" s="268"/>
      <c r="Y149" s="289" t="str">
        <f>IF($U$133=1,"","11")</f>
        <v/>
      </c>
      <c r="Z149" s="268"/>
      <c r="AA149" s="268"/>
      <c r="AB149" s="268"/>
      <c r="AC149" s="268"/>
      <c r="AD149" s="284">
        <v>47</v>
      </c>
      <c r="AE149" s="367">
        <v>47330</v>
      </c>
      <c r="AF149" s="369">
        <v>12385</v>
      </c>
      <c r="AG149" s="303">
        <v>12700</v>
      </c>
      <c r="AH149" s="367">
        <v>47330</v>
      </c>
      <c r="AI149" s="367">
        <v>48600</v>
      </c>
      <c r="AJ149" s="367">
        <v>49870</v>
      </c>
      <c r="AK149" s="606">
        <v>46060</v>
      </c>
      <c r="AL149" s="268"/>
      <c r="AM149" s="268"/>
      <c r="AN149" s="268"/>
      <c r="AO149" s="268"/>
      <c r="AP149" s="268"/>
      <c r="AQ149" s="268"/>
      <c r="AR149" s="268"/>
      <c r="AS149" s="268"/>
      <c r="AT149" s="268"/>
      <c r="AU149" s="268"/>
      <c r="AV149" s="268"/>
      <c r="AW149" s="268"/>
      <c r="AX149" s="268"/>
      <c r="AY149" s="268"/>
      <c r="AZ149" s="268"/>
      <c r="BA149" s="268"/>
      <c r="BB149" s="268"/>
      <c r="BC149" s="268"/>
      <c r="BD149" s="268"/>
      <c r="BE149" s="268"/>
      <c r="BF149" s="268"/>
      <c r="BG149" s="268"/>
      <c r="BH149" s="268"/>
      <c r="BI149" s="268"/>
      <c r="BJ149" s="268"/>
      <c r="BK149" s="268"/>
      <c r="BL149" s="268"/>
      <c r="BM149" s="268"/>
      <c r="BN149" s="268"/>
      <c r="BO149" s="268"/>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c r="CU149" s="268"/>
      <c r="CV149" s="268"/>
      <c r="CW149" s="268"/>
      <c r="CX149" s="268"/>
      <c r="CY149" s="268"/>
      <c r="CZ149" s="268"/>
      <c r="DA149" s="268"/>
      <c r="DB149" s="268"/>
      <c r="DC149" s="268"/>
      <c r="DD149" s="268"/>
      <c r="DE149" s="268"/>
      <c r="DF149" s="268"/>
      <c r="DG149" s="268"/>
      <c r="DH149" s="268"/>
      <c r="DI149" s="268"/>
      <c r="DJ149" s="268"/>
      <c r="DK149" s="268"/>
      <c r="DL149" s="268"/>
      <c r="DM149" s="268"/>
      <c r="DN149" s="268"/>
      <c r="DO149" s="268"/>
      <c r="DP149" s="268"/>
      <c r="DQ149" s="268"/>
      <c r="DR149" s="268"/>
      <c r="DS149" s="268"/>
      <c r="DT149" s="268"/>
      <c r="DU149" s="268"/>
      <c r="DV149" s="268"/>
      <c r="DW149" s="268"/>
      <c r="DX149" s="268"/>
      <c r="DY149" s="268"/>
      <c r="DZ149" s="268"/>
      <c r="EA149" s="268"/>
      <c r="EB149" s="268"/>
      <c r="EC149" s="268"/>
      <c r="ED149" s="268"/>
      <c r="EE149" s="268"/>
      <c r="EF149" s="268"/>
      <c r="EG149" s="268"/>
      <c r="EH149" s="268"/>
      <c r="EI149" s="268"/>
      <c r="EJ149" s="268"/>
      <c r="EK149" s="268"/>
      <c r="EL149" s="268"/>
      <c r="EM149" s="268"/>
      <c r="EN149" s="268"/>
      <c r="EO149" s="268"/>
      <c r="EP149" s="268"/>
      <c r="EQ149" s="268"/>
      <c r="ER149" s="268"/>
      <c r="ES149" s="268"/>
      <c r="ET149" s="268"/>
      <c r="EU149" s="268"/>
      <c r="EV149" s="268"/>
      <c r="EW149" s="268"/>
      <c r="EX149" s="268"/>
      <c r="EY149" s="268"/>
      <c r="EZ149" s="268"/>
      <c r="FA149" s="268"/>
      <c r="FB149" s="268"/>
      <c r="FC149" s="268"/>
      <c r="FD149" s="268"/>
      <c r="FE149" s="268"/>
      <c r="FF149" s="268"/>
      <c r="FG149" s="268"/>
      <c r="FH149" s="268"/>
      <c r="FI149" s="268"/>
      <c r="FJ149" s="268"/>
      <c r="FK149" s="268"/>
      <c r="FL149" s="268"/>
      <c r="FM149" s="268"/>
      <c r="FN149" s="268"/>
      <c r="FO149" s="268"/>
      <c r="FP149" s="268"/>
      <c r="FQ149" s="268"/>
      <c r="FR149" s="268"/>
      <c r="FS149" s="268"/>
      <c r="FT149" s="268"/>
      <c r="FU149" s="268"/>
      <c r="FV149" s="268"/>
      <c r="FW149" s="268"/>
      <c r="FX149" s="268"/>
      <c r="FY149" s="268"/>
      <c r="FZ149" s="268"/>
      <c r="GA149" s="268"/>
      <c r="GB149" s="268"/>
      <c r="GC149" s="268"/>
      <c r="GD149" s="268"/>
      <c r="GE149" s="268"/>
      <c r="GF149" s="268"/>
      <c r="GG149" s="268"/>
      <c r="GH149" s="268"/>
      <c r="GI149" s="268"/>
      <c r="GJ149" s="268"/>
      <c r="GK149" s="268"/>
      <c r="GL149" s="268"/>
      <c r="GM149" s="268"/>
      <c r="GN149" s="268"/>
      <c r="GO149" s="268"/>
    </row>
    <row r="150" spans="2:197" s="275" customFormat="1" ht="39.75" hidden="1" customHeight="1">
      <c r="B150" s="268"/>
      <c r="C150" s="319"/>
      <c r="D150" s="319"/>
      <c r="E150" s="319"/>
      <c r="F150" s="319"/>
      <c r="G150" s="319"/>
      <c r="H150" s="319"/>
      <c r="I150" s="319"/>
      <c r="J150" s="319"/>
      <c r="K150" s="319"/>
      <c r="L150" s="319"/>
      <c r="M150" s="319"/>
      <c r="N150" s="319"/>
      <c r="O150" s="268"/>
      <c r="P150" s="268"/>
      <c r="Q150" s="268"/>
      <c r="R150" s="268"/>
      <c r="S150" s="574"/>
      <c r="T150" s="574"/>
      <c r="U150" s="574"/>
      <c r="V150" s="552"/>
      <c r="W150" s="268"/>
      <c r="X150" s="268"/>
      <c r="Y150" s="289" t="str">
        <f>IF($U$133=1,"","12")</f>
        <v/>
      </c>
      <c r="Z150" s="268"/>
      <c r="AA150" s="268"/>
      <c r="AB150" s="268"/>
      <c r="AC150" s="268"/>
      <c r="AD150" s="284">
        <v>48</v>
      </c>
      <c r="AE150" s="367">
        <v>48600</v>
      </c>
      <c r="AF150" s="369">
        <v>12700</v>
      </c>
      <c r="AG150" s="303">
        <v>13030</v>
      </c>
      <c r="AH150" s="367">
        <v>48600</v>
      </c>
      <c r="AI150" s="367">
        <v>49870</v>
      </c>
      <c r="AJ150" s="367">
        <v>51230</v>
      </c>
      <c r="AK150" s="606">
        <v>47330</v>
      </c>
      <c r="AL150" s="268"/>
      <c r="AM150" s="268"/>
      <c r="AN150" s="268"/>
      <c r="AO150" s="268"/>
      <c r="AP150" s="268"/>
      <c r="AQ150" s="268"/>
      <c r="AR150" s="268"/>
      <c r="AS150" s="268"/>
      <c r="AT150" s="268"/>
      <c r="AU150" s="268"/>
      <c r="AV150" s="268"/>
      <c r="AW150" s="268"/>
      <c r="AX150" s="268"/>
      <c r="AY150" s="268"/>
      <c r="AZ150" s="268"/>
      <c r="BA150" s="268"/>
      <c r="BB150" s="268"/>
      <c r="BC150" s="268"/>
      <c r="BD150" s="268"/>
      <c r="BE150" s="268"/>
      <c r="BF150" s="268"/>
      <c r="BG150" s="268"/>
      <c r="BH150" s="268"/>
      <c r="BI150" s="268"/>
      <c r="BJ150" s="268"/>
      <c r="BK150" s="268"/>
      <c r="BL150" s="268"/>
      <c r="BM150" s="268"/>
      <c r="BN150" s="268"/>
      <c r="BO150" s="268"/>
      <c r="BP150" s="268"/>
      <c r="BQ150" s="268"/>
      <c r="BR150" s="268"/>
      <c r="BS150" s="268"/>
      <c r="BT150" s="268"/>
      <c r="BU150" s="268"/>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c r="CU150" s="268"/>
      <c r="CV150" s="268"/>
      <c r="CW150" s="268"/>
      <c r="CX150" s="268"/>
      <c r="CY150" s="268"/>
      <c r="CZ150" s="268"/>
      <c r="DA150" s="268"/>
      <c r="DB150" s="268"/>
      <c r="DC150" s="268"/>
      <c r="DD150" s="268"/>
      <c r="DE150" s="268"/>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268"/>
      <c r="EC150" s="268"/>
      <c r="ED150" s="268"/>
      <c r="EE150" s="268"/>
      <c r="EF150" s="268"/>
      <c r="EG150" s="268"/>
      <c r="EH150" s="268"/>
      <c r="EI150" s="268"/>
      <c r="EJ150" s="268"/>
      <c r="EK150" s="268"/>
      <c r="EL150" s="268"/>
      <c r="EM150" s="268"/>
      <c r="EN150" s="268"/>
      <c r="EO150" s="268"/>
      <c r="EP150" s="268"/>
      <c r="EQ150" s="268"/>
      <c r="ER150" s="268"/>
      <c r="ES150" s="268"/>
      <c r="ET150" s="268"/>
      <c r="EU150" s="268"/>
      <c r="EV150" s="268"/>
      <c r="EW150" s="268"/>
      <c r="EX150" s="268"/>
      <c r="EY150" s="268"/>
      <c r="EZ150" s="268"/>
      <c r="FA150" s="268"/>
      <c r="FB150" s="268"/>
      <c r="FC150" s="268"/>
      <c r="FD150" s="268"/>
      <c r="FE150" s="268"/>
      <c r="FF150" s="268"/>
      <c r="FG150" s="268"/>
      <c r="FH150" s="268"/>
      <c r="FI150" s="268"/>
      <c r="FJ150" s="268"/>
      <c r="FK150" s="268"/>
      <c r="FL150" s="268"/>
      <c r="FM150" s="268"/>
      <c r="FN150" s="268"/>
      <c r="FO150" s="268"/>
      <c r="FP150" s="268"/>
      <c r="FQ150" s="268"/>
      <c r="FR150" s="268"/>
      <c r="FS150" s="268"/>
      <c r="FT150" s="268"/>
      <c r="FU150" s="268"/>
      <c r="FV150" s="268"/>
      <c r="FW150" s="268"/>
      <c r="FX150" s="268"/>
      <c r="FY150" s="268"/>
      <c r="FZ150" s="268"/>
      <c r="GA150" s="268"/>
      <c r="GB150" s="268"/>
      <c r="GC150" s="268"/>
      <c r="GD150" s="268"/>
      <c r="GE150" s="268"/>
      <c r="GF150" s="268"/>
      <c r="GG150" s="268"/>
      <c r="GH150" s="268"/>
      <c r="GI150" s="268"/>
      <c r="GJ150" s="268"/>
      <c r="GK150" s="268"/>
      <c r="GL150" s="268"/>
      <c r="GM150" s="268"/>
      <c r="GN150" s="268"/>
      <c r="GO150" s="268"/>
    </row>
    <row r="151" spans="2:197" s="275" customFormat="1" ht="39.75" hidden="1" customHeight="1">
      <c r="B151" s="268"/>
      <c r="C151" s="319"/>
      <c r="D151" s="319"/>
      <c r="E151" s="319"/>
      <c r="F151" s="319"/>
      <c r="G151" s="319"/>
      <c r="H151" s="319"/>
      <c r="I151" s="319"/>
      <c r="J151" s="319"/>
      <c r="K151" s="319"/>
      <c r="L151" s="319"/>
      <c r="M151" s="319"/>
      <c r="N151" s="319"/>
      <c r="O151" s="268"/>
      <c r="P151" s="268"/>
      <c r="Q151" s="268"/>
      <c r="R151" s="268"/>
      <c r="S151" s="574"/>
      <c r="T151" s="574"/>
      <c r="U151" s="574"/>
      <c r="V151" s="552"/>
      <c r="W151" s="268"/>
      <c r="X151" s="268"/>
      <c r="Y151" s="289" t="str">
        <f>IF($U$133=1,"","13")</f>
        <v/>
      </c>
      <c r="Z151" s="268"/>
      <c r="AA151" s="268"/>
      <c r="AB151" s="268"/>
      <c r="AC151" s="268"/>
      <c r="AD151" s="284">
        <v>49</v>
      </c>
      <c r="AE151" s="367">
        <v>49870</v>
      </c>
      <c r="AF151" s="369">
        <v>13030</v>
      </c>
      <c r="AG151" s="303">
        <v>13390</v>
      </c>
      <c r="AH151" s="367">
        <v>49870</v>
      </c>
      <c r="AI151" s="367">
        <v>51230</v>
      </c>
      <c r="AJ151" s="367">
        <v>52590</v>
      </c>
      <c r="AK151" s="606">
        <v>48600</v>
      </c>
      <c r="AL151" s="268"/>
      <c r="AM151" s="268"/>
      <c r="AN151" s="268"/>
      <c r="AO151" s="268"/>
      <c r="AP151" s="268"/>
      <c r="AQ151" s="268"/>
      <c r="AR151" s="268"/>
      <c r="AS151" s="268"/>
      <c r="AT151" s="268"/>
      <c r="AU151" s="268"/>
      <c r="AV151" s="268"/>
      <c r="AW151" s="268"/>
      <c r="AX151" s="268"/>
      <c r="AY151" s="268"/>
      <c r="AZ151" s="268"/>
      <c r="BA151" s="268"/>
      <c r="BB151" s="268"/>
      <c r="BC151" s="268"/>
      <c r="BD151" s="268"/>
      <c r="BE151" s="268"/>
      <c r="BF151" s="268"/>
      <c r="BG151" s="268"/>
      <c r="BH151" s="268"/>
      <c r="BI151" s="268"/>
      <c r="BJ151" s="268"/>
      <c r="BK151" s="268"/>
      <c r="BL151" s="268"/>
      <c r="BM151" s="268"/>
      <c r="BN151" s="268"/>
      <c r="BO151" s="268"/>
      <c r="BP151" s="268"/>
      <c r="BQ151" s="268"/>
      <c r="BR151" s="268"/>
      <c r="BS151" s="268"/>
      <c r="BT151" s="268"/>
      <c r="BU151" s="268"/>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c r="CU151" s="268"/>
      <c r="CV151" s="268"/>
      <c r="CW151" s="268"/>
      <c r="CX151" s="268"/>
      <c r="CY151" s="268"/>
      <c r="CZ151" s="268"/>
      <c r="DA151" s="268"/>
      <c r="DB151" s="268"/>
      <c r="DC151" s="268"/>
      <c r="DD151" s="268"/>
      <c r="DE151" s="268"/>
      <c r="DF151" s="268"/>
      <c r="DG151" s="268"/>
      <c r="DH151" s="268"/>
      <c r="DI151" s="268"/>
      <c r="DJ151" s="268"/>
      <c r="DK151" s="268"/>
      <c r="DL151" s="268"/>
      <c r="DM151" s="268"/>
      <c r="DN151" s="268"/>
      <c r="DO151" s="268"/>
      <c r="DP151" s="268"/>
      <c r="DQ151" s="268"/>
      <c r="DR151" s="268"/>
      <c r="DS151" s="268"/>
      <c r="DT151" s="268"/>
      <c r="DU151" s="268"/>
      <c r="DV151" s="268"/>
      <c r="DW151" s="268"/>
      <c r="DX151" s="268"/>
      <c r="DY151" s="268"/>
      <c r="DZ151" s="268"/>
      <c r="EA151" s="268"/>
      <c r="EB151" s="268"/>
      <c r="EC151" s="268"/>
      <c r="ED151" s="268"/>
      <c r="EE151" s="268"/>
      <c r="EF151" s="268"/>
      <c r="EG151" s="268"/>
      <c r="EH151" s="268"/>
      <c r="EI151" s="268"/>
      <c r="EJ151" s="268"/>
      <c r="EK151" s="268"/>
      <c r="EL151" s="268"/>
      <c r="EM151" s="268"/>
      <c r="EN151" s="268"/>
      <c r="EO151" s="268"/>
      <c r="EP151" s="268"/>
      <c r="EQ151" s="268"/>
      <c r="ER151" s="268"/>
      <c r="ES151" s="268"/>
      <c r="ET151" s="268"/>
      <c r="EU151" s="268"/>
      <c r="EV151" s="268"/>
      <c r="EW151" s="268"/>
      <c r="EX151" s="268"/>
      <c r="EY151" s="268"/>
      <c r="EZ151" s="268"/>
      <c r="FA151" s="268"/>
      <c r="FB151" s="268"/>
      <c r="FC151" s="268"/>
      <c r="FD151" s="268"/>
      <c r="FE151" s="268"/>
      <c r="FF151" s="268"/>
      <c r="FG151" s="268"/>
      <c r="FH151" s="268"/>
      <c r="FI151" s="268"/>
      <c r="FJ151" s="268"/>
      <c r="FK151" s="268"/>
      <c r="FL151" s="268"/>
      <c r="FM151" s="268"/>
      <c r="FN151" s="268"/>
      <c r="FO151" s="268"/>
      <c r="FP151" s="268"/>
      <c r="FQ151" s="268"/>
      <c r="FR151" s="268"/>
      <c r="FS151" s="268"/>
      <c r="FT151" s="268"/>
      <c r="FU151" s="268"/>
      <c r="FV151" s="268"/>
      <c r="FW151" s="268"/>
      <c r="FX151" s="268"/>
      <c r="FY151" s="268"/>
      <c r="FZ151" s="268"/>
      <c r="GA151" s="268"/>
      <c r="GB151" s="268"/>
      <c r="GC151" s="268"/>
      <c r="GD151" s="268"/>
      <c r="GE151" s="268"/>
      <c r="GF151" s="268"/>
      <c r="GG151" s="268"/>
      <c r="GH151" s="268"/>
      <c r="GI151" s="268"/>
      <c r="GJ151" s="268"/>
      <c r="GK151" s="268"/>
      <c r="GL151" s="268"/>
      <c r="GM151" s="268"/>
      <c r="GN151" s="268"/>
      <c r="GO151" s="268"/>
    </row>
    <row r="152" spans="2:197" s="275" customFormat="1" ht="39.75" hidden="1" customHeight="1">
      <c r="B152" s="268"/>
      <c r="C152" s="319"/>
      <c r="D152" s="319"/>
      <c r="E152" s="319"/>
      <c r="F152" s="319"/>
      <c r="G152" s="319"/>
      <c r="H152" s="319"/>
      <c r="I152" s="319"/>
      <c r="J152" s="319"/>
      <c r="K152" s="319"/>
      <c r="L152" s="319"/>
      <c r="M152" s="319"/>
      <c r="N152" s="319"/>
      <c r="O152" s="268"/>
      <c r="P152" s="268"/>
      <c r="Q152" s="268"/>
      <c r="R152" s="268"/>
      <c r="S152" s="574"/>
      <c r="T152" s="574"/>
      <c r="U152" s="574"/>
      <c r="V152" s="552"/>
      <c r="W152" s="268"/>
      <c r="X152" s="268"/>
      <c r="Y152" s="289" t="str">
        <f>IF($U$133=1,"","14")</f>
        <v/>
      </c>
      <c r="Z152" s="268"/>
      <c r="AA152" s="268"/>
      <c r="AB152" s="268"/>
      <c r="AC152" s="268"/>
      <c r="AD152" s="284">
        <v>50</v>
      </c>
      <c r="AE152" s="367">
        <v>51230</v>
      </c>
      <c r="AF152" s="369">
        <v>13390</v>
      </c>
      <c r="AG152" s="303">
        <v>13750</v>
      </c>
      <c r="AH152" s="367">
        <v>51230</v>
      </c>
      <c r="AI152" s="367">
        <v>52590</v>
      </c>
      <c r="AJ152" s="367">
        <v>53950</v>
      </c>
      <c r="AK152" s="606">
        <v>49870</v>
      </c>
      <c r="AL152" s="268"/>
      <c r="AM152" s="268"/>
      <c r="AN152" s="268"/>
      <c r="AO152" s="268"/>
      <c r="AP152" s="268"/>
      <c r="AQ152" s="268"/>
      <c r="AR152" s="268"/>
      <c r="AS152" s="268"/>
      <c r="AT152" s="268"/>
      <c r="AU152" s="268"/>
      <c r="AV152" s="268"/>
      <c r="AW152" s="268"/>
      <c r="AX152" s="268"/>
      <c r="AY152" s="268"/>
      <c r="AZ152" s="268"/>
      <c r="BA152" s="268"/>
      <c r="BB152" s="268"/>
      <c r="BC152" s="268"/>
      <c r="BD152" s="268"/>
      <c r="BE152" s="268"/>
      <c r="BF152" s="268"/>
      <c r="BG152" s="268"/>
      <c r="BH152" s="268"/>
      <c r="BI152" s="268"/>
      <c r="BJ152" s="268"/>
      <c r="BK152" s="268"/>
      <c r="BL152" s="268"/>
      <c r="BM152" s="268"/>
      <c r="BN152" s="268"/>
      <c r="BO152" s="268"/>
      <c r="BP152" s="268"/>
      <c r="BQ152" s="268"/>
      <c r="BR152" s="268"/>
      <c r="BS152" s="268"/>
      <c r="BT152" s="268"/>
      <c r="BU152" s="268"/>
      <c r="BV152" s="268"/>
      <c r="BW152" s="268"/>
      <c r="BX152" s="268"/>
      <c r="BY152" s="268"/>
      <c r="BZ152" s="268"/>
      <c r="CA152" s="268"/>
      <c r="CB152" s="268"/>
      <c r="CC152" s="268"/>
      <c r="CD152" s="268"/>
      <c r="CE152" s="268"/>
      <c r="CF152" s="268"/>
      <c r="CG152" s="268"/>
      <c r="CH152" s="268"/>
      <c r="CI152" s="268"/>
      <c r="CJ152" s="268"/>
      <c r="CK152" s="268"/>
      <c r="CL152" s="268"/>
      <c r="CM152" s="268"/>
      <c r="CN152" s="268"/>
      <c r="CO152" s="268"/>
      <c r="CP152" s="268"/>
      <c r="CQ152" s="268"/>
      <c r="CR152" s="268"/>
      <c r="CS152" s="268"/>
      <c r="CT152" s="268"/>
      <c r="CU152" s="268"/>
      <c r="CV152" s="268"/>
      <c r="CW152" s="268"/>
      <c r="CX152" s="268"/>
      <c r="CY152" s="268"/>
      <c r="CZ152" s="268"/>
      <c r="DA152" s="268"/>
      <c r="DB152" s="268"/>
      <c r="DC152" s="268"/>
      <c r="DD152" s="268"/>
      <c r="DE152" s="268"/>
      <c r="DF152" s="268"/>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268"/>
      <c r="EC152" s="268"/>
      <c r="ED152" s="268"/>
      <c r="EE152" s="268"/>
      <c r="EF152" s="268"/>
      <c r="EG152" s="268"/>
      <c r="EH152" s="268"/>
      <c r="EI152" s="268"/>
      <c r="EJ152" s="268"/>
      <c r="EK152" s="268"/>
      <c r="EL152" s="268"/>
      <c r="EM152" s="268"/>
      <c r="EN152" s="268"/>
      <c r="EO152" s="268"/>
      <c r="EP152" s="268"/>
      <c r="EQ152" s="268"/>
      <c r="ER152" s="268"/>
      <c r="ES152" s="268"/>
      <c r="ET152" s="268"/>
      <c r="EU152" s="268"/>
      <c r="EV152" s="268"/>
      <c r="EW152" s="268"/>
      <c r="EX152" s="268"/>
      <c r="EY152" s="268"/>
      <c r="EZ152" s="268"/>
      <c r="FA152" s="268"/>
      <c r="FB152" s="268"/>
      <c r="FC152" s="268"/>
      <c r="FD152" s="268"/>
      <c r="FE152" s="268"/>
      <c r="FF152" s="268"/>
      <c r="FG152" s="268"/>
      <c r="FH152" s="268"/>
      <c r="FI152" s="268"/>
      <c r="FJ152" s="268"/>
      <c r="FK152" s="268"/>
      <c r="FL152" s="268"/>
      <c r="FM152" s="268"/>
      <c r="FN152" s="268"/>
      <c r="FO152" s="268"/>
      <c r="FP152" s="268"/>
      <c r="FQ152" s="268"/>
      <c r="FR152" s="268"/>
      <c r="FS152" s="268"/>
      <c r="FT152" s="268"/>
      <c r="FU152" s="268"/>
      <c r="FV152" s="268"/>
      <c r="FW152" s="268"/>
      <c r="FX152" s="268"/>
      <c r="FY152" s="268"/>
      <c r="FZ152" s="268"/>
      <c r="GA152" s="268"/>
      <c r="GB152" s="268"/>
      <c r="GC152" s="268"/>
      <c r="GD152" s="268"/>
      <c r="GE152" s="268"/>
      <c r="GF152" s="268"/>
      <c r="GG152" s="268"/>
      <c r="GH152" s="268"/>
      <c r="GI152" s="268"/>
      <c r="GJ152" s="268"/>
      <c r="GK152" s="268"/>
      <c r="GL152" s="268"/>
      <c r="GM152" s="268"/>
      <c r="GN152" s="268"/>
      <c r="GO152" s="268"/>
    </row>
    <row r="153" spans="2:197" s="275" customFormat="1" ht="39.75" hidden="1" customHeight="1">
      <c r="B153" s="268"/>
      <c r="C153" s="319"/>
      <c r="D153" s="319"/>
      <c r="E153" s="319"/>
      <c r="F153" s="319"/>
      <c r="G153" s="319"/>
      <c r="H153" s="319"/>
      <c r="I153" s="319"/>
      <c r="J153" s="319"/>
      <c r="K153" s="319"/>
      <c r="L153" s="319"/>
      <c r="M153" s="319"/>
      <c r="N153" s="319"/>
      <c r="O153" s="268"/>
      <c r="P153" s="268"/>
      <c r="Q153" s="268"/>
      <c r="R153" s="268"/>
      <c r="S153" s="574"/>
      <c r="T153" s="574"/>
      <c r="U153" s="574"/>
      <c r="V153" s="552"/>
      <c r="W153" s="268"/>
      <c r="X153" s="268"/>
      <c r="Y153" s="289" t="str">
        <f>IF($U$133=1,"","15")</f>
        <v/>
      </c>
      <c r="Z153" s="268"/>
      <c r="AA153" s="268"/>
      <c r="AB153" s="268"/>
      <c r="AC153" s="268"/>
      <c r="AD153" s="284">
        <v>51</v>
      </c>
      <c r="AE153" s="367">
        <v>52590</v>
      </c>
      <c r="AF153" s="369">
        <v>13750</v>
      </c>
      <c r="AG153" s="303">
        <v>14175</v>
      </c>
      <c r="AH153" s="367">
        <v>52590</v>
      </c>
      <c r="AI153" s="367">
        <v>53950</v>
      </c>
      <c r="AJ153" s="367">
        <v>55410</v>
      </c>
      <c r="AK153" s="606">
        <v>51230</v>
      </c>
      <c r="AL153" s="268"/>
      <c r="AM153" s="268"/>
      <c r="AN153" s="268"/>
      <c r="AO153" s="268"/>
      <c r="AP153" s="268"/>
      <c r="AQ153" s="268"/>
      <c r="AR153" s="268"/>
      <c r="AS153" s="268"/>
      <c r="AT153" s="268"/>
      <c r="AU153" s="268"/>
      <c r="AV153" s="268"/>
      <c r="AW153" s="268"/>
      <c r="AX153" s="268"/>
      <c r="AY153" s="268"/>
      <c r="AZ153" s="268"/>
      <c r="BA153" s="268"/>
      <c r="BB153" s="268"/>
      <c r="BC153" s="268"/>
      <c r="BD153" s="268"/>
      <c r="BE153" s="268"/>
      <c r="BF153" s="268"/>
      <c r="BG153" s="268"/>
      <c r="BH153" s="268"/>
      <c r="BI153" s="268"/>
      <c r="BJ153" s="268"/>
      <c r="BK153" s="268"/>
      <c r="BL153" s="268"/>
      <c r="BM153" s="268"/>
      <c r="BN153" s="268"/>
      <c r="BO153" s="268"/>
      <c r="BP153" s="268"/>
      <c r="BQ153" s="268"/>
      <c r="BR153" s="268"/>
      <c r="BS153" s="268"/>
      <c r="BT153" s="268"/>
      <c r="BU153" s="268"/>
      <c r="BV153" s="268"/>
      <c r="BW153" s="268"/>
      <c r="BX153" s="268"/>
      <c r="BY153" s="268"/>
      <c r="BZ153" s="268"/>
      <c r="CA153" s="268"/>
      <c r="CB153" s="268"/>
      <c r="CC153" s="268"/>
      <c r="CD153" s="268"/>
      <c r="CE153" s="268"/>
      <c r="CF153" s="268"/>
      <c r="CG153" s="268"/>
      <c r="CH153" s="268"/>
      <c r="CI153" s="268"/>
      <c r="CJ153" s="268"/>
      <c r="CK153" s="268"/>
      <c r="CL153" s="268"/>
      <c r="CM153" s="268"/>
      <c r="CN153" s="268"/>
      <c r="CO153" s="268"/>
      <c r="CP153" s="268"/>
      <c r="CQ153" s="268"/>
      <c r="CR153" s="268"/>
      <c r="CS153" s="268"/>
      <c r="CT153" s="268"/>
      <c r="CU153" s="268"/>
      <c r="CV153" s="268"/>
      <c r="CW153" s="268"/>
      <c r="CX153" s="268"/>
      <c r="CY153" s="268"/>
      <c r="CZ153" s="268"/>
      <c r="DA153" s="268"/>
      <c r="DB153" s="268"/>
      <c r="DC153" s="268"/>
      <c r="DD153" s="268"/>
      <c r="DE153" s="268"/>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68"/>
      <c r="EB153" s="268"/>
      <c r="EC153" s="268"/>
      <c r="ED153" s="268"/>
      <c r="EE153" s="268"/>
      <c r="EF153" s="268"/>
      <c r="EG153" s="268"/>
      <c r="EH153" s="268"/>
      <c r="EI153" s="268"/>
      <c r="EJ153" s="268"/>
      <c r="EK153" s="268"/>
      <c r="EL153" s="268"/>
      <c r="EM153" s="268"/>
      <c r="EN153" s="268"/>
      <c r="EO153" s="268"/>
      <c r="EP153" s="268"/>
      <c r="EQ153" s="268"/>
      <c r="ER153" s="268"/>
      <c r="ES153" s="268"/>
      <c r="ET153" s="268"/>
      <c r="EU153" s="268"/>
      <c r="EV153" s="268"/>
      <c r="EW153" s="268"/>
      <c r="EX153" s="268"/>
      <c r="EY153" s="268"/>
      <c r="EZ153" s="268"/>
      <c r="FA153" s="268"/>
      <c r="FB153" s="268"/>
      <c r="FC153" s="268"/>
      <c r="FD153" s="268"/>
      <c r="FE153" s="268"/>
      <c r="FF153" s="268"/>
      <c r="FG153" s="268"/>
      <c r="FH153" s="268"/>
      <c r="FI153" s="268"/>
      <c r="FJ153" s="268"/>
      <c r="FK153" s="268"/>
      <c r="FL153" s="268"/>
      <c r="FM153" s="268"/>
      <c r="FN153" s="268"/>
      <c r="FO153" s="268"/>
      <c r="FP153" s="268"/>
      <c r="FQ153" s="268"/>
      <c r="FR153" s="268"/>
      <c r="FS153" s="268"/>
      <c r="FT153" s="268"/>
      <c r="FU153" s="268"/>
      <c r="FV153" s="268"/>
      <c r="FW153" s="268"/>
      <c r="FX153" s="268"/>
      <c r="FY153" s="268"/>
      <c r="FZ153" s="268"/>
      <c r="GA153" s="268"/>
      <c r="GB153" s="268"/>
      <c r="GC153" s="268"/>
      <c r="GD153" s="268"/>
      <c r="GE153" s="268"/>
      <c r="GF153" s="268"/>
      <c r="GG153" s="268"/>
      <c r="GH153" s="268"/>
      <c r="GI153" s="268"/>
      <c r="GJ153" s="268"/>
      <c r="GK153" s="268"/>
      <c r="GL153" s="268"/>
      <c r="GM153" s="268"/>
      <c r="GN153" s="268"/>
      <c r="GO153" s="268"/>
    </row>
    <row r="154" spans="2:197" s="275" customFormat="1" ht="39.75" hidden="1" customHeight="1">
      <c r="B154" s="268"/>
      <c r="C154" s="319"/>
      <c r="D154" s="319"/>
      <c r="E154" s="319"/>
      <c r="F154" s="319"/>
      <c r="G154" s="319"/>
      <c r="H154" s="319"/>
      <c r="I154" s="319"/>
      <c r="J154" s="319"/>
      <c r="K154" s="319"/>
      <c r="L154" s="319"/>
      <c r="M154" s="319"/>
      <c r="N154" s="319"/>
      <c r="O154" s="268"/>
      <c r="P154" s="268"/>
      <c r="Q154" s="268"/>
      <c r="R154" s="268"/>
      <c r="S154" s="574"/>
      <c r="T154" s="574"/>
      <c r="U154" s="574"/>
      <c r="V154" s="552"/>
      <c r="W154" s="268"/>
      <c r="X154" s="268"/>
      <c r="Y154" s="289" t="str">
        <f>IF($U$133=1,"","16")</f>
        <v/>
      </c>
      <c r="Z154" s="268"/>
      <c r="AA154" s="268"/>
      <c r="AB154" s="268"/>
      <c r="AC154" s="268"/>
      <c r="AD154" s="284">
        <v>52</v>
      </c>
      <c r="AE154" s="367">
        <v>53950</v>
      </c>
      <c r="AF154" s="369">
        <v>14175</v>
      </c>
      <c r="AG154" s="303">
        <v>14600</v>
      </c>
      <c r="AH154" s="367">
        <v>53950</v>
      </c>
      <c r="AI154" s="367">
        <v>55410</v>
      </c>
      <c r="AJ154" s="367">
        <v>56870</v>
      </c>
      <c r="AK154" s="606">
        <v>52590</v>
      </c>
      <c r="AL154" s="268"/>
      <c r="AM154" s="268"/>
      <c r="AN154" s="268"/>
      <c r="AO154" s="268"/>
      <c r="AP154" s="268"/>
      <c r="AQ154" s="268"/>
      <c r="AR154" s="268"/>
      <c r="AS154" s="268"/>
      <c r="AT154" s="268"/>
      <c r="AU154" s="268"/>
      <c r="AV154" s="268"/>
      <c r="AW154" s="268"/>
      <c r="AX154" s="268"/>
      <c r="AY154" s="268"/>
      <c r="AZ154" s="268"/>
      <c r="BA154" s="268"/>
      <c r="BB154" s="268"/>
      <c r="BC154" s="268"/>
      <c r="BD154" s="268"/>
      <c r="BE154" s="268"/>
      <c r="BF154" s="268"/>
      <c r="BG154" s="268"/>
      <c r="BH154" s="268"/>
      <c r="BI154" s="268"/>
      <c r="BJ154" s="268"/>
      <c r="BK154" s="268"/>
      <c r="BL154" s="268"/>
      <c r="BM154" s="268"/>
      <c r="BN154" s="268"/>
      <c r="BO154" s="268"/>
      <c r="BP154" s="268"/>
      <c r="BQ154" s="268"/>
      <c r="BR154" s="268"/>
      <c r="BS154" s="268"/>
      <c r="BT154" s="268"/>
      <c r="BU154" s="268"/>
      <c r="BV154" s="268"/>
      <c r="BW154" s="268"/>
      <c r="BX154" s="268"/>
      <c r="BY154" s="268"/>
      <c r="BZ154" s="268"/>
      <c r="CA154" s="268"/>
      <c r="CB154" s="268"/>
      <c r="CC154" s="268"/>
      <c r="CD154" s="268"/>
      <c r="CE154" s="268"/>
      <c r="CF154" s="268"/>
      <c r="CG154" s="268"/>
      <c r="CH154" s="268"/>
      <c r="CI154" s="268"/>
      <c r="CJ154" s="268"/>
      <c r="CK154" s="268"/>
      <c r="CL154" s="268"/>
      <c r="CM154" s="268"/>
      <c r="CN154" s="268"/>
      <c r="CO154" s="268"/>
      <c r="CP154" s="268"/>
      <c r="CQ154" s="268"/>
      <c r="CR154" s="268"/>
      <c r="CS154" s="268"/>
      <c r="CT154" s="268"/>
      <c r="CU154" s="268"/>
      <c r="CV154" s="268"/>
      <c r="CW154" s="268"/>
      <c r="CX154" s="268"/>
      <c r="CY154" s="268"/>
      <c r="CZ154" s="268"/>
      <c r="DA154" s="268"/>
      <c r="DB154" s="268"/>
      <c r="DC154" s="268"/>
      <c r="DD154" s="268"/>
      <c r="DE154" s="268"/>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68"/>
      <c r="EC154" s="268"/>
      <c r="ED154" s="268"/>
      <c r="EE154" s="268"/>
      <c r="EF154" s="268"/>
      <c r="EG154" s="268"/>
      <c r="EH154" s="268"/>
      <c r="EI154" s="268"/>
      <c r="EJ154" s="268"/>
      <c r="EK154" s="268"/>
      <c r="EL154" s="268"/>
      <c r="EM154" s="268"/>
      <c r="EN154" s="268"/>
      <c r="EO154" s="268"/>
      <c r="EP154" s="268"/>
      <c r="EQ154" s="268"/>
      <c r="ER154" s="268"/>
      <c r="ES154" s="268"/>
      <c r="ET154" s="268"/>
      <c r="EU154" s="268"/>
      <c r="EV154" s="268"/>
      <c r="EW154" s="268"/>
      <c r="EX154" s="268"/>
      <c r="EY154" s="268"/>
      <c r="EZ154" s="268"/>
      <c r="FA154" s="268"/>
      <c r="FB154" s="268"/>
      <c r="FC154" s="268"/>
      <c r="FD154" s="268"/>
      <c r="FE154" s="268"/>
      <c r="FF154" s="268"/>
      <c r="FG154" s="268"/>
      <c r="FH154" s="268"/>
      <c r="FI154" s="268"/>
      <c r="FJ154" s="268"/>
      <c r="FK154" s="268"/>
      <c r="FL154" s="268"/>
      <c r="FM154" s="268"/>
      <c r="FN154" s="268"/>
      <c r="FO154" s="268"/>
      <c r="FP154" s="268"/>
      <c r="FQ154" s="268"/>
      <c r="FR154" s="268"/>
      <c r="FS154" s="268"/>
      <c r="FT154" s="268"/>
      <c r="FU154" s="268"/>
      <c r="FV154" s="268"/>
      <c r="FW154" s="268"/>
      <c r="FX154" s="268"/>
      <c r="FY154" s="268"/>
      <c r="FZ154" s="268"/>
      <c r="GA154" s="268"/>
      <c r="GB154" s="268"/>
      <c r="GC154" s="268"/>
      <c r="GD154" s="268"/>
      <c r="GE154" s="268"/>
      <c r="GF154" s="268"/>
      <c r="GG154" s="268"/>
      <c r="GH154" s="268"/>
      <c r="GI154" s="268"/>
      <c r="GJ154" s="268"/>
      <c r="GK154" s="268"/>
      <c r="GL154" s="268"/>
      <c r="GM154" s="268"/>
      <c r="GN154" s="268"/>
      <c r="GO154" s="268"/>
    </row>
    <row r="155" spans="2:197" s="275" customFormat="1" ht="39.75" hidden="1" customHeight="1">
      <c r="B155" s="268"/>
      <c r="C155" s="319"/>
      <c r="D155" s="319"/>
      <c r="E155" s="319"/>
      <c r="F155" s="319"/>
      <c r="G155" s="319"/>
      <c r="H155" s="319"/>
      <c r="I155" s="319"/>
      <c r="J155" s="319"/>
      <c r="K155" s="319"/>
      <c r="L155" s="319"/>
      <c r="M155" s="319"/>
      <c r="N155" s="319"/>
      <c r="O155" s="268"/>
      <c r="P155" s="268"/>
      <c r="Q155" s="268"/>
      <c r="R155" s="268"/>
      <c r="S155" s="574"/>
      <c r="T155" s="574"/>
      <c r="U155" s="574"/>
      <c r="V155" s="552"/>
      <c r="W155" s="268"/>
      <c r="X155" s="268"/>
      <c r="Y155" s="289" t="str">
        <f>IF($U$133=1,"","17")</f>
        <v/>
      </c>
      <c r="Z155" s="268"/>
      <c r="AA155" s="268"/>
      <c r="AB155" s="268"/>
      <c r="AC155" s="268"/>
      <c r="AD155" s="284">
        <v>53</v>
      </c>
      <c r="AE155" s="367">
        <v>55410</v>
      </c>
      <c r="AF155" s="369">
        <v>14600</v>
      </c>
      <c r="AG155" s="303">
        <v>15025</v>
      </c>
      <c r="AH155" s="367">
        <v>55410</v>
      </c>
      <c r="AI155" s="367">
        <v>56870</v>
      </c>
      <c r="AJ155" s="367">
        <v>58330</v>
      </c>
      <c r="AK155" s="606">
        <v>53950</v>
      </c>
      <c r="AL155" s="268"/>
      <c r="AM155" s="268"/>
      <c r="AN155" s="268"/>
      <c r="AO155" s="268"/>
      <c r="AP155" s="268"/>
      <c r="AQ155" s="268"/>
      <c r="AR155" s="268"/>
      <c r="AS155" s="268"/>
      <c r="AT155" s="268"/>
      <c r="AU155" s="268"/>
      <c r="AV155" s="268"/>
      <c r="AW155" s="268"/>
      <c r="AX155" s="268"/>
      <c r="AY155" s="268"/>
      <c r="AZ155" s="268"/>
      <c r="BA155" s="268"/>
      <c r="BB155" s="268"/>
      <c r="BC155" s="268"/>
      <c r="BD155" s="268"/>
      <c r="BE155" s="268"/>
      <c r="BF155" s="268"/>
      <c r="BG155" s="268"/>
      <c r="BH155" s="268"/>
      <c r="BI155" s="268"/>
      <c r="BJ155" s="268"/>
      <c r="BK155" s="268"/>
      <c r="BL155" s="268"/>
      <c r="BM155" s="268"/>
      <c r="BN155" s="268"/>
      <c r="BO155" s="268"/>
      <c r="BP155" s="268"/>
      <c r="BQ155" s="268"/>
      <c r="BR155" s="268"/>
      <c r="BS155" s="268"/>
      <c r="BT155" s="268"/>
      <c r="BU155" s="268"/>
      <c r="BV155" s="268"/>
      <c r="BW155" s="268"/>
      <c r="BX155" s="268"/>
      <c r="BY155" s="268"/>
      <c r="BZ155" s="268"/>
      <c r="CA155" s="268"/>
      <c r="CB155" s="268"/>
      <c r="CC155" s="268"/>
      <c r="CD155" s="268"/>
      <c r="CE155" s="268"/>
      <c r="CF155" s="268"/>
      <c r="CG155" s="268"/>
      <c r="CH155" s="268"/>
      <c r="CI155" s="268"/>
      <c r="CJ155" s="268"/>
      <c r="CK155" s="268"/>
      <c r="CL155" s="268"/>
      <c r="CM155" s="268"/>
      <c r="CN155" s="268"/>
      <c r="CO155" s="268"/>
      <c r="CP155" s="268"/>
      <c r="CQ155" s="268"/>
      <c r="CR155" s="268"/>
      <c r="CS155" s="268"/>
      <c r="CT155" s="268"/>
      <c r="CU155" s="268"/>
      <c r="CV155" s="268"/>
      <c r="CW155" s="268"/>
      <c r="CX155" s="268"/>
      <c r="CY155" s="268"/>
      <c r="CZ155" s="268"/>
      <c r="DA155" s="268"/>
      <c r="DB155" s="268"/>
      <c r="DC155" s="268"/>
      <c r="DD155" s="268"/>
      <c r="DE155" s="268"/>
      <c r="DF155" s="268"/>
      <c r="DG155" s="268"/>
      <c r="DH155" s="268"/>
      <c r="DI155" s="268"/>
      <c r="DJ155" s="268"/>
      <c r="DK155" s="268"/>
      <c r="DL155" s="268"/>
      <c r="DM155" s="268"/>
      <c r="DN155" s="268"/>
      <c r="DO155" s="268"/>
      <c r="DP155" s="268"/>
      <c r="DQ155" s="268"/>
      <c r="DR155" s="268"/>
      <c r="DS155" s="268"/>
      <c r="DT155" s="268"/>
      <c r="DU155" s="268"/>
      <c r="DV155" s="268"/>
      <c r="DW155" s="268"/>
      <c r="DX155" s="268"/>
      <c r="DY155" s="268"/>
      <c r="DZ155" s="268"/>
      <c r="EA155" s="268"/>
      <c r="EB155" s="268"/>
      <c r="EC155" s="268"/>
      <c r="ED155" s="268"/>
      <c r="EE155" s="268"/>
      <c r="EF155" s="268"/>
      <c r="EG155" s="268"/>
      <c r="EH155" s="268"/>
      <c r="EI155" s="268"/>
      <c r="EJ155" s="268"/>
      <c r="EK155" s="268"/>
      <c r="EL155" s="268"/>
      <c r="EM155" s="268"/>
      <c r="EN155" s="268"/>
      <c r="EO155" s="268"/>
      <c r="EP155" s="268"/>
      <c r="EQ155" s="268"/>
      <c r="ER155" s="268"/>
      <c r="ES155" s="268"/>
      <c r="ET155" s="268"/>
      <c r="EU155" s="268"/>
      <c r="EV155" s="268"/>
      <c r="EW155" s="268"/>
      <c r="EX155" s="268"/>
      <c r="EY155" s="268"/>
      <c r="EZ155" s="268"/>
      <c r="FA155" s="268"/>
      <c r="FB155" s="268"/>
      <c r="FC155" s="268"/>
      <c r="FD155" s="268"/>
      <c r="FE155" s="268"/>
      <c r="FF155" s="268"/>
      <c r="FG155" s="268"/>
      <c r="FH155" s="268"/>
      <c r="FI155" s="268"/>
      <c r="FJ155" s="268"/>
      <c r="FK155" s="268"/>
      <c r="FL155" s="268"/>
      <c r="FM155" s="268"/>
      <c r="FN155" s="268"/>
      <c r="FO155" s="268"/>
      <c r="FP155" s="268"/>
      <c r="FQ155" s="268"/>
      <c r="FR155" s="268"/>
      <c r="FS155" s="268"/>
      <c r="FT155" s="268"/>
      <c r="FU155" s="268"/>
      <c r="FV155" s="268"/>
      <c r="FW155" s="268"/>
      <c r="FX155" s="268"/>
      <c r="FY155" s="268"/>
      <c r="FZ155" s="268"/>
      <c r="GA155" s="268"/>
      <c r="GB155" s="268"/>
      <c r="GC155" s="268"/>
      <c r="GD155" s="268"/>
      <c r="GE155" s="268"/>
      <c r="GF155" s="268"/>
      <c r="GG155" s="268"/>
      <c r="GH155" s="268"/>
      <c r="GI155" s="268"/>
      <c r="GJ155" s="268"/>
      <c r="GK155" s="268"/>
      <c r="GL155" s="268"/>
      <c r="GM155" s="268"/>
      <c r="GN155" s="268"/>
      <c r="GO155" s="268"/>
    </row>
    <row r="156" spans="2:197" s="275" customFormat="1" ht="39.75" hidden="1" customHeight="1">
      <c r="B156" s="268"/>
      <c r="C156" s="319"/>
      <c r="D156" s="319"/>
      <c r="E156" s="319"/>
      <c r="F156" s="319"/>
      <c r="G156" s="319"/>
      <c r="H156" s="319"/>
      <c r="I156" s="319"/>
      <c r="J156" s="319"/>
      <c r="K156" s="319"/>
      <c r="L156" s="319"/>
      <c r="M156" s="319"/>
      <c r="N156" s="319"/>
      <c r="O156" s="268"/>
      <c r="P156" s="268"/>
      <c r="Q156" s="268"/>
      <c r="R156" s="268"/>
      <c r="S156" s="574"/>
      <c r="T156" s="574"/>
      <c r="U156" s="574"/>
      <c r="V156" s="552"/>
      <c r="W156" s="268"/>
      <c r="X156" s="268"/>
      <c r="Y156" s="289" t="str">
        <f>IF($U$133=1,"","18")</f>
        <v/>
      </c>
      <c r="Z156" s="268"/>
      <c r="AA156" s="268"/>
      <c r="AB156" s="268"/>
      <c r="AC156" s="268"/>
      <c r="AD156" s="284">
        <v>54</v>
      </c>
      <c r="AE156" s="367">
        <v>56870</v>
      </c>
      <c r="AF156" s="369">
        <v>15025</v>
      </c>
      <c r="AG156" s="303">
        <v>15500</v>
      </c>
      <c r="AH156" s="367">
        <v>56870</v>
      </c>
      <c r="AI156" s="367">
        <v>58330</v>
      </c>
      <c r="AJ156" s="367">
        <v>59890</v>
      </c>
      <c r="AK156" s="606">
        <v>55410</v>
      </c>
      <c r="AL156" s="268"/>
      <c r="AM156" s="268"/>
      <c r="AN156" s="268"/>
      <c r="AO156" s="268"/>
      <c r="AP156" s="268"/>
      <c r="AQ156" s="268"/>
      <c r="AR156" s="268"/>
      <c r="AS156" s="268"/>
      <c r="AT156" s="268"/>
      <c r="AU156" s="268"/>
      <c r="AV156" s="268"/>
      <c r="AW156" s="268"/>
      <c r="AX156" s="268"/>
      <c r="AY156" s="268"/>
      <c r="AZ156" s="268"/>
      <c r="BA156" s="268"/>
      <c r="BB156" s="268"/>
      <c r="BC156" s="268"/>
      <c r="BD156" s="268"/>
      <c r="BE156" s="268"/>
      <c r="BF156" s="268"/>
      <c r="BG156" s="268"/>
      <c r="BH156" s="268"/>
      <c r="BI156" s="268"/>
      <c r="BJ156" s="268"/>
      <c r="BK156" s="268"/>
      <c r="BL156" s="268"/>
      <c r="BM156" s="268"/>
      <c r="BN156" s="268"/>
      <c r="BO156" s="268"/>
      <c r="BP156" s="268"/>
      <c r="BQ156" s="268"/>
      <c r="BR156" s="268"/>
      <c r="BS156" s="268"/>
      <c r="BT156" s="268"/>
      <c r="BU156" s="268"/>
      <c r="BV156" s="268"/>
      <c r="BW156" s="268"/>
      <c r="BX156" s="268"/>
      <c r="BY156" s="268"/>
      <c r="BZ156" s="268"/>
      <c r="CA156" s="268"/>
      <c r="CB156" s="268"/>
      <c r="CC156" s="268"/>
      <c r="CD156" s="268"/>
      <c r="CE156" s="268"/>
      <c r="CF156" s="268"/>
      <c r="CG156" s="268"/>
      <c r="CH156" s="268"/>
      <c r="CI156" s="268"/>
      <c r="CJ156" s="268"/>
      <c r="CK156" s="268"/>
      <c r="CL156" s="268"/>
      <c r="CM156" s="268"/>
      <c r="CN156" s="268"/>
      <c r="CO156" s="268"/>
      <c r="CP156" s="268"/>
      <c r="CQ156" s="268"/>
      <c r="CR156" s="268"/>
      <c r="CS156" s="268"/>
      <c r="CT156" s="268"/>
      <c r="CU156" s="268"/>
      <c r="CV156" s="268"/>
      <c r="CW156" s="268"/>
      <c r="CX156" s="268"/>
      <c r="CY156" s="268"/>
      <c r="CZ156" s="268"/>
      <c r="DA156" s="268"/>
      <c r="DB156" s="268"/>
      <c r="DC156" s="268"/>
      <c r="DD156" s="268"/>
      <c r="DE156" s="268"/>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68"/>
      <c r="EC156" s="268"/>
      <c r="ED156" s="268"/>
      <c r="EE156" s="268"/>
      <c r="EF156" s="268"/>
      <c r="EG156" s="268"/>
      <c r="EH156" s="268"/>
      <c r="EI156" s="268"/>
      <c r="EJ156" s="268"/>
      <c r="EK156" s="268"/>
      <c r="EL156" s="268"/>
      <c r="EM156" s="268"/>
      <c r="EN156" s="268"/>
      <c r="EO156" s="268"/>
      <c r="EP156" s="268"/>
      <c r="EQ156" s="268"/>
      <c r="ER156" s="268"/>
      <c r="ES156" s="268"/>
      <c r="ET156" s="268"/>
      <c r="EU156" s="268"/>
      <c r="EV156" s="268"/>
      <c r="EW156" s="268"/>
      <c r="EX156" s="268"/>
      <c r="EY156" s="268"/>
      <c r="EZ156" s="268"/>
      <c r="FA156" s="268"/>
      <c r="FB156" s="268"/>
      <c r="FC156" s="268"/>
      <c r="FD156" s="268"/>
      <c r="FE156" s="268"/>
      <c r="FF156" s="268"/>
      <c r="FG156" s="268"/>
      <c r="FH156" s="268"/>
      <c r="FI156" s="268"/>
      <c r="FJ156" s="268"/>
      <c r="FK156" s="268"/>
      <c r="FL156" s="268"/>
      <c r="FM156" s="268"/>
      <c r="FN156" s="268"/>
      <c r="FO156" s="268"/>
      <c r="FP156" s="268"/>
      <c r="FQ156" s="268"/>
      <c r="FR156" s="268"/>
      <c r="FS156" s="268"/>
      <c r="FT156" s="268"/>
      <c r="FU156" s="268"/>
      <c r="FV156" s="268"/>
      <c r="FW156" s="268"/>
      <c r="FX156" s="268"/>
      <c r="FY156" s="268"/>
      <c r="FZ156" s="268"/>
      <c r="GA156" s="268"/>
      <c r="GB156" s="268"/>
      <c r="GC156" s="268"/>
      <c r="GD156" s="268"/>
      <c r="GE156" s="268"/>
      <c r="GF156" s="268"/>
      <c r="GG156" s="268"/>
      <c r="GH156" s="268"/>
      <c r="GI156" s="268"/>
      <c r="GJ156" s="268"/>
      <c r="GK156" s="268"/>
      <c r="GL156" s="268"/>
      <c r="GM156" s="268"/>
      <c r="GN156" s="268"/>
      <c r="GO156" s="268"/>
    </row>
    <row r="157" spans="2:197" s="275" customFormat="1" ht="39.75" hidden="1" customHeight="1">
      <c r="B157" s="268"/>
      <c r="C157" s="319"/>
      <c r="D157" s="319"/>
      <c r="E157" s="319"/>
      <c r="F157" s="319"/>
      <c r="G157" s="319"/>
      <c r="H157" s="319"/>
      <c r="I157" s="319"/>
      <c r="J157" s="319"/>
      <c r="K157" s="319"/>
      <c r="L157" s="319"/>
      <c r="M157" s="319"/>
      <c r="N157" s="319"/>
      <c r="O157" s="268"/>
      <c r="P157" s="268"/>
      <c r="Q157" s="268"/>
      <c r="R157" s="268"/>
      <c r="S157" s="574"/>
      <c r="T157" s="574"/>
      <c r="U157" s="574"/>
      <c r="V157" s="552"/>
      <c r="W157" s="268"/>
      <c r="X157" s="268"/>
      <c r="Y157" s="289" t="str">
        <f>IF($U$133=1,"","19")</f>
        <v/>
      </c>
      <c r="Z157" s="268"/>
      <c r="AA157" s="268"/>
      <c r="AB157" s="268"/>
      <c r="AC157" s="268"/>
      <c r="AD157" s="284">
        <v>55</v>
      </c>
      <c r="AE157" s="367">
        <v>58330</v>
      </c>
      <c r="AF157" s="369">
        <v>15500</v>
      </c>
      <c r="AG157" s="303">
        <v>15975</v>
      </c>
      <c r="AH157" s="367">
        <v>58330</v>
      </c>
      <c r="AI157" s="367">
        <v>59890</v>
      </c>
      <c r="AJ157" s="367">
        <v>61450</v>
      </c>
      <c r="AK157" s="606">
        <v>56870</v>
      </c>
      <c r="AL157" s="268"/>
      <c r="AM157" s="268"/>
      <c r="AN157" s="268"/>
      <c r="AO157" s="268"/>
      <c r="AP157" s="268"/>
      <c r="AQ157" s="268"/>
      <c r="AR157" s="268"/>
      <c r="AS157" s="268"/>
      <c r="AT157" s="268"/>
      <c r="AU157" s="268"/>
      <c r="AV157" s="268"/>
      <c r="AW157" s="268"/>
      <c r="AX157" s="268"/>
      <c r="AY157" s="268"/>
      <c r="AZ157" s="268"/>
      <c r="BA157" s="268"/>
      <c r="BB157" s="268"/>
      <c r="BC157" s="268"/>
      <c r="BD157" s="268"/>
      <c r="BE157" s="268"/>
      <c r="BF157" s="268"/>
      <c r="BG157" s="268"/>
      <c r="BH157" s="268"/>
      <c r="BI157" s="268"/>
      <c r="BJ157" s="268"/>
      <c r="BK157" s="268"/>
      <c r="BL157" s="268"/>
      <c r="BM157" s="268"/>
      <c r="BN157" s="268"/>
      <c r="BO157" s="268"/>
      <c r="BP157" s="268"/>
      <c r="BQ157" s="268"/>
      <c r="BR157" s="268"/>
      <c r="BS157" s="268"/>
      <c r="BT157" s="268"/>
      <c r="BU157" s="268"/>
      <c r="BV157" s="268"/>
      <c r="BW157" s="268"/>
      <c r="BX157" s="268"/>
      <c r="BY157" s="268"/>
      <c r="BZ157" s="268"/>
      <c r="CA157" s="268"/>
      <c r="CB157" s="268"/>
      <c r="CC157" s="268"/>
      <c r="CD157" s="268"/>
      <c r="CE157" s="268"/>
      <c r="CF157" s="268"/>
      <c r="CG157" s="268"/>
      <c r="CH157" s="268"/>
      <c r="CI157" s="268"/>
      <c r="CJ157" s="268"/>
      <c r="CK157" s="268"/>
      <c r="CL157" s="268"/>
      <c r="CM157" s="268"/>
      <c r="CN157" s="268"/>
      <c r="CO157" s="268"/>
      <c r="CP157" s="268"/>
      <c r="CQ157" s="268"/>
      <c r="CR157" s="268"/>
      <c r="CS157" s="268"/>
      <c r="CT157" s="268"/>
      <c r="CU157" s="268"/>
      <c r="CV157" s="268"/>
      <c r="CW157" s="268"/>
      <c r="CX157" s="268"/>
      <c r="CY157" s="268"/>
      <c r="CZ157" s="268"/>
      <c r="DA157" s="268"/>
      <c r="DB157" s="268"/>
      <c r="DC157" s="268"/>
      <c r="DD157" s="268"/>
      <c r="DE157" s="268"/>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68"/>
      <c r="EB157" s="268"/>
      <c r="EC157" s="268"/>
      <c r="ED157" s="268"/>
      <c r="EE157" s="268"/>
      <c r="EF157" s="268"/>
      <c r="EG157" s="268"/>
      <c r="EH157" s="268"/>
      <c r="EI157" s="268"/>
      <c r="EJ157" s="268"/>
      <c r="EK157" s="268"/>
      <c r="EL157" s="268"/>
      <c r="EM157" s="268"/>
      <c r="EN157" s="268"/>
      <c r="EO157" s="268"/>
      <c r="EP157" s="268"/>
      <c r="EQ157" s="268"/>
      <c r="ER157" s="268"/>
      <c r="ES157" s="268"/>
      <c r="ET157" s="268"/>
      <c r="EU157" s="268"/>
      <c r="EV157" s="268"/>
      <c r="EW157" s="268"/>
      <c r="EX157" s="268"/>
      <c r="EY157" s="268"/>
      <c r="EZ157" s="268"/>
      <c r="FA157" s="268"/>
      <c r="FB157" s="268"/>
      <c r="FC157" s="268"/>
      <c r="FD157" s="268"/>
      <c r="FE157" s="268"/>
      <c r="FF157" s="268"/>
      <c r="FG157" s="268"/>
      <c r="FH157" s="268"/>
      <c r="FI157" s="268"/>
      <c r="FJ157" s="268"/>
      <c r="FK157" s="268"/>
      <c r="FL157" s="268"/>
      <c r="FM157" s="268"/>
      <c r="FN157" s="268"/>
      <c r="FO157" s="268"/>
      <c r="FP157" s="268"/>
      <c r="FQ157" s="268"/>
      <c r="FR157" s="268"/>
      <c r="FS157" s="268"/>
      <c r="FT157" s="268"/>
      <c r="FU157" s="268"/>
      <c r="FV157" s="268"/>
      <c r="FW157" s="268"/>
      <c r="FX157" s="268"/>
      <c r="FY157" s="268"/>
      <c r="FZ157" s="268"/>
      <c r="GA157" s="268"/>
      <c r="GB157" s="268"/>
      <c r="GC157" s="268"/>
      <c r="GD157" s="268"/>
      <c r="GE157" s="268"/>
      <c r="GF157" s="268"/>
      <c r="GG157" s="268"/>
      <c r="GH157" s="268"/>
      <c r="GI157" s="268"/>
      <c r="GJ157" s="268"/>
      <c r="GK157" s="268"/>
      <c r="GL157" s="268"/>
      <c r="GM157" s="268"/>
      <c r="GN157" s="268"/>
      <c r="GO157" s="268"/>
    </row>
    <row r="158" spans="2:197" s="275" customFormat="1" ht="39.75" hidden="1" customHeight="1">
      <c r="B158" s="268"/>
      <c r="C158" s="319"/>
      <c r="D158" s="319"/>
      <c r="E158" s="319"/>
      <c r="F158" s="319"/>
      <c r="G158" s="319"/>
      <c r="H158" s="319"/>
      <c r="I158" s="319"/>
      <c r="J158" s="319"/>
      <c r="K158" s="319"/>
      <c r="L158" s="319"/>
      <c r="M158" s="319"/>
      <c r="N158" s="319"/>
      <c r="O158" s="268"/>
      <c r="P158" s="268"/>
      <c r="Q158" s="268"/>
      <c r="R158" s="268"/>
      <c r="S158" s="574"/>
      <c r="T158" s="574"/>
      <c r="U158" s="574"/>
      <c r="V158" s="552"/>
      <c r="W158" s="268"/>
      <c r="X158" s="268"/>
      <c r="Y158" s="289" t="str">
        <f>IF($U$133=1,"","20")</f>
        <v/>
      </c>
      <c r="Z158" s="268"/>
      <c r="AA158" s="268"/>
      <c r="AB158" s="268"/>
      <c r="AC158" s="268"/>
      <c r="AD158" s="284">
        <v>56</v>
      </c>
      <c r="AE158" s="367">
        <v>59890</v>
      </c>
      <c r="AF158" s="369">
        <v>15975</v>
      </c>
      <c r="AG158" s="303">
        <v>16450</v>
      </c>
      <c r="AH158" s="367">
        <v>59890</v>
      </c>
      <c r="AI158" s="367">
        <v>61450</v>
      </c>
      <c r="AJ158" s="367">
        <v>63010</v>
      </c>
      <c r="AK158" s="606">
        <v>58330</v>
      </c>
      <c r="AL158" s="268"/>
      <c r="AM158" s="268"/>
      <c r="AN158" s="268"/>
      <c r="AO158" s="268"/>
      <c r="AP158" s="268"/>
      <c r="AQ158" s="268"/>
      <c r="AR158" s="268"/>
      <c r="AS158" s="268"/>
      <c r="AT158" s="268"/>
      <c r="AU158" s="268"/>
      <c r="AV158" s="268"/>
      <c r="AW158" s="268"/>
      <c r="AX158" s="268"/>
      <c r="AY158" s="268"/>
      <c r="AZ158" s="268"/>
      <c r="BA158" s="268"/>
      <c r="BB158" s="268"/>
      <c r="BC158" s="268"/>
      <c r="BD158" s="268"/>
      <c r="BE158" s="268"/>
      <c r="BF158" s="268"/>
      <c r="BG158" s="268"/>
      <c r="BH158" s="268"/>
      <c r="BI158" s="268"/>
      <c r="BJ158" s="268"/>
      <c r="BK158" s="268"/>
      <c r="BL158" s="268"/>
      <c r="BM158" s="268"/>
      <c r="BN158" s="268"/>
      <c r="BO158" s="268"/>
      <c r="BP158" s="268"/>
      <c r="BQ158" s="268"/>
      <c r="BR158" s="268"/>
      <c r="BS158" s="268"/>
      <c r="BT158" s="268"/>
      <c r="BU158" s="268"/>
      <c r="BV158" s="268"/>
      <c r="BW158" s="268"/>
      <c r="BX158" s="268"/>
      <c r="BY158" s="268"/>
      <c r="BZ158" s="268"/>
      <c r="CA158" s="268"/>
      <c r="CB158" s="268"/>
      <c r="CC158" s="268"/>
      <c r="CD158" s="268"/>
      <c r="CE158" s="268"/>
      <c r="CF158" s="268"/>
      <c r="CG158" s="268"/>
      <c r="CH158" s="268"/>
      <c r="CI158" s="268"/>
      <c r="CJ158" s="268"/>
      <c r="CK158" s="268"/>
      <c r="CL158" s="268"/>
      <c r="CM158" s="268"/>
      <c r="CN158" s="268"/>
      <c r="CO158" s="268"/>
      <c r="CP158" s="268"/>
      <c r="CQ158" s="268"/>
      <c r="CR158" s="268"/>
      <c r="CS158" s="268"/>
      <c r="CT158" s="268"/>
      <c r="CU158" s="268"/>
      <c r="CV158" s="268"/>
      <c r="CW158" s="268"/>
      <c r="CX158" s="268"/>
      <c r="CY158" s="268"/>
      <c r="CZ158" s="268"/>
      <c r="DA158" s="268"/>
      <c r="DB158" s="268"/>
      <c r="DC158" s="268"/>
      <c r="DD158" s="268"/>
      <c r="DE158" s="268"/>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268"/>
      <c r="EC158" s="268"/>
      <c r="ED158" s="268"/>
      <c r="EE158" s="268"/>
      <c r="EF158" s="268"/>
      <c r="EG158" s="268"/>
      <c r="EH158" s="268"/>
      <c r="EI158" s="268"/>
      <c r="EJ158" s="268"/>
      <c r="EK158" s="268"/>
      <c r="EL158" s="268"/>
      <c r="EM158" s="268"/>
      <c r="EN158" s="268"/>
      <c r="EO158" s="268"/>
      <c r="EP158" s="268"/>
      <c r="EQ158" s="268"/>
      <c r="ER158" s="268"/>
      <c r="ES158" s="268"/>
      <c r="ET158" s="268"/>
      <c r="EU158" s="268"/>
      <c r="EV158" s="268"/>
      <c r="EW158" s="268"/>
      <c r="EX158" s="268"/>
      <c r="EY158" s="268"/>
      <c r="EZ158" s="268"/>
      <c r="FA158" s="268"/>
      <c r="FB158" s="268"/>
      <c r="FC158" s="268"/>
      <c r="FD158" s="268"/>
      <c r="FE158" s="268"/>
      <c r="FF158" s="268"/>
      <c r="FG158" s="268"/>
      <c r="FH158" s="268"/>
      <c r="FI158" s="268"/>
      <c r="FJ158" s="268"/>
      <c r="FK158" s="268"/>
      <c r="FL158" s="268"/>
      <c r="FM158" s="268"/>
      <c r="FN158" s="268"/>
      <c r="FO158" s="268"/>
      <c r="FP158" s="268"/>
      <c r="FQ158" s="268"/>
      <c r="FR158" s="268"/>
      <c r="FS158" s="268"/>
      <c r="FT158" s="268"/>
      <c r="FU158" s="268"/>
      <c r="FV158" s="268"/>
      <c r="FW158" s="268"/>
      <c r="FX158" s="268"/>
      <c r="FY158" s="268"/>
      <c r="FZ158" s="268"/>
      <c r="GA158" s="268"/>
      <c r="GB158" s="268"/>
      <c r="GC158" s="268"/>
      <c r="GD158" s="268"/>
      <c r="GE158" s="268"/>
      <c r="GF158" s="268"/>
      <c r="GG158" s="268"/>
      <c r="GH158" s="268"/>
      <c r="GI158" s="268"/>
      <c r="GJ158" s="268"/>
      <c r="GK158" s="268"/>
      <c r="GL158" s="268"/>
      <c r="GM158" s="268"/>
      <c r="GN158" s="268"/>
      <c r="GO158" s="268"/>
    </row>
    <row r="159" spans="2:197" s="275" customFormat="1" ht="39.75" hidden="1" customHeight="1">
      <c r="B159" s="268"/>
      <c r="C159" s="319"/>
      <c r="D159" s="319"/>
      <c r="E159" s="319"/>
      <c r="F159" s="319"/>
      <c r="G159" s="319"/>
      <c r="H159" s="319"/>
      <c r="I159" s="319"/>
      <c r="J159" s="319"/>
      <c r="K159" s="319"/>
      <c r="L159" s="319"/>
      <c r="M159" s="319"/>
      <c r="N159" s="319"/>
      <c r="O159" s="268"/>
      <c r="P159" s="268"/>
      <c r="Q159" s="268"/>
      <c r="R159" s="268"/>
      <c r="S159" s="574"/>
      <c r="T159" s="574"/>
      <c r="U159" s="574"/>
      <c r="V159" s="552"/>
      <c r="W159" s="268"/>
      <c r="X159" s="268"/>
      <c r="Y159" s="787" t="str">
        <f>IF($U$133=1,"","21")</f>
        <v/>
      </c>
      <c r="Z159" s="268"/>
      <c r="AA159" s="268"/>
      <c r="AB159" s="268"/>
      <c r="AC159" s="268"/>
      <c r="AD159" s="284">
        <v>57</v>
      </c>
      <c r="AE159" s="367">
        <v>61450</v>
      </c>
      <c r="AF159" s="369">
        <v>16450</v>
      </c>
      <c r="AG159" s="303">
        <v>16925</v>
      </c>
      <c r="AH159" s="367">
        <v>61450</v>
      </c>
      <c r="AI159" s="367">
        <v>63010</v>
      </c>
      <c r="AJ159" s="367">
        <v>64670</v>
      </c>
      <c r="AK159" s="606">
        <v>59890</v>
      </c>
      <c r="AL159" s="268"/>
      <c r="AM159" s="268"/>
      <c r="AN159" s="268"/>
      <c r="AO159" s="268"/>
      <c r="AP159" s="268"/>
      <c r="AQ159" s="268"/>
      <c r="AR159" s="268"/>
      <c r="AS159" s="268"/>
      <c r="AT159" s="268"/>
      <c r="AU159" s="268"/>
      <c r="AV159" s="268"/>
      <c r="AW159" s="268"/>
      <c r="AX159" s="268"/>
      <c r="AY159" s="268"/>
      <c r="AZ159" s="268"/>
      <c r="BA159" s="268"/>
      <c r="BB159" s="268"/>
      <c r="BC159" s="268"/>
      <c r="BD159" s="268"/>
      <c r="BE159" s="268"/>
      <c r="BF159" s="268"/>
      <c r="BG159" s="268"/>
      <c r="BH159" s="268"/>
      <c r="BI159" s="268"/>
      <c r="BJ159" s="268"/>
      <c r="BK159" s="268"/>
      <c r="BL159" s="268"/>
      <c r="BM159" s="268"/>
      <c r="BN159" s="268"/>
      <c r="BO159" s="268"/>
      <c r="BP159" s="268"/>
      <c r="BQ159" s="268"/>
      <c r="BR159" s="268"/>
      <c r="BS159" s="268"/>
      <c r="BT159" s="268"/>
      <c r="BU159" s="268"/>
      <c r="BV159" s="268"/>
      <c r="BW159" s="268"/>
      <c r="BX159" s="268"/>
      <c r="BY159" s="268"/>
      <c r="BZ159" s="268"/>
      <c r="CA159" s="268"/>
      <c r="CB159" s="268"/>
      <c r="CC159" s="268"/>
      <c r="CD159" s="268"/>
      <c r="CE159" s="268"/>
      <c r="CF159" s="268"/>
      <c r="CG159" s="268"/>
      <c r="CH159" s="268"/>
      <c r="CI159" s="268"/>
      <c r="CJ159" s="268"/>
      <c r="CK159" s="268"/>
      <c r="CL159" s="268"/>
      <c r="CM159" s="268"/>
      <c r="CN159" s="268"/>
      <c r="CO159" s="268"/>
      <c r="CP159" s="268"/>
      <c r="CQ159" s="268"/>
      <c r="CR159" s="268"/>
      <c r="CS159" s="268"/>
      <c r="CT159" s="268"/>
      <c r="CU159" s="268"/>
      <c r="CV159" s="268"/>
      <c r="CW159" s="268"/>
      <c r="CX159" s="268"/>
      <c r="CY159" s="268"/>
      <c r="CZ159" s="268"/>
      <c r="DA159" s="268"/>
      <c r="DB159" s="268"/>
      <c r="DC159" s="268"/>
      <c r="DD159" s="268"/>
      <c r="DE159" s="268"/>
      <c r="DF159" s="268"/>
      <c r="DG159" s="268"/>
      <c r="DH159" s="268"/>
      <c r="DI159" s="268"/>
      <c r="DJ159" s="268"/>
      <c r="DK159" s="268"/>
      <c r="DL159" s="268"/>
      <c r="DM159" s="268"/>
      <c r="DN159" s="268"/>
      <c r="DO159" s="268"/>
      <c r="DP159" s="268"/>
      <c r="DQ159" s="268"/>
      <c r="DR159" s="268"/>
      <c r="DS159" s="268"/>
      <c r="DT159" s="268"/>
      <c r="DU159" s="268"/>
      <c r="DV159" s="268"/>
      <c r="DW159" s="268"/>
      <c r="DX159" s="268"/>
      <c r="DY159" s="268"/>
      <c r="DZ159" s="268"/>
      <c r="EA159" s="268"/>
      <c r="EB159" s="268"/>
      <c r="EC159" s="268"/>
      <c r="ED159" s="268"/>
      <c r="EE159" s="268"/>
      <c r="EF159" s="268"/>
      <c r="EG159" s="268"/>
      <c r="EH159" s="268"/>
      <c r="EI159" s="268"/>
      <c r="EJ159" s="268"/>
      <c r="EK159" s="268"/>
      <c r="EL159" s="268"/>
      <c r="EM159" s="268"/>
      <c r="EN159" s="268"/>
      <c r="EO159" s="268"/>
      <c r="EP159" s="268"/>
      <c r="EQ159" s="268"/>
      <c r="ER159" s="268"/>
      <c r="ES159" s="268"/>
      <c r="ET159" s="268"/>
      <c r="EU159" s="268"/>
      <c r="EV159" s="268"/>
      <c r="EW159" s="268"/>
      <c r="EX159" s="268"/>
      <c r="EY159" s="268"/>
      <c r="EZ159" s="268"/>
      <c r="FA159" s="268"/>
      <c r="FB159" s="268"/>
      <c r="FC159" s="268"/>
      <c r="FD159" s="268"/>
      <c r="FE159" s="268"/>
      <c r="FF159" s="268"/>
      <c r="FG159" s="268"/>
      <c r="FH159" s="268"/>
      <c r="FI159" s="268"/>
      <c r="FJ159" s="268"/>
      <c r="FK159" s="268"/>
      <c r="FL159" s="268"/>
      <c r="FM159" s="268"/>
      <c r="FN159" s="268"/>
      <c r="FO159" s="268"/>
      <c r="FP159" s="268"/>
      <c r="FQ159" s="268"/>
      <c r="FR159" s="268"/>
      <c r="FS159" s="268"/>
      <c r="FT159" s="268"/>
      <c r="FU159" s="268"/>
      <c r="FV159" s="268"/>
      <c r="FW159" s="268"/>
      <c r="FX159" s="268"/>
      <c r="FY159" s="268"/>
      <c r="FZ159" s="268"/>
      <c r="GA159" s="268"/>
      <c r="GB159" s="268"/>
      <c r="GC159" s="268"/>
      <c r="GD159" s="268"/>
      <c r="GE159" s="268"/>
      <c r="GF159" s="268"/>
      <c r="GG159" s="268"/>
      <c r="GH159" s="268"/>
      <c r="GI159" s="268"/>
      <c r="GJ159" s="268"/>
      <c r="GK159" s="268"/>
      <c r="GL159" s="268"/>
      <c r="GM159" s="268"/>
      <c r="GN159" s="268"/>
      <c r="GO159" s="268"/>
    </row>
    <row r="160" spans="2:197" s="275" customFormat="1" ht="39.75" hidden="1" customHeight="1">
      <c r="B160" s="268"/>
      <c r="C160" s="319"/>
      <c r="D160" s="319"/>
      <c r="E160" s="319"/>
      <c r="F160" s="319"/>
      <c r="G160" s="319"/>
      <c r="H160" s="319"/>
      <c r="I160" s="319"/>
      <c r="J160" s="319"/>
      <c r="K160" s="319"/>
      <c r="L160" s="319"/>
      <c r="M160" s="319"/>
      <c r="N160" s="319"/>
      <c r="O160" s="268"/>
      <c r="P160" s="268"/>
      <c r="Q160" s="268"/>
      <c r="R160" s="268"/>
      <c r="S160" s="574"/>
      <c r="T160" s="574"/>
      <c r="U160" s="574"/>
      <c r="V160" s="552"/>
      <c r="W160" s="268"/>
      <c r="X160" s="268"/>
      <c r="Y160" s="787" t="str">
        <f>IF($U$133=1,"","22")</f>
        <v/>
      </c>
      <c r="Z160" s="268"/>
      <c r="AA160" s="268"/>
      <c r="AB160" s="268"/>
      <c r="AC160" s="268"/>
      <c r="AD160" s="284">
        <v>58</v>
      </c>
      <c r="AE160" s="367">
        <v>63010</v>
      </c>
      <c r="AF160" s="369">
        <v>16925</v>
      </c>
      <c r="AG160" s="303">
        <v>17475</v>
      </c>
      <c r="AH160" s="367">
        <v>63010</v>
      </c>
      <c r="AI160" s="367">
        <v>64670</v>
      </c>
      <c r="AJ160" s="367">
        <v>66330</v>
      </c>
      <c r="AK160" s="606">
        <v>61450</v>
      </c>
      <c r="AL160" s="268"/>
      <c r="AM160" s="268"/>
      <c r="AN160" s="268"/>
      <c r="AO160" s="268"/>
      <c r="AP160" s="268"/>
      <c r="AQ160" s="268"/>
      <c r="AR160" s="268"/>
      <c r="AS160" s="268"/>
      <c r="AT160" s="268"/>
      <c r="AU160" s="268"/>
      <c r="AV160" s="268"/>
      <c r="AW160" s="268"/>
      <c r="AX160" s="268"/>
      <c r="AY160" s="268"/>
      <c r="AZ160" s="268"/>
      <c r="BA160" s="268"/>
      <c r="BB160" s="268"/>
      <c r="BC160" s="268"/>
      <c r="BD160" s="268"/>
      <c r="BE160" s="268"/>
      <c r="BF160" s="268"/>
      <c r="BG160" s="268"/>
      <c r="BH160" s="268"/>
      <c r="BI160" s="268"/>
      <c r="BJ160" s="268"/>
      <c r="BK160" s="268"/>
      <c r="BL160" s="268"/>
      <c r="BM160" s="268"/>
      <c r="BN160" s="268"/>
      <c r="BO160" s="268"/>
      <c r="BP160" s="268"/>
      <c r="BQ160" s="268"/>
      <c r="BR160" s="268"/>
      <c r="BS160" s="268"/>
      <c r="BT160" s="268"/>
      <c r="BU160" s="268"/>
      <c r="BV160" s="268"/>
      <c r="BW160" s="268"/>
      <c r="BX160" s="268"/>
      <c r="BY160" s="268"/>
      <c r="BZ160" s="268"/>
      <c r="CA160" s="268"/>
      <c r="CB160" s="268"/>
      <c r="CC160" s="268"/>
      <c r="CD160" s="268"/>
      <c r="CE160" s="268"/>
      <c r="CF160" s="268"/>
      <c r="CG160" s="268"/>
      <c r="CH160" s="268"/>
      <c r="CI160" s="268"/>
      <c r="CJ160" s="268"/>
      <c r="CK160" s="268"/>
      <c r="CL160" s="268"/>
      <c r="CM160" s="268"/>
      <c r="CN160" s="268"/>
      <c r="CO160" s="268"/>
      <c r="CP160" s="268"/>
      <c r="CQ160" s="268"/>
      <c r="CR160" s="268"/>
      <c r="CS160" s="268"/>
      <c r="CT160" s="268"/>
      <c r="CU160" s="268"/>
      <c r="CV160" s="268"/>
      <c r="CW160" s="268"/>
      <c r="CX160" s="268"/>
      <c r="CY160" s="268"/>
      <c r="CZ160" s="268"/>
      <c r="DA160" s="268"/>
      <c r="DB160" s="268"/>
      <c r="DC160" s="268"/>
      <c r="DD160" s="268"/>
      <c r="DE160" s="268"/>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268"/>
      <c r="EC160" s="268"/>
      <c r="ED160" s="268"/>
      <c r="EE160" s="268"/>
      <c r="EF160" s="268"/>
      <c r="EG160" s="268"/>
      <c r="EH160" s="268"/>
      <c r="EI160" s="268"/>
      <c r="EJ160" s="268"/>
      <c r="EK160" s="268"/>
      <c r="EL160" s="268"/>
      <c r="EM160" s="268"/>
      <c r="EN160" s="268"/>
      <c r="EO160" s="268"/>
      <c r="EP160" s="268"/>
      <c r="EQ160" s="268"/>
      <c r="ER160" s="268"/>
      <c r="ES160" s="268"/>
      <c r="ET160" s="268"/>
      <c r="EU160" s="268"/>
      <c r="EV160" s="268"/>
      <c r="EW160" s="268"/>
      <c r="EX160" s="268"/>
      <c r="EY160" s="268"/>
      <c r="EZ160" s="268"/>
      <c r="FA160" s="268"/>
      <c r="FB160" s="268"/>
      <c r="FC160" s="268"/>
      <c r="FD160" s="268"/>
      <c r="FE160" s="268"/>
      <c r="FF160" s="268"/>
      <c r="FG160" s="268"/>
      <c r="FH160" s="268"/>
      <c r="FI160" s="268"/>
      <c r="FJ160" s="268"/>
      <c r="FK160" s="268"/>
      <c r="FL160" s="268"/>
      <c r="FM160" s="268"/>
      <c r="FN160" s="268"/>
      <c r="FO160" s="268"/>
      <c r="FP160" s="268"/>
      <c r="FQ160" s="268"/>
      <c r="FR160" s="268"/>
      <c r="FS160" s="268"/>
      <c r="FT160" s="268"/>
      <c r="FU160" s="268"/>
      <c r="FV160" s="268"/>
      <c r="FW160" s="268"/>
      <c r="FX160" s="268"/>
      <c r="FY160" s="268"/>
      <c r="FZ160" s="268"/>
      <c r="GA160" s="268"/>
      <c r="GB160" s="268"/>
      <c r="GC160" s="268"/>
      <c r="GD160" s="268"/>
      <c r="GE160" s="268"/>
      <c r="GF160" s="268"/>
      <c r="GG160" s="268"/>
      <c r="GH160" s="268"/>
      <c r="GI160" s="268"/>
      <c r="GJ160" s="268"/>
      <c r="GK160" s="268"/>
      <c r="GL160" s="268"/>
      <c r="GM160" s="268"/>
      <c r="GN160" s="268"/>
      <c r="GO160" s="268"/>
    </row>
    <row r="161" spans="2:197" s="275" customFormat="1" ht="39.75" hidden="1" customHeight="1" thickBot="1">
      <c r="B161" s="268"/>
      <c r="C161" s="319"/>
      <c r="D161" s="319"/>
      <c r="E161" s="319"/>
      <c r="F161" s="319"/>
      <c r="G161" s="319"/>
      <c r="H161" s="319"/>
      <c r="I161" s="319"/>
      <c r="J161" s="319"/>
      <c r="K161" s="319"/>
      <c r="L161" s="319"/>
      <c r="M161" s="319"/>
      <c r="N161" s="319"/>
      <c r="O161" s="268"/>
      <c r="P161" s="268"/>
      <c r="Q161" s="268"/>
      <c r="R161" s="268"/>
      <c r="S161" s="574"/>
      <c r="T161" s="574"/>
      <c r="U161" s="574"/>
      <c r="V161" s="552"/>
      <c r="W161" s="268"/>
      <c r="X161" s="268"/>
      <c r="Y161" s="787" t="str">
        <f>IF($U$133=1,"","23")</f>
        <v/>
      </c>
      <c r="Z161" s="268"/>
      <c r="AA161" s="268"/>
      <c r="AB161" s="268"/>
      <c r="AC161" s="268"/>
      <c r="AD161" s="284">
        <v>59</v>
      </c>
      <c r="AE161" s="367">
        <v>64670</v>
      </c>
      <c r="AF161" s="369">
        <v>17475</v>
      </c>
      <c r="AG161" s="304">
        <v>18025</v>
      </c>
      <c r="AH161" s="367">
        <v>64670</v>
      </c>
      <c r="AI161" s="367">
        <v>66330</v>
      </c>
      <c r="AJ161" s="367">
        <v>67990</v>
      </c>
      <c r="AK161" s="606">
        <v>63010</v>
      </c>
      <c r="AL161" s="268"/>
      <c r="AM161" s="268"/>
      <c r="AN161" s="268"/>
      <c r="AO161" s="268"/>
      <c r="AP161" s="268"/>
      <c r="AQ161" s="268"/>
      <c r="AR161" s="268"/>
      <c r="AS161" s="268"/>
      <c r="AT161" s="268"/>
      <c r="AU161" s="268"/>
      <c r="AV161" s="268"/>
      <c r="AW161" s="268"/>
      <c r="AX161" s="268"/>
      <c r="AY161" s="268"/>
      <c r="AZ161" s="268"/>
      <c r="BA161" s="268"/>
      <c r="BB161" s="268"/>
      <c r="BC161" s="268"/>
      <c r="BD161" s="268"/>
      <c r="BE161" s="268"/>
      <c r="BF161" s="268"/>
      <c r="BG161" s="268"/>
      <c r="BH161" s="268"/>
      <c r="BI161" s="268"/>
      <c r="BJ161" s="268"/>
      <c r="BK161" s="268"/>
      <c r="BL161" s="268"/>
      <c r="BM161" s="268"/>
      <c r="BN161" s="268"/>
      <c r="BO161" s="268"/>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268"/>
      <c r="CS161" s="268"/>
      <c r="CT161" s="268"/>
      <c r="CU161" s="268"/>
      <c r="CV161" s="268"/>
      <c r="CW161" s="268"/>
      <c r="CX161" s="268"/>
      <c r="CY161" s="268"/>
      <c r="CZ161" s="268"/>
      <c r="DA161" s="268"/>
      <c r="DB161" s="268"/>
      <c r="DC161" s="268"/>
      <c r="DD161" s="268"/>
      <c r="DE161" s="268"/>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68"/>
      <c r="EB161" s="268"/>
      <c r="EC161" s="268"/>
      <c r="ED161" s="268"/>
      <c r="EE161" s="268"/>
      <c r="EF161" s="268"/>
      <c r="EG161" s="268"/>
      <c r="EH161" s="268"/>
      <c r="EI161" s="268"/>
      <c r="EJ161" s="268"/>
      <c r="EK161" s="268"/>
      <c r="EL161" s="268"/>
      <c r="EM161" s="268"/>
      <c r="EN161" s="268"/>
      <c r="EO161" s="268"/>
      <c r="EP161" s="268"/>
      <c r="EQ161" s="268"/>
      <c r="ER161" s="268"/>
      <c r="ES161" s="268"/>
      <c r="ET161" s="268"/>
      <c r="EU161" s="268"/>
      <c r="EV161" s="268"/>
      <c r="EW161" s="268"/>
      <c r="EX161" s="268"/>
      <c r="EY161" s="268"/>
      <c r="EZ161" s="268"/>
      <c r="FA161" s="268"/>
      <c r="FB161" s="268"/>
      <c r="FC161" s="268"/>
      <c r="FD161" s="268"/>
      <c r="FE161" s="268"/>
      <c r="FF161" s="268"/>
      <c r="FG161" s="268"/>
      <c r="FH161" s="268"/>
      <c r="FI161" s="268"/>
      <c r="FJ161" s="268"/>
      <c r="FK161" s="268"/>
      <c r="FL161" s="268"/>
      <c r="FM161" s="268"/>
      <c r="FN161" s="268"/>
      <c r="FO161" s="268"/>
      <c r="FP161" s="268"/>
      <c r="FQ161" s="268"/>
      <c r="FR161" s="268"/>
      <c r="FS161" s="268"/>
      <c r="FT161" s="268"/>
      <c r="FU161" s="268"/>
      <c r="FV161" s="268"/>
      <c r="FW161" s="268"/>
      <c r="FX161" s="268"/>
      <c r="FY161" s="268"/>
      <c r="FZ161" s="268"/>
      <c r="GA161" s="268"/>
      <c r="GB161" s="268"/>
      <c r="GC161" s="268"/>
      <c r="GD161" s="268"/>
      <c r="GE161" s="268"/>
      <c r="GF161" s="268"/>
      <c r="GG161" s="268"/>
      <c r="GH161" s="268"/>
      <c r="GI161" s="268"/>
      <c r="GJ161" s="268"/>
      <c r="GK161" s="268"/>
      <c r="GL161" s="268"/>
      <c r="GM161" s="268"/>
      <c r="GN161" s="268"/>
      <c r="GO161" s="268"/>
    </row>
    <row r="162" spans="2:197" s="275" customFormat="1" ht="39.75" hidden="1" customHeight="1" thickBot="1">
      <c r="B162" s="268"/>
      <c r="C162" s="319"/>
      <c r="D162" s="319"/>
      <c r="E162" s="319"/>
      <c r="F162" s="319"/>
      <c r="G162" s="319"/>
      <c r="H162" s="319"/>
      <c r="I162" s="319"/>
      <c r="J162" s="319"/>
      <c r="K162" s="319"/>
      <c r="L162" s="319"/>
      <c r="M162" s="319"/>
      <c r="N162" s="319"/>
      <c r="O162" s="268"/>
      <c r="P162" s="268"/>
      <c r="Q162" s="268"/>
      <c r="R162" s="268"/>
      <c r="S162" s="574"/>
      <c r="T162" s="574"/>
      <c r="U162" s="574"/>
      <c r="V162" s="552"/>
      <c r="W162" s="268"/>
      <c r="X162" s="268"/>
      <c r="Y162" s="787" t="str">
        <f>IF($U$133=1,"","24")</f>
        <v/>
      </c>
      <c r="Z162" s="268"/>
      <c r="AA162" s="268"/>
      <c r="AB162" s="268"/>
      <c r="AC162" s="268"/>
      <c r="AD162" s="284">
        <v>60</v>
      </c>
      <c r="AE162" s="367">
        <v>66330</v>
      </c>
      <c r="AF162" s="370">
        <v>18025</v>
      </c>
      <c r="AG162" s="305">
        <v>18575</v>
      </c>
      <c r="AH162" s="367">
        <v>66330</v>
      </c>
      <c r="AI162" s="367">
        <v>67990</v>
      </c>
      <c r="AJ162" s="367">
        <v>69750</v>
      </c>
      <c r="AK162" s="606">
        <v>64670</v>
      </c>
      <c r="AL162" s="268"/>
      <c r="AM162" s="268"/>
      <c r="AN162" s="268"/>
      <c r="AO162" s="268"/>
      <c r="AP162" s="268"/>
      <c r="AQ162" s="268"/>
      <c r="AR162" s="268"/>
      <c r="AS162" s="268"/>
      <c r="AT162" s="268"/>
      <c r="AU162" s="268"/>
      <c r="AV162" s="268"/>
      <c r="AW162" s="268"/>
      <c r="AX162" s="268"/>
      <c r="AY162" s="268"/>
      <c r="AZ162" s="268"/>
      <c r="BA162" s="268"/>
      <c r="BB162" s="268"/>
      <c r="BC162" s="268"/>
      <c r="BD162" s="268"/>
      <c r="BE162" s="268"/>
      <c r="BF162" s="268"/>
      <c r="BG162" s="268"/>
      <c r="BH162" s="268"/>
      <c r="BI162" s="268"/>
      <c r="BJ162" s="268"/>
      <c r="BK162" s="268"/>
      <c r="BL162" s="268"/>
      <c r="BM162" s="268"/>
      <c r="BN162" s="268"/>
      <c r="BO162" s="268"/>
      <c r="BP162" s="268"/>
      <c r="BQ162" s="268"/>
      <c r="BR162" s="268"/>
      <c r="BS162" s="268"/>
      <c r="BT162" s="268"/>
      <c r="BU162" s="268"/>
      <c r="BV162" s="268"/>
      <c r="BW162" s="268"/>
      <c r="BX162" s="268"/>
      <c r="BY162" s="268"/>
      <c r="BZ162" s="268"/>
      <c r="CA162" s="268"/>
      <c r="CB162" s="268"/>
      <c r="CC162" s="268"/>
      <c r="CD162" s="268"/>
      <c r="CE162" s="268"/>
      <c r="CF162" s="268"/>
      <c r="CG162" s="268"/>
      <c r="CH162" s="268"/>
      <c r="CI162" s="268"/>
      <c r="CJ162" s="268"/>
      <c r="CK162" s="268"/>
      <c r="CL162" s="268"/>
      <c r="CM162" s="268"/>
      <c r="CN162" s="268"/>
      <c r="CO162" s="268"/>
      <c r="CP162" s="268"/>
      <c r="CQ162" s="268"/>
      <c r="CR162" s="268"/>
      <c r="CS162" s="268"/>
      <c r="CT162" s="268"/>
      <c r="CU162" s="268"/>
      <c r="CV162" s="268"/>
      <c r="CW162" s="268"/>
      <c r="CX162" s="268"/>
      <c r="CY162" s="268"/>
      <c r="CZ162" s="268"/>
      <c r="DA162" s="268"/>
      <c r="DB162" s="268"/>
      <c r="DC162" s="268"/>
      <c r="DD162" s="268"/>
      <c r="DE162" s="268"/>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68"/>
      <c r="EC162" s="268"/>
      <c r="ED162" s="268"/>
      <c r="EE162" s="268"/>
      <c r="EF162" s="268"/>
      <c r="EG162" s="268"/>
      <c r="EH162" s="268"/>
      <c r="EI162" s="268"/>
      <c r="EJ162" s="268"/>
      <c r="EK162" s="268"/>
      <c r="EL162" s="268"/>
      <c r="EM162" s="268"/>
      <c r="EN162" s="268"/>
      <c r="EO162" s="268"/>
      <c r="EP162" s="268"/>
      <c r="EQ162" s="268"/>
      <c r="ER162" s="268"/>
      <c r="ES162" s="268"/>
      <c r="ET162" s="268"/>
      <c r="EU162" s="268"/>
      <c r="EV162" s="268"/>
      <c r="EW162" s="268"/>
      <c r="EX162" s="268"/>
      <c r="EY162" s="268"/>
      <c r="EZ162" s="268"/>
      <c r="FA162" s="268"/>
      <c r="FB162" s="268"/>
      <c r="FC162" s="268"/>
      <c r="FD162" s="268"/>
      <c r="FE162" s="268"/>
      <c r="FF162" s="268"/>
      <c r="FG162" s="268"/>
      <c r="FH162" s="268"/>
      <c r="FI162" s="268"/>
      <c r="FJ162" s="268"/>
      <c r="FK162" s="268"/>
      <c r="FL162" s="268"/>
      <c r="FM162" s="268"/>
      <c r="FN162" s="268"/>
      <c r="FO162" s="268"/>
      <c r="FP162" s="268"/>
      <c r="FQ162" s="268"/>
      <c r="FR162" s="268"/>
      <c r="FS162" s="268"/>
      <c r="FT162" s="268"/>
      <c r="FU162" s="268"/>
      <c r="FV162" s="268"/>
      <c r="FW162" s="268"/>
      <c r="FX162" s="268"/>
      <c r="FY162" s="268"/>
      <c r="FZ162" s="268"/>
      <c r="GA162" s="268"/>
      <c r="GB162" s="268"/>
      <c r="GC162" s="268"/>
      <c r="GD162" s="268"/>
      <c r="GE162" s="268"/>
      <c r="GF162" s="268"/>
      <c r="GG162" s="268"/>
      <c r="GH162" s="268"/>
      <c r="GI162" s="268"/>
      <c r="GJ162" s="268"/>
      <c r="GK162" s="268"/>
      <c r="GL162" s="268"/>
      <c r="GM162" s="268"/>
      <c r="GN162" s="268"/>
      <c r="GO162" s="268"/>
    </row>
    <row r="163" spans="2:197" s="275" customFormat="1" ht="39.75" hidden="1" customHeight="1">
      <c r="B163" s="268"/>
      <c r="C163" s="319"/>
      <c r="D163" s="319"/>
      <c r="E163" s="319"/>
      <c r="F163" s="319"/>
      <c r="G163" s="319"/>
      <c r="H163" s="319"/>
      <c r="I163" s="319"/>
      <c r="J163" s="319"/>
      <c r="K163" s="319"/>
      <c r="L163" s="319"/>
      <c r="M163" s="319"/>
      <c r="N163" s="319"/>
      <c r="O163" s="268"/>
      <c r="P163" s="268"/>
      <c r="Q163" s="268"/>
      <c r="R163" s="268"/>
      <c r="S163" s="574"/>
      <c r="T163" s="574"/>
      <c r="U163" s="574"/>
      <c r="V163" s="552"/>
      <c r="W163" s="268"/>
      <c r="X163" s="268"/>
      <c r="Y163" s="787" t="str">
        <f>IF($U$133=1,"","25")</f>
        <v/>
      </c>
      <c r="Z163" s="268"/>
      <c r="AA163" s="268"/>
      <c r="AB163" s="268"/>
      <c r="AC163" s="268"/>
      <c r="AD163" s="284">
        <v>61</v>
      </c>
      <c r="AE163" s="367">
        <v>67990</v>
      </c>
      <c r="AF163" s="371">
        <v>18575</v>
      </c>
      <c r="AG163" s="303">
        <v>19125</v>
      </c>
      <c r="AH163" s="367">
        <v>67990</v>
      </c>
      <c r="AI163" s="367">
        <v>69750</v>
      </c>
      <c r="AJ163" s="367">
        <v>71510</v>
      </c>
      <c r="AK163" s="606">
        <v>66330</v>
      </c>
      <c r="AL163" s="268"/>
      <c r="AM163" s="268"/>
      <c r="AN163" s="268"/>
      <c r="AO163" s="268"/>
      <c r="AP163" s="268"/>
      <c r="AQ163" s="268"/>
      <c r="AR163" s="268"/>
      <c r="AS163" s="268"/>
      <c r="AT163" s="268"/>
      <c r="AU163" s="268"/>
      <c r="AV163" s="268"/>
      <c r="AW163" s="268"/>
      <c r="AX163" s="268"/>
      <c r="AY163" s="268"/>
      <c r="AZ163" s="268"/>
      <c r="BA163" s="268"/>
      <c r="BB163" s="268"/>
      <c r="BC163" s="268"/>
      <c r="BD163" s="268"/>
      <c r="BE163" s="268"/>
      <c r="BF163" s="268"/>
      <c r="BG163" s="268"/>
      <c r="BH163" s="268"/>
      <c r="BI163" s="268"/>
      <c r="BJ163" s="268"/>
      <c r="BK163" s="268"/>
      <c r="BL163" s="268"/>
      <c r="BM163" s="268"/>
      <c r="BN163" s="268"/>
      <c r="BO163" s="268"/>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268"/>
      <c r="CS163" s="268"/>
      <c r="CT163" s="268"/>
      <c r="CU163" s="268"/>
      <c r="CV163" s="268"/>
      <c r="CW163" s="268"/>
      <c r="CX163" s="268"/>
      <c r="CY163" s="268"/>
      <c r="CZ163" s="268"/>
      <c r="DA163" s="268"/>
      <c r="DB163" s="268"/>
      <c r="DC163" s="268"/>
      <c r="DD163" s="268"/>
      <c r="DE163" s="268"/>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68"/>
      <c r="EB163" s="268"/>
      <c r="EC163" s="268"/>
      <c r="ED163" s="268"/>
      <c r="EE163" s="268"/>
      <c r="EF163" s="268"/>
      <c r="EG163" s="268"/>
      <c r="EH163" s="268"/>
      <c r="EI163" s="268"/>
      <c r="EJ163" s="268"/>
      <c r="EK163" s="268"/>
      <c r="EL163" s="268"/>
      <c r="EM163" s="268"/>
      <c r="EN163" s="268"/>
      <c r="EO163" s="268"/>
      <c r="EP163" s="268"/>
      <c r="EQ163" s="268"/>
      <c r="ER163" s="268"/>
      <c r="ES163" s="268"/>
      <c r="ET163" s="268"/>
      <c r="EU163" s="268"/>
      <c r="EV163" s="268"/>
      <c r="EW163" s="268"/>
      <c r="EX163" s="268"/>
      <c r="EY163" s="268"/>
      <c r="EZ163" s="268"/>
      <c r="FA163" s="268"/>
      <c r="FB163" s="268"/>
      <c r="FC163" s="268"/>
      <c r="FD163" s="268"/>
      <c r="FE163" s="268"/>
      <c r="FF163" s="268"/>
      <c r="FG163" s="268"/>
      <c r="FH163" s="268"/>
      <c r="FI163" s="268"/>
      <c r="FJ163" s="268"/>
      <c r="FK163" s="268"/>
      <c r="FL163" s="268"/>
      <c r="FM163" s="268"/>
      <c r="FN163" s="268"/>
      <c r="FO163" s="268"/>
      <c r="FP163" s="268"/>
      <c r="FQ163" s="268"/>
      <c r="FR163" s="268"/>
      <c r="FS163" s="268"/>
      <c r="FT163" s="268"/>
      <c r="FU163" s="268"/>
      <c r="FV163" s="268"/>
      <c r="FW163" s="268"/>
      <c r="FX163" s="268"/>
      <c r="FY163" s="268"/>
      <c r="FZ163" s="268"/>
      <c r="GA163" s="268"/>
      <c r="GB163" s="268"/>
      <c r="GC163" s="268"/>
      <c r="GD163" s="268"/>
      <c r="GE163" s="268"/>
      <c r="GF163" s="268"/>
      <c r="GG163" s="268"/>
      <c r="GH163" s="268"/>
      <c r="GI163" s="268"/>
      <c r="GJ163" s="268"/>
      <c r="GK163" s="268"/>
      <c r="GL163" s="268"/>
      <c r="GM163" s="268"/>
      <c r="GN163" s="268"/>
      <c r="GO163" s="268"/>
    </row>
    <row r="164" spans="2:197" s="275" customFormat="1" ht="39.75" hidden="1" customHeight="1">
      <c r="B164" s="268"/>
      <c r="C164" s="319"/>
      <c r="D164" s="319"/>
      <c r="E164" s="319"/>
      <c r="F164" s="319"/>
      <c r="G164" s="319"/>
      <c r="H164" s="319"/>
      <c r="I164" s="319"/>
      <c r="J164" s="319"/>
      <c r="K164" s="319"/>
      <c r="L164" s="319"/>
      <c r="M164" s="319"/>
      <c r="N164" s="319"/>
      <c r="O164" s="268"/>
      <c r="P164" s="268"/>
      <c r="Q164" s="268"/>
      <c r="R164" s="268"/>
      <c r="S164" s="574"/>
      <c r="T164" s="574"/>
      <c r="U164" s="574"/>
      <c r="V164" s="552"/>
      <c r="W164" s="268"/>
      <c r="X164" s="268"/>
      <c r="Y164" s="787" t="str">
        <f>IF($U$133=1,"","26")</f>
        <v/>
      </c>
      <c r="Z164" s="268"/>
      <c r="AA164" s="268"/>
      <c r="AB164" s="268"/>
      <c r="AC164" s="268"/>
      <c r="AD164" s="284">
        <v>62</v>
      </c>
      <c r="AE164" s="367">
        <v>69750</v>
      </c>
      <c r="AF164" s="369">
        <v>19125</v>
      </c>
      <c r="AG164" s="303">
        <v>19675</v>
      </c>
      <c r="AH164" s="367">
        <v>69750</v>
      </c>
      <c r="AI164" s="367">
        <v>71510</v>
      </c>
      <c r="AJ164" s="367">
        <v>73270</v>
      </c>
      <c r="AK164" s="606">
        <v>67990</v>
      </c>
      <c r="AL164" s="268"/>
      <c r="AM164" s="268"/>
      <c r="AN164" s="268"/>
      <c r="AO164" s="268"/>
      <c r="AP164" s="268"/>
      <c r="AQ164" s="268"/>
      <c r="AR164" s="268"/>
      <c r="AS164" s="268"/>
      <c r="AT164" s="268"/>
      <c r="AU164" s="268"/>
      <c r="AV164" s="268"/>
      <c r="AW164" s="268"/>
      <c r="AX164" s="268"/>
      <c r="AY164" s="268"/>
      <c r="AZ164" s="268"/>
      <c r="BA164" s="268"/>
      <c r="BB164" s="268"/>
      <c r="BC164" s="268"/>
      <c r="BD164" s="268"/>
      <c r="BE164" s="268"/>
      <c r="BF164" s="268"/>
      <c r="BG164" s="268"/>
      <c r="BH164" s="268"/>
      <c r="BI164" s="268"/>
      <c r="BJ164" s="268"/>
      <c r="BK164" s="268"/>
      <c r="BL164" s="268"/>
      <c r="BM164" s="268"/>
      <c r="BN164" s="268"/>
      <c r="BO164" s="268"/>
      <c r="BP164" s="268"/>
      <c r="BQ164" s="268"/>
      <c r="BR164" s="268"/>
      <c r="BS164" s="268"/>
      <c r="BT164" s="268"/>
      <c r="BU164" s="268"/>
      <c r="BV164" s="268"/>
      <c r="BW164" s="268"/>
      <c r="BX164" s="268"/>
      <c r="BY164" s="268"/>
      <c r="BZ164" s="268"/>
      <c r="CA164" s="268"/>
      <c r="CB164" s="268"/>
      <c r="CC164" s="268"/>
      <c r="CD164" s="268"/>
      <c r="CE164" s="268"/>
      <c r="CF164" s="268"/>
      <c r="CG164" s="268"/>
      <c r="CH164" s="268"/>
      <c r="CI164" s="268"/>
      <c r="CJ164" s="268"/>
      <c r="CK164" s="268"/>
      <c r="CL164" s="268"/>
      <c r="CM164" s="268"/>
      <c r="CN164" s="268"/>
      <c r="CO164" s="268"/>
      <c r="CP164" s="268"/>
      <c r="CQ164" s="268"/>
      <c r="CR164" s="268"/>
      <c r="CS164" s="268"/>
      <c r="CT164" s="268"/>
      <c r="CU164" s="268"/>
      <c r="CV164" s="268"/>
      <c r="CW164" s="268"/>
      <c r="CX164" s="268"/>
      <c r="CY164" s="268"/>
      <c r="CZ164" s="268"/>
      <c r="DA164" s="268"/>
      <c r="DB164" s="268"/>
      <c r="DC164" s="268"/>
      <c r="DD164" s="268"/>
      <c r="DE164" s="268"/>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268"/>
      <c r="EC164" s="268"/>
      <c r="ED164" s="268"/>
      <c r="EE164" s="268"/>
      <c r="EF164" s="268"/>
      <c r="EG164" s="268"/>
      <c r="EH164" s="268"/>
      <c r="EI164" s="268"/>
      <c r="EJ164" s="268"/>
      <c r="EK164" s="268"/>
      <c r="EL164" s="268"/>
      <c r="EM164" s="268"/>
      <c r="EN164" s="268"/>
      <c r="EO164" s="268"/>
      <c r="EP164" s="268"/>
      <c r="EQ164" s="268"/>
      <c r="ER164" s="268"/>
      <c r="ES164" s="268"/>
      <c r="ET164" s="268"/>
      <c r="EU164" s="268"/>
      <c r="EV164" s="268"/>
      <c r="EW164" s="268"/>
      <c r="EX164" s="268"/>
      <c r="EY164" s="268"/>
      <c r="EZ164" s="268"/>
      <c r="FA164" s="268"/>
      <c r="FB164" s="268"/>
      <c r="FC164" s="268"/>
      <c r="FD164" s="268"/>
      <c r="FE164" s="268"/>
      <c r="FF164" s="268"/>
      <c r="FG164" s="268"/>
      <c r="FH164" s="268"/>
      <c r="FI164" s="268"/>
      <c r="FJ164" s="268"/>
      <c r="FK164" s="268"/>
      <c r="FL164" s="268"/>
      <c r="FM164" s="268"/>
      <c r="FN164" s="268"/>
      <c r="FO164" s="268"/>
      <c r="FP164" s="268"/>
      <c r="FQ164" s="268"/>
      <c r="FR164" s="268"/>
      <c r="FS164" s="268"/>
      <c r="FT164" s="268"/>
      <c r="FU164" s="268"/>
      <c r="FV164" s="268"/>
      <c r="FW164" s="268"/>
      <c r="FX164" s="268"/>
      <c r="FY164" s="268"/>
      <c r="FZ164" s="268"/>
      <c r="GA164" s="268"/>
      <c r="GB164" s="268"/>
      <c r="GC164" s="268"/>
      <c r="GD164" s="268"/>
      <c r="GE164" s="268"/>
      <c r="GF164" s="268"/>
      <c r="GG164" s="268"/>
      <c r="GH164" s="268"/>
      <c r="GI164" s="268"/>
      <c r="GJ164" s="268"/>
      <c r="GK164" s="268"/>
      <c r="GL164" s="268"/>
      <c r="GM164" s="268"/>
      <c r="GN164" s="268"/>
      <c r="GO164" s="268"/>
    </row>
    <row r="165" spans="2:197" s="275" customFormat="1" ht="39.75" hidden="1" customHeight="1">
      <c r="B165" s="268"/>
      <c r="C165" s="319"/>
      <c r="D165" s="319"/>
      <c r="E165" s="319"/>
      <c r="F165" s="319"/>
      <c r="G165" s="319"/>
      <c r="H165" s="319"/>
      <c r="I165" s="319"/>
      <c r="J165" s="319"/>
      <c r="K165" s="319"/>
      <c r="L165" s="319"/>
      <c r="M165" s="319"/>
      <c r="N165" s="319"/>
      <c r="O165" s="268"/>
      <c r="P165" s="268"/>
      <c r="Q165" s="268"/>
      <c r="R165" s="268"/>
      <c r="S165" s="574"/>
      <c r="T165" s="574"/>
      <c r="U165" s="574"/>
      <c r="V165" s="552"/>
      <c r="W165" s="268"/>
      <c r="X165" s="268"/>
      <c r="Y165" s="787" t="str">
        <f>IF($U$133=1,"","27")</f>
        <v/>
      </c>
      <c r="Z165" s="268"/>
      <c r="AA165" s="268"/>
      <c r="AB165" s="268"/>
      <c r="AC165" s="268"/>
      <c r="AD165" s="284">
        <v>63</v>
      </c>
      <c r="AE165" s="367">
        <v>71510</v>
      </c>
      <c r="AF165" s="369">
        <v>19675</v>
      </c>
      <c r="AG165" s="303">
        <v>20300</v>
      </c>
      <c r="AH165" s="367">
        <v>71510</v>
      </c>
      <c r="AI165" s="367">
        <v>73270</v>
      </c>
      <c r="AJ165" s="367">
        <v>75150</v>
      </c>
      <c r="AK165" s="606">
        <v>69750</v>
      </c>
      <c r="AL165" s="268"/>
      <c r="AM165" s="268"/>
      <c r="AN165" s="268"/>
      <c r="AO165" s="268"/>
      <c r="AP165" s="268"/>
      <c r="AQ165" s="268"/>
      <c r="AR165" s="268"/>
      <c r="AS165" s="268"/>
      <c r="AT165" s="268"/>
      <c r="AU165" s="268"/>
      <c r="AV165" s="268"/>
      <c r="AW165" s="268"/>
      <c r="AX165" s="268"/>
      <c r="AY165" s="268"/>
      <c r="AZ165" s="268"/>
      <c r="BA165" s="268"/>
      <c r="BB165" s="268"/>
      <c r="BC165" s="268"/>
      <c r="BD165" s="268"/>
      <c r="BE165" s="268"/>
      <c r="BF165" s="268"/>
      <c r="BG165" s="268"/>
      <c r="BH165" s="268"/>
      <c r="BI165" s="268"/>
      <c r="BJ165" s="268"/>
      <c r="BK165" s="268"/>
      <c r="BL165" s="268"/>
      <c r="BM165" s="268"/>
      <c r="BN165" s="268"/>
      <c r="BO165" s="268"/>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268"/>
      <c r="CS165" s="268"/>
      <c r="CT165" s="268"/>
      <c r="CU165" s="268"/>
      <c r="CV165" s="268"/>
      <c r="CW165" s="268"/>
      <c r="CX165" s="268"/>
      <c r="CY165" s="268"/>
      <c r="CZ165" s="268"/>
      <c r="DA165" s="268"/>
      <c r="DB165" s="268"/>
      <c r="DC165" s="268"/>
      <c r="DD165" s="268"/>
      <c r="DE165" s="268"/>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68"/>
      <c r="EB165" s="268"/>
      <c r="EC165" s="268"/>
      <c r="ED165" s="268"/>
      <c r="EE165" s="268"/>
      <c r="EF165" s="268"/>
      <c r="EG165" s="268"/>
      <c r="EH165" s="268"/>
      <c r="EI165" s="268"/>
      <c r="EJ165" s="268"/>
      <c r="EK165" s="268"/>
      <c r="EL165" s="268"/>
      <c r="EM165" s="268"/>
      <c r="EN165" s="268"/>
      <c r="EO165" s="268"/>
      <c r="EP165" s="268"/>
      <c r="EQ165" s="268"/>
      <c r="ER165" s="268"/>
      <c r="ES165" s="268"/>
      <c r="ET165" s="268"/>
      <c r="EU165" s="268"/>
      <c r="EV165" s="268"/>
      <c r="EW165" s="268"/>
      <c r="EX165" s="268"/>
      <c r="EY165" s="268"/>
      <c r="EZ165" s="268"/>
      <c r="FA165" s="268"/>
      <c r="FB165" s="268"/>
      <c r="FC165" s="268"/>
      <c r="FD165" s="268"/>
      <c r="FE165" s="268"/>
      <c r="FF165" s="268"/>
      <c r="FG165" s="268"/>
      <c r="FH165" s="268"/>
      <c r="FI165" s="268"/>
      <c r="FJ165" s="268"/>
      <c r="FK165" s="268"/>
      <c r="FL165" s="268"/>
      <c r="FM165" s="268"/>
      <c r="FN165" s="268"/>
      <c r="FO165" s="268"/>
      <c r="FP165" s="268"/>
      <c r="FQ165" s="268"/>
      <c r="FR165" s="268"/>
      <c r="FS165" s="268"/>
      <c r="FT165" s="268"/>
      <c r="FU165" s="268"/>
      <c r="FV165" s="268"/>
      <c r="FW165" s="268"/>
      <c r="FX165" s="268"/>
      <c r="FY165" s="268"/>
      <c r="FZ165" s="268"/>
      <c r="GA165" s="268"/>
      <c r="GB165" s="268"/>
      <c r="GC165" s="268"/>
      <c r="GD165" s="268"/>
      <c r="GE165" s="268"/>
      <c r="GF165" s="268"/>
      <c r="GG165" s="268"/>
      <c r="GH165" s="268"/>
      <c r="GI165" s="268"/>
      <c r="GJ165" s="268"/>
      <c r="GK165" s="268"/>
      <c r="GL165" s="268"/>
      <c r="GM165" s="268"/>
      <c r="GN165" s="268"/>
      <c r="GO165" s="268"/>
    </row>
    <row r="166" spans="2:197" s="275" customFormat="1" ht="39.75" hidden="1" customHeight="1">
      <c r="B166" s="268"/>
      <c r="C166" s="319"/>
      <c r="D166" s="319"/>
      <c r="E166" s="319"/>
      <c r="F166" s="319"/>
      <c r="G166" s="319"/>
      <c r="H166" s="319"/>
      <c r="I166" s="319"/>
      <c r="J166" s="319"/>
      <c r="K166" s="319"/>
      <c r="L166" s="319"/>
      <c r="M166" s="319"/>
      <c r="N166" s="319"/>
      <c r="O166" s="268"/>
      <c r="P166" s="268"/>
      <c r="Q166" s="268"/>
      <c r="R166" s="268"/>
      <c r="S166" s="574"/>
      <c r="T166" s="574"/>
      <c r="U166" s="574"/>
      <c r="V166" s="552"/>
      <c r="W166" s="268"/>
      <c r="X166" s="268"/>
      <c r="Y166" s="787" t="str">
        <f>IF($U$133=1,"","28")</f>
        <v/>
      </c>
      <c r="Z166" s="268"/>
      <c r="AA166" s="268"/>
      <c r="AB166" s="268"/>
      <c r="AC166" s="268"/>
      <c r="AD166" s="284">
        <v>64</v>
      </c>
      <c r="AE166" s="367">
        <v>73270</v>
      </c>
      <c r="AF166" s="369">
        <v>20300</v>
      </c>
      <c r="AG166" s="303">
        <v>20925</v>
      </c>
      <c r="AH166" s="367">
        <v>73270</v>
      </c>
      <c r="AI166" s="367">
        <v>75150</v>
      </c>
      <c r="AJ166" s="367">
        <v>77030</v>
      </c>
      <c r="AK166" s="606">
        <v>71510</v>
      </c>
      <c r="AL166" s="268"/>
      <c r="AM166" s="268"/>
      <c r="AN166" s="268"/>
      <c r="AO166" s="268"/>
      <c r="AP166" s="268"/>
      <c r="AQ166" s="268"/>
      <c r="AR166" s="268"/>
      <c r="AS166" s="268"/>
      <c r="AT166" s="268"/>
      <c r="AU166" s="268"/>
      <c r="AV166" s="268"/>
      <c r="AW166" s="268"/>
      <c r="AX166" s="268"/>
      <c r="AY166" s="268"/>
      <c r="AZ166" s="268"/>
      <c r="BA166" s="268"/>
      <c r="BB166" s="268"/>
      <c r="BC166" s="268"/>
      <c r="BD166" s="268"/>
      <c r="BE166" s="268"/>
      <c r="BF166" s="268"/>
      <c r="BG166" s="268"/>
      <c r="BH166" s="268"/>
      <c r="BI166" s="268"/>
      <c r="BJ166" s="268"/>
      <c r="BK166" s="268"/>
      <c r="BL166" s="268"/>
      <c r="BM166" s="268"/>
      <c r="BN166" s="268"/>
      <c r="BO166" s="268"/>
      <c r="BP166" s="268"/>
      <c r="BQ166" s="268"/>
      <c r="BR166" s="268"/>
      <c r="BS166" s="268"/>
      <c r="BT166" s="268"/>
      <c r="BU166" s="268"/>
      <c r="BV166" s="268"/>
      <c r="BW166" s="268"/>
      <c r="BX166" s="268"/>
      <c r="BY166" s="268"/>
      <c r="BZ166" s="268"/>
      <c r="CA166" s="268"/>
      <c r="CB166" s="268"/>
      <c r="CC166" s="268"/>
      <c r="CD166" s="268"/>
      <c r="CE166" s="268"/>
      <c r="CF166" s="268"/>
      <c r="CG166" s="268"/>
      <c r="CH166" s="268"/>
      <c r="CI166" s="268"/>
      <c r="CJ166" s="268"/>
      <c r="CK166" s="268"/>
      <c r="CL166" s="268"/>
      <c r="CM166" s="268"/>
      <c r="CN166" s="268"/>
      <c r="CO166" s="268"/>
      <c r="CP166" s="268"/>
      <c r="CQ166" s="268"/>
      <c r="CR166" s="268"/>
      <c r="CS166" s="268"/>
      <c r="CT166" s="268"/>
      <c r="CU166" s="268"/>
      <c r="CV166" s="268"/>
      <c r="CW166" s="268"/>
      <c r="CX166" s="268"/>
      <c r="CY166" s="268"/>
      <c r="CZ166" s="268"/>
      <c r="DA166" s="268"/>
      <c r="DB166" s="268"/>
      <c r="DC166" s="268"/>
      <c r="DD166" s="268"/>
      <c r="DE166" s="268"/>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268"/>
      <c r="EC166" s="268"/>
      <c r="ED166" s="268"/>
      <c r="EE166" s="268"/>
      <c r="EF166" s="268"/>
      <c r="EG166" s="268"/>
      <c r="EH166" s="268"/>
      <c r="EI166" s="268"/>
      <c r="EJ166" s="268"/>
      <c r="EK166" s="268"/>
      <c r="EL166" s="268"/>
      <c r="EM166" s="268"/>
      <c r="EN166" s="268"/>
      <c r="EO166" s="268"/>
      <c r="EP166" s="268"/>
      <c r="EQ166" s="268"/>
      <c r="ER166" s="268"/>
      <c r="ES166" s="268"/>
      <c r="ET166" s="268"/>
      <c r="EU166" s="268"/>
      <c r="EV166" s="268"/>
      <c r="EW166" s="268"/>
      <c r="EX166" s="268"/>
      <c r="EY166" s="268"/>
      <c r="EZ166" s="268"/>
      <c r="FA166" s="268"/>
      <c r="FB166" s="268"/>
      <c r="FC166" s="268"/>
      <c r="FD166" s="268"/>
      <c r="FE166" s="268"/>
      <c r="FF166" s="268"/>
      <c r="FG166" s="268"/>
      <c r="FH166" s="268"/>
      <c r="FI166" s="268"/>
      <c r="FJ166" s="268"/>
      <c r="FK166" s="268"/>
      <c r="FL166" s="268"/>
      <c r="FM166" s="268"/>
      <c r="FN166" s="268"/>
      <c r="FO166" s="268"/>
      <c r="FP166" s="268"/>
      <c r="FQ166" s="268"/>
      <c r="FR166" s="268"/>
      <c r="FS166" s="268"/>
      <c r="FT166" s="268"/>
      <c r="FU166" s="268"/>
      <c r="FV166" s="268"/>
      <c r="FW166" s="268"/>
      <c r="FX166" s="268"/>
      <c r="FY166" s="268"/>
      <c r="FZ166" s="268"/>
      <c r="GA166" s="268"/>
      <c r="GB166" s="268"/>
      <c r="GC166" s="268"/>
      <c r="GD166" s="268"/>
      <c r="GE166" s="268"/>
      <c r="GF166" s="268"/>
      <c r="GG166" s="268"/>
      <c r="GH166" s="268"/>
      <c r="GI166" s="268"/>
      <c r="GJ166" s="268"/>
      <c r="GK166" s="268"/>
      <c r="GL166" s="268"/>
      <c r="GM166" s="268"/>
      <c r="GN166" s="268"/>
      <c r="GO166" s="268"/>
    </row>
    <row r="167" spans="2:197" s="275" customFormat="1" ht="39.75" hidden="1" customHeight="1">
      <c r="B167" s="268"/>
      <c r="C167" s="319"/>
      <c r="D167" s="319"/>
      <c r="E167" s="319"/>
      <c r="F167" s="319"/>
      <c r="G167" s="319"/>
      <c r="H167" s="319"/>
      <c r="I167" s="319"/>
      <c r="J167" s="319"/>
      <c r="K167" s="319"/>
      <c r="L167" s="319"/>
      <c r="M167" s="319"/>
      <c r="N167" s="319"/>
      <c r="O167" s="268"/>
      <c r="P167" s="268"/>
      <c r="Q167" s="268"/>
      <c r="R167" s="268"/>
      <c r="S167" s="574"/>
      <c r="T167" s="574"/>
      <c r="U167" s="574"/>
      <c r="V167" s="552"/>
      <c r="W167" s="268"/>
      <c r="X167" s="268"/>
      <c r="Y167" s="787" t="str">
        <f>IF($U$133=1,"","29")</f>
        <v/>
      </c>
      <c r="Z167" s="268"/>
      <c r="AA167" s="268"/>
      <c r="AB167" s="268"/>
      <c r="AC167" s="268"/>
      <c r="AD167" s="284">
        <v>65</v>
      </c>
      <c r="AE167" s="367">
        <v>75150</v>
      </c>
      <c r="AF167" s="369">
        <v>20925</v>
      </c>
      <c r="AG167" s="303">
        <v>21550</v>
      </c>
      <c r="AH167" s="367">
        <v>75150</v>
      </c>
      <c r="AI167" s="367">
        <v>77030</v>
      </c>
      <c r="AJ167" s="367">
        <v>78910</v>
      </c>
      <c r="AK167" s="606">
        <v>73270</v>
      </c>
      <c r="AL167" s="268"/>
      <c r="AM167" s="268"/>
      <c r="AN167" s="268"/>
      <c r="AO167" s="268"/>
      <c r="AP167" s="268"/>
      <c r="AQ167" s="268"/>
      <c r="AR167" s="268"/>
      <c r="AS167" s="268"/>
      <c r="AT167" s="268"/>
      <c r="AU167" s="268"/>
      <c r="AV167" s="268"/>
      <c r="AW167" s="268"/>
      <c r="AX167" s="268"/>
      <c r="AY167" s="268"/>
      <c r="AZ167" s="268"/>
      <c r="BA167" s="268"/>
      <c r="BB167" s="268"/>
      <c r="BC167" s="268"/>
      <c r="BD167" s="268"/>
      <c r="BE167" s="268"/>
      <c r="BF167" s="268"/>
      <c r="BG167" s="268"/>
      <c r="BH167" s="268"/>
      <c r="BI167" s="268"/>
      <c r="BJ167" s="268"/>
      <c r="BK167" s="268"/>
      <c r="BL167" s="268"/>
      <c r="BM167" s="268"/>
      <c r="BN167" s="268"/>
      <c r="BO167" s="268"/>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268"/>
      <c r="CS167" s="268"/>
      <c r="CT167" s="268"/>
      <c r="CU167" s="268"/>
      <c r="CV167" s="268"/>
      <c r="CW167" s="268"/>
      <c r="CX167" s="268"/>
      <c r="CY167" s="268"/>
      <c r="CZ167" s="268"/>
      <c r="DA167" s="268"/>
      <c r="DB167" s="268"/>
      <c r="DC167" s="268"/>
      <c r="DD167" s="268"/>
      <c r="DE167" s="268"/>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68"/>
      <c r="EB167" s="268"/>
      <c r="EC167" s="268"/>
      <c r="ED167" s="268"/>
      <c r="EE167" s="268"/>
      <c r="EF167" s="268"/>
      <c r="EG167" s="268"/>
      <c r="EH167" s="268"/>
      <c r="EI167" s="268"/>
      <c r="EJ167" s="268"/>
      <c r="EK167" s="268"/>
      <c r="EL167" s="268"/>
      <c r="EM167" s="268"/>
      <c r="EN167" s="268"/>
      <c r="EO167" s="268"/>
      <c r="EP167" s="268"/>
      <c r="EQ167" s="268"/>
      <c r="ER167" s="268"/>
      <c r="ES167" s="268"/>
      <c r="ET167" s="268"/>
      <c r="EU167" s="268"/>
      <c r="EV167" s="268"/>
      <c r="EW167" s="268"/>
      <c r="EX167" s="268"/>
      <c r="EY167" s="268"/>
      <c r="EZ167" s="268"/>
      <c r="FA167" s="268"/>
      <c r="FB167" s="268"/>
      <c r="FC167" s="268"/>
      <c r="FD167" s="268"/>
      <c r="FE167" s="268"/>
      <c r="FF167" s="268"/>
      <c r="FG167" s="268"/>
      <c r="FH167" s="268"/>
      <c r="FI167" s="268"/>
      <c r="FJ167" s="268"/>
      <c r="FK167" s="268"/>
      <c r="FL167" s="268"/>
      <c r="FM167" s="268"/>
      <c r="FN167" s="268"/>
      <c r="FO167" s="268"/>
      <c r="FP167" s="268"/>
      <c r="FQ167" s="268"/>
      <c r="FR167" s="268"/>
      <c r="FS167" s="268"/>
      <c r="FT167" s="268"/>
      <c r="FU167" s="268"/>
      <c r="FV167" s="268"/>
      <c r="FW167" s="268"/>
      <c r="FX167" s="268"/>
      <c r="FY167" s="268"/>
      <c r="FZ167" s="268"/>
      <c r="GA167" s="268"/>
      <c r="GB167" s="268"/>
      <c r="GC167" s="268"/>
      <c r="GD167" s="268"/>
      <c r="GE167" s="268"/>
      <c r="GF167" s="268"/>
      <c r="GG167" s="268"/>
      <c r="GH167" s="268"/>
      <c r="GI167" s="268"/>
      <c r="GJ167" s="268"/>
      <c r="GK167" s="268"/>
      <c r="GL167" s="268"/>
      <c r="GM167" s="268"/>
      <c r="GN167" s="268"/>
      <c r="GO167" s="268"/>
    </row>
    <row r="168" spans="2:197" s="275" customFormat="1" ht="39.75" hidden="1" customHeight="1">
      <c r="B168" s="268"/>
      <c r="C168" s="319"/>
      <c r="D168" s="319"/>
      <c r="E168" s="319"/>
      <c r="F168" s="319"/>
      <c r="G168" s="319"/>
      <c r="H168" s="319"/>
      <c r="I168" s="319"/>
      <c r="J168" s="319"/>
      <c r="K168" s="319"/>
      <c r="L168" s="319"/>
      <c r="M168" s="319"/>
      <c r="N168" s="319"/>
      <c r="O168" s="268"/>
      <c r="P168" s="268"/>
      <c r="Q168" s="268"/>
      <c r="R168" s="268"/>
      <c r="S168" s="574"/>
      <c r="T168" s="574"/>
      <c r="U168" s="574"/>
      <c r="V168" s="552"/>
      <c r="W168" s="268"/>
      <c r="X168" s="268"/>
      <c r="Y168" s="787" t="str">
        <f>IF($U$133=1,"","30")</f>
        <v/>
      </c>
      <c r="Z168" s="268"/>
      <c r="AA168" s="268"/>
      <c r="AB168" s="268"/>
      <c r="AC168" s="268"/>
      <c r="AD168" s="284">
        <v>66</v>
      </c>
      <c r="AE168" s="367">
        <v>77030</v>
      </c>
      <c r="AF168" s="369">
        <v>21550</v>
      </c>
      <c r="AG168" s="303">
        <v>22175</v>
      </c>
      <c r="AH168" s="367">
        <v>77030</v>
      </c>
      <c r="AI168" s="367">
        <v>78910</v>
      </c>
      <c r="AJ168" s="367">
        <v>80930</v>
      </c>
      <c r="AK168" s="606">
        <v>75150</v>
      </c>
      <c r="AL168" s="268"/>
      <c r="AM168" s="268"/>
      <c r="AN168" s="268"/>
      <c r="AO168" s="268"/>
      <c r="AP168" s="268"/>
      <c r="AQ168" s="268"/>
      <c r="AR168" s="268"/>
      <c r="AS168" s="268"/>
      <c r="AT168" s="268"/>
      <c r="AU168" s="268"/>
      <c r="AV168" s="268"/>
      <c r="AW168" s="268"/>
      <c r="AX168" s="268"/>
      <c r="AY168" s="268"/>
      <c r="AZ168" s="268"/>
      <c r="BA168" s="268"/>
      <c r="BB168" s="268"/>
      <c r="BC168" s="268"/>
      <c r="BD168" s="268"/>
      <c r="BE168" s="268"/>
      <c r="BF168" s="268"/>
      <c r="BG168" s="268"/>
      <c r="BH168" s="268"/>
      <c r="BI168" s="268"/>
      <c r="BJ168" s="268"/>
      <c r="BK168" s="268"/>
      <c r="BL168" s="268"/>
      <c r="BM168" s="268"/>
      <c r="BN168" s="268"/>
      <c r="BO168" s="268"/>
      <c r="BP168" s="268"/>
      <c r="BQ168" s="268"/>
      <c r="BR168" s="268"/>
      <c r="BS168" s="268"/>
      <c r="BT168" s="268"/>
      <c r="BU168" s="268"/>
      <c r="BV168" s="268"/>
      <c r="BW168" s="268"/>
      <c r="BX168" s="268"/>
      <c r="BY168" s="268"/>
      <c r="BZ168" s="268"/>
      <c r="CA168" s="268"/>
      <c r="CB168" s="268"/>
      <c r="CC168" s="268"/>
      <c r="CD168" s="268"/>
      <c r="CE168" s="268"/>
      <c r="CF168" s="268"/>
      <c r="CG168" s="268"/>
      <c r="CH168" s="268"/>
      <c r="CI168" s="268"/>
      <c r="CJ168" s="268"/>
      <c r="CK168" s="268"/>
      <c r="CL168" s="268"/>
      <c r="CM168" s="268"/>
      <c r="CN168" s="268"/>
      <c r="CO168" s="268"/>
      <c r="CP168" s="268"/>
      <c r="CQ168" s="268"/>
      <c r="CR168" s="268"/>
      <c r="CS168" s="268"/>
      <c r="CT168" s="268"/>
      <c r="CU168" s="268"/>
      <c r="CV168" s="268"/>
      <c r="CW168" s="268"/>
      <c r="CX168" s="268"/>
      <c r="CY168" s="268"/>
      <c r="CZ168" s="268"/>
      <c r="DA168" s="268"/>
      <c r="DB168" s="268"/>
      <c r="DC168" s="268"/>
      <c r="DD168" s="268"/>
      <c r="DE168" s="268"/>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68"/>
      <c r="EC168" s="268"/>
      <c r="ED168" s="268"/>
      <c r="EE168" s="268"/>
      <c r="EF168" s="268"/>
      <c r="EG168" s="268"/>
      <c r="EH168" s="268"/>
      <c r="EI168" s="268"/>
      <c r="EJ168" s="268"/>
      <c r="EK168" s="268"/>
      <c r="EL168" s="268"/>
      <c r="EM168" s="268"/>
      <c r="EN168" s="268"/>
      <c r="EO168" s="268"/>
      <c r="EP168" s="268"/>
      <c r="EQ168" s="268"/>
      <c r="ER168" s="268"/>
      <c r="ES168" s="268"/>
      <c r="ET168" s="268"/>
      <c r="EU168" s="268"/>
      <c r="EV168" s="268"/>
      <c r="EW168" s="268"/>
      <c r="EX168" s="268"/>
      <c r="EY168" s="268"/>
      <c r="EZ168" s="268"/>
      <c r="FA168" s="268"/>
      <c r="FB168" s="268"/>
      <c r="FC168" s="268"/>
      <c r="FD168" s="268"/>
      <c r="FE168" s="268"/>
      <c r="FF168" s="268"/>
      <c r="FG168" s="268"/>
      <c r="FH168" s="268"/>
      <c r="FI168" s="268"/>
      <c r="FJ168" s="268"/>
      <c r="FK168" s="268"/>
      <c r="FL168" s="268"/>
      <c r="FM168" s="268"/>
      <c r="FN168" s="268"/>
      <c r="FO168" s="268"/>
      <c r="FP168" s="268"/>
      <c r="FQ168" s="268"/>
      <c r="FR168" s="268"/>
      <c r="FS168" s="268"/>
      <c r="FT168" s="268"/>
      <c r="FU168" s="268"/>
      <c r="FV168" s="268"/>
      <c r="FW168" s="268"/>
      <c r="FX168" s="268"/>
      <c r="FY168" s="268"/>
      <c r="FZ168" s="268"/>
      <c r="GA168" s="268"/>
      <c r="GB168" s="268"/>
      <c r="GC168" s="268"/>
      <c r="GD168" s="268"/>
      <c r="GE168" s="268"/>
      <c r="GF168" s="268"/>
      <c r="GG168" s="268"/>
      <c r="GH168" s="268"/>
      <c r="GI168" s="268"/>
      <c r="GJ168" s="268"/>
      <c r="GK168" s="268"/>
      <c r="GL168" s="268"/>
      <c r="GM168" s="268"/>
      <c r="GN168" s="268"/>
      <c r="GO168" s="268"/>
    </row>
    <row r="169" spans="2:197" s="275" customFormat="1" ht="39.75" hidden="1" customHeight="1" thickBot="1">
      <c r="B169" s="268"/>
      <c r="C169" s="319"/>
      <c r="D169" s="319"/>
      <c r="E169" s="319"/>
      <c r="F169" s="319"/>
      <c r="G169" s="319"/>
      <c r="H169" s="319"/>
      <c r="I169" s="319"/>
      <c r="J169" s="319"/>
      <c r="K169" s="319"/>
      <c r="L169" s="319"/>
      <c r="M169" s="319"/>
      <c r="N169" s="319"/>
      <c r="O169" s="268"/>
      <c r="P169" s="268"/>
      <c r="Q169" s="268"/>
      <c r="R169" s="268"/>
      <c r="S169" s="574"/>
      <c r="T169" s="574"/>
      <c r="U169" s="574"/>
      <c r="V169" s="552"/>
      <c r="W169" s="268"/>
      <c r="X169" s="268"/>
      <c r="Y169" s="788" t="str">
        <f>IF($U$133=1,"","31")</f>
        <v/>
      </c>
      <c r="Z169" s="268"/>
      <c r="AA169" s="268"/>
      <c r="AB169" s="268"/>
      <c r="AC169" s="268"/>
      <c r="AD169" s="284">
        <v>67</v>
      </c>
      <c r="AE169" s="367">
        <v>78910</v>
      </c>
      <c r="AF169" s="369">
        <v>22175</v>
      </c>
      <c r="AG169" s="303">
        <v>22800</v>
      </c>
      <c r="AH169" s="367">
        <v>78910</v>
      </c>
      <c r="AI169" s="367">
        <v>80930</v>
      </c>
      <c r="AJ169" s="367">
        <v>82950</v>
      </c>
      <c r="AK169" s="606">
        <v>77030</v>
      </c>
      <c r="AL169" s="268"/>
      <c r="AM169" s="268"/>
      <c r="AN169" s="268"/>
      <c r="AO169" s="268"/>
      <c r="AP169" s="268"/>
      <c r="AQ169" s="268"/>
      <c r="AR169" s="268"/>
      <c r="AS169" s="268"/>
      <c r="AT169" s="268"/>
      <c r="AU169" s="268"/>
      <c r="AV169" s="268"/>
      <c r="AW169" s="268"/>
      <c r="AX169" s="268"/>
      <c r="AY169" s="268"/>
      <c r="AZ169" s="268"/>
      <c r="BA169" s="268"/>
      <c r="BB169" s="268"/>
      <c r="BC169" s="268"/>
      <c r="BD169" s="268"/>
      <c r="BE169" s="268"/>
      <c r="BF169" s="268"/>
      <c r="BG169" s="268"/>
      <c r="BH169" s="268"/>
      <c r="BI169" s="268"/>
      <c r="BJ169" s="268"/>
      <c r="BK169" s="268"/>
      <c r="BL169" s="268"/>
      <c r="BM169" s="268"/>
      <c r="BN169" s="268"/>
      <c r="BO169" s="268"/>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268"/>
      <c r="CS169" s="268"/>
      <c r="CT169" s="268"/>
      <c r="CU169" s="268"/>
      <c r="CV169" s="268"/>
      <c r="CW169" s="268"/>
      <c r="CX169" s="268"/>
      <c r="CY169" s="268"/>
      <c r="CZ169" s="268"/>
      <c r="DA169" s="268"/>
      <c r="DB169" s="268"/>
      <c r="DC169" s="268"/>
      <c r="DD169" s="268"/>
      <c r="DE169" s="268"/>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268"/>
      <c r="EB169" s="268"/>
      <c r="EC169" s="268"/>
      <c r="ED169" s="268"/>
      <c r="EE169" s="268"/>
      <c r="EF169" s="268"/>
      <c r="EG169" s="268"/>
      <c r="EH169" s="268"/>
      <c r="EI169" s="268"/>
      <c r="EJ169" s="268"/>
      <c r="EK169" s="268"/>
      <c r="EL169" s="268"/>
      <c r="EM169" s="268"/>
      <c r="EN169" s="268"/>
      <c r="EO169" s="268"/>
      <c r="EP169" s="268"/>
      <c r="EQ169" s="268"/>
      <c r="ER169" s="268"/>
      <c r="ES169" s="268"/>
      <c r="ET169" s="268"/>
      <c r="EU169" s="268"/>
      <c r="EV169" s="268"/>
      <c r="EW169" s="268"/>
      <c r="EX169" s="268"/>
      <c r="EY169" s="268"/>
      <c r="EZ169" s="268"/>
      <c r="FA169" s="268"/>
      <c r="FB169" s="268"/>
      <c r="FC169" s="268"/>
      <c r="FD169" s="268"/>
      <c r="FE169" s="268"/>
      <c r="FF169" s="268"/>
      <c r="FG169" s="268"/>
      <c r="FH169" s="268"/>
      <c r="FI169" s="268"/>
      <c r="FJ169" s="268"/>
      <c r="FK169" s="268"/>
      <c r="FL169" s="268"/>
      <c r="FM169" s="268"/>
      <c r="FN169" s="268"/>
      <c r="FO169" s="268"/>
      <c r="FP169" s="268"/>
      <c r="FQ169" s="268"/>
      <c r="FR169" s="268"/>
      <c r="FS169" s="268"/>
      <c r="FT169" s="268"/>
      <c r="FU169" s="268"/>
      <c r="FV169" s="268"/>
      <c r="FW169" s="268"/>
      <c r="FX169" s="268"/>
      <c r="FY169" s="268"/>
      <c r="FZ169" s="268"/>
      <c r="GA169" s="268"/>
      <c r="GB169" s="268"/>
      <c r="GC169" s="268"/>
      <c r="GD169" s="268"/>
      <c r="GE169" s="268"/>
      <c r="GF169" s="268"/>
      <c r="GG169" s="268"/>
      <c r="GH169" s="268"/>
      <c r="GI169" s="268"/>
      <c r="GJ169" s="268"/>
      <c r="GK169" s="268"/>
      <c r="GL169" s="268"/>
      <c r="GM169" s="268"/>
      <c r="GN169" s="268"/>
      <c r="GO169" s="268"/>
    </row>
    <row r="170" spans="2:197" s="275" customFormat="1" ht="39.75" hidden="1" customHeight="1">
      <c r="B170" s="268"/>
      <c r="C170" s="319"/>
      <c r="D170" s="319"/>
      <c r="E170" s="319"/>
      <c r="F170" s="319"/>
      <c r="G170" s="319"/>
      <c r="H170" s="319"/>
      <c r="I170" s="319"/>
      <c r="J170" s="319"/>
      <c r="K170" s="319"/>
      <c r="L170" s="319"/>
      <c r="M170" s="319"/>
      <c r="N170" s="319"/>
      <c r="O170" s="268"/>
      <c r="P170" s="268"/>
      <c r="Q170" s="268"/>
      <c r="R170" s="268"/>
      <c r="S170" s="574"/>
      <c r="T170" s="574"/>
      <c r="U170" s="574"/>
      <c r="V170" s="552"/>
      <c r="W170" s="268"/>
      <c r="X170" s="268"/>
      <c r="Y170" s="268"/>
      <c r="Z170" s="268"/>
      <c r="AA170" s="268"/>
      <c r="AB170" s="268"/>
      <c r="AC170" s="268"/>
      <c r="AD170" s="284">
        <v>68</v>
      </c>
      <c r="AE170" s="367">
        <v>80930</v>
      </c>
      <c r="AF170" s="369">
        <v>22800</v>
      </c>
      <c r="AG170" s="303">
        <v>23500</v>
      </c>
      <c r="AH170" s="367">
        <v>80930</v>
      </c>
      <c r="AI170" s="367">
        <v>82950</v>
      </c>
      <c r="AJ170" s="367">
        <v>84970</v>
      </c>
      <c r="AK170" s="606">
        <v>78910</v>
      </c>
      <c r="AL170" s="268"/>
      <c r="AM170" s="268"/>
      <c r="AN170" s="268"/>
      <c r="AO170" s="268"/>
      <c r="AP170" s="268"/>
      <c r="AQ170" s="268"/>
      <c r="AR170" s="268"/>
      <c r="AS170" s="268"/>
      <c r="AT170" s="268"/>
      <c r="AU170" s="268"/>
      <c r="AV170" s="268"/>
      <c r="AW170" s="268"/>
      <c r="AX170" s="268"/>
      <c r="AY170" s="268"/>
      <c r="AZ170" s="268"/>
      <c r="BA170" s="268"/>
      <c r="BB170" s="268"/>
      <c r="BC170" s="268"/>
      <c r="BD170" s="268"/>
      <c r="BE170" s="268"/>
      <c r="BF170" s="268"/>
      <c r="BG170" s="268"/>
      <c r="BH170" s="268"/>
      <c r="BI170" s="268"/>
      <c r="BJ170" s="268"/>
      <c r="BK170" s="268"/>
      <c r="BL170" s="268"/>
      <c r="BM170" s="268"/>
      <c r="BN170" s="268"/>
      <c r="BO170" s="268"/>
      <c r="BP170" s="268"/>
      <c r="BQ170" s="268"/>
      <c r="BR170" s="268"/>
      <c r="BS170" s="268"/>
      <c r="BT170" s="268"/>
      <c r="BU170" s="268"/>
      <c r="BV170" s="268"/>
      <c r="BW170" s="268"/>
      <c r="BX170" s="268"/>
      <c r="BY170" s="268"/>
      <c r="BZ170" s="268"/>
      <c r="CA170" s="268"/>
      <c r="CB170" s="268"/>
      <c r="CC170" s="268"/>
      <c r="CD170" s="268"/>
      <c r="CE170" s="268"/>
      <c r="CF170" s="268"/>
      <c r="CG170" s="268"/>
      <c r="CH170" s="268"/>
      <c r="CI170" s="268"/>
      <c r="CJ170" s="268"/>
      <c r="CK170" s="268"/>
      <c r="CL170" s="268"/>
      <c r="CM170" s="268"/>
      <c r="CN170" s="268"/>
      <c r="CO170" s="268"/>
      <c r="CP170" s="268"/>
      <c r="CQ170" s="268"/>
      <c r="CR170" s="268"/>
      <c r="CS170" s="268"/>
      <c r="CT170" s="268"/>
      <c r="CU170" s="268"/>
      <c r="CV170" s="268"/>
      <c r="CW170" s="268"/>
      <c r="CX170" s="268"/>
      <c r="CY170" s="268"/>
      <c r="CZ170" s="268"/>
      <c r="DA170" s="268"/>
      <c r="DB170" s="268"/>
      <c r="DC170" s="268"/>
      <c r="DD170" s="268"/>
      <c r="DE170" s="268"/>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268"/>
      <c r="EC170" s="268"/>
      <c r="ED170" s="268"/>
      <c r="EE170" s="268"/>
      <c r="EF170" s="268"/>
      <c r="EG170" s="268"/>
      <c r="EH170" s="268"/>
      <c r="EI170" s="268"/>
      <c r="EJ170" s="268"/>
      <c r="EK170" s="268"/>
      <c r="EL170" s="268"/>
      <c r="EM170" s="268"/>
      <c r="EN170" s="268"/>
      <c r="EO170" s="268"/>
      <c r="EP170" s="268"/>
      <c r="EQ170" s="268"/>
      <c r="ER170" s="268"/>
      <c r="ES170" s="268"/>
      <c r="ET170" s="268"/>
      <c r="EU170" s="268"/>
      <c r="EV170" s="268"/>
      <c r="EW170" s="268"/>
      <c r="EX170" s="268"/>
      <c r="EY170" s="268"/>
      <c r="EZ170" s="268"/>
      <c r="FA170" s="268"/>
      <c r="FB170" s="268"/>
      <c r="FC170" s="268"/>
      <c r="FD170" s="268"/>
      <c r="FE170" s="268"/>
      <c r="FF170" s="268"/>
      <c r="FG170" s="268"/>
      <c r="FH170" s="268"/>
      <c r="FI170" s="268"/>
      <c r="FJ170" s="268"/>
      <c r="FK170" s="268"/>
      <c r="FL170" s="268"/>
      <c r="FM170" s="268"/>
      <c r="FN170" s="268"/>
      <c r="FO170" s="268"/>
      <c r="FP170" s="268"/>
      <c r="FQ170" s="268"/>
      <c r="FR170" s="268"/>
      <c r="FS170" s="268"/>
      <c r="FT170" s="268"/>
      <c r="FU170" s="268"/>
      <c r="FV170" s="268"/>
      <c r="FW170" s="268"/>
      <c r="FX170" s="268"/>
      <c r="FY170" s="268"/>
      <c r="FZ170" s="268"/>
      <c r="GA170" s="268"/>
      <c r="GB170" s="268"/>
      <c r="GC170" s="268"/>
      <c r="GD170" s="268"/>
      <c r="GE170" s="268"/>
      <c r="GF170" s="268"/>
      <c r="GG170" s="268"/>
      <c r="GH170" s="268"/>
      <c r="GI170" s="268"/>
      <c r="GJ170" s="268"/>
      <c r="GK170" s="268"/>
      <c r="GL170" s="268"/>
      <c r="GM170" s="268"/>
      <c r="GN170" s="268"/>
      <c r="GO170" s="268"/>
    </row>
    <row r="171" spans="2:197" s="275" customFormat="1" ht="39.75" hidden="1" customHeight="1">
      <c r="B171" s="268"/>
      <c r="C171" s="319"/>
      <c r="D171" s="319"/>
      <c r="E171" s="319"/>
      <c r="F171" s="319"/>
      <c r="G171" s="319"/>
      <c r="H171" s="319"/>
      <c r="I171" s="319"/>
      <c r="J171" s="319"/>
      <c r="K171" s="319"/>
      <c r="L171" s="319"/>
      <c r="M171" s="319"/>
      <c r="N171" s="319"/>
      <c r="O171" s="268"/>
      <c r="P171" s="268"/>
      <c r="Q171" s="268"/>
      <c r="R171" s="268"/>
      <c r="S171" s="574"/>
      <c r="T171" s="574"/>
      <c r="U171" s="574"/>
      <c r="V171" s="552"/>
      <c r="W171" s="268"/>
      <c r="X171" s="268"/>
      <c r="Y171" s="268"/>
      <c r="Z171" s="268"/>
      <c r="AA171" s="268"/>
      <c r="AB171" s="268"/>
      <c r="AC171" s="268"/>
      <c r="AD171" s="284">
        <v>69</v>
      </c>
      <c r="AE171" s="367">
        <v>82950</v>
      </c>
      <c r="AF171" s="369">
        <v>23500</v>
      </c>
      <c r="AG171" s="303">
        <v>24200</v>
      </c>
      <c r="AH171" s="367">
        <v>82950</v>
      </c>
      <c r="AI171" s="367">
        <v>84970</v>
      </c>
      <c r="AJ171" s="367">
        <v>87130</v>
      </c>
      <c r="AK171" s="606">
        <v>80930</v>
      </c>
      <c r="AL171" s="268"/>
      <c r="AM171" s="268"/>
      <c r="AN171" s="268"/>
      <c r="AO171" s="268"/>
      <c r="AP171" s="268"/>
      <c r="AQ171" s="268"/>
      <c r="AR171" s="268"/>
      <c r="AS171" s="268"/>
      <c r="AT171" s="268"/>
      <c r="AU171" s="268"/>
      <c r="AV171" s="268"/>
      <c r="AW171" s="268"/>
      <c r="AX171" s="268"/>
      <c r="AY171" s="268"/>
      <c r="AZ171" s="268"/>
      <c r="BA171" s="268"/>
      <c r="BB171" s="268"/>
      <c r="BC171" s="268"/>
      <c r="BD171" s="268"/>
      <c r="BE171" s="268"/>
      <c r="BF171" s="268"/>
      <c r="BG171" s="268"/>
      <c r="BH171" s="268"/>
      <c r="BI171" s="268"/>
      <c r="BJ171" s="268"/>
      <c r="BK171" s="268"/>
      <c r="BL171" s="268"/>
      <c r="BM171" s="268"/>
      <c r="BN171" s="268"/>
      <c r="BO171" s="268"/>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268"/>
      <c r="CS171" s="268"/>
      <c r="CT171" s="268"/>
      <c r="CU171" s="268"/>
      <c r="CV171" s="268"/>
      <c r="CW171" s="268"/>
      <c r="CX171" s="268"/>
      <c r="CY171" s="268"/>
      <c r="CZ171" s="268"/>
      <c r="DA171" s="268"/>
      <c r="DB171" s="268"/>
      <c r="DC171" s="268"/>
      <c r="DD171" s="268"/>
      <c r="DE171" s="268"/>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268"/>
      <c r="EB171" s="268"/>
      <c r="EC171" s="268"/>
      <c r="ED171" s="268"/>
      <c r="EE171" s="268"/>
      <c r="EF171" s="268"/>
      <c r="EG171" s="268"/>
      <c r="EH171" s="268"/>
      <c r="EI171" s="268"/>
      <c r="EJ171" s="268"/>
      <c r="EK171" s="268"/>
      <c r="EL171" s="268"/>
      <c r="EM171" s="268"/>
      <c r="EN171" s="268"/>
      <c r="EO171" s="268"/>
      <c r="EP171" s="268"/>
      <c r="EQ171" s="268"/>
      <c r="ER171" s="268"/>
      <c r="ES171" s="268"/>
      <c r="ET171" s="268"/>
      <c r="EU171" s="268"/>
      <c r="EV171" s="268"/>
      <c r="EW171" s="268"/>
      <c r="EX171" s="268"/>
      <c r="EY171" s="268"/>
      <c r="EZ171" s="268"/>
      <c r="FA171" s="268"/>
      <c r="FB171" s="268"/>
      <c r="FC171" s="268"/>
      <c r="FD171" s="268"/>
      <c r="FE171" s="268"/>
      <c r="FF171" s="268"/>
      <c r="FG171" s="268"/>
      <c r="FH171" s="268"/>
      <c r="FI171" s="268"/>
      <c r="FJ171" s="268"/>
      <c r="FK171" s="268"/>
      <c r="FL171" s="268"/>
      <c r="FM171" s="268"/>
      <c r="FN171" s="268"/>
      <c r="FO171" s="268"/>
      <c r="FP171" s="268"/>
      <c r="FQ171" s="268"/>
      <c r="FR171" s="268"/>
      <c r="FS171" s="268"/>
      <c r="FT171" s="268"/>
      <c r="FU171" s="268"/>
      <c r="FV171" s="268"/>
      <c r="FW171" s="268"/>
      <c r="FX171" s="268"/>
      <c r="FY171" s="268"/>
      <c r="FZ171" s="268"/>
      <c r="GA171" s="268"/>
      <c r="GB171" s="268"/>
      <c r="GC171" s="268"/>
      <c r="GD171" s="268"/>
      <c r="GE171" s="268"/>
      <c r="GF171" s="268"/>
      <c r="GG171" s="268"/>
      <c r="GH171" s="268"/>
      <c r="GI171" s="268"/>
      <c r="GJ171" s="268"/>
      <c r="GK171" s="268"/>
      <c r="GL171" s="268"/>
      <c r="GM171" s="268"/>
      <c r="GN171" s="268"/>
      <c r="GO171" s="268"/>
    </row>
    <row r="172" spans="2:197" s="275" customFormat="1" ht="39.75" hidden="1" customHeight="1">
      <c r="B172" s="268"/>
      <c r="C172" s="319"/>
      <c r="D172" s="319"/>
      <c r="E172" s="319"/>
      <c r="F172" s="319"/>
      <c r="G172" s="319"/>
      <c r="H172" s="319"/>
      <c r="I172" s="319"/>
      <c r="J172" s="319"/>
      <c r="K172" s="319"/>
      <c r="L172" s="319"/>
      <c r="M172" s="319"/>
      <c r="N172" s="319"/>
      <c r="O172" s="268"/>
      <c r="P172" s="268"/>
      <c r="Q172" s="268"/>
      <c r="R172" s="268"/>
      <c r="S172" s="574"/>
      <c r="T172" s="574"/>
      <c r="U172" s="574"/>
      <c r="V172" s="552"/>
      <c r="W172" s="268"/>
      <c r="X172" s="268"/>
      <c r="Y172" s="268"/>
      <c r="Z172" s="268"/>
      <c r="AA172" s="268"/>
      <c r="AB172" s="268"/>
      <c r="AC172" s="268"/>
      <c r="AD172" s="284">
        <v>70</v>
      </c>
      <c r="AE172" s="367">
        <v>84970</v>
      </c>
      <c r="AF172" s="369">
        <v>24200</v>
      </c>
      <c r="AG172" s="303">
        <v>24900</v>
      </c>
      <c r="AH172" s="367">
        <v>84970</v>
      </c>
      <c r="AI172" s="367">
        <v>87130</v>
      </c>
      <c r="AJ172" s="367">
        <v>89290</v>
      </c>
      <c r="AK172" s="606">
        <v>82950</v>
      </c>
      <c r="AL172" s="268"/>
      <c r="AM172" s="268"/>
      <c r="AN172" s="268"/>
      <c r="AO172" s="268"/>
      <c r="AP172" s="268"/>
      <c r="AQ172" s="268"/>
      <c r="AR172" s="268"/>
      <c r="AS172" s="268"/>
      <c r="AT172" s="268"/>
      <c r="AU172" s="268"/>
      <c r="AV172" s="268"/>
      <c r="AW172" s="268"/>
      <c r="AX172" s="268"/>
      <c r="AY172" s="268"/>
      <c r="AZ172" s="268"/>
      <c r="BA172" s="268"/>
      <c r="BB172" s="268"/>
      <c r="BC172" s="268"/>
      <c r="BD172" s="268"/>
      <c r="BE172" s="268"/>
      <c r="BF172" s="268"/>
      <c r="BG172" s="268"/>
      <c r="BH172" s="268"/>
      <c r="BI172" s="268"/>
      <c r="BJ172" s="268"/>
      <c r="BK172" s="268"/>
      <c r="BL172" s="268"/>
      <c r="BM172" s="268"/>
      <c r="BN172" s="268"/>
      <c r="BO172" s="268"/>
      <c r="BP172" s="268"/>
      <c r="BQ172" s="268"/>
      <c r="BR172" s="268"/>
      <c r="BS172" s="268"/>
      <c r="BT172" s="268"/>
      <c r="BU172" s="268"/>
      <c r="BV172" s="268"/>
      <c r="BW172" s="268"/>
      <c r="BX172" s="268"/>
      <c r="BY172" s="268"/>
      <c r="BZ172" s="268"/>
      <c r="CA172" s="268"/>
      <c r="CB172" s="268"/>
      <c r="CC172" s="268"/>
      <c r="CD172" s="268"/>
      <c r="CE172" s="268"/>
      <c r="CF172" s="268"/>
      <c r="CG172" s="268"/>
      <c r="CH172" s="268"/>
      <c r="CI172" s="268"/>
      <c r="CJ172" s="268"/>
      <c r="CK172" s="268"/>
      <c r="CL172" s="268"/>
      <c r="CM172" s="268"/>
      <c r="CN172" s="268"/>
      <c r="CO172" s="268"/>
      <c r="CP172" s="268"/>
      <c r="CQ172" s="268"/>
      <c r="CR172" s="268"/>
      <c r="CS172" s="268"/>
      <c r="CT172" s="268"/>
      <c r="CU172" s="268"/>
      <c r="CV172" s="268"/>
      <c r="CW172" s="268"/>
      <c r="CX172" s="268"/>
      <c r="CY172" s="268"/>
      <c r="CZ172" s="268"/>
      <c r="DA172" s="268"/>
      <c r="DB172" s="268"/>
      <c r="DC172" s="268"/>
      <c r="DD172" s="268"/>
      <c r="DE172" s="268"/>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268"/>
      <c r="EC172" s="268"/>
      <c r="ED172" s="268"/>
      <c r="EE172" s="268"/>
      <c r="EF172" s="268"/>
      <c r="EG172" s="268"/>
      <c r="EH172" s="268"/>
      <c r="EI172" s="268"/>
      <c r="EJ172" s="268"/>
      <c r="EK172" s="268"/>
      <c r="EL172" s="268"/>
      <c r="EM172" s="268"/>
      <c r="EN172" s="268"/>
      <c r="EO172" s="268"/>
      <c r="EP172" s="268"/>
      <c r="EQ172" s="268"/>
      <c r="ER172" s="268"/>
      <c r="ES172" s="268"/>
      <c r="ET172" s="268"/>
      <c r="EU172" s="268"/>
      <c r="EV172" s="268"/>
      <c r="EW172" s="268"/>
      <c r="EX172" s="268"/>
      <c r="EY172" s="268"/>
      <c r="EZ172" s="268"/>
      <c r="FA172" s="268"/>
      <c r="FB172" s="268"/>
      <c r="FC172" s="268"/>
      <c r="FD172" s="268"/>
      <c r="FE172" s="268"/>
      <c r="FF172" s="268"/>
      <c r="FG172" s="268"/>
      <c r="FH172" s="268"/>
      <c r="FI172" s="268"/>
      <c r="FJ172" s="268"/>
      <c r="FK172" s="268"/>
      <c r="FL172" s="268"/>
      <c r="FM172" s="268"/>
      <c r="FN172" s="268"/>
      <c r="FO172" s="268"/>
      <c r="FP172" s="268"/>
      <c r="FQ172" s="268"/>
      <c r="FR172" s="268"/>
      <c r="FS172" s="268"/>
      <c r="FT172" s="268"/>
      <c r="FU172" s="268"/>
      <c r="FV172" s="268"/>
      <c r="FW172" s="268"/>
      <c r="FX172" s="268"/>
      <c r="FY172" s="268"/>
      <c r="FZ172" s="268"/>
      <c r="GA172" s="268"/>
      <c r="GB172" s="268"/>
      <c r="GC172" s="268"/>
      <c r="GD172" s="268"/>
      <c r="GE172" s="268"/>
      <c r="GF172" s="268"/>
      <c r="GG172" s="268"/>
      <c r="GH172" s="268"/>
      <c r="GI172" s="268"/>
      <c r="GJ172" s="268"/>
      <c r="GK172" s="268"/>
      <c r="GL172" s="268"/>
      <c r="GM172" s="268"/>
      <c r="GN172" s="268"/>
      <c r="GO172" s="268"/>
    </row>
    <row r="173" spans="2:197" s="275" customFormat="1" ht="39.75" hidden="1" customHeight="1">
      <c r="B173" s="268"/>
      <c r="C173" s="319"/>
      <c r="D173" s="319"/>
      <c r="E173" s="319"/>
      <c r="F173" s="319"/>
      <c r="G173" s="319"/>
      <c r="H173" s="319"/>
      <c r="I173" s="319"/>
      <c r="J173" s="319"/>
      <c r="K173" s="319"/>
      <c r="L173" s="319"/>
      <c r="M173" s="319"/>
      <c r="N173" s="319"/>
      <c r="O173" s="268"/>
      <c r="P173" s="268"/>
      <c r="Q173" s="268"/>
      <c r="R173" s="268"/>
      <c r="S173" s="574"/>
      <c r="T173" s="574"/>
      <c r="U173" s="574"/>
      <c r="V173" s="552"/>
      <c r="W173" s="268"/>
      <c r="X173" s="268"/>
      <c r="Y173" s="268"/>
      <c r="Z173" s="268"/>
      <c r="AA173" s="268"/>
      <c r="AB173" s="268"/>
      <c r="AC173" s="268"/>
      <c r="AD173" s="284">
        <v>71</v>
      </c>
      <c r="AE173" s="367">
        <v>87130</v>
      </c>
      <c r="AF173" s="369">
        <v>24900</v>
      </c>
      <c r="AG173" s="303">
        <v>25600</v>
      </c>
      <c r="AH173" s="367">
        <v>87130</v>
      </c>
      <c r="AI173" s="367">
        <v>89290</v>
      </c>
      <c r="AJ173" s="367">
        <v>91450</v>
      </c>
      <c r="AK173" s="606">
        <v>84970</v>
      </c>
      <c r="AL173" s="268"/>
      <c r="AM173" s="268"/>
      <c r="AN173" s="268"/>
      <c r="AO173" s="268"/>
      <c r="AP173" s="268"/>
      <c r="AQ173" s="268"/>
      <c r="AR173" s="268"/>
      <c r="AS173" s="268"/>
      <c r="AT173" s="268"/>
      <c r="AU173" s="268"/>
      <c r="AV173" s="268"/>
      <c r="AW173" s="268"/>
      <c r="AX173" s="268"/>
      <c r="AY173" s="268"/>
      <c r="AZ173" s="268"/>
      <c r="BA173" s="268"/>
      <c r="BB173" s="268"/>
      <c r="BC173" s="268"/>
      <c r="BD173" s="268"/>
      <c r="BE173" s="268"/>
      <c r="BF173" s="268"/>
      <c r="BG173" s="268"/>
      <c r="BH173" s="268"/>
      <c r="BI173" s="268"/>
      <c r="BJ173" s="268"/>
      <c r="BK173" s="268"/>
      <c r="BL173" s="268"/>
      <c r="BM173" s="268"/>
      <c r="BN173" s="268"/>
      <c r="BO173" s="268"/>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268"/>
      <c r="CS173" s="268"/>
      <c r="CT173" s="268"/>
      <c r="CU173" s="268"/>
      <c r="CV173" s="268"/>
      <c r="CW173" s="268"/>
      <c r="CX173" s="268"/>
      <c r="CY173" s="268"/>
      <c r="CZ173" s="268"/>
      <c r="DA173" s="268"/>
      <c r="DB173" s="268"/>
      <c r="DC173" s="268"/>
      <c r="DD173" s="268"/>
      <c r="DE173" s="268"/>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268"/>
      <c r="EB173" s="268"/>
      <c r="EC173" s="268"/>
      <c r="ED173" s="268"/>
      <c r="EE173" s="268"/>
      <c r="EF173" s="268"/>
      <c r="EG173" s="268"/>
      <c r="EH173" s="268"/>
      <c r="EI173" s="268"/>
      <c r="EJ173" s="268"/>
      <c r="EK173" s="268"/>
      <c r="EL173" s="268"/>
      <c r="EM173" s="268"/>
      <c r="EN173" s="268"/>
      <c r="EO173" s="268"/>
      <c r="EP173" s="268"/>
      <c r="EQ173" s="268"/>
      <c r="ER173" s="268"/>
      <c r="ES173" s="268"/>
      <c r="ET173" s="268"/>
      <c r="EU173" s="268"/>
      <c r="EV173" s="268"/>
      <c r="EW173" s="268"/>
      <c r="EX173" s="268"/>
      <c r="EY173" s="268"/>
      <c r="EZ173" s="268"/>
      <c r="FA173" s="268"/>
      <c r="FB173" s="268"/>
      <c r="FC173" s="268"/>
      <c r="FD173" s="268"/>
      <c r="FE173" s="268"/>
      <c r="FF173" s="268"/>
      <c r="FG173" s="268"/>
      <c r="FH173" s="268"/>
      <c r="FI173" s="268"/>
      <c r="FJ173" s="268"/>
      <c r="FK173" s="268"/>
      <c r="FL173" s="268"/>
      <c r="FM173" s="268"/>
      <c r="FN173" s="268"/>
      <c r="FO173" s="268"/>
      <c r="FP173" s="268"/>
      <c r="FQ173" s="268"/>
      <c r="FR173" s="268"/>
      <c r="FS173" s="268"/>
      <c r="FT173" s="268"/>
      <c r="FU173" s="268"/>
      <c r="FV173" s="268"/>
      <c r="FW173" s="268"/>
      <c r="FX173" s="268"/>
      <c r="FY173" s="268"/>
      <c r="FZ173" s="268"/>
      <c r="GA173" s="268"/>
      <c r="GB173" s="268"/>
      <c r="GC173" s="268"/>
      <c r="GD173" s="268"/>
      <c r="GE173" s="268"/>
      <c r="GF173" s="268"/>
      <c r="GG173" s="268"/>
      <c r="GH173" s="268"/>
      <c r="GI173" s="268"/>
      <c r="GJ173" s="268"/>
      <c r="GK173" s="268"/>
      <c r="GL173" s="268"/>
      <c r="GM173" s="268"/>
      <c r="GN173" s="268"/>
      <c r="GO173" s="268"/>
    </row>
    <row r="174" spans="2:197" s="275" customFormat="1" ht="39.75" hidden="1" customHeight="1">
      <c r="B174" s="268"/>
      <c r="C174" s="319"/>
      <c r="D174" s="319"/>
      <c r="E174" s="319"/>
      <c r="F174" s="319"/>
      <c r="G174" s="319"/>
      <c r="H174" s="319"/>
      <c r="I174" s="319"/>
      <c r="J174" s="319"/>
      <c r="K174" s="319"/>
      <c r="L174" s="319"/>
      <c r="M174" s="319"/>
      <c r="N174" s="319"/>
      <c r="O174" s="268"/>
      <c r="P174" s="268"/>
      <c r="Q174" s="268"/>
      <c r="R174" s="268"/>
      <c r="S174" s="574"/>
      <c r="T174" s="574"/>
      <c r="U174" s="574"/>
      <c r="V174" s="552"/>
      <c r="W174" s="268"/>
      <c r="X174" s="268"/>
      <c r="Y174" s="268"/>
      <c r="Z174" s="268"/>
      <c r="AA174" s="268"/>
      <c r="AB174" s="268"/>
      <c r="AC174" s="268"/>
      <c r="AD174" s="284">
        <v>72</v>
      </c>
      <c r="AE174" s="367">
        <v>89290</v>
      </c>
      <c r="AF174" s="369">
        <v>25600</v>
      </c>
      <c r="AG174" s="303">
        <v>26300</v>
      </c>
      <c r="AH174" s="367">
        <v>89290</v>
      </c>
      <c r="AI174" s="367">
        <v>91450</v>
      </c>
      <c r="AJ174" s="367">
        <v>93780</v>
      </c>
      <c r="AK174" s="606">
        <v>87130</v>
      </c>
      <c r="AL174" s="268"/>
      <c r="AM174" s="268"/>
      <c r="AN174" s="268"/>
      <c r="AO174" s="268"/>
      <c r="AP174" s="268"/>
      <c r="AQ174" s="268"/>
      <c r="AR174" s="268"/>
      <c r="AS174" s="268"/>
      <c r="AT174" s="268"/>
      <c r="AU174" s="268"/>
      <c r="AV174" s="268"/>
      <c r="AW174" s="268"/>
      <c r="AX174" s="268"/>
      <c r="AY174" s="268"/>
      <c r="AZ174" s="268"/>
      <c r="BA174" s="268"/>
      <c r="BB174" s="268"/>
      <c r="BC174" s="268"/>
      <c r="BD174" s="268"/>
      <c r="BE174" s="268"/>
      <c r="BF174" s="268"/>
      <c r="BG174" s="268"/>
      <c r="BH174" s="268"/>
      <c r="BI174" s="268"/>
      <c r="BJ174" s="268"/>
      <c r="BK174" s="268"/>
      <c r="BL174" s="268"/>
      <c r="BM174" s="268"/>
      <c r="BN174" s="268"/>
      <c r="BO174" s="268"/>
      <c r="BP174" s="268"/>
      <c r="BQ174" s="268"/>
      <c r="BR174" s="268"/>
      <c r="BS174" s="268"/>
      <c r="BT174" s="268"/>
      <c r="BU174" s="268"/>
      <c r="BV174" s="268"/>
      <c r="BW174" s="268"/>
      <c r="BX174" s="268"/>
      <c r="BY174" s="268"/>
      <c r="BZ174" s="268"/>
      <c r="CA174" s="268"/>
      <c r="CB174" s="268"/>
      <c r="CC174" s="268"/>
      <c r="CD174" s="268"/>
      <c r="CE174" s="268"/>
      <c r="CF174" s="268"/>
      <c r="CG174" s="268"/>
      <c r="CH174" s="268"/>
      <c r="CI174" s="268"/>
      <c r="CJ174" s="268"/>
      <c r="CK174" s="268"/>
      <c r="CL174" s="268"/>
      <c r="CM174" s="268"/>
      <c r="CN174" s="268"/>
      <c r="CO174" s="268"/>
      <c r="CP174" s="268"/>
      <c r="CQ174" s="268"/>
      <c r="CR174" s="268"/>
      <c r="CS174" s="268"/>
      <c r="CT174" s="268"/>
      <c r="CU174" s="268"/>
      <c r="CV174" s="268"/>
      <c r="CW174" s="268"/>
      <c r="CX174" s="268"/>
      <c r="CY174" s="268"/>
      <c r="CZ174" s="268"/>
      <c r="DA174" s="268"/>
      <c r="DB174" s="268"/>
      <c r="DC174" s="268"/>
      <c r="DD174" s="268"/>
      <c r="DE174" s="268"/>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268"/>
      <c r="EC174" s="268"/>
      <c r="ED174" s="268"/>
      <c r="EE174" s="268"/>
      <c r="EF174" s="268"/>
      <c r="EG174" s="268"/>
      <c r="EH174" s="268"/>
      <c r="EI174" s="268"/>
      <c r="EJ174" s="268"/>
      <c r="EK174" s="268"/>
      <c r="EL174" s="268"/>
      <c r="EM174" s="268"/>
      <c r="EN174" s="268"/>
      <c r="EO174" s="268"/>
      <c r="EP174" s="268"/>
      <c r="EQ174" s="268"/>
      <c r="ER174" s="268"/>
      <c r="ES174" s="268"/>
      <c r="ET174" s="268"/>
      <c r="EU174" s="268"/>
      <c r="EV174" s="268"/>
      <c r="EW174" s="268"/>
      <c r="EX174" s="268"/>
      <c r="EY174" s="268"/>
      <c r="EZ174" s="268"/>
      <c r="FA174" s="268"/>
      <c r="FB174" s="268"/>
      <c r="FC174" s="268"/>
      <c r="FD174" s="268"/>
      <c r="FE174" s="268"/>
      <c r="FF174" s="268"/>
      <c r="FG174" s="268"/>
      <c r="FH174" s="268"/>
      <c r="FI174" s="268"/>
      <c r="FJ174" s="268"/>
      <c r="FK174" s="268"/>
      <c r="FL174" s="268"/>
      <c r="FM174" s="268"/>
      <c r="FN174" s="268"/>
      <c r="FO174" s="268"/>
      <c r="FP174" s="268"/>
      <c r="FQ174" s="268"/>
      <c r="FR174" s="268"/>
      <c r="FS174" s="268"/>
      <c r="FT174" s="268"/>
      <c r="FU174" s="268"/>
      <c r="FV174" s="268"/>
      <c r="FW174" s="268"/>
      <c r="FX174" s="268"/>
      <c r="FY174" s="268"/>
      <c r="FZ174" s="268"/>
      <c r="GA174" s="268"/>
      <c r="GB174" s="268"/>
      <c r="GC174" s="268"/>
      <c r="GD174" s="268"/>
      <c r="GE174" s="268"/>
      <c r="GF174" s="268"/>
      <c r="GG174" s="268"/>
      <c r="GH174" s="268"/>
      <c r="GI174" s="268"/>
      <c r="GJ174" s="268"/>
      <c r="GK174" s="268"/>
      <c r="GL174" s="268"/>
      <c r="GM174" s="268"/>
      <c r="GN174" s="268"/>
      <c r="GO174" s="268"/>
    </row>
    <row r="175" spans="2:197" s="275" customFormat="1" ht="39.75" hidden="1" customHeight="1">
      <c r="B175" s="268"/>
      <c r="C175" s="319"/>
      <c r="D175" s="319"/>
      <c r="E175" s="319"/>
      <c r="F175" s="319"/>
      <c r="G175" s="319"/>
      <c r="H175" s="319"/>
      <c r="I175" s="319"/>
      <c r="J175" s="319"/>
      <c r="K175" s="319"/>
      <c r="L175" s="319"/>
      <c r="M175" s="319"/>
      <c r="N175" s="319"/>
      <c r="O175" s="268"/>
      <c r="P175" s="268"/>
      <c r="Q175" s="268"/>
      <c r="R175" s="268"/>
      <c r="S175" s="574"/>
      <c r="T175" s="574"/>
      <c r="U175" s="574"/>
      <c r="V175" s="552"/>
      <c r="W175" s="268"/>
      <c r="X175" s="268"/>
      <c r="Y175" s="268"/>
      <c r="Z175" s="268"/>
      <c r="AA175" s="268"/>
      <c r="AB175" s="268"/>
      <c r="AC175" s="268"/>
      <c r="AD175" s="284">
        <v>73</v>
      </c>
      <c r="AE175" s="367">
        <v>91450</v>
      </c>
      <c r="AF175" s="369">
        <v>26300</v>
      </c>
      <c r="AG175" s="303">
        <v>27000</v>
      </c>
      <c r="AH175" s="367">
        <v>91450</v>
      </c>
      <c r="AI175" s="367">
        <v>93780</v>
      </c>
      <c r="AJ175" s="367">
        <v>96110</v>
      </c>
      <c r="AK175" s="606">
        <v>89290</v>
      </c>
      <c r="AL175" s="268"/>
      <c r="AM175" s="268"/>
      <c r="AN175" s="268"/>
      <c r="AO175" s="268"/>
      <c r="AP175" s="268"/>
      <c r="AQ175" s="268"/>
      <c r="AR175" s="268"/>
      <c r="AS175" s="268"/>
      <c r="AT175" s="268"/>
      <c r="AU175" s="268"/>
      <c r="AV175" s="268"/>
      <c r="AW175" s="268"/>
      <c r="AX175" s="268"/>
      <c r="AY175" s="268"/>
      <c r="AZ175" s="268"/>
      <c r="BA175" s="268"/>
      <c r="BB175" s="268"/>
      <c r="BC175" s="268"/>
      <c r="BD175" s="268"/>
      <c r="BE175" s="268"/>
      <c r="BF175" s="268"/>
      <c r="BG175" s="268"/>
      <c r="BH175" s="268"/>
      <c r="BI175" s="268"/>
      <c r="BJ175" s="268"/>
      <c r="BK175" s="268"/>
      <c r="BL175" s="268"/>
      <c r="BM175" s="268"/>
      <c r="BN175" s="268"/>
      <c r="BO175" s="268"/>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268"/>
      <c r="CS175" s="268"/>
      <c r="CT175" s="268"/>
      <c r="CU175" s="268"/>
      <c r="CV175" s="268"/>
      <c r="CW175" s="268"/>
      <c r="CX175" s="268"/>
      <c r="CY175" s="268"/>
      <c r="CZ175" s="268"/>
      <c r="DA175" s="268"/>
      <c r="DB175" s="268"/>
      <c r="DC175" s="268"/>
      <c r="DD175" s="268"/>
      <c r="DE175" s="268"/>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268"/>
      <c r="EB175" s="268"/>
      <c r="EC175" s="268"/>
      <c r="ED175" s="268"/>
      <c r="EE175" s="268"/>
      <c r="EF175" s="268"/>
      <c r="EG175" s="268"/>
      <c r="EH175" s="268"/>
      <c r="EI175" s="268"/>
      <c r="EJ175" s="268"/>
      <c r="EK175" s="268"/>
      <c r="EL175" s="268"/>
      <c r="EM175" s="268"/>
      <c r="EN175" s="268"/>
      <c r="EO175" s="268"/>
      <c r="EP175" s="268"/>
      <c r="EQ175" s="268"/>
      <c r="ER175" s="268"/>
      <c r="ES175" s="268"/>
      <c r="ET175" s="268"/>
      <c r="EU175" s="268"/>
      <c r="EV175" s="268"/>
      <c r="EW175" s="268"/>
      <c r="EX175" s="268"/>
      <c r="EY175" s="268"/>
      <c r="EZ175" s="268"/>
      <c r="FA175" s="268"/>
      <c r="FB175" s="268"/>
      <c r="FC175" s="268"/>
      <c r="FD175" s="268"/>
      <c r="FE175" s="268"/>
      <c r="FF175" s="268"/>
      <c r="FG175" s="268"/>
      <c r="FH175" s="268"/>
      <c r="FI175" s="268"/>
      <c r="FJ175" s="268"/>
      <c r="FK175" s="268"/>
      <c r="FL175" s="268"/>
      <c r="FM175" s="268"/>
      <c r="FN175" s="268"/>
      <c r="FO175" s="268"/>
      <c r="FP175" s="268"/>
      <c r="FQ175" s="268"/>
      <c r="FR175" s="268"/>
      <c r="FS175" s="268"/>
      <c r="FT175" s="268"/>
      <c r="FU175" s="268"/>
      <c r="FV175" s="268"/>
      <c r="FW175" s="268"/>
      <c r="FX175" s="268"/>
      <c r="FY175" s="268"/>
      <c r="FZ175" s="268"/>
      <c r="GA175" s="268"/>
      <c r="GB175" s="268"/>
      <c r="GC175" s="268"/>
      <c r="GD175" s="268"/>
      <c r="GE175" s="268"/>
      <c r="GF175" s="268"/>
      <c r="GG175" s="268"/>
      <c r="GH175" s="268"/>
      <c r="GI175" s="268"/>
      <c r="GJ175" s="268"/>
      <c r="GK175" s="268"/>
      <c r="GL175" s="268"/>
      <c r="GM175" s="268"/>
      <c r="GN175" s="268"/>
      <c r="GO175" s="268"/>
    </row>
    <row r="176" spans="2:197" s="275" customFormat="1" ht="39.75" hidden="1" customHeight="1">
      <c r="B176" s="268"/>
      <c r="C176" s="319"/>
      <c r="D176" s="319"/>
      <c r="E176" s="319"/>
      <c r="F176" s="319"/>
      <c r="G176" s="319"/>
      <c r="H176" s="319"/>
      <c r="I176" s="319"/>
      <c r="J176" s="319"/>
      <c r="K176" s="319"/>
      <c r="L176" s="319"/>
      <c r="M176" s="319"/>
      <c r="N176" s="319"/>
      <c r="O176" s="268"/>
      <c r="P176" s="268"/>
      <c r="Q176" s="268"/>
      <c r="R176" s="268"/>
      <c r="S176" s="574"/>
      <c r="T176" s="574"/>
      <c r="U176" s="574"/>
      <c r="V176" s="552"/>
      <c r="W176" s="268"/>
      <c r="X176" s="268"/>
      <c r="Y176" s="268"/>
      <c r="Z176" s="268"/>
      <c r="AA176" s="268"/>
      <c r="AB176" s="268"/>
      <c r="AC176" s="268"/>
      <c r="AD176" s="284">
        <v>74</v>
      </c>
      <c r="AE176" s="367">
        <v>93780</v>
      </c>
      <c r="AF176" s="369">
        <v>27000</v>
      </c>
      <c r="AG176" s="303">
        <v>27750</v>
      </c>
      <c r="AH176" s="367">
        <v>93780</v>
      </c>
      <c r="AI176" s="367">
        <v>96110</v>
      </c>
      <c r="AJ176" s="367">
        <v>98440</v>
      </c>
      <c r="AK176" s="606">
        <v>91450</v>
      </c>
      <c r="AL176" s="268"/>
      <c r="AM176" s="268"/>
      <c r="AN176" s="268"/>
      <c r="AO176" s="268"/>
      <c r="AP176" s="268"/>
      <c r="AQ176" s="268"/>
      <c r="AR176" s="268"/>
      <c r="AS176" s="268"/>
      <c r="AT176" s="268"/>
      <c r="AU176" s="268"/>
      <c r="AV176" s="268"/>
      <c r="AW176" s="268"/>
      <c r="AX176" s="268"/>
      <c r="AY176" s="268"/>
      <c r="AZ176" s="268"/>
      <c r="BA176" s="268"/>
      <c r="BB176" s="268"/>
      <c r="BC176" s="268"/>
      <c r="BD176" s="268"/>
      <c r="BE176" s="268"/>
      <c r="BF176" s="268"/>
      <c r="BG176" s="268"/>
      <c r="BH176" s="268"/>
      <c r="BI176" s="268"/>
      <c r="BJ176" s="268"/>
      <c r="BK176" s="268"/>
      <c r="BL176" s="268"/>
      <c r="BM176" s="268"/>
      <c r="BN176" s="268"/>
      <c r="BO176" s="268"/>
      <c r="BP176" s="268"/>
      <c r="BQ176" s="268"/>
      <c r="BR176" s="268"/>
      <c r="BS176" s="268"/>
      <c r="BT176" s="268"/>
      <c r="BU176" s="268"/>
      <c r="BV176" s="268"/>
      <c r="BW176" s="268"/>
      <c r="BX176" s="268"/>
      <c r="BY176" s="268"/>
      <c r="BZ176" s="268"/>
      <c r="CA176" s="268"/>
      <c r="CB176" s="268"/>
      <c r="CC176" s="268"/>
      <c r="CD176" s="268"/>
      <c r="CE176" s="268"/>
      <c r="CF176" s="268"/>
      <c r="CG176" s="268"/>
      <c r="CH176" s="268"/>
      <c r="CI176" s="268"/>
      <c r="CJ176" s="268"/>
      <c r="CK176" s="268"/>
      <c r="CL176" s="268"/>
      <c r="CM176" s="268"/>
      <c r="CN176" s="268"/>
      <c r="CO176" s="268"/>
      <c r="CP176" s="268"/>
      <c r="CQ176" s="268"/>
      <c r="CR176" s="268"/>
      <c r="CS176" s="268"/>
      <c r="CT176" s="268"/>
      <c r="CU176" s="268"/>
      <c r="CV176" s="268"/>
      <c r="CW176" s="268"/>
      <c r="CX176" s="268"/>
      <c r="CY176" s="268"/>
      <c r="CZ176" s="268"/>
      <c r="DA176" s="268"/>
      <c r="DB176" s="268"/>
      <c r="DC176" s="268"/>
      <c r="DD176" s="268"/>
      <c r="DE176" s="268"/>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68"/>
      <c r="EC176" s="268"/>
      <c r="ED176" s="268"/>
      <c r="EE176" s="268"/>
      <c r="EF176" s="268"/>
      <c r="EG176" s="268"/>
      <c r="EH176" s="268"/>
      <c r="EI176" s="268"/>
      <c r="EJ176" s="268"/>
      <c r="EK176" s="268"/>
      <c r="EL176" s="268"/>
      <c r="EM176" s="268"/>
      <c r="EN176" s="268"/>
      <c r="EO176" s="268"/>
      <c r="EP176" s="268"/>
      <c r="EQ176" s="268"/>
      <c r="ER176" s="268"/>
      <c r="ES176" s="268"/>
      <c r="ET176" s="268"/>
      <c r="EU176" s="268"/>
      <c r="EV176" s="268"/>
      <c r="EW176" s="268"/>
      <c r="EX176" s="268"/>
      <c r="EY176" s="268"/>
      <c r="EZ176" s="268"/>
      <c r="FA176" s="268"/>
      <c r="FB176" s="268"/>
      <c r="FC176" s="268"/>
      <c r="FD176" s="268"/>
      <c r="FE176" s="268"/>
      <c r="FF176" s="268"/>
      <c r="FG176" s="268"/>
      <c r="FH176" s="268"/>
      <c r="FI176" s="268"/>
      <c r="FJ176" s="268"/>
      <c r="FK176" s="268"/>
      <c r="FL176" s="268"/>
      <c r="FM176" s="268"/>
      <c r="FN176" s="268"/>
      <c r="FO176" s="268"/>
      <c r="FP176" s="268"/>
      <c r="FQ176" s="268"/>
      <c r="FR176" s="268"/>
      <c r="FS176" s="268"/>
      <c r="FT176" s="268"/>
      <c r="FU176" s="268"/>
      <c r="FV176" s="268"/>
      <c r="FW176" s="268"/>
      <c r="FX176" s="268"/>
      <c r="FY176" s="268"/>
      <c r="FZ176" s="268"/>
      <c r="GA176" s="268"/>
      <c r="GB176" s="268"/>
      <c r="GC176" s="268"/>
      <c r="GD176" s="268"/>
      <c r="GE176" s="268"/>
      <c r="GF176" s="268"/>
      <c r="GG176" s="268"/>
      <c r="GH176" s="268"/>
      <c r="GI176" s="268"/>
      <c r="GJ176" s="268"/>
      <c r="GK176" s="268"/>
      <c r="GL176" s="268"/>
      <c r="GM176" s="268"/>
      <c r="GN176" s="268"/>
      <c r="GO176" s="268"/>
    </row>
    <row r="177" spans="2:197" s="275" customFormat="1" ht="39.75" hidden="1" customHeight="1">
      <c r="B177" s="268"/>
      <c r="C177" s="319"/>
      <c r="D177" s="319"/>
      <c r="E177" s="319"/>
      <c r="F177" s="319"/>
      <c r="G177" s="319"/>
      <c r="H177" s="319"/>
      <c r="I177" s="319"/>
      <c r="J177" s="319"/>
      <c r="K177" s="319"/>
      <c r="L177" s="319"/>
      <c r="M177" s="319"/>
      <c r="N177" s="319"/>
      <c r="O177" s="268"/>
      <c r="P177" s="268"/>
      <c r="Q177" s="268"/>
      <c r="R177" s="268"/>
      <c r="S177" s="574"/>
      <c r="T177" s="574"/>
      <c r="U177" s="574"/>
      <c r="V177" s="552"/>
      <c r="W177" s="268"/>
      <c r="X177" s="268"/>
      <c r="Y177" s="268"/>
      <c r="Z177" s="268"/>
      <c r="AA177" s="268"/>
      <c r="AB177" s="268"/>
      <c r="AC177" s="268"/>
      <c r="AD177" s="284">
        <v>75</v>
      </c>
      <c r="AE177" s="367">
        <v>96110</v>
      </c>
      <c r="AF177" s="369">
        <v>27750</v>
      </c>
      <c r="AG177" s="303">
        <v>28500</v>
      </c>
      <c r="AH177" s="367">
        <v>96110</v>
      </c>
      <c r="AI177" s="367">
        <v>98440</v>
      </c>
      <c r="AJ177" s="367">
        <v>100770</v>
      </c>
      <c r="AK177" s="606">
        <v>93780</v>
      </c>
      <c r="AL177" s="268"/>
      <c r="AM177" s="268"/>
      <c r="AN177" s="268"/>
      <c r="AO177" s="268"/>
      <c r="AP177" s="268"/>
      <c r="AQ177" s="268"/>
      <c r="AR177" s="268"/>
      <c r="AS177" s="268"/>
      <c r="AT177" s="268"/>
      <c r="AU177" s="268"/>
      <c r="AV177" s="268"/>
      <c r="AW177" s="268"/>
      <c r="AX177" s="268"/>
      <c r="AY177" s="268"/>
      <c r="AZ177" s="268"/>
      <c r="BA177" s="268"/>
      <c r="BB177" s="268"/>
      <c r="BC177" s="268"/>
      <c r="BD177" s="268"/>
      <c r="BE177" s="268"/>
      <c r="BF177" s="268"/>
      <c r="BG177" s="268"/>
      <c r="BH177" s="268"/>
      <c r="BI177" s="268"/>
      <c r="BJ177" s="268"/>
      <c r="BK177" s="268"/>
      <c r="BL177" s="268"/>
      <c r="BM177" s="268"/>
      <c r="BN177" s="268"/>
      <c r="BO177" s="268"/>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268"/>
      <c r="CS177" s="268"/>
      <c r="CT177" s="268"/>
      <c r="CU177" s="268"/>
      <c r="CV177" s="268"/>
      <c r="CW177" s="268"/>
      <c r="CX177" s="268"/>
      <c r="CY177" s="268"/>
      <c r="CZ177" s="268"/>
      <c r="DA177" s="268"/>
      <c r="DB177" s="268"/>
      <c r="DC177" s="268"/>
      <c r="DD177" s="268"/>
      <c r="DE177" s="268"/>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268"/>
      <c r="EB177" s="268"/>
      <c r="EC177" s="268"/>
      <c r="ED177" s="268"/>
      <c r="EE177" s="268"/>
      <c r="EF177" s="268"/>
      <c r="EG177" s="268"/>
      <c r="EH177" s="268"/>
      <c r="EI177" s="268"/>
      <c r="EJ177" s="268"/>
      <c r="EK177" s="268"/>
      <c r="EL177" s="268"/>
      <c r="EM177" s="268"/>
      <c r="EN177" s="268"/>
      <c r="EO177" s="268"/>
      <c r="EP177" s="268"/>
      <c r="EQ177" s="268"/>
      <c r="ER177" s="268"/>
      <c r="ES177" s="268"/>
      <c r="ET177" s="268"/>
      <c r="EU177" s="268"/>
      <c r="EV177" s="268"/>
      <c r="EW177" s="268"/>
      <c r="EX177" s="268"/>
      <c r="EY177" s="268"/>
      <c r="EZ177" s="268"/>
      <c r="FA177" s="268"/>
      <c r="FB177" s="268"/>
      <c r="FC177" s="268"/>
      <c r="FD177" s="268"/>
      <c r="FE177" s="268"/>
      <c r="FF177" s="268"/>
      <c r="FG177" s="268"/>
      <c r="FH177" s="268"/>
      <c r="FI177" s="268"/>
      <c r="FJ177" s="268"/>
      <c r="FK177" s="268"/>
      <c r="FL177" s="268"/>
      <c r="FM177" s="268"/>
      <c r="FN177" s="268"/>
      <c r="FO177" s="268"/>
      <c r="FP177" s="268"/>
      <c r="FQ177" s="268"/>
      <c r="FR177" s="268"/>
      <c r="FS177" s="268"/>
      <c r="FT177" s="268"/>
      <c r="FU177" s="268"/>
      <c r="FV177" s="268"/>
      <c r="FW177" s="268"/>
      <c r="FX177" s="268"/>
      <c r="FY177" s="268"/>
      <c r="FZ177" s="268"/>
      <c r="GA177" s="268"/>
      <c r="GB177" s="268"/>
      <c r="GC177" s="268"/>
      <c r="GD177" s="268"/>
      <c r="GE177" s="268"/>
      <c r="GF177" s="268"/>
      <c r="GG177" s="268"/>
      <c r="GH177" s="268"/>
      <c r="GI177" s="268"/>
      <c r="GJ177" s="268"/>
      <c r="GK177" s="268"/>
      <c r="GL177" s="268"/>
      <c r="GM177" s="268"/>
      <c r="GN177" s="268"/>
      <c r="GO177" s="268"/>
    </row>
    <row r="178" spans="2:197" s="275" customFormat="1" ht="39.75" hidden="1" customHeight="1">
      <c r="B178" s="268"/>
      <c r="C178" s="319"/>
      <c r="D178" s="319"/>
      <c r="E178" s="319"/>
      <c r="F178" s="319"/>
      <c r="G178" s="319"/>
      <c r="H178" s="319"/>
      <c r="I178" s="319"/>
      <c r="J178" s="319"/>
      <c r="K178" s="319"/>
      <c r="L178" s="319"/>
      <c r="M178" s="319"/>
      <c r="N178" s="319"/>
      <c r="O178" s="268"/>
      <c r="P178" s="268"/>
      <c r="Q178" s="268"/>
      <c r="R178" s="268"/>
      <c r="S178" s="574"/>
      <c r="T178" s="574"/>
      <c r="U178" s="574"/>
      <c r="V178" s="552"/>
      <c r="W178" s="268"/>
      <c r="X178" s="268"/>
      <c r="Y178" s="268"/>
      <c r="Z178" s="268"/>
      <c r="AA178" s="268"/>
      <c r="AB178" s="268"/>
      <c r="AC178" s="268"/>
      <c r="AD178" s="284">
        <v>76</v>
      </c>
      <c r="AE178" s="367">
        <v>98440</v>
      </c>
      <c r="AF178" s="369">
        <v>28500</v>
      </c>
      <c r="AG178" s="303">
        <v>29250</v>
      </c>
      <c r="AH178" s="367">
        <v>98440</v>
      </c>
      <c r="AI178" s="367">
        <v>100770</v>
      </c>
      <c r="AJ178" s="367">
        <v>103290</v>
      </c>
      <c r="AK178" s="606">
        <v>96110</v>
      </c>
      <c r="AL178" s="268"/>
      <c r="AM178" s="268"/>
      <c r="AN178" s="268"/>
      <c r="AO178" s="268"/>
      <c r="AP178" s="268"/>
      <c r="AQ178" s="268"/>
      <c r="AR178" s="268"/>
      <c r="AS178" s="268"/>
      <c r="AT178" s="268"/>
      <c r="AU178" s="268"/>
      <c r="AV178" s="268"/>
      <c r="AW178" s="268"/>
      <c r="AX178" s="268"/>
      <c r="AY178" s="268"/>
      <c r="AZ178" s="268"/>
      <c r="BA178" s="268"/>
      <c r="BB178" s="268"/>
      <c r="BC178" s="268"/>
      <c r="BD178" s="268"/>
      <c r="BE178" s="268"/>
      <c r="BF178" s="268"/>
      <c r="BG178" s="268"/>
      <c r="BH178" s="268"/>
      <c r="BI178" s="268"/>
      <c r="BJ178" s="268"/>
      <c r="BK178" s="268"/>
      <c r="BL178" s="268"/>
      <c r="BM178" s="268"/>
      <c r="BN178" s="268"/>
      <c r="BO178" s="268"/>
      <c r="BP178" s="268"/>
      <c r="BQ178" s="268"/>
      <c r="BR178" s="268"/>
      <c r="BS178" s="268"/>
      <c r="BT178" s="268"/>
      <c r="BU178" s="268"/>
      <c r="BV178" s="268"/>
      <c r="BW178" s="268"/>
      <c r="BX178" s="268"/>
      <c r="BY178" s="268"/>
      <c r="BZ178" s="268"/>
      <c r="CA178" s="268"/>
      <c r="CB178" s="268"/>
      <c r="CC178" s="268"/>
      <c r="CD178" s="268"/>
      <c r="CE178" s="268"/>
      <c r="CF178" s="268"/>
      <c r="CG178" s="268"/>
      <c r="CH178" s="268"/>
      <c r="CI178" s="268"/>
      <c r="CJ178" s="268"/>
      <c r="CK178" s="268"/>
      <c r="CL178" s="268"/>
      <c r="CM178" s="268"/>
      <c r="CN178" s="268"/>
      <c r="CO178" s="268"/>
      <c r="CP178" s="268"/>
      <c r="CQ178" s="268"/>
      <c r="CR178" s="268"/>
      <c r="CS178" s="268"/>
      <c r="CT178" s="268"/>
      <c r="CU178" s="268"/>
      <c r="CV178" s="268"/>
      <c r="CW178" s="268"/>
      <c r="CX178" s="268"/>
      <c r="CY178" s="268"/>
      <c r="CZ178" s="268"/>
      <c r="DA178" s="268"/>
      <c r="DB178" s="268"/>
      <c r="DC178" s="268"/>
      <c r="DD178" s="268"/>
      <c r="DE178" s="268"/>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268"/>
      <c r="EC178" s="268"/>
      <c r="ED178" s="268"/>
      <c r="EE178" s="268"/>
      <c r="EF178" s="268"/>
      <c r="EG178" s="268"/>
      <c r="EH178" s="268"/>
      <c r="EI178" s="268"/>
      <c r="EJ178" s="268"/>
      <c r="EK178" s="268"/>
      <c r="EL178" s="268"/>
      <c r="EM178" s="268"/>
      <c r="EN178" s="268"/>
      <c r="EO178" s="268"/>
      <c r="EP178" s="268"/>
      <c r="EQ178" s="268"/>
      <c r="ER178" s="268"/>
      <c r="ES178" s="268"/>
      <c r="ET178" s="268"/>
      <c r="EU178" s="268"/>
      <c r="EV178" s="268"/>
      <c r="EW178" s="268"/>
      <c r="EX178" s="268"/>
      <c r="EY178" s="268"/>
      <c r="EZ178" s="268"/>
      <c r="FA178" s="268"/>
      <c r="FB178" s="268"/>
      <c r="FC178" s="268"/>
      <c r="FD178" s="268"/>
      <c r="FE178" s="268"/>
      <c r="FF178" s="268"/>
      <c r="FG178" s="268"/>
      <c r="FH178" s="268"/>
      <c r="FI178" s="268"/>
      <c r="FJ178" s="268"/>
      <c r="FK178" s="268"/>
      <c r="FL178" s="268"/>
      <c r="FM178" s="268"/>
      <c r="FN178" s="268"/>
      <c r="FO178" s="268"/>
      <c r="FP178" s="268"/>
      <c r="FQ178" s="268"/>
      <c r="FR178" s="268"/>
      <c r="FS178" s="268"/>
      <c r="FT178" s="268"/>
      <c r="FU178" s="268"/>
      <c r="FV178" s="268"/>
      <c r="FW178" s="268"/>
      <c r="FX178" s="268"/>
      <c r="FY178" s="268"/>
      <c r="FZ178" s="268"/>
      <c r="GA178" s="268"/>
      <c r="GB178" s="268"/>
      <c r="GC178" s="268"/>
      <c r="GD178" s="268"/>
      <c r="GE178" s="268"/>
      <c r="GF178" s="268"/>
      <c r="GG178" s="268"/>
      <c r="GH178" s="268"/>
      <c r="GI178" s="268"/>
      <c r="GJ178" s="268"/>
      <c r="GK178" s="268"/>
      <c r="GL178" s="268"/>
      <c r="GM178" s="268"/>
      <c r="GN178" s="268"/>
      <c r="GO178" s="268"/>
    </row>
    <row r="179" spans="2:197" s="275" customFormat="1" ht="39.75" hidden="1" customHeight="1">
      <c r="B179" s="268"/>
      <c r="C179" s="319"/>
      <c r="D179" s="319"/>
      <c r="E179" s="319"/>
      <c r="F179" s="319"/>
      <c r="G179" s="319"/>
      <c r="H179" s="319"/>
      <c r="I179" s="319"/>
      <c r="J179" s="319"/>
      <c r="K179" s="319"/>
      <c r="L179" s="319"/>
      <c r="M179" s="319"/>
      <c r="N179" s="319"/>
      <c r="O179" s="268"/>
      <c r="P179" s="268"/>
      <c r="Q179" s="268"/>
      <c r="R179" s="268"/>
      <c r="S179" s="574"/>
      <c r="T179" s="574"/>
      <c r="U179" s="574"/>
      <c r="V179" s="552"/>
      <c r="W179" s="268"/>
      <c r="X179" s="268"/>
      <c r="Y179" s="268"/>
      <c r="Z179" s="268"/>
      <c r="AA179" s="268"/>
      <c r="AB179" s="268"/>
      <c r="AC179" s="268"/>
      <c r="AD179" s="284">
        <v>77</v>
      </c>
      <c r="AE179" s="367">
        <v>100770</v>
      </c>
      <c r="AF179" s="369">
        <v>29250</v>
      </c>
      <c r="AG179" s="303">
        <v>30000</v>
      </c>
      <c r="AH179" s="367">
        <v>100770</v>
      </c>
      <c r="AI179" s="367">
        <v>103290</v>
      </c>
      <c r="AJ179" s="367">
        <v>105810</v>
      </c>
      <c r="AK179" s="606">
        <v>98440</v>
      </c>
      <c r="AL179" s="268"/>
      <c r="AM179" s="268"/>
      <c r="AN179" s="268"/>
      <c r="AO179" s="268"/>
      <c r="AP179" s="268"/>
      <c r="AQ179" s="268"/>
      <c r="AR179" s="268"/>
      <c r="AS179" s="268"/>
      <c r="AT179" s="268"/>
      <c r="AU179" s="268"/>
      <c r="AV179" s="268"/>
      <c r="AW179" s="268"/>
      <c r="AX179" s="268"/>
      <c r="AY179" s="268"/>
      <c r="AZ179" s="268"/>
      <c r="BA179" s="268"/>
      <c r="BB179" s="268"/>
      <c r="BC179" s="268"/>
      <c r="BD179" s="268"/>
      <c r="BE179" s="268"/>
      <c r="BF179" s="268"/>
      <c r="BG179" s="268"/>
      <c r="BH179" s="268"/>
      <c r="BI179" s="268"/>
      <c r="BJ179" s="268"/>
      <c r="BK179" s="268"/>
      <c r="BL179" s="268"/>
      <c r="BM179" s="268"/>
      <c r="BN179" s="268"/>
      <c r="BO179" s="268"/>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268"/>
      <c r="CS179" s="268"/>
      <c r="CT179" s="268"/>
      <c r="CU179" s="268"/>
      <c r="CV179" s="268"/>
      <c r="CW179" s="268"/>
      <c r="CX179" s="268"/>
      <c r="CY179" s="268"/>
      <c r="CZ179" s="268"/>
      <c r="DA179" s="268"/>
      <c r="DB179" s="268"/>
      <c r="DC179" s="268"/>
      <c r="DD179" s="268"/>
      <c r="DE179" s="268"/>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268"/>
      <c r="EB179" s="268"/>
      <c r="EC179" s="268"/>
      <c r="ED179" s="268"/>
      <c r="EE179" s="268"/>
      <c r="EF179" s="268"/>
      <c r="EG179" s="268"/>
      <c r="EH179" s="268"/>
      <c r="EI179" s="268"/>
      <c r="EJ179" s="268"/>
      <c r="EK179" s="268"/>
      <c r="EL179" s="268"/>
      <c r="EM179" s="268"/>
      <c r="EN179" s="268"/>
      <c r="EO179" s="268"/>
      <c r="EP179" s="268"/>
      <c r="EQ179" s="268"/>
      <c r="ER179" s="268"/>
      <c r="ES179" s="268"/>
      <c r="ET179" s="268"/>
      <c r="EU179" s="268"/>
      <c r="EV179" s="268"/>
      <c r="EW179" s="268"/>
      <c r="EX179" s="268"/>
      <c r="EY179" s="268"/>
      <c r="EZ179" s="268"/>
      <c r="FA179" s="268"/>
      <c r="FB179" s="268"/>
      <c r="FC179" s="268"/>
      <c r="FD179" s="268"/>
      <c r="FE179" s="268"/>
      <c r="FF179" s="268"/>
      <c r="FG179" s="268"/>
      <c r="FH179" s="268"/>
      <c r="FI179" s="268"/>
      <c r="FJ179" s="268"/>
      <c r="FK179" s="268"/>
      <c r="FL179" s="268"/>
      <c r="FM179" s="268"/>
      <c r="FN179" s="268"/>
      <c r="FO179" s="268"/>
      <c r="FP179" s="268"/>
      <c r="FQ179" s="268"/>
      <c r="FR179" s="268"/>
      <c r="FS179" s="268"/>
      <c r="FT179" s="268"/>
      <c r="FU179" s="268"/>
      <c r="FV179" s="268"/>
      <c r="FW179" s="268"/>
      <c r="FX179" s="268"/>
      <c r="FY179" s="268"/>
      <c r="FZ179" s="268"/>
      <c r="GA179" s="268"/>
      <c r="GB179" s="268"/>
      <c r="GC179" s="268"/>
      <c r="GD179" s="268"/>
      <c r="GE179" s="268"/>
      <c r="GF179" s="268"/>
      <c r="GG179" s="268"/>
      <c r="GH179" s="268"/>
      <c r="GI179" s="268"/>
      <c r="GJ179" s="268"/>
      <c r="GK179" s="268"/>
      <c r="GL179" s="268"/>
      <c r="GM179" s="268"/>
      <c r="GN179" s="268"/>
      <c r="GO179" s="268"/>
    </row>
    <row r="180" spans="2:197" s="275" customFormat="1" ht="39.75" hidden="1" customHeight="1">
      <c r="B180" s="268"/>
      <c r="C180" s="319"/>
      <c r="D180" s="319"/>
      <c r="E180" s="319"/>
      <c r="F180" s="319"/>
      <c r="G180" s="319"/>
      <c r="H180" s="319"/>
      <c r="I180" s="319"/>
      <c r="J180" s="319"/>
      <c r="K180" s="319"/>
      <c r="L180" s="319"/>
      <c r="M180" s="319"/>
      <c r="N180" s="319"/>
      <c r="O180" s="268"/>
      <c r="P180" s="268"/>
      <c r="Q180" s="268"/>
      <c r="R180" s="268"/>
      <c r="S180" s="574"/>
      <c r="T180" s="574"/>
      <c r="U180" s="574"/>
      <c r="V180" s="552"/>
      <c r="W180" s="268"/>
      <c r="X180" s="268"/>
      <c r="Y180" s="268"/>
      <c r="Z180" s="268"/>
      <c r="AA180" s="268"/>
      <c r="AB180" s="268"/>
      <c r="AC180" s="268"/>
      <c r="AD180" s="284">
        <v>78</v>
      </c>
      <c r="AE180" s="367">
        <v>103290</v>
      </c>
      <c r="AF180" s="369">
        <v>30000</v>
      </c>
      <c r="AG180" s="303">
        <v>30765</v>
      </c>
      <c r="AH180" s="367">
        <v>103290</v>
      </c>
      <c r="AI180" s="367">
        <v>105810</v>
      </c>
      <c r="AJ180" s="367">
        <v>108330</v>
      </c>
      <c r="AK180" s="606">
        <v>100770</v>
      </c>
      <c r="AL180" s="268"/>
      <c r="AM180" s="268"/>
      <c r="AN180" s="268"/>
      <c r="AO180" s="268"/>
      <c r="AP180" s="268"/>
      <c r="AQ180" s="268"/>
      <c r="AR180" s="268"/>
      <c r="AS180" s="268"/>
      <c r="AT180" s="268"/>
      <c r="AU180" s="268"/>
      <c r="AV180" s="268"/>
      <c r="AW180" s="268"/>
      <c r="AX180" s="268"/>
      <c r="AY180" s="268"/>
      <c r="AZ180" s="268"/>
      <c r="BA180" s="268"/>
      <c r="BB180" s="268"/>
      <c r="BC180" s="268"/>
      <c r="BD180" s="268"/>
      <c r="BE180" s="268"/>
      <c r="BF180" s="268"/>
      <c r="BG180" s="268"/>
      <c r="BH180" s="268"/>
      <c r="BI180" s="268"/>
      <c r="BJ180" s="268"/>
      <c r="BK180" s="268"/>
      <c r="BL180" s="268"/>
      <c r="BM180" s="268"/>
      <c r="BN180" s="268"/>
      <c r="BO180" s="268"/>
      <c r="BP180" s="268"/>
      <c r="BQ180" s="268"/>
      <c r="BR180" s="268"/>
      <c r="BS180" s="268"/>
      <c r="BT180" s="268"/>
      <c r="BU180" s="268"/>
      <c r="BV180" s="268"/>
      <c r="BW180" s="268"/>
      <c r="BX180" s="268"/>
      <c r="BY180" s="268"/>
      <c r="BZ180" s="268"/>
      <c r="CA180" s="268"/>
      <c r="CB180" s="268"/>
      <c r="CC180" s="268"/>
      <c r="CD180" s="268"/>
      <c r="CE180" s="268"/>
      <c r="CF180" s="268"/>
      <c r="CG180" s="268"/>
      <c r="CH180" s="268"/>
      <c r="CI180" s="268"/>
      <c r="CJ180" s="268"/>
      <c r="CK180" s="268"/>
      <c r="CL180" s="268"/>
      <c r="CM180" s="268"/>
      <c r="CN180" s="268"/>
      <c r="CO180" s="268"/>
      <c r="CP180" s="268"/>
      <c r="CQ180" s="268"/>
      <c r="CR180" s="268"/>
      <c r="CS180" s="268"/>
      <c r="CT180" s="268"/>
      <c r="CU180" s="268"/>
      <c r="CV180" s="268"/>
      <c r="CW180" s="268"/>
      <c r="CX180" s="268"/>
      <c r="CY180" s="268"/>
      <c r="CZ180" s="268"/>
      <c r="DA180" s="268"/>
      <c r="DB180" s="268"/>
      <c r="DC180" s="268"/>
      <c r="DD180" s="268"/>
      <c r="DE180" s="268"/>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268"/>
      <c r="EC180" s="268"/>
      <c r="ED180" s="268"/>
      <c r="EE180" s="268"/>
      <c r="EF180" s="268"/>
      <c r="EG180" s="268"/>
      <c r="EH180" s="268"/>
      <c r="EI180" s="268"/>
      <c r="EJ180" s="268"/>
      <c r="EK180" s="268"/>
      <c r="EL180" s="268"/>
      <c r="EM180" s="268"/>
      <c r="EN180" s="268"/>
      <c r="EO180" s="268"/>
      <c r="EP180" s="268"/>
      <c r="EQ180" s="268"/>
      <c r="ER180" s="268"/>
      <c r="ES180" s="268"/>
      <c r="ET180" s="268"/>
      <c r="EU180" s="268"/>
      <c r="EV180" s="268"/>
      <c r="EW180" s="268"/>
      <c r="EX180" s="268"/>
      <c r="EY180" s="268"/>
      <c r="EZ180" s="268"/>
      <c r="FA180" s="268"/>
      <c r="FB180" s="268"/>
      <c r="FC180" s="268"/>
      <c r="FD180" s="268"/>
      <c r="FE180" s="268"/>
      <c r="FF180" s="268"/>
      <c r="FG180" s="268"/>
      <c r="FH180" s="268"/>
      <c r="FI180" s="268"/>
      <c r="FJ180" s="268"/>
      <c r="FK180" s="268"/>
      <c r="FL180" s="268"/>
      <c r="FM180" s="268"/>
      <c r="FN180" s="268"/>
      <c r="FO180" s="268"/>
      <c r="FP180" s="268"/>
      <c r="FQ180" s="268"/>
      <c r="FR180" s="268"/>
      <c r="FS180" s="268"/>
      <c r="FT180" s="268"/>
      <c r="FU180" s="268"/>
      <c r="FV180" s="268"/>
      <c r="FW180" s="268"/>
      <c r="FX180" s="268"/>
      <c r="FY180" s="268"/>
      <c r="FZ180" s="268"/>
      <c r="GA180" s="268"/>
      <c r="GB180" s="268"/>
      <c r="GC180" s="268"/>
      <c r="GD180" s="268"/>
      <c r="GE180" s="268"/>
      <c r="GF180" s="268"/>
      <c r="GG180" s="268"/>
      <c r="GH180" s="268"/>
      <c r="GI180" s="268"/>
      <c r="GJ180" s="268"/>
      <c r="GK180" s="268"/>
      <c r="GL180" s="268"/>
      <c r="GM180" s="268"/>
      <c r="GN180" s="268"/>
      <c r="GO180" s="268"/>
    </row>
    <row r="181" spans="2:197" s="275" customFormat="1" ht="39.75" hidden="1" customHeight="1">
      <c r="B181" s="268"/>
      <c r="C181" s="319"/>
      <c r="D181" s="319"/>
      <c r="E181" s="319"/>
      <c r="F181" s="319"/>
      <c r="G181" s="319"/>
      <c r="H181" s="319"/>
      <c r="I181" s="319"/>
      <c r="J181" s="319"/>
      <c r="K181" s="319"/>
      <c r="L181" s="319"/>
      <c r="M181" s="319"/>
      <c r="N181" s="319"/>
      <c r="O181" s="268"/>
      <c r="P181" s="268"/>
      <c r="Q181" s="268"/>
      <c r="R181" s="268"/>
      <c r="S181" s="574"/>
      <c r="T181" s="574"/>
      <c r="U181" s="574"/>
      <c r="V181" s="552"/>
      <c r="W181" s="268"/>
      <c r="X181" s="268"/>
      <c r="Y181" s="268"/>
      <c r="Z181" s="268"/>
      <c r="AA181" s="268"/>
      <c r="AB181" s="268"/>
      <c r="AC181" s="268"/>
      <c r="AD181" s="284">
        <v>79</v>
      </c>
      <c r="AE181" s="367">
        <v>105810</v>
      </c>
      <c r="AF181" s="369">
        <v>30765</v>
      </c>
      <c r="AG181" s="268"/>
      <c r="AH181" s="367">
        <v>105810</v>
      </c>
      <c r="AI181" s="367">
        <v>108330</v>
      </c>
      <c r="AJ181" s="367">
        <v>110850</v>
      </c>
      <c r="AK181" s="606">
        <v>103290</v>
      </c>
      <c r="AL181" s="268"/>
      <c r="AM181" s="268"/>
      <c r="AN181" s="268"/>
      <c r="AO181" s="268"/>
      <c r="AP181" s="268"/>
      <c r="AQ181" s="268"/>
      <c r="AR181" s="268"/>
      <c r="AS181" s="268"/>
      <c r="AT181" s="268"/>
      <c r="AU181" s="268"/>
      <c r="AV181" s="268"/>
      <c r="AW181" s="268"/>
      <c r="AX181" s="268"/>
      <c r="AY181" s="268"/>
      <c r="AZ181" s="268"/>
      <c r="BA181" s="268"/>
      <c r="BB181" s="268"/>
      <c r="BC181" s="268"/>
      <c r="BD181" s="268"/>
      <c r="BE181" s="268"/>
      <c r="BF181" s="268"/>
      <c r="BG181" s="268"/>
      <c r="BH181" s="268"/>
      <c r="BI181" s="268"/>
      <c r="BJ181" s="268"/>
      <c r="BK181" s="268"/>
      <c r="BL181" s="268"/>
      <c r="BM181" s="268"/>
      <c r="BN181" s="268"/>
      <c r="BO181" s="268"/>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268"/>
      <c r="CS181" s="268"/>
      <c r="CT181" s="268"/>
      <c r="CU181" s="268"/>
      <c r="CV181" s="268"/>
      <c r="CW181" s="268"/>
      <c r="CX181" s="268"/>
      <c r="CY181" s="268"/>
      <c r="CZ181" s="268"/>
      <c r="DA181" s="268"/>
      <c r="DB181" s="268"/>
      <c r="DC181" s="268"/>
      <c r="DD181" s="268"/>
      <c r="DE181" s="268"/>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268"/>
      <c r="EB181" s="268"/>
      <c r="EC181" s="268"/>
      <c r="ED181" s="268"/>
      <c r="EE181" s="268"/>
      <c r="EF181" s="268"/>
      <c r="EG181" s="268"/>
      <c r="EH181" s="268"/>
      <c r="EI181" s="268"/>
      <c r="EJ181" s="268"/>
      <c r="EK181" s="268"/>
      <c r="EL181" s="268"/>
      <c r="EM181" s="268"/>
      <c r="EN181" s="268"/>
      <c r="EO181" s="268"/>
      <c r="EP181" s="268"/>
      <c r="EQ181" s="268"/>
      <c r="ER181" s="268"/>
      <c r="ES181" s="268"/>
      <c r="ET181" s="268"/>
      <c r="EU181" s="268"/>
      <c r="EV181" s="268"/>
      <c r="EW181" s="268"/>
      <c r="EX181" s="268"/>
      <c r="EY181" s="268"/>
      <c r="EZ181" s="268"/>
      <c r="FA181" s="268"/>
      <c r="FB181" s="268"/>
      <c r="FC181" s="268"/>
      <c r="FD181" s="268"/>
      <c r="FE181" s="268"/>
      <c r="FF181" s="268"/>
      <c r="FG181" s="268"/>
      <c r="FH181" s="268"/>
      <c r="FI181" s="268"/>
      <c r="FJ181" s="268"/>
      <c r="FK181" s="268"/>
      <c r="FL181" s="268"/>
      <c r="FM181" s="268"/>
      <c r="FN181" s="268"/>
      <c r="FO181" s="268"/>
      <c r="FP181" s="268"/>
      <c r="FQ181" s="268"/>
      <c r="FR181" s="268"/>
      <c r="FS181" s="268"/>
      <c r="FT181" s="268"/>
      <c r="FU181" s="268"/>
      <c r="FV181" s="268"/>
      <c r="FW181" s="268"/>
      <c r="FX181" s="268"/>
      <c r="FY181" s="268"/>
      <c r="FZ181" s="268"/>
      <c r="GA181" s="268"/>
      <c r="GB181" s="268"/>
      <c r="GC181" s="268"/>
      <c r="GD181" s="268"/>
      <c r="GE181" s="268"/>
      <c r="GF181" s="268"/>
      <c r="GG181" s="268"/>
      <c r="GH181" s="268"/>
      <c r="GI181" s="268"/>
      <c r="GJ181" s="268"/>
      <c r="GK181" s="268"/>
      <c r="GL181" s="268"/>
      <c r="GM181" s="268"/>
      <c r="GN181" s="268"/>
      <c r="GO181" s="268"/>
    </row>
    <row r="182" spans="2:197" s="275" customFormat="1" ht="39.75" hidden="1" customHeight="1">
      <c r="B182" s="268"/>
      <c r="C182" s="319"/>
      <c r="D182" s="319"/>
      <c r="E182" s="319"/>
      <c r="F182" s="319"/>
      <c r="G182" s="319"/>
      <c r="H182" s="319"/>
      <c r="I182" s="319"/>
      <c r="J182" s="319"/>
      <c r="K182" s="319"/>
      <c r="L182" s="319"/>
      <c r="M182" s="319"/>
      <c r="N182" s="319"/>
      <c r="O182" s="268"/>
      <c r="P182" s="268"/>
      <c r="Q182" s="268"/>
      <c r="R182" s="268"/>
      <c r="S182" s="574"/>
      <c r="T182" s="574"/>
      <c r="U182" s="574"/>
      <c r="V182" s="552"/>
      <c r="W182" s="268"/>
      <c r="X182" s="268"/>
      <c r="Y182" s="268"/>
      <c r="Z182" s="268"/>
      <c r="AA182" s="268"/>
      <c r="AB182" s="268"/>
      <c r="AC182" s="268"/>
      <c r="AD182" s="284">
        <v>80</v>
      </c>
      <c r="AE182" s="367">
        <v>108330</v>
      </c>
      <c r="AF182" s="285"/>
      <c r="AG182" s="268"/>
      <c r="AH182" s="367">
        <v>108330</v>
      </c>
      <c r="AI182" s="367">
        <v>110850</v>
      </c>
      <c r="AJ182" s="367">
        <v>113370</v>
      </c>
      <c r="AK182" s="606">
        <v>105810</v>
      </c>
      <c r="AL182" s="268"/>
      <c r="AM182" s="268"/>
      <c r="AN182" s="268"/>
      <c r="AO182" s="268"/>
      <c r="AP182" s="268"/>
      <c r="AQ182" s="268"/>
      <c r="AR182" s="268"/>
      <c r="AS182" s="268"/>
      <c r="AT182" s="268"/>
      <c r="AU182" s="268"/>
      <c r="AV182" s="268"/>
      <c r="AW182" s="268"/>
      <c r="AX182" s="268"/>
      <c r="AY182" s="268"/>
      <c r="AZ182" s="268"/>
      <c r="BA182" s="268"/>
      <c r="BB182" s="268"/>
      <c r="BC182" s="268"/>
      <c r="BD182" s="268"/>
      <c r="BE182" s="268"/>
      <c r="BF182" s="268"/>
      <c r="BG182" s="268"/>
      <c r="BH182" s="268"/>
      <c r="BI182" s="268"/>
      <c r="BJ182" s="268"/>
      <c r="BK182" s="268"/>
      <c r="BL182" s="268"/>
      <c r="BM182" s="268"/>
      <c r="BN182" s="268"/>
      <c r="BO182" s="268"/>
      <c r="BP182" s="268"/>
      <c r="BQ182" s="268"/>
      <c r="BR182" s="268"/>
      <c r="BS182" s="268"/>
      <c r="BT182" s="268"/>
      <c r="BU182" s="268"/>
      <c r="BV182" s="268"/>
      <c r="BW182" s="268"/>
      <c r="BX182" s="268"/>
      <c r="BY182" s="268"/>
      <c r="BZ182" s="268"/>
      <c r="CA182" s="268"/>
      <c r="CB182" s="268"/>
      <c r="CC182" s="268"/>
      <c r="CD182" s="268"/>
      <c r="CE182" s="268"/>
      <c r="CF182" s="268"/>
      <c r="CG182" s="268"/>
      <c r="CH182" s="268"/>
      <c r="CI182" s="268"/>
      <c r="CJ182" s="268"/>
      <c r="CK182" s="268"/>
      <c r="CL182" s="268"/>
      <c r="CM182" s="268"/>
      <c r="CN182" s="268"/>
      <c r="CO182" s="268"/>
      <c r="CP182" s="268"/>
      <c r="CQ182" s="268"/>
      <c r="CR182" s="268"/>
      <c r="CS182" s="268"/>
      <c r="CT182" s="268"/>
      <c r="CU182" s="268"/>
      <c r="CV182" s="268"/>
      <c r="CW182" s="268"/>
      <c r="CX182" s="268"/>
      <c r="CY182" s="268"/>
      <c r="CZ182" s="268"/>
      <c r="DA182" s="268"/>
      <c r="DB182" s="268"/>
      <c r="DC182" s="268"/>
      <c r="DD182" s="268"/>
      <c r="DE182" s="268"/>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268"/>
      <c r="EC182" s="268"/>
      <c r="ED182" s="268"/>
      <c r="EE182" s="268"/>
      <c r="EF182" s="268"/>
      <c r="EG182" s="268"/>
      <c r="EH182" s="268"/>
      <c r="EI182" s="268"/>
      <c r="EJ182" s="268"/>
      <c r="EK182" s="268"/>
      <c r="EL182" s="268"/>
      <c r="EM182" s="268"/>
      <c r="EN182" s="268"/>
      <c r="EO182" s="268"/>
      <c r="EP182" s="268"/>
      <c r="EQ182" s="268"/>
      <c r="ER182" s="268"/>
      <c r="ES182" s="268"/>
      <c r="ET182" s="268"/>
      <c r="EU182" s="268"/>
      <c r="EV182" s="268"/>
      <c r="EW182" s="268"/>
      <c r="EX182" s="268"/>
      <c r="EY182" s="268"/>
      <c r="EZ182" s="268"/>
      <c r="FA182" s="268"/>
      <c r="FB182" s="268"/>
      <c r="FC182" s="268"/>
      <c r="FD182" s="268"/>
      <c r="FE182" s="268"/>
      <c r="FF182" s="268"/>
      <c r="FG182" s="268"/>
      <c r="FH182" s="268"/>
      <c r="FI182" s="268"/>
      <c r="FJ182" s="268"/>
      <c r="FK182" s="268"/>
      <c r="FL182" s="268"/>
      <c r="FM182" s="268"/>
      <c r="FN182" s="268"/>
      <c r="FO182" s="268"/>
      <c r="FP182" s="268"/>
      <c r="FQ182" s="268"/>
      <c r="FR182" s="268"/>
      <c r="FS182" s="268"/>
      <c r="FT182" s="268"/>
      <c r="FU182" s="268"/>
      <c r="FV182" s="268"/>
      <c r="FW182" s="268"/>
      <c r="FX182" s="268"/>
      <c r="FY182" s="268"/>
      <c r="FZ182" s="268"/>
      <c r="GA182" s="268"/>
      <c r="GB182" s="268"/>
      <c r="GC182" s="268"/>
      <c r="GD182" s="268"/>
      <c r="GE182" s="268"/>
      <c r="GF182" s="268"/>
      <c r="GG182" s="268"/>
      <c r="GH182" s="268"/>
      <c r="GI182" s="268"/>
      <c r="GJ182" s="268"/>
      <c r="GK182" s="268"/>
      <c r="GL182" s="268"/>
      <c r="GM182" s="268"/>
      <c r="GN182" s="268"/>
      <c r="GO182" s="268"/>
    </row>
    <row r="183" spans="2:197" s="275" customFormat="1" ht="39.75" hidden="1" customHeight="1">
      <c r="B183" s="268"/>
      <c r="C183" s="319"/>
      <c r="D183" s="319"/>
      <c r="E183" s="319"/>
      <c r="F183" s="319"/>
      <c r="G183" s="319"/>
      <c r="H183" s="319"/>
      <c r="I183" s="319"/>
      <c r="J183" s="319"/>
      <c r="K183" s="319"/>
      <c r="L183" s="319"/>
      <c r="M183" s="319"/>
      <c r="N183" s="319"/>
      <c r="O183" s="268"/>
      <c r="P183" s="268"/>
      <c r="Q183" s="268"/>
      <c r="R183" s="268"/>
      <c r="S183" s="574"/>
      <c r="T183" s="574"/>
      <c r="U183" s="574"/>
      <c r="V183" s="552"/>
      <c r="W183" s="268"/>
      <c r="X183" s="268"/>
      <c r="Y183" s="268"/>
      <c r="Z183" s="268"/>
      <c r="AA183" s="268"/>
      <c r="AB183" s="268"/>
      <c r="AC183" s="268"/>
      <c r="AD183" s="284"/>
      <c r="AE183" s="367">
        <v>110850</v>
      </c>
      <c r="AF183" s="285"/>
      <c r="AG183" s="268"/>
      <c r="AH183" s="367">
        <v>110850</v>
      </c>
      <c r="AI183" s="367">
        <v>113370</v>
      </c>
      <c r="AJ183" s="367">
        <v>115890</v>
      </c>
      <c r="AK183" s="606">
        <v>108330</v>
      </c>
      <c r="AL183" s="268"/>
      <c r="AM183" s="268"/>
      <c r="AN183" s="268"/>
      <c r="AO183" s="268"/>
      <c r="AP183" s="268"/>
      <c r="AQ183" s="268"/>
      <c r="AR183" s="268"/>
      <c r="AS183" s="268"/>
      <c r="AT183" s="268"/>
      <c r="AU183" s="268"/>
      <c r="AV183" s="268"/>
      <c r="AW183" s="268"/>
      <c r="AX183" s="268"/>
      <c r="AY183" s="268"/>
      <c r="AZ183" s="268"/>
      <c r="BA183" s="268"/>
      <c r="BB183" s="268"/>
      <c r="BC183" s="268"/>
      <c r="BD183" s="268"/>
      <c r="BE183" s="268"/>
      <c r="BF183" s="268"/>
      <c r="BG183" s="268"/>
      <c r="BH183" s="268"/>
      <c r="BI183" s="268"/>
      <c r="BJ183" s="268"/>
      <c r="BK183" s="268"/>
      <c r="BL183" s="268"/>
      <c r="BM183" s="268"/>
      <c r="BN183" s="268"/>
      <c r="BO183" s="268"/>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268"/>
      <c r="CS183" s="268"/>
      <c r="CT183" s="268"/>
      <c r="CU183" s="268"/>
      <c r="CV183" s="268"/>
      <c r="CW183" s="268"/>
      <c r="CX183" s="268"/>
      <c r="CY183" s="268"/>
      <c r="CZ183" s="268"/>
      <c r="DA183" s="268"/>
      <c r="DB183" s="268"/>
      <c r="DC183" s="268"/>
      <c r="DD183" s="268"/>
      <c r="DE183" s="268"/>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268"/>
      <c r="EB183" s="268"/>
      <c r="EC183" s="268"/>
      <c r="ED183" s="268"/>
      <c r="EE183" s="268"/>
      <c r="EF183" s="268"/>
      <c r="EG183" s="268"/>
      <c r="EH183" s="268"/>
      <c r="EI183" s="268"/>
      <c r="EJ183" s="268"/>
      <c r="EK183" s="268"/>
      <c r="EL183" s="268"/>
      <c r="EM183" s="268"/>
      <c r="EN183" s="268"/>
      <c r="EO183" s="268"/>
      <c r="EP183" s="268"/>
      <c r="EQ183" s="268"/>
      <c r="ER183" s="268"/>
      <c r="ES183" s="268"/>
      <c r="ET183" s="268"/>
      <c r="EU183" s="268"/>
      <c r="EV183" s="268"/>
      <c r="EW183" s="268"/>
      <c r="EX183" s="268"/>
      <c r="EY183" s="268"/>
      <c r="EZ183" s="268"/>
      <c r="FA183" s="268"/>
      <c r="FB183" s="268"/>
      <c r="FC183" s="268"/>
      <c r="FD183" s="268"/>
      <c r="FE183" s="268"/>
      <c r="FF183" s="268"/>
      <c r="FG183" s="268"/>
      <c r="FH183" s="268"/>
      <c r="FI183" s="268"/>
      <c r="FJ183" s="268"/>
      <c r="FK183" s="268"/>
      <c r="FL183" s="268"/>
      <c r="FM183" s="268"/>
      <c r="FN183" s="268"/>
      <c r="FO183" s="268"/>
      <c r="FP183" s="268"/>
      <c r="FQ183" s="268"/>
      <c r="FR183" s="268"/>
      <c r="FS183" s="268"/>
      <c r="FT183" s="268"/>
      <c r="FU183" s="268"/>
      <c r="FV183" s="268"/>
      <c r="FW183" s="268"/>
      <c r="FX183" s="268"/>
      <c r="FY183" s="268"/>
      <c r="FZ183" s="268"/>
      <c r="GA183" s="268"/>
      <c r="GB183" s="268"/>
      <c r="GC183" s="268"/>
      <c r="GD183" s="268"/>
      <c r="GE183" s="268"/>
      <c r="GF183" s="268"/>
      <c r="GG183" s="268"/>
      <c r="GH183" s="268"/>
      <c r="GI183" s="268"/>
      <c r="GJ183" s="268"/>
      <c r="GK183" s="268"/>
      <c r="GL183" s="268"/>
      <c r="GM183" s="268"/>
      <c r="GN183" s="268"/>
      <c r="GO183" s="268"/>
    </row>
    <row r="184" spans="2:197" s="275" customFormat="1" ht="39.75" hidden="1" customHeight="1">
      <c r="B184" s="268"/>
      <c r="C184" s="319"/>
      <c r="D184" s="319"/>
      <c r="E184" s="319"/>
      <c r="F184" s="319"/>
      <c r="G184" s="319"/>
      <c r="H184" s="319"/>
      <c r="I184" s="319"/>
      <c r="J184" s="319"/>
      <c r="K184" s="319"/>
      <c r="L184" s="319"/>
      <c r="M184" s="319"/>
      <c r="N184" s="319"/>
      <c r="O184" s="268"/>
      <c r="P184" s="268"/>
      <c r="Q184" s="268"/>
      <c r="R184" s="268"/>
      <c r="S184" s="574"/>
      <c r="T184" s="574"/>
      <c r="U184" s="574"/>
      <c r="V184" s="552"/>
      <c r="W184" s="268"/>
      <c r="X184" s="268"/>
      <c r="Y184" s="268"/>
      <c r="Z184" s="268"/>
      <c r="AA184" s="268"/>
      <c r="AB184" s="268"/>
      <c r="AC184" s="268"/>
      <c r="AD184" s="284"/>
      <c r="AE184" s="367">
        <v>113370</v>
      </c>
      <c r="AF184" s="285"/>
      <c r="AH184" s="367">
        <v>113370</v>
      </c>
      <c r="AI184" s="367">
        <v>115890</v>
      </c>
      <c r="AJ184" s="374">
        <v>118410</v>
      </c>
      <c r="AK184" s="606">
        <v>110850</v>
      </c>
      <c r="AL184" s="268"/>
      <c r="AM184" s="268"/>
      <c r="AN184" s="268"/>
      <c r="AO184" s="268"/>
      <c r="AP184" s="268"/>
      <c r="AQ184" s="268"/>
      <c r="AR184" s="268"/>
      <c r="AS184" s="268"/>
      <c r="AT184" s="268"/>
      <c r="AU184" s="268"/>
      <c r="AV184" s="268"/>
      <c r="AW184" s="268"/>
      <c r="AX184" s="268"/>
      <c r="AY184" s="268"/>
      <c r="AZ184" s="268"/>
      <c r="BA184" s="268"/>
      <c r="BB184" s="268"/>
      <c r="BC184" s="268"/>
      <c r="BD184" s="268"/>
      <c r="BE184" s="268"/>
      <c r="BF184" s="268"/>
      <c r="BG184" s="268"/>
      <c r="BH184" s="268"/>
      <c r="BI184" s="268"/>
      <c r="BJ184" s="268"/>
      <c r="BK184" s="268"/>
      <c r="BL184" s="268"/>
      <c r="BM184" s="268"/>
      <c r="BN184" s="268"/>
      <c r="BO184" s="268"/>
      <c r="BP184" s="268"/>
      <c r="BQ184" s="268"/>
      <c r="BR184" s="268"/>
      <c r="BS184" s="268"/>
      <c r="BT184" s="268"/>
      <c r="BU184" s="268"/>
      <c r="BV184" s="268"/>
      <c r="BW184" s="268"/>
      <c r="BX184" s="268"/>
      <c r="BY184" s="268"/>
      <c r="BZ184" s="268"/>
      <c r="CA184" s="268"/>
      <c r="CB184" s="268"/>
      <c r="CC184" s="268"/>
      <c r="CD184" s="268"/>
      <c r="CE184" s="268"/>
      <c r="CF184" s="268"/>
      <c r="CG184" s="268"/>
      <c r="CH184" s="268"/>
      <c r="CI184" s="268"/>
      <c r="CJ184" s="268"/>
      <c r="CK184" s="268"/>
      <c r="CL184" s="268"/>
      <c r="CM184" s="268"/>
      <c r="CN184" s="268"/>
      <c r="CO184" s="268"/>
      <c r="CP184" s="268"/>
      <c r="CQ184" s="268"/>
      <c r="CR184" s="268"/>
      <c r="CS184" s="268"/>
      <c r="CT184" s="268"/>
      <c r="CU184" s="268"/>
      <c r="CV184" s="268"/>
      <c r="CW184" s="268"/>
      <c r="CX184" s="268"/>
      <c r="CY184" s="268"/>
      <c r="CZ184" s="268"/>
      <c r="DA184" s="268"/>
      <c r="DB184" s="268"/>
      <c r="DC184" s="268"/>
      <c r="DD184" s="268"/>
      <c r="DE184" s="268"/>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268"/>
      <c r="EC184" s="268"/>
      <c r="ED184" s="268"/>
      <c r="EE184" s="268"/>
      <c r="EF184" s="268"/>
      <c r="EG184" s="268"/>
      <c r="EH184" s="268"/>
      <c r="EI184" s="268"/>
      <c r="EJ184" s="268"/>
      <c r="EK184" s="268"/>
      <c r="EL184" s="268"/>
      <c r="EM184" s="268"/>
      <c r="EN184" s="268"/>
      <c r="EO184" s="268"/>
      <c r="EP184" s="268"/>
      <c r="EQ184" s="268"/>
      <c r="ER184" s="268"/>
      <c r="ES184" s="268"/>
      <c r="ET184" s="268"/>
      <c r="EU184" s="268"/>
      <c r="EV184" s="268"/>
      <c r="EW184" s="268"/>
      <c r="EX184" s="268"/>
      <c r="EY184" s="268"/>
      <c r="EZ184" s="268"/>
      <c r="FA184" s="268"/>
      <c r="FB184" s="268"/>
      <c r="FC184" s="268"/>
      <c r="FD184" s="268"/>
      <c r="FE184" s="268"/>
      <c r="FF184" s="268"/>
      <c r="FG184" s="268"/>
      <c r="FH184" s="268"/>
      <c r="FI184" s="268"/>
      <c r="FJ184" s="268"/>
      <c r="FK184" s="268"/>
      <c r="FL184" s="268"/>
      <c r="FM184" s="268"/>
      <c r="FN184" s="268"/>
      <c r="FO184" s="268"/>
      <c r="FP184" s="268"/>
      <c r="FQ184" s="268"/>
      <c r="FR184" s="268"/>
      <c r="FS184" s="268"/>
      <c r="FT184" s="268"/>
      <c r="FU184" s="268"/>
      <c r="FV184" s="268"/>
      <c r="FW184" s="268"/>
      <c r="FX184" s="268"/>
      <c r="FY184" s="268"/>
      <c r="FZ184" s="268"/>
      <c r="GA184" s="268"/>
      <c r="GB184" s="268"/>
      <c r="GC184" s="268"/>
      <c r="GD184" s="268"/>
      <c r="GE184" s="268"/>
      <c r="GF184" s="268"/>
      <c r="GG184" s="268"/>
      <c r="GH184" s="268"/>
      <c r="GI184" s="268"/>
      <c r="GJ184" s="268"/>
      <c r="GK184" s="268"/>
      <c r="GL184" s="268"/>
      <c r="GM184" s="268"/>
      <c r="GN184" s="268"/>
      <c r="GO184" s="268"/>
    </row>
    <row r="185" spans="2:197" s="275" customFormat="1" ht="39.75" hidden="1" customHeight="1">
      <c r="B185" s="268"/>
      <c r="C185" s="324"/>
      <c r="D185" s="324"/>
      <c r="E185" s="324"/>
      <c r="F185" s="324"/>
      <c r="G185" s="324"/>
      <c r="H185" s="324"/>
      <c r="I185" s="324"/>
      <c r="J185" s="324"/>
      <c r="K185" s="324"/>
      <c r="L185" s="324"/>
      <c r="M185" s="324"/>
      <c r="N185" s="324"/>
      <c r="R185" s="268"/>
      <c r="S185" s="574"/>
      <c r="T185" s="574"/>
      <c r="U185" s="574"/>
      <c r="V185" s="552"/>
      <c r="W185" s="268"/>
      <c r="X185" s="268"/>
      <c r="Y185" s="268"/>
      <c r="Z185" s="268"/>
      <c r="AA185" s="268"/>
      <c r="AB185" s="268"/>
      <c r="AC185" s="268"/>
      <c r="AD185" s="284"/>
      <c r="AE185" s="367">
        <v>115890</v>
      </c>
      <c r="AF185" s="285"/>
      <c r="AH185" s="367">
        <v>115890</v>
      </c>
      <c r="AI185" s="374">
        <v>118410</v>
      </c>
      <c r="AJ185" s="374">
        <v>120930</v>
      </c>
      <c r="AK185" s="606">
        <v>113370</v>
      </c>
      <c r="AL185" s="268"/>
      <c r="AM185" s="268"/>
      <c r="AN185" s="268"/>
      <c r="AO185" s="268"/>
      <c r="AP185" s="268"/>
      <c r="AQ185" s="268"/>
      <c r="AR185" s="268"/>
      <c r="AS185" s="268"/>
      <c r="AT185" s="268"/>
      <c r="AU185" s="268"/>
      <c r="AV185" s="268"/>
      <c r="AW185" s="268"/>
      <c r="AX185" s="268"/>
      <c r="AY185" s="268"/>
      <c r="AZ185" s="268"/>
      <c r="BA185" s="268"/>
      <c r="BB185" s="268"/>
      <c r="BC185" s="268"/>
      <c r="BD185" s="268"/>
      <c r="BE185" s="268"/>
      <c r="BF185" s="268"/>
      <c r="BG185" s="268"/>
      <c r="BH185" s="268"/>
      <c r="BI185" s="268"/>
      <c r="BJ185" s="268"/>
      <c r="BK185" s="268"/>
      <c r="BL185" s="268"/>
      <c r="BM185" s="268"/>
      <c r="BN185" s="268"/>
      <c r="BO185" s="268"/>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268"/>
      <c r="CS185" s="268"/>
      <c r="CT185" s="268"/>
      <c r="CU185" s="268"/>
      <c r="CV185" s="268"/>
      <c r="CW185" s="268"/>
      <c r="CX185" s="268"/>
      <c r="CY185" s="268"/>
      <c r="CZ185" s="268"/>
      <c r="DA185" s="268"/>
      <c r="DB185" s="268"/>
      <c r="DC185" s="268"/>
      <c r="DD185" s="268"/>
      <c r="DE185" s="268"/>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268"/>
      <c r="EB185" s="268"/>
      <c r="EC185" s="268"/>
      <c r="ED185" s="268"/>
      <c r="EE185" s="268"/>
      <c r="EF185" s="268"/>
      <c r="EG185" s="268"/>
      <c r="EH185" s="268"/>
      <c r="EI185" s="268"/>
      <c r="EJ185" s="268"/>
      <c r="EK185" s="268"/>
      <c r="EL185" s="268"/>
      <c r="EM185" s="268"/>
      <c r="EN185" s="268"/>
      <c r="EO185" s="268"/>
      <c r="EP185" s="268"/>
      <c r="EQ185" s="268"/>
      <c r="ER185" s="268"/>
      <c r="ES185" s="268"/>
      <c r="ET185" s="268"/>
      <c r="EU185" s="268"/>
      <c r="EV185" s="268"/>
      <c r="EW185" s="268"/>
      <c r="EX185" s="268"/>
      <c r="EY185" s="268"/>
      <c r="EZ185" s="268"/>
      <c r="FA185" s="268"/>
      <c r="FB185" s="268"/>
      <c r="FC185" s="268"/>
      <c r="FD185" s="268"/>
      <c r="FE185" s="268"/>
      <c r="FF185" s="268"/>
      <c r="FG185" s="268"/>
      <c r="FH185" s="268"/>
      <c r="FI185" s="268"/>
      <c r="FJ185" s="268"/>
      <c r="FK185" s="268"/>
      <c r="FL185" s="268"/>
      <c r="FM185" s="268"/>
      <c r="FN185" s="268"/>
      <c r="FO185" s="268"/>
      <c r="FP185" s="268"/>
      <c r="FQ185" s="268"/>
      <c r="FR185" s="268"/>
      <c r="FS185" s="268"/>
      <c r="FT185" s="268"/>
      <c r="FU185" s="268"/>
      <c r="FV185" s="268"/>
      <c r="FW185" s="268"/>
      <c r="FX185" s="268"/>
      <c r="FY185" s="268"/>
      <c r="FZ185" s="268"/>
      <c r="GA185" s="268"/>
      <c r="GB185" s="268"/>
      <c r="GC185" s="268"/>
      <c r="GD185" s="268"/>
      <c r="GE185" s="268"/>
      <c r="GF185" s="268"/>
      <c r="GG185" s="268"/>
      <c r="GH185" s="268"/>
      <c r="GI185" s="268"/>
      <c r="GJ185" s="268"/>
      <c r="GK185" s="268"/>
      <c r="GL185" s="268"/>
      <c r="GM185" s="268"/>
      <c r="GN185" s="268"/>
      <c r="GO185" s="268"/>
    </row>
    <row r="186" spans="2:197" s="275" customFormat="1" ht="39.75" hidden="1" customHeight="1">
      <c r="B186" s="268"/>
      <c r="C186" s="324"/>
      <c r="D186" s="324"/>
      <c r="E186" s="324"/>
      <c r="F186" s="324"/>
      <c r="G186" s="324"/>
      <c r="H186" s="324"/>
      <c r="I186" s="324"/>
      <c r="J186" s="324"/>
      <c r="K186" s="324"/>
      <c r="L186" s="324"/>
      <c r="M186" s="324"/>
      <c r="N186" s="324"/>
      <c r="R186" s="268"/>
      <c r="S186" s="574"/>
      <c r="T186" s="574"/>
      <c r="U186" s="574"/>
      <c r="V186" s="552"/>
      <c r="W186" s="268"/>
      <c r="X186" s="268"/>
      <c r="Y186" s="268"/>
      <c r="Z186" s="268"/>
      <c r="AA186" s="268"/>
      <c r="AB186" s="268"/>
      <c r="AC186" s="268"/>
      <c r="AD186" s="284"/>
      <c r="AE186" s="374">
        <v>118410</v>
      </c>
      <c r="AF186" s="285"/>
      <c r="AH186" s="374">
        <v>118410</v>
      </c>
      <c r="AI186" s="374">
        <v>120930</v>
      </c>
      <c r="AJ186" s="374">
        <v>123450</v>
      </c>
      <c r="AK186" s="606">
        <v>115890</v>
      </c>
      <c r="AL186" s="268"/>
      <c r="AM186" s="268"/>
      <c r="AN186" s="268"/>
      <c r="AO186" s="268"/>
      <c r="AP186" s="268"/>
      <c r="AQ186" s="268"/>
      <c r="AR186" s="268"/>
      <c r="AS186" s="268"/>
      <c r="AT186" s="268"/>
      <c r="AU186" s="268"/>
      <c r="AV186" s="268"/>
      <c r="AW186" s="268"/>
      <c r="AX186" s="268"/>
      <c r="AY186" s="268"/>
      <c r="AZ186" s="268"/>
      <c r="BA186" s="268"/>
      <c r="BB186" s="268"/>
      <c r="BC186" s="268"/>
      <c r="BD186" s="268"/>
      <c r="BE186" s="268"/>
      <c r="BF186" s="268"/>
      <c r="BG186" s="268"/>
      <c r="BH186" s="268"/>
      <c r="BI186" s="268"/>
      <c r="BJ186" s="268"/>
      <c r="BK186" s="268"/>
      <c r="BL186" s="268"/>
      <c r="BM186" s="268"/>
      <c r="BN186" s="268"/>
      <c r="BO186" s="268"/>
      <c r="BP186" s="268"/>
      <c r="BQ186" s="268"/>
      <c r="BR186" s="268"/>
      <c r="BS186" s="268"/>
      <c r="BT186" s="268"/>
      <c r="BU186" s="268"/>
      <c r="BV186" s="268"/>
      <c r="BW186" s="268"/>
      <c r="BX186" s="268"/>
      <c r="BY186" s="268"/>
      <c r="BZ186" s="268"/>
      <c r="CA186" s="268"/>
      <c r="CB186" s="268"/>
      <c r="CC186" s="268"/>
      <c r="CD186" s="268"/>
      <c r="CE186" s="268"/>
      <c r="CF186" s="268"/>
      <c r="CG186" s="268"/>
      <c r="CH186" s="268"/>
      <c r="CI186" s="268"/>
      <c r="CJ186" s="268"/>
      <c r="CK186" s="268"/>
      <c r="CL186" s="268"/>
      <c r="CM186" s="268"/>
      <c r="CN186" s="268"/>
      <c r="CO186" s="268"/>
      <c r="CP186" s="268"/>
      <c r="CQ186" s="268"/>
      <c r="CR186" s="268"/>
      <c r="CS186" s="268"/>
      <c r="CT186" s="268"/>
      <c r="CU186" s="268"/>
      <c r="CV186" s="268"/>
      <c r="CW186" s="268"/>
      <c r="CX186" s="268"/>
      <c r="CY186" s="268"/>
      <c r="CZ186" s="268"/>
      <c r="DA186" s="268"/>
      <c r="DB186" s="268"/>
      <c r="DC186" s="268"/>
      <c r="DD186" s="268"/>
      <c r="DE186" s="268"/>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268"/>
      <c r="EC186" s="268"/>
      <c r="ED186" s="268"/>
      <c r="EE186" s="268"/>
      <c r="EF186" s="268"/>
      <c r="EG186" s="268"/>
      <c r="EH186" s="268"/>
      <c r="EI186" s="268"/>
      <c r="EJ186" s="268"/>
      <c r="EK186" s="268"/>
      <c r="EL186" s="268"/>
      <c r="EM186" s="268"/>
      <c r="EN186" s="268"/>
      <c r="EO186" s="268"/>
      <c r="EP186" s="268"/>
      <c r="EQ186" s="268"/>
      <c r="ER186" s="268"/>
      <c r="ES186" s="268"/>
      <c r="ET186" s="268"/>
      <c r="EU186" s="268"/>
      <c r="EV186" s="268"/>
      <c r="EW186" s="268"/>
      <c r="EX186" s="268"/>
      <c r="EY186" s="268"/>
      <c r="EZ186" s="268"/>
      <c r="FA186" s="268"/>
      <c r="FB186" s="268"/>
      <c r="FC186" s="268"/>
      <c r="FD186" s="268"/>
      <c r="FE186" s="268"/>
      <c r="FF186" s="268"/>
      <c r="FG186" s="268"/>
      <c r="FH186" s="268"/>
      <c r="FI186" s="268"/>
      <c r="FJ186" s="268"/>
      <c r="FK186" s="268"/>
      <c r="FL186" s="268"/>
      <c r="FM186" s="268"/>
      <c r="FN186" s="268"/>
      <c r="FO186" s="268"/>
      <c r="FP186" s="268"/>
      <c r="FQ186" s="268"/>
      <c r="FR186" s="268"/>
      <c r="FS186" s="268"/>
      <c r="FT186" s="268"/>
      <c r="FU186" s="268"/>
      <c r="FV186" s="268"/>
      <c r="FW186" s="268"/>
      <c r="FX186" s="268"/>
      <c r="FY186" s="268"/>
      <c r="FZ186" s="268"/>
      <c r="GA186" s="268"/>
      <c r="GB186" s="268"/>
      <c r="GC186" s="268"/>
      <c r="GD186" s="268"/>
      <c r="GE186" s="268"/>
      <c r="GF186" s="268"/>
      <c r="GG186" s="268"/>
      <c r="GH186" s="268"/>
      <c r="GI186" s="268"/>
      <c r="GJ186" s="268"/>
      <c r="GK186" s="268"/>
      <c r="GL186" s="268"/>
      <c r="GM186" s="268"/>
      <c r="GN186" s="268"/>
      <c r="GO186" s="268"/>
    </row>
    <row r="187" spans="2:197" s="275" customFormat="1" ht="39.75" hidden="1" customHeight="1">
      <c r="C187" s="324"/>
      <c r="D187" s="324"/>
      <c r="E187" s="324"/>
      <c r="F187" s="324"/>
      <c r="G187" s="324"/>
      <c r="H187" s="324"/>
      <c r="I187" s="324"/>
      <c r="J187" s="324"/>
      <c r="K187" s="324"/>
      <c r="L187" s="324"/>
      <c r="M187" s="324"/>
      <c r="N187" s="324"/>
      <c r="R187" s="268"/>
      <c r="S187" s="574"/>
      <c r="T187" s="574"/>
      <c r="U187" s="574"/>
      <c r="V187" s="552"/>
      <c r="W187" s="268"/>
      <c r="X187" s="268"/>
      <c r="Y187" s="268"/>
      <c r="Z187" s="268"/>
      <c r="AA187" s="268"/>
      <c r="AB187" s="268"/>
      <c r="AC187" s="268"/>
      <c r="AD187" s="284"/>
      <c r="AE187" s="374">
        <v>120930</v>
      </c>
      <c r="AF187" s="285"/>
      <c r="AH187" s="374">
        <v>120930</v>
      </c>
      <c r="AI187" s="374">
        <v>123450</v>
      </c>
      <c r="AJ187" s="374">
        <v>123450</v>
      </c>
      <c r="AK187" s="607">
        <v>118410</v>
      </c>
      <c r="AL187" s="268"/>
      <c r="AM187" s="268"/>
      <c r="AN187" s="268"/>
      <c r="AO187" s="268"/>
      <c r="AP187" s="268"/>
      <c r="AQ187" s="268"/>
      <c r="AR187" s="268"/>
      <c r="AS187" s="268"/>
      <c r="AT187" s="268"/>
      <c r="AU187" s="268"/>
      <c r="AV187" s="268"/>
      <c r="AW187" s="268"/>
      <c r="AX187" s="268"/>
      <c r="AY187" s="268"/>
      <c r="AZ187" s="268"/>
      <c r="BA187" s="268"/>
      <c r="BB187" s="268"/>
      <c r="BC187" s="268"/>
      <c r="BD187" s="268"/>
      <c r="BE187" s="268"/>
      <c r="BF187" s="268"/>
      <c r="BG187" s="268"/>
      <c r="BH187" s="268"/>
      <c r="BI187" s="268"/>
      <c r="BJ187" s="268"/>
      <c r="BK187" s="268"/>
      <c r="BL187" s="268"/>
      <c r="BM187" s="268"/>
      <c r="BN187" s="268"/>
      <c r="BO187" s="268"/>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268"/>
      <c r="CS187" s="268"/>
      <c r="CT187" s="268"/>
      <c r="CU187" s="268"/>
      <c r="CV187" s="268"/>
      <c r="CW187" s="268"/>
      <c r="CX187" s="268"/>
      <c r="CY187" s="268"/>
      <c r="CZ187" s="268"/>
      <c r="DA187" s="268"/>
      <c r="DB187" s="268"/>
      <c r="DC187" s="268"/>
      <c r="DD187" s="268"/>
      <c r="DE187" s="268"/>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268"/>
      <c r="EB187" s="268"/>
      <c r="EC187" s="268"/>
      <c r="ED187" s="268"/>
      <c r="EE187" s="268"/>
      <c r="EF187" s="268"/>
      <c r="EG187" s="268"/>
      <c r="EH187" s="268"/>
      <c r="EI187" s="268"/>
      <c r="EJ187" s="268"/>
      <c r="EK187" s="268"/>
      <c r="EL187" s="268"/>
      <c r="EM187" s="268"/>
      <c r="EN187" s="268"/>
      <c r="EO187" s="268"/>
      <c r="EP187" s="268"/>
      <c r="EQ187" s="268"/>
      <c r="ER187" s="268"/>
      <c r="ES187" s="268"/>
      <c r="ET187" s="268"/>
      <c r="EU187" s="268"/>
      <c r="EV187" s="268"/>
      <c r="EW187" s="268"/>
      <c r="EX187" s="268"/>
      <c r="EY187" s="268"/>
      <c r="EZ187" s="268"/>
      <c r="FA187" s="268"/>
      <c r="FB187" s="268"/>
      <c r="FC187" s="268"/>
      <c r="FD187" s="268"/>
      <c r="FE187" s="268"/>
      <c r="FF187" s="268"/>
      <c r="FG187" s="268"/>
      <c r="FH187" s="268"/>
      <c r="FI187" s="268"/>
      <c r="FJ187" s="268"/>
      <c r="FK187" s="268"/>
      <c r="FL187" s="268"/>
      <c r="FM187" s="268"/>
      <c r="FN187" s="268"/>
      <c r="FO187" s="268"/>
      <c r="FP187" s="268"/>
      <c r="FQ187" s="268"/>
      <c r="FR187" s="268"/>
      <c r="FS187" s="268"/>
      <c r="FT187" s="268"/>
      <c r="FU187" s="268"/>
      <c r="FV187" s="268"/>
      <c r="FW187" s="268"/>
      <c r="FX187" s="268"/>
      <c r="FY187" s="268"/>
      <c r="FZ187" s="268"/>
      <c r="GA187" s="268"/>
      <c r="GB187" s="268"/>
      <c r="GC187" s="268"/>
      <c r="GD187" s="268"/>
      <c r="GE187" s="268"/>
      <c r="GF187" s="268"/>
      <c r="GG187" s="268"/>
      <c r="GH187" s="268"/>
      <c r="GI187" s="268"/>
      <c r="GJ187" s="268"/>
      <c r="GK187" s="268"/>
      <c r="GL187" s="268"/>
      <c r="GM187" s="268"/>
      <c r="GN187" s="268"/>
      <c r="GO187" s="268"/>
    </row>
    <row r="188" spans="2:197" s="275" customFormat="1" ht="39.75" hidden="1" customHeight="1">
      <c r="C188" s="325"/>
      <c r="D188" s="325"/>
      <c r="E188" s="325"/>
      <c r="F188" s="325"/>
      <c r="G188" s="325"/>
      <c r="H188" s="325"/>
      <c r="I188" s="325"/>
      <c r="J188" s="325"/>
      <c r="K188" s="325"/>
      <c r="L188" s="325"/>
      <c r="M188" s="325"/>
      <c r="N188" s="325"/>
      <c r="O188" s="229"/>
      <c r="P188" s="229"/>
      <c r="Q188" s="234"/>
      <c r="R188" s="268"/>
      <c r="S188" s="574"/>
      <c r="T188" s="574"/>
      <c r="U188" s="574"/>
      <c r="V188" s="552"/>
      <c r="W188" s="268"/>
      <c r="X188" s="268"/>
      <c r="Y188" s="268"/>
      <c r="Z188" s="268"/>
      <c r="AA188" s="268"/>
      <c r="AB188" s="268"/>
      <c r="AC188" s="268"/>
      <c r="AD188" s="284"/>
      <c r="AE188" s="374">
        <v>123450</v>
      </c>
      <c r="AF188" s="285"/>
      <c r="AH188" s="374">
        <v>123450</v>
      </c>
      <c r="AI188" s="374">
        <v>123450</v>
      </c>
      <c r="AJ188" s="374">
        <v>123450</v>
      </c>
      <c r="AK188" s="607">
        <v>120930</v>
      </c>
      <c r="AL188" s="268"/>
      <c r="AM188" s="268"/>
      <c r="AN188" s="268"/>
      <c r="AO188" s="268"/>
      <c r="AP188" s="268"/>
      <c r="AQ188" s="268"/>
      <c r="AR188" s="268"/>
      <c r="AS188" s="268"/>
      <c r="AT188" s="268"/>
      <c r="AU188" s="268"/>
      <c r="AV188" s="268"/>
      <c r="AW188" s="268"/>
      <c r="AX188" s="268"/>
      <c r="AY188" s="268"/>
      <c r="AZ188" s="268"/>
      <c r="BA188" s="268"/>
      <c r="BB188" s="268"/>
      <c r="BC188" s="268"/>
      <c r="BD188" s="268"/>
      <c r="BE188" s="268"/>
      <c r="BF188" s="268"/>
      <c r="BG188" s="268"/>
      <c r="BH188" s="268"/>
      <c r="BI188" s="268"/>
      <c r="BJ188" s="268"/>
      <c r="BK188" s="233"/>
      <c r="BL188" s="233"/>
      <c r="BM188" s="233"/>
      <c r="BN188" s="233"/>
      <c r="BO188" s="233"/>
      <c r="BP188" s="233"/>
      <c r="BQ188" s="233"/>
      <c r="BR188" s="233"/>
      <c r="BS188" s="233"/>
      <c r="BT188" s="233"/>
      <c r="BU188" s="233"/>
      <c r="BV188" s="233"/>
      <c r="BW188" s="233"/>
      <c r="BX188" s="233"/>
      <c r="BY188" s="233"/>
      <c r="BZ188" s="233"/>
      <c r="CA188" s="233"/>
      <c r="CB188" s="233"/>
      <c r="CC188" s="233"/>
      <c r="CD188" s="233"/>
      <c r="CE188" s="233"/>
      <c r="CF188" s="268"/>
      <c r="CG188" s="268"/>
      <c r="CH188" s="268"/>
      <c r="CI188" s="268"/>
      <c r="CJ188" s="268"/>
      <c r="CK188" s="268"/>
      <c r="CL188" s="268"/>
      <c r="CM188" s="268"/>
      <c r="CN188" s="268"/>
      <c r="CO188" s="268"/>
      <c r="CP188" s="268"/>
      <c r="CQ188" s="268"/>
      <c r="CR188" s="268"/>
      <c r="CS188" s="268"/>
      <c r="CT188" s="268"/>
      <c r="CU188" s="268"/>
      <c r="CV188" s="268"/>
      <c r="CW188" s="268"/>
      <c r="CX188" s="268"/>
      <c r="CY188" s="268"/>
      <c r="CZ188" s="268"/>
      <c r="DA188" s="268"/>
      <c r="DB188" s="268"/>
      <c r="DC188" s="268"/>
      <c r="DD188" s="268"/>
      <c r="DE188" s="268"/>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268"/>
      <c r="EC188" s="268"/>
      <c r="ED188" s="268"/>
      <c r="EE188" s="268"/>
      <c r="EF188" s="268"/>
      <c r="EG188" s="268"/>
      <c r="EH188" s="268"/>
      <c r="EI188" s="268"/>
      <c r="EJ188" s="268"/>
      <c r="EK188" s="268"/>
      <c r="EL188" s="268"/>
      <c r="EM188" s="268"/>
      <c r="EN188" s="268"/>
      <c r="EO188" s="268"/>
      <c r="EP188" s="268"/>
      <c r="EQ188" s="268"/>
      <c r="ER188" s="268"/>
      <c r="ES188" s="268"/>
      <c r="ET188" s="268"/>
      <c r="EU188" s="268"/>
      <c r="EV188" s="268"/>
      <c r="EW188" s="268"/>
      <c r="EX188" s="268"/>
      <c r="EY188" s="268"/>
      <c r="EZ188" s="268"/>
      <c r="FA188" s="268"/>
      <c r="FB188" s="268"/>
      <c r="FC188" s="268"/>
      <c r="FD188" s="268"/>
      <c r="FE188" s="268"/>
      <c r="FF188" s="268"/>
      <c r="FG188" s="268"/>
      <c r="FH188" s="268"/>
      <c r="FI188" s="268"/>
      <c r="FJ188" s="268"/>
      <c r="FK188" s="268"/>
      <c r="FL188" s="268"/>
      <c r="FM188" s="268"/>
      <c r="FN188" s="268"/>
      <c r="FO188" s="268"/>
      <c r="FP188" s="268"/>
      <c r="FQ188" s="268"/>
      <c r="FR188" s="268"/>
      <c r="FS188" s="268"/>
      <c r="FT188" s="268"/>
      <c r="FU188" s="268"/>
      <c r="FV188" s="268"/>
      <c r="FW188" s="268"/>
      <c r="FX188" s="268"/>
      <c r="FY188" s="268"/>
      <c r="FZ188" s="268"/>
      <c r="GA188" s="268"/>
      <c r="GB188" s="268"/>
      <c r="GC188" s="268"/>
      <c r="GD188" s="268"/>
      <c r="GE188" s="268"/>
      <c r="GF188" s="268"/>
      <c r="GG188" s="268"/>
      <c r="GH188" s="268"/>
      <c r="GI188" s="268"/>
      <c r="GJ188" s="268"/>
      <c r="GK188" s="268"/>
      <c r="GL188" s="268"/>
      <c r="GM188" s="268"/>
      <c r="GN188" s="268"/>
      <c r="GO188" s="268"/>
    </row>
    <row r="189" spans="2:197" s="275" customFormat="1" ht="39.75" hidden="1" customHeight="1">
      <c r="C189" s="325"/>
      <c r="D189" s="325"/>
      <c r="E189" s="325"/>
      <c r="F189" s="325"/>
      <c r="G189" s="325"/>
      <c r="H189" s="325"/>
      <c r="I189" s="325"/>
      <c r="J189" s="325"/>
      <c r="K189" s="325"/>
      <c r="L189" s="325"/>
      <c r="M189" s="325"/>
      <c r="N189" s="325"/>
      <c r="O189" s="229"/>
      <c r="P189" s="229"/>
      <c r="Q189" s="234"/>
      <c r="R189" s="268"/>
      <c r="S189" s="574"/>
      <c r="T189" s="574"/>
      <c r="U189" s="574"/>
      <c r="V189" s="552"/>
      <c r="W189" s="268"/>
      <c r="X189" s="268"/>
      <c r="Y189" s="268"/>
      <c r="Z189" s="268"/>
      <c r="AA189" s="268"/>
      <c r="AB189" s="268"/>
      <c r="AC189" s="268"/>
      <c r="AD189" s="284"/>
      <c r="AE189" s="270"/>
      <c r="AF189" s="285"/>
      <c r="AG189" s="268"/>
      <c r="AH189" s="268"/>
      <c r="AI189" s="268"/>
      <c r="AJ189" s="268"/>
      <c r="AK189" s="607">
        <v>123450</v>
      </c>
      <c r="AL189" s="268"/>
      <c r="AM189" s="268"/>
      <c r="AN189" s="268"/>
      <c r="AO189" s="268"/>
      <c r="AP189" s="268"/>
      <c r="AQ189" s="268"/>
      <c r="AR189" s="268"/>
      <c r="AS189" s="268"/>
      <c r="AT189" s="268"/>
      <c r="AU189" s="268"/>
      <c r="AV189" s="268"/>
      <c r="AW189" s="268"/>
      <c r="AX189" s="268"/>
      <c r="AY189" s="268"/>
      <c r="AZ189" s="268"/>
      <c r="BA189" s="268"/>
      <c r="BB189" s="268"/>
      <c r="BC189" s="268"/>
      <c r="BD189" s="268"/>
      <c r="BE189" s="268"/>
      <c r="BF189" s="268"/>
      <c r="BG189" s="268"/>
      <c r="BH189" s="268"/>
      <c r="BI189" s="268"/>
      <c r="BJ189" s="268"/>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68"/>
      <c r="CG189" s="268"/>
      <c r="CH189" s="268"/>
      <c r="CI189" s="268"/>
      <c r="CJ189" s="268"/>
      <c r="CK189" s="268"/>
      <c r="CL189" s="268"/>
      <c r="CM189" s="268"/>
      <c r="CN189" s="268"/>
      <c r="CO189" s="268"/>
      <c r="CP189" s="268"/>
      <c r="CQ189" s="268"/>
      <c r="CR189" s="268"/>
      <c r="CS189" s="268"/>
      <c r="CT189" s="268"/>
      <c r="CU189" s="268"/>
      <c r="CV189" s="268"/>
      <c r="CW189" s="268"/>
      <c r="CX189" s="268"/>
      <c r="CY189" s="268"/>
      <c r="CZ189" s="268"/>
      <c r="DA189" s="268"/>
      <c r="DB189" s="268"/>
      <c r="DC189" s="268"/>
      <c r="DD189" s="268"/>
      <c r="DE189" s="268"/>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268"/>
      <c r="EB189" s="268"/>
      <c r="EC189" s="268"/>
      <c r="ED189" s="268"/>
      <c r="EE189" s="268"/>
      <c r="EF189" s="268"/>
      <c r="EG189" s="268"/>
      <c r="EH189" s="268"/>
      <c r="EI189" s="268"/>
      <c r="EJ189" s="268"/>
      <c r="EK189" s="268"/>
      <c r="EL189" s="268"/>
      <c r="EM189" s="268"/>
      <c r="EN189" s="268"/>
      <c r="EO189" s="268"/>
      <c r="EP189" s="268"/>
      <c r="EQ189" s="268"/>
      <c r="ER189" s="268"/>
      <c r="ES189" s="268"/>
      <c r="ET189" s="268"/>
      <c r="EU189" s="268"/>
      <c r="EV189" s="268"/>
      <c r="EW189" s="268"/>
      <c r="EX189" s="268"/>
      <c r="EY189" s="268"/>
      <c r="EZ189" s="268"/>
      <c r="FA189" s="268"/>
      <c r="FB189" s="268"/>
      <c r="FC189" s="268"/>
      <c r="FD189" s="268"/>
      <c r="FE189" s="268"/>
      <c r="FF189" s="268"/>
      <c r="FG189" s="268"/>
      <c r="FH189" s="268"/>
      <c r="FI189" s="268"/>
      <c r="FJ189" s="268"/>
      <c r="FK189" s="268"/>
      <c r="FL189" s="268"/>
      <c r="FM189" s="268"/>
      <c r="FN189" s="268"/>
      <c r="FO189" s="268"/>
      <c r="FP189" s="268"/>
      <c r="FQ189" s="268"/>
      <c r="FR189" s="268"/>
      <c r="FS189" s="268"/>
      <c r="FT189" s="268"/>
      <c r="FU189" s="268"/>
      <c r="FV189" s="268"/>
      <c r="FW189" s="268"/>
      <c r="FX189" s="268"/>
      <c r="FY189" s="268"/>
      <c r="FZ189" s="268"/>
      <c r="GA189" s="268"/>
      <c r="GB189" s="268"/>
      <c r="GC189" s="268"/>
      <c r="GD189" s="268"/>
      <c r="GE189" s="268"/>
      <c r="GF189" s="268"/>
      <c r="GG189" s="268"/>
      <c r="GH189" s="268"/>
      <c r="GI189" s="268"/>
      <c r="GJ189" s="268"/>
      <c r="GK189" s="268"/>
      <c r="GL189" s="268"/>
      <c r="GM189" s="268"/>
      <c r="GN189" s="268"/>
      <c r="GO189" s="268"/>
    </row>
    <row r="190" spans="2:197" ht="39.75" hidden="1" customHeight="1" thickBot="1">
      <c r="AD190" s="284"/>
      <c r="AE190" s="270">
        <v>22</v>
      </c>
      <c r="AF190" s="285"/>
      <c r="AG190" s="268"/>
      <c r="AN190" s="268"/>
      <c r="AO190" s="268"/>
      <c r="AP190" s="268"/>
      <c r="AQ190" s="268"/>
      <c r="AR190" s="268"/>
      <c r="AS190" s="268"/>
      <c r="AT190" s="268"/>
      <c r="AU190" s="268"/>
      <c r="AV190" s="268"/>
      <c r="AW190" s="268"/>
    </row>
    <row r="191" spans="2:197" ht="39.75" hidden="1" customHeight="1" thickBot="1">
      <c r="AD191" s="306" t="s">
        <v>149</v>
      </c>
      <c r="AE191" s="308">
        <f>VLOOKUP(AD192,AD103:AF182,2,0)</f>
        <v>53950</v>
      </c>
      <c r="AF191" s="307" t="s">
        <v>152</v>
      </c>
      <c r="AG191" s="309">
        <f>IF(AD74=13,VLOOKUP(AE191,AF103:AG180,2,0),AE191)</f>
        <v>53950</v>
      </c>
      <c r="AN191" s="268"/>
      <c r="AO191" s="268"/>
      <c r="AP191" s="268"/>
      <c r="AQ191" s="268"/>
      <c r="AR191" s="268"/>
      <c r="AS191" s="268"/>
      <c r="AT191" s="268"/>
      <c r="AU191" s="268"/>
      <c r="AV191" s="268"/>
      <c r="AW191" s="268"/>
    </row>
    <row r="192" spans="2:197" ht="39.75" hidden="1" customHeight="1">
      <c r="AD192" s="284">
        <v>52</v>
      </c>
      <c r="AE192" s="270">
        <v>52</v>
      </c>
      <c r="AF192" s="285"/>
      <c r="AG192" s="268"/>
    </row>
    <row r="193" spans="30:33" ht="39.75" hidden="1" customHeight="1" thickBot="1">
      <c r="AD193" s="286"/>
      <c r="AE193" s="287">
        <f>VLOOKUP(AE192,AD103:AF182,2,0)</f>
        <v>53950</v>
      </c>
      <c r="AF193" s="293" t="s">
        <v>153</v>
      </c>
      <c r="AG193" s="268"/>
    </row>
  </sheetData>
  <sheetProtection password="CF7B" sheet="1" objects="1" scenarios="1" selectLockedCells="1"/>
  <customSheetViews>
    <customSheetView guid="{C9DCC1B1-1130-43C1-807F-FB357D8E7C6B}" scale="90" showGridLines="0" showRowCol="0" hiddenRows="1" hiddenColumns="1">
      <selection activeCell="Q19" sqref="Q19"/>
      <pageMargins left="0.7" right="0.7" top="0.75" bottom="0.75" header="0.3" footer="0.3"/>
      <pageSetup paperSize="5" orientation="portrait" horizontalDpi="180" verticalDpi="180" r:id="rId1"/>
      <headerFooter alignWithMargins="0"/>
    </customSheetView>
    <customSheetView guid="{74B9DB0D-A27C-483C-9482-296E1DCC546B}" scale="90" showGridLines="0" showRowCol="0" hiddenRows="1" hiddenColumns="1">
      <selection activeCell="E4" sqref="E4:J4"/>
      <pageMargins left="0.7" right="0.7" top="0.75" bottom="0.75" header="0.3" footer="0.3"/>
      <pageSetup paperSize="5" orientation="portrait" horizontalDpi="180" verticalDpi="180" r:id="rId2"/>
      <headerFooter alignWithMargins="0"/>
    </customSheetView>
  </customSheetViews>
  <mergeCells count="144">
    <mergeCell ref="S9:U10"/>
    <mergeCell ref="B16:B19"/>
    <mergeCell ref="B4:B6"/>
    <mergeCell ref="B20:B21"/>
    <mergeCell ref="C21:E21"/>
    <mergeCell ref="S2:U2"/>
    <mergeCell ref="P4:Q4"/>
    <mergeCell ref="K5:L5"/>
    <mergeCell ref="E11:H11"/>
    <mergeCell ref="M17:O17"/>
    <mergeCell ref="F17:J17"/>
    <mergeCell ref="D6:J6"/>
    <mergeCell ref="E5:J5"/>
    <mergeCell ref="K11:L11"/>
    <mergeCell ref="B3:Q3"/>
    <mergeCell ref="Q12:Q15"/>
    <mergeCell ref="M4:O4"/>
    <mergeCell ref="E10:H10"/>
    <mergeCell ref="D8:E8"/>
    <mergeCell ref="L9:O9"/>
    <mergeCell ref="O13:P13"/>
    <mergeCell ref="N10:O10"/>
    <mergeCell ref="K12:P12"/>
    <mergeCell ref="F8:J8"/>
    <mergeCell ref="K4:L4"/>
    <mergeCell ref="K6:Q6"/>
    <mergeCell ref="F33:G33"/>
    <mergeCell ref="L38:N38"/>
    <mergeCell ref="B2:Q2"/>
    <mergeCell ref="B7:B11"/>
    <mergeCell ref="B12:B15"/>
    <mergeCell ref="P17:Q17"/>
    <mergeCell ref="F18:G18"/>
    <mergeCell ref="M5:Q5"/>
    <mergeCell ref="E4:J4"/>
    <mergeCell ref="B28:Q28"/>
    <mergeCell ref="O21:P21"/>
    <mergeCell ref="F7:H7"/>
    <mergeCell ref="J12:J15"/>
    <mergeCell ref="F12:I15"/>
    <mergeCell ref="O14:P14"/>
    <mergeCell ref="O15:P15"/>
    <mergeCell ref="J20:M20"/>
    <mergeCell ref="B23:B24"/>
    <mergeCell ref="P23:Q23"/>
    <mergeCell ref="H23:I23"/>
    <mergeCell ref="M16:Q16"/>
    <mergeCell ref="D17:E17"/>
    <mergeCell ref="O18:P18"/>
    <mergeCell ref="I18:L18"/>
    <mergeCell ref="C19:E19"/>
    <mergeCell ref="H21:J21"/>
    <mergeCell ref="D23:G23"/>
    <mergeCell ref="D18:E18"/>
    <mergeCell ref="O20:Q20"/>
    <mergeCell ref="O66:Q66"/>
    <mergeCell ref="C40:G40"/>
    <mergeCell ref="F32:G32"/>
    <mergeCell ref="F36:G36"/>
    <mergeCell ref="F37:G37"/>
    <mergeCell ref="C44:Q44"/>
    <mergeCell ref="O64:P64"/>
    <mergeCell ref="D43:G43"/>
    <mergeCell ref="J43:N43"/>
    <mergeCell ref="L42:N42"/>
    <mergeCell ref="C37:D37"/>
    <mergeCell ref="H38:I42"/>
    <mergeCell ref="L41:N41"/>
    <mergeCell ref="L54:M54"/>
    <mergeCell ref="L39:N39"/>
    <mergeCell ref="L40:N40"/>
    <mergeCell ref="J38:K41"/>
    <mergeCell ref="E9:H9"/>
    <mergeCell ref="N11:P11"/>
    <mergeCell ref="J10:K10"/>
    <mergeCell ref="L10:M10"/>
    <mergeCell ref="D16:E16"/>
    <mergeCell ref="K16:L16"/>
    <mergeCell ref="K13:N13"/>
    <mergeCell ref="G16:J16"/>
    <mergeCell ref="C12:C15"/>
    <mergeCell ref="K14:N14"/>
    <mergeCell ref="K15:N15"/>
    <mergeCell ref="D41:G41"/>
    <mergeCell ref="D42:G42"/>
    <mergeCell ref="J42:K42"/>
    <mergeCell ref="C38:G39"/>
    <mergeCell ref="H43:I43"/>
    <mergeCell ref="H32:L32"/>
    <mergeCell ref="F34:G34"/>
    <mergeCell ref="B22:Q22"/>
    <mergeCell ref="H34:L34"/>
    <mergeCell ref="N35:N36"/>
    <mergeCell ref="F35:G35"/>
    <mergeCell ref="O30:O43"/>
    <mergeCell ref="H35:L36"/>
    <mergeCell ref="M35:M36"/>
    <mergeCell ref="H37:L37"/>
    <mergeCell ref="B40:B44"/>
    <mergeCell ref="F30:G30"/>
    <mergeCell ref="F29:G29"/>
    <mergeCell ref="H31:L31"/>
    <mergeCell ref="H33:L33"/>
    <mergeCell ref="B29:B37"/>
    <mergeCell ref="H30:L30"/>
    <mergeCell ref="K24:M24"/>
    <mergeCell ref="P30:Q30"/>
    <mergeCell ref="AN96:AO96"/>
    <mergeCell ref="S11:S12"/>
    <mergeCell ref="T11:U12"/>
    <mergeCell ref="U13:U20"/>
    <mergeCell ref="S21:U22"/>
    <mergeCell ref="S24:T25"/>
    <mergeCell ref="S27:T27"/>
    <mergeCell ref="S28:T28"/>
    <mergeCell ref="S29:U30"/>
    <mergeCell ref="AO51:AO55"/>
    <mergeCell ref="AO43:AO45"/>
    <mergeCell ref="AN95:AO95"/>
    <mergeCell ref="L21:M21"/>
    <mergeCell ref="J23:L23"/>
    <mergeCell ref="F21:G21"/>
    <mergeCell ref="D24:I24"/>
    <mergeCell ref="I19:J19"/>
    <mergeCell ref="M19:P19"/>
    <mergeCell ref="H20:I20"/>
    <mergeCell ref="B25:B27"/>
    <mergeCell ref="C25:P25"/>
    <mergeCell ref="E26:G26"/>
    <mergeCell ref="H26:I26"/>
    <mergeCell ref="J26:N26"/>
    <mergeCell ref="O26:P26"/>
    <mergeCell ref="E27:G27"/>
    <mergeCell ref="O24:Q24"/>
    <mergeCell ref="F31:G31"/>
    <mergeCell ref="H29:M29"/>
    <mergeCell ref="C29:E29"/>
    <mergeCell ref="O29:Q29"/>
    <mergeCell ref="H27:I27"/>
    <mergeCell ref="J27:N27"/>
    <mergeCell ref="O27:P27"/>
    <mergeCell ref="Q25:Q27"/>
    <mergeCell ref="C26:D26"/>
    <mergeCell ref="C27:D27"/>
  </mergeCells>
  <phoneticPr fontId="1" type="noConversion"/>
  <dataValidations count="2">
    <dataValidation type="list" allowBlank="1" showInputMessage="1" showErrorMessage="1" sqref="D4">
      <formula1>$AE$36:$AE$38</formula1>
    </dataValidation>
    <dataValidation type="list" allowBlank="1" showInputMessage="1" showErrorMessage="1" sqref="P4:Q4">
      <formula1>$I$55:$I$56</formula1>
    </dataValidation>
  </dataValidations>
  <hyperlinks>
    <hyperlink ref="C44" r:id="rId3" display="www.putta.in "/>
    <hyperlink ref="H38" r:id="rId4" display="www.putta.in"/>
    <hyperlink ref="C38" r:id="rId5" display="www.putta.in  "/>
    <hyperlink ref="O29" r:id="rId6"/>
    <hyperlink ref="L41" r:id="rId7"/>
    <hyperlink ref="K6" r:id="rId8"/>
  </hyperlinks>
  <pageMargins left="0.7" right="0.7" top="0.75" bottom="0.75" header="0.3" footer="0.3"/>
  <pageSetup paperSize="5" orientation="portrait" horizontalDpi="180" verticalDpi="180" r:id="rId9"/>
  <headerFooter alignWithMargins="0"/>
  <drawing r:id="rId10"/>
  <legacyDrawing r:id="rId11"/>
</worksheet>
</file>

<file path=xl/worksheets/sheet3.xml><?xml version="1.0" encoding="utf-8"?>
<worksheet xmlns="http://schemas.openxmlformats.org/spreadsheetml/2006/main" xmlns:r="http://schemas.openxmlformats.org/officeDocument/2006/relationships">
  <sheetPr codeName="Sheet3"/>
  <dimension ref="A1:IU474"/>
  <sheetViews>
    <sheetView showGridLines="0" showRowColHeaders="0" topLeftCell="A2" workbookViewId="0">
      <selection activeCell="D17" sqref="D17"/>
    </sheetView>
  </sheetViews>
  <sheetFormatPr defaultColWidth="0" defaultRowHeight="13.5" customHeight="1" zeroHeight="1"/>
  <cols>
    <col min="1" max="1" width="1.28515625" style="393" customWidth="1"/>
    <col min="2" max="2" width="5" style="393" customWidth="1"/>
    <col min="3" max="3" width="9.42578125" style="393" customWidth="1"/>
    <col min="4" max="4" width="8.5703125" style="397" customWidth="1"/>
    <col min="5" max="5" width="7.7109375" style="397" customWidth="1"/>
    <col min="6" max="6" width="7.28515625" style="397" customWidth="1"/>
    <col min="7" max="7" width="6.42578125" style="397" customWidth="1"/>
    <col min="8" max="8" width="5.42578125" style="397" customWidth="1"/>
    <col min="9" max="9" width="5.7109375" style="397" customWidth="1"/>
    <col min="10" max="10" width="5.85546875" style="397" customWidth="1"/>
    <col min="11" max="11" width="7.42578125" style="397" customWidth="1"/>
    <col min="12" max="12" width="5.42578125" style="397" customWidth="1"/>
    <col min="13" max="13" width="6.28515625" style="397" customWidth="1"/>
    <col min="14" max="14" width="7.42578125" style="397" customWidth="1"/>
    <col min="15" max="15" width="8.5703125" style="397" customWidth="1"/>
    <col min="16" max="16" width="8.140625" style="397" customWidth="1"/>
    <col min="17" max="17" width="6.28515625" style="397" customWidth="1"/>
    <col min="18" max="18" width="4.85546875" style="397" customWidth="1"/>
    <col min="19" max="19" width="4.7109375" style="397" customWidth="1"/>
    <col min="20" max="20" width="6.42578125" style="397" customWidth="1"/>
    <col min="21" max="21" width="7" style="397" customWidth="1"/>
    <col min="22" max="22" width="5.140625" style="397" customWidth="1"/>
    <col min="23" max="23" width="6.140625" style="397" customWidth="1"/>
    <col min="24" max="24" width="9" style="397" customWidth="1"/>
    <col min="25" max="25" width="1.5703125" style="393" customWidth="1"/>
    <col min="26" max="255" width="9.140625" style="393" hidden="1" customWidth="1"/>
    <col min="256" max="16384" width="2" style="393" hidden="1"/>
  </cols>
  <sheetData>
    <row r="1" spans="2:25" ht="15.75">
      <c r="B1" s="1128" t="str">
        <f>DATA!AI68</f>
        <v>Statement Showing the Salary Particulars of : Sri. S.KARUNAKAR, S.A., ZPGHS SHANKARAMPET A, Mandal : SHANKARAMPET A., MEDAK</v>
      </c>
      <c r="C1" s="1128"/>
      <c r="D1" s="1128"/>
      <c r="E1" s="1128"/>
      <c r="F1" s="1128"/>
      <c r="G1" s="1128"/>
      <c r="H1" s="1128"/>
      <c r="I1" s="1128"/>
      <c r="J1" s="1128"/>
      <c r="K1" s="1128"/>
      <c r="L1" s="1128"/>
      <c r="M1" s="1128"/>
      <c r="N1" s="1128"/>
      <c r="O1" s="1128"/>
      <c r="P1" s="1128"/>
      <c r="Q1" s="1128"/>
      <c r="R1" s="1128"/>
      <c r="S1" s="1128"/>
      <c r="T1" s="1128"/>
      <c r="U1" s="1128"/>
      <c r="V1" s="1128"/>
      <c r="W1" s="1128"/>
      <c r="X1" s="1128"/>
    </row>
    <row r="2" spans="2:25" ht="2.25" customHeight="1">
      <c r="B2" s="394"/>
      <c r="C2" s="394"/>
      <c r="D2" s="395"/>
      <c r="E2" s="395"/>
      <c r="F2" s="395"/>
      <c r="G2" s="395"/>
      <c r="H2" s="395"/>
      <c r="I2" s="395"/>
      <c r="J2" s="395"/>
      <c r="K2" s="395"/>
      <c r="L2" s="395"/>
      <c r="M2" s="395"/>
      <c r="N2" s="395"/>
      <c r="O2" s="395"/>
      <c r="P2" s="395"/>
      <c r="Q2" s="395"/>
      <c r="R2" s="395"/>
      <c r="S2" s="395"/>
      <c r="T2" s="395"/>
      <c r="U2" s="395"/>
      <c r="V2" s="395"/>
      <c r="W2" s="395"/>
      <c r="X2" s="395"/>
    </row>
    <row r="3" spans="2:25" s="396" customFormat="1" ht="36" customHeight="1">
      <c r="B3" s="759" t="s">
        <v>0</v>
      </c>
      <c r="C3" s="636" t="s">
        <v>1</v>
      </c>
      <c r="D3" s="636" t="s">
        <v>2</v>
      </c>
      <c r="E3" s="636" t="s">
        <v>3</v>
      </c>
      <c r="F3" s="636" t="s">
        <v>4</v>
      </c>
      <c r="G3" s="636" t="s">
        <v>495</v>
      </c>
      <c r="H3" s="636" t="s">
        <v>5</v>
      </c>
      <c r="I3" s="760" t="s">
        <v>561</v>
      </c>
      <c r="J3" s="636" t="s">
        <v>562</v>
      </c>
      <c r="K3" s="636" t="s">
        <v>42</v>
      </c>
      <c r="L3" s="636" t="s">
        <v>170</v>
      </c>
      <c r="M3" s="636" t="s">
        <v>7</v>
      </c>
      <c r="N3" s="638" t="s">
        <v>177</v>
      </c>
      <c r="O3" s="636" t="s">
        <v>166</v>
      </c>
      <c r="P3" s="635" t="str">
        <f>DATA!AE43</f>
        <v>ZP GPF</v>
      </c>
      <c r="Q3" s="636" t="s">
        <v>19</v>
      </c>
      <c r="R3" s="636" t="s">
        <v>10</v>
      </c>
      <c r="S3" s="636" t="s">
        <v>11</v>
      </c>
      <c r="T3" s="636" t="s">
        <v>496</v>
      </c>
      <c r="U3" s="636" t="s">
        <v>165</v>
      </c>
      <c r="V3" s="637" t="s">
        <v>767</v>
      </c>
      <c r="W3" s="637" t="s">
        <v>768</v>
      </c>
      <c r="X3" s="638" t="s">
        <v>167</v>
      </c>
    </row>
    <row r="4" spans="2:25" ht="17.25" customHeight="1">
      <c r="B4" s="79">
        <v>1</v>
      </c>
      <c r="C4" s="435" t="str">
        <f>DATA!AR40</f>
        <v>March,19</v>
      </c>
      <c r="D4" s="436">
        <f>DATA!AS40</f>
        <v>53950</v>
      </c>
      <c r="E4" s="436">
        <f>ROUND(D4*27.248/100,0.1)</f>
        <v>14700</v>
      </c>
      <c r="F4" s="436">
        <f>IF(AND(DATA!D$60&gt;1,DATA!D$60='Annexure -I'!B4),DATA!J$61,IF(AND(DATA!Q50=30,ROUND(D4*DATA!Q50/100,0.1)&gt;20000),20000,IF(AND(DATA!Q50=30,ROUND(D4*DATA!Q50/100,0.1)&lt;=20000),ROUND(D4*DATA!Q50/100,0.1),IF(AND(DATA!Q50&lt;30,ROUND(D4*DATA!Q50/100,0.1)&gt;15000),15000,IF(AND(DATA!Q50&lt;30,ROUND(D4*DATA!Q50/100,0.1)&lt;=15000),ROUND(D4*DATA!Q50/100,0.1))))))</f>
        <v>6474</v>
      </c>
      <c r="G4" s="436">
        <f>DATA!K7</f>
        <v>610</v>
      </c>
      <c r="H4" s="436">
        <f>DATA!AF50</f>
        <v>0</v>
      </c>
      <c r="I4" s="436">
        <f>DATA!M7+DATA!O7</f>
        <v>130</v>
      </c>
      <c r="J4" s="436">
        <v>0</v>
      </c>
      <c r="K4" s="436">
        <v>0</v>
      </c>
      <c r="L4" s="436">
        <f>DATA!S50</f>
        <v>0</v>
      </c>
      <c r="M4" s="437">
        <f>IF(AND(DATA!$AF$69=2),0,IF(AND(ROUND(D4/10,0.1)&lt;2000),(ROUND(D4/10,0.1)),IF(AND(ROUND(D4/10,0.1)&gt;2000),2000)))</f>
        <v>0</v>
      </c>
      <c r="N4" s="437">
        <v>0</v>
      </c>
      <c r="O4" s="436">
        <f>SUM(D4:N4)</f>
        <v>75864</v>
      </c>
      <c r="P4" s="436">
        <f>IF(AND(DATA!$AD$44=3),ROUND('Annexure -I'!D4/10,0.1)+ROUND('Annexure -I'!E4/10,0.1),DATA!T50)</f>
        <v>10000</v>
      </c>
      <c r="Q4" s="436">
        <f>DATA!U50</f>
        <v>350</v>
      </c>
      <c r="R4" s="436">
        <f>DATA!AH32</f>
        <v>60</v>
      </c>
      <c r="S4" s="438">
        <f>IF(AND(DATA!AF69=1),0,IF(AND(O4&gt;5000,O4&lt;=6000),60,IF(AND(O4&gt;6000,O4&lt;=10000),80,IF(AND(O4&gt;10000,O4&lt;=15000),100,IF(AND(O4&gt;15000,O4&lt;=20000),150,IF(AND(O4&gt;20000),200))))))</f>
        <v>200</v>
      </c>
      <c r="T4" s="438">
        <f>DATA!Q31</f>
        <v>0</v>
      </c>
      <c r="U4" s="436">
        <f>DATA!F19</f>
        <v>0</v>
      </c>
      <c r="V4" s="436">
        <f>IF(DATA!I54=1,50,20)</f>
        <v>20</v>
      </c>
      <c r="W4" s="436">
        <f>IF(DATA!AB68=1,ROUND('Annexure -I'!D4/31,0.1),0)</f>
        <v>0</v>
      </c>
      <c r="X4" s="436">
        <f>SUM(P4:W4)</f>
        <v>10630</v>
      </c>
      <c r="Y4" s="397"/>
    </row>
    <row r="5" spans="2:25" ht="17.25" customHeight="1">
      <c r="B5" s="79">
        <v>2</v>
      </c>
      <c r="C5" s="435" t="str">
        <f>DATA!AR41</f>
        <v>April,19</v>
      </c>
      <c r="D5" s="436">
        <f>DATA!AS41</f>
        <v>53950</v>
      </c>
      <c r="E5" s="436">
        <f>ROUND(D5*27.248/100,0.1)</f>
        <v>14700</v>
      </c>
      <c r="F5" s="436">
        <f>IF(AND(DATA!D$60&gt;1,DATA!D$60='Annexure -I'!B5),DATA!J$61,IF(AND(DATA!Q51=30,ROUND(D5*DATA!Q51/100,0.1)&gt;20000),20000,IF(AND(DATA!Q51=30,ROUND(D5*DATA!Q51/100,0.1)&lt;=20000),ROUND(D5*DATA!Q51/100,0.1),IF(AND(DATA!Q51&lt;30,ROUND(D5*DATA!Q51/100,0.1)&gt;15000),15000,IF(AND(DATA!Q51&lt;30,ROUND(D5*DATA!Q51/100,0.1)&lt;=15000),ROUND(D5*DATA!Q51/100,0.1))))))</f>
        <v>6474</v>
      </c>
      <c r="G5" s="436">
        <f>G4</f>
        <v>610</v>
      </c>
      <c r="H5" s="436">
        <f t="shared" ref="H5:H15" si="0">H4</f>
        <v>0</v>
      </c>
      <c r="I5" s="436">
        <f>I4+J4</f>
        <v>130</v>
      </c>
      <c r="J5" s="436">
        <v>0</v>
      </c>
      <c r="K5" s="436">
        <f t="shared" ref="K5:K15" si="1">K4</f>
        <v>0</v>
      </c>
      <c r="L5" s="436">
        <f>DATA!S51</f>
        <v>0</v>
      </c>
      <c r="M5" s="437">
        <f>IF(AND(DATA!$AF$69=2),0,IF(AND(ROUND(D5/10,0.1)&lt;2000),(ROUND(D5/10,0.1)),IF(AND(ROUND(D5/10,0.1)&gt;2000),2000)))</f>
        <v>0</v>
      </c>
      <c r="N5" s="437">
        <v>0</v>
      </c>
      <c r="O5" s="436">
        <f>SUM(D5:N5)</f>
        <v>75864</v>
      </c>
      <c r="P5" s="436">
        <f>IF(AND(DATA!$AD$44=3),ROUND('Annexure -I'!D5/10,0.1)+ROUND('Annexure -I'!E5/10,0.1),DATA!T51)</f>
        <v>10000</v>
      </c>
      <c r="Q5" s="436">
        <f>DATA!U51</f>
        <v>350</v>
      </c>
      <c r="R5" s="436">
        <f t="shared" ref="R5:R15" si="2">R4</f>
        <v>60</v>
      </c>
      <c r="S5" s="438">
        <f>IF(AND(DATA!AF69=1),0,IF(AND(O5&gt;5000,O5&lt;=6000),60,IF(AND(O5&gt;6000,O5&lt;=10000),80,IF(AND(O5&gt;10000,O5&lt;=15000),100,IF(AND(O5&gt;15000,O5&lt;=20000),150,IF(AND(O5&gt;20000),200))))))</f>
        <v>200</v>
      </c>
      <c r="T5" s="438">
        <f>DATA!Q32</f>
        <v>0</v>
      </c>
      <c r="U5" s="436">
        <f t="shared" ref="U5:U15" si="3">U4</f>
        <v>0</v>
      </c>
      <c r="V5" s="436">
        <v>0</v>
      </c>
      <c r="W5" s="436">
        <v>0</v>
      </c>
      <c r="X5" s="436">
        <f t="shared" ref="X5:X22" si="4">SUM(P5:W5)</f>
        <v>10610</v>
      </c>
      <c r="Y5" s="397"/>
    </row>
    <row r="6" spans="2:25" ht="17.25" customHeight="1">
      <c r="B6" s="79">
        <v>3</v>
      </c>
      <c r="C6" s="435" t="str">
        <f>DATA!AR42</f>
        <v>May,19</v>
      </c>
      <c r="D6" s="436">
        <f>DATA!AS42</f>
        <v>53950</v>
      </c>
      <c r="E6" s="436">
        <f>ROUND(D6*27.248/100,0.1)</f>
        <v>14700</v>
      </c>
      <c r="F6" s="436">
        <f>IF(AND(DATA!D$60&gt;1,DATA!D$60='Annexure -I'!B6),DATA!J$61,IF(AND(DATA!Q52=30,ROUND(D6*DATA!Q52/100,0.1)&gt;20000),20000,IF(AND(DATA!Q52=30,ROUND(D6*DATA!Q52/100,0.1)&lt;=20000),ROUND(D6*DATA!Q52/100,0.1),IF(AND(DATA!Q52&lt;30,ROUND(D6*DATA!Q52/100,0.1)&gt;15000),15000,IF(AND(DATA!Q52&lt;30,ROUND(D6*DATA!Q52/100,0.1)&lt;=15000),ROUND(D6*DATA!Q52/100,0.1))))))</f>
        <v>6474</v>
      </c>
      <c r="G6" s="436">
        <f t="shared" ref="G6:G15" si="5">G5</f>
        <v>610</v>
      </c>
      <c r="H6" s="436">
        <f t="shared" si="0"/>
        <v>0</v>
      </c>
      <c r="I6" s="436">
        <f t="shared" ref="I6:I15" si="6">I5+J5</f>
        <v>130</v>
      </c>
      <c r="J6" s="436">
        <v>0</v>
      </c>
      <c r="K6" s="436">
        <f t="shared" si="1"/>
        <v>0</v>
      </c>
      <c r="L6" s="436">
        <f>DATA!S52</f>
        <v>0</v>
      </c>
      <c r="M6" s="437">
        <f>IF(AND(DATA!$AF$69=2),0,IF(AND(ROUND(D6/10,0.1)&lt;2000),(ROUND(D6/10,0.1)),IF(AND(ROUND(D6/10,0.1)&gt;2000),2000)))</f>
        <v>0</v>
      </c>
      <c r="N6" s="437">
        <v>0</v>
      </c>
      <c r="O6" s="436">
        <f>SUM(D6:N6)</f>
        <v>75864</v>
      </c>
      <c r="P6" s="436">
        <f>IF(AND(DATA!$AD$44=3),ROUND('Annexure -I'!D6/10,0.1)+ROUND('Annexure -I'!E6/10,0.1),DATA!T52)</f>
        <v>10000</v>
      </c>
      <c r="Q6" s="436">
        <f>DATA!U52</f>
        <v>350</v>
      </c>
      <c r="R6" s="436">
        <f t="shared" si="2"/>
        <v>60</v>
      </c>
      <c r="S6" s="438">
        <f>IF(AND(DATA!AF69=1),0,IF(AND(O6&gt;5000,O6&lt;=6000),60,IF(AND(O6&gt;6000,O6&lt;=10000),80,IF(AND(O6&gt;10000,O6&lt;=15000),100,IF(AND(O6&gt;15000,O6&lt;=20000),150,IF(AND(O6&gt;20000),200))))))</f>
        <v>200</v>
      </c>
      <c r="T6" s="438">
        <f>DATA!Q33</f>
        <v>0</v>
      </c>
      <c r="U6" s="436">
        <f t="shared" si="3"/>
        <v>0</v>
      </c>
      <c r="V6" s="436">
        <v>0</v>
      </c>
      <c r="W6" s="436">
        <v>0</v>
      </c>
      <c r="X6" s="436">
        <f t="shared" si="4"/>
        <v>10610</v>
      </c>
      <c r="Y6" s="397"/>
    </row>
    <row r="7" spans="2:25" ht="17.25" customHeight="1">
      <c r="B7" s="79">
        <v>4</v>
      </c>
      <c r="C7" s="435" t="str">
        <f>DATA!AR43</f>
        <v>June,19</v>
      </c>
      <c r="D7" s="436">
        <f>DATA!AS43</f>
        <v>53950</v>
      </c>
      <c r="E7" s="436">
        <f>ROUND(D7*30.392/100,0.1)</f>
        <v>16396</v>
      </c>
      <c r="F7" s="436">
        <f>IF(AND(DATA!D$60&gt;1,DATA!D$60='Annexure -I'!B7),DATA!J$61,IF(AND(DATA!Q53=30,ROUND(D7*DATA!Q53/100,0.1)&gt;20000),20000,IF(AND(DATA!Q53=30,ROUND(D7*DATA!Q53/100,0.1)&lt;=20000),ROUND(D7*DATA!Q53/100,0.1),IF(AND(DATA!Q53&lt;30,ROUND(D7*DATA!Q53/100,0.1)&gt;15000),15000,IF(AND(DATA!Q53&lt;30,ROUND(D7*DATA!Q53/100,0.1)&lt;=15000),ROUND(D7*DATA!Q53/100,0.1))))))</f>
        <v>6474</v>
      </c>
      <c r="G7" s="436">
        <f t="shared" si="5"/>
        <v>610</v>
      </c>
      <c r="H7" s="436">
        <f t="shared" si="0"/>
        <v>0</v>
      </c>
      <c r="I7" s="436">
        <f t="shared" si="6"/>
        <v>130</v>
      </c>
      <c r="J7" s="436">
        <v>0</v>
      </c>
      <c r="K7" s="436">
        <f t="shared" si="1"/>
        <v>0</v>
      </c>
      <c r="L7" s="436">
        <f>DATA!S53</f>
        <v>0</v>
      </c>
      <c r="M7" s="437">
        <f>IF(AND(DATA!$AF$69=2),0,IF(AND(ROUND(D7/10,0.1)&lt;2000),(ROUND(D7/10,0.1)),IF(AND(ROUND(D7/10,0.1)&gt;2000),2000)))</f>
        <v>0</v>
      </c>
      <c r="N7" s="437">
        <v>0</v>
      </c>
      <c r="O7" s="436">
        <f>SUM(D7:N7)</f>
        <v>77560</v>
      </c>
      <c r="P7" s="436">
        <f>IF(AND(DATA!$AD$44=3),ROUND('Annexure -I'!D7/10,0.1)+ROUND('Annexure -I'!E7/10,0.1),DATA!T53)</f>
        <v>10000</v>
      </c>
      <c r="Q7" s="436">
        <f>DATA!U53</f>
        <v>350</v>
      </c>
      <c r="R7" s="436">
        <f t="shared" si="2"/>
        <v>60</v>
      </c>
      <c r="S7" s="438">
        <f>IF(AND(DATA!AF69=1),0,IF(AND(O7&gt;5000,O7&lt;=6000),60,IF(AND(O7&gt;6000,O7&lt;=10000),80,IF(AND(O7&gt;10000,O7&lt;=15000),100,IF(AND(O7&gt;15000,O7&lt;=20000),150,IF(AND(O7&gt;20000),200))))))</f>
        <v>200</v>
      </c>
      <c r="T7" s="438">
        <f>DATA!Q34</f>
        <v>0</v>
      </c>
      <c r="U7" s="436">
        <f t="shared" si="3"/>
        <v>0</v>
      </c>
      <c r="V7" s="436">
        <v>0</v>
      </c>
      <c r="W7" s="436">
        <v>0</v>
      </c>
      <c r="X7" s="436">
        <f t="shared" si="4"/>
        <v>10610</v>
      </c>
      <c r="Y7" s="397"/>
    </row>
    <row r="8" spans="2:25" ht="17.25" customHeight="1">
      <c r="B8" s="79">
        <v>5</v>
      </c>
      <c r="C8" s="435" t="str">
        <f>DATA!AR44</f>
        <v>July,19</v>
      </c>
      <c r="D8" s="436">
        <f>DATA!AS44</f>
        <v>53950</v>
      </c>
      <c r="E8" s="436">
        <f t="shared" ref="E8:E11" si="7">ROUND(D8*30.392/100,0.1)</f>
        <v>16396</v>
      </c>
      <c r="F8" s="436">
        <f>IF(AND(DATA!D$60&gt;1,DATA!D$60='Annexure -I'!B8),DATA!J$61,IF(AND(DATA!Q54=30,ROUND(D8*DATA!Q54/100,0.1)&gt;20000),20000,IF(AND(DATA!Q54=30,ROUND(D8*DATA!Q54/100,0.1)&lt;=20000),ROUND(D8*DATA!Q54/100,0.1),IF(AND(DATA!Q54&lt;30,ROUND(D8*DATA!Q54/100,0.1)&gt;15000),15000,IF(AND(DATA!Q54&lt;30,ROUND(D8*DATA!Q54/100,0.1)&lt;=15000),ROUND(D8*DATA!Q54/100,0.1))))))</f>
        <v>6474</v>
      </c>
      <c r="G8" s="436">
        <f t="shared" si="5"/>
        <v>610</v>
      </c>
      <c r="H8" s="436">
        <f t="shared" si="0"/>
        <v>0</v>
      </c>
      <c r="I8" s="436">
        <f t="shared" si="6"/>
        <v>130</v>
      </c>
      <c r="J8" s="436">
        <v>0</v>
      </c>
      <c r="K8" s="436">
        <f t="shared" si="1"/>
        <v>0</v>
      </c>
      <c r="L8" s="436">
        <f>DATA!S54</f>
        <v>0</v>
      </c>
      <c r="M8" s="437">
        <f>IF(AND(DATA!$AF$69=2),0,IF(AND(ROUND(D8/10,0.1)&lt;2000),(ROUND(D8/10,0.1)),IF(AND(ROUND(D8/10,0.1)&gt;2000),2000)))</f>
        <v>0</v>
      </c>
      <c r="N8" s="437">
        <v>0</v>
      </c>
      <c r="O8" s="436">
        <f>SUM(D8:N8)</f>
        <v>77560</v>
      </c>
      <c r="P8" s="436">
        <f>IF(AND(DATA!$AD$44=3),ROUND('Annexure -I'!D8/10,0.1)+ROUND('Annexure -I'!E8/10,0.1),DATA!T54)</f>
        <v>10000</v>
      </c>
      <c r="Q8" s="436">
        <f>DATA!U54</f>
        <v>350</v>
      </c>
      <c r="R8" s="436">
        <f t="shared" si="2"/>
        <v>60</v>
      </c>
      <c r="S8" s="438">
        <f>IF(AND(DATA!AF69=1),0,IF(AND(O8&gt;5000,O8&lt;=6000),60,IF(AND(O8&gt;6000,O8&lt;=10000),80,IF(AND(O8&gt;10000,O8&lt;=15000),100,IF(AND(O8&gt;15000,O8&lt;=20000),150,IF(AND(O8&gt;20000),200))))))</f>
        <v>200</v>
      </c>
      <c r="T8" s="438">
        <f>DATA!Q35</f>
        <v>0</v>
      </c>
      <c r="U8" s="436">
        <f t="shared" si="3"/>
        <v>0</v>
      </c>
      <c r="V8" s="436">
        <v>0</v>
      </c>
      <c r="W8" s="436">
        <v>0</v>
      </c>
      <c r="X8" s="436">
        <f t="shared" si="4"/>
        <v>10610</v>
      </c>
      <c r="Y8" s="397"/>
    </row>
    <row r="9" spans="2:25" ht="17.25" customHeight="1">
      <c r="B9" s="79">
        <v>6</v>
      </c>
      <c r="C9" s="435" t="str">
        <f>DATA!AR45</f>
        <v>Aug,19</v>
      </c>
      <c r="D9" s="436">
        <f>DATA!AS45</f>
        <v>53950</v>
      </c>
      <c r="E9" s="436">
        <f t="shared" si="7"/>
        <v>16396</v>
      </c>
      <c r="F9" s="436">
        <f>IF(AND(DATA!D$60&gt;1,DATA!D$60='Annexure -I'!B9),DATA!J$61,IF(AND(DATA!Q55=30,ROUND(D9*DATA!Q55/100,0.1)&gt;20000),20000,IF(AND(DATA!Q55=30,ROUND(D9*DATA!Q55/100,0.1)&lt;=20000),ROUND(D9*DATA!Q55/100,0.1),IF(AND(DATA!Q55&lt;30,ROUND(D9*DATA!Q55/100,0.1)&gt;15000),15000,IF(AND(DATA!Q55&lt;30,ROUND(D9*DATA!Q55/100,0.1)&lt;=15000),ROUND(D9*DATA!Q55/100,0.1))))))</f>
        <v>6474</v>
      </c>
      <c r="G9" s="436">
        <f t="shared" si="5"/>
        <v>610</v>
      </c>
      <c r="H9" s="436">
        <f t="shared" si="0"/>
        <v>0</v>
      </c>
      <c r="I9" s="436">
        <f t="shared" si="6"/>
        <v>130</v>
      </c>
      <c r="J9" s="436">
        <v>0</v>
      </c>
      <c r="K9" s="436">
        <f t="shared" si="1"/>
        <v>0</v>
      </c>
      <c r="L9" s="436">
        <f>DATA!S55</f>
        <v>0</v>
      </c>
      <c r="M9" s="437">
        <f>IF(AND(DATA!$AF$69=2),0,IF(AND(ROUND(D9/10,0.1)&lt;2000),(ROUND(D9/10,0.1)),IF(AND(ROUND(D9/10,0.1)&gt;2000),2000)))</f>
        <v>0</v>
      </c>
      <c r="N9" s="437">
        <v>0</v>
      </c>
      <c r="O9" s="436">
        <f t="shared" ref="O9:O22" si="8">SUM(D9:N9)</f>
        <v>77560</v>
      </c>
      <c r="P9" s="436">
        <f>IF(AND(DATA!$AD$44=3),ROUND('Annexure -I'!D9/10,0.1)+ROUND('Annexure -I'!E9/10,0.1),DATA!T55)</f>
        <v>10000</v>
      </c>
      <c r="Q9" s="436">
        <f>DATA!U55</f>
        <v>350</v>
      </c>
      <c r="R9" s="436">
        <f t="shared" si="2"/>
        <v>60</v>
      </c>
      <c r="S9" s="438">
        <f>IF(AND(DATA!AF69=1),0,IF(AND(O9&gt;5000,O9&lt;=6000),60,IF(AND(O9&gt;6000,O9&lt;=10000),80,IF(AND(O9&gt;10000,O9&lt;=15000),100,IF(AND(O9&gt;15000,O9&lt;=20000),150,IF(AND(O9&gt;20000),200))))))</f>
        <v>200</v>
      </c>
      <c r="T9" s="438">
        <f>DATA!Q36</f>
        <v>0</v>
      </c>
      <c r="U9" s="436">
        <f t="shared" si="3"/>
        <v>0</v>
      </c>
      <c r="V9" s="436">
        <v>0</v>
      </c>
      <c r="W9" s="436">
        <v>0</v>
      </c>
      <c r="X9" s="436">
        <f t="shared" si="4"/>
        <v>10610</v>
      </c>
      <c r="Y9" s="397"/>
    </row>
    <row r="10" spans="2:25" ht="17.25" customHeight="1">
      <c r="B10" s="79">
        <v>7</v>
      </c>
      <c r="C10" s="435" t="str">
        <f>DATA!AR46</f>
        <v>Sept,19</v>
      </c>
      <c r="D10" s="436">
        <f>DATA!AS46</f>
        <v>53950</v>
      </c>
      <c r="E10" s="436">
        <f t="shared" si="7"/>
        <v>16396</v>
      </c>
      <c r="F10" s="436">
        <f>IF(AND(DATA!D$60&gt;1,DATA!D$60='Annexure -I'!B10),DATA!J$61,IF(AND(DATA!Q56=30,ROUND(D10*DATA!Q56/100,0.1)&gt;20000),20000,IF(AND(DATA!Q56=30,ROUND(D10*DATA!Q56/100,0.1)&lt;=20000),ROUND(D10*DATA!Q56/100,0.1),IF(AND(DATA!Q56&lt;30,ROUND(D10*DATA!Q56/100,0.1)&gt;15000),15000,IF(AND(DATA!Q56&lt;30,ROUND(D10*DATA!Q56/100,0.1)&lt;=15000),ROUND(D10*DATA!Q56/100,0.1))))))</f>
        <v>6474</v>
      </c>
      <c r="G10" s="436">
        <f t="shared" si="5"/>
        <v>610</v>
      </c>
      <c r="H10" s="436">
        <f t="shared" si="0"/>
        <v>0</v>
      </c>
      <c r="I10" s="436">
        <f t="shared" si="6"/>
        <v>130</v>
      </c>
      <c r="J10" s="436">
        <v>0</v>
      </c>
      <c r="K10" s="436">
        <f t="shared" si="1"/>
        <v>0</v>
      </c>
      <c r="L10" s="436">
        <f>DATA!S56</f>
        <v>0</v>
      </c>
      <c r="M10" s="437">
        <f>IF(AND(DATA!$AF$69=2),0,IF(AND(ROUND(D10/10,0.1)&lt;2000),(ROUND(D10/10,0.1)),IF(AND(ROUND(D10/10,0.1)&gt;2000),2000)))</f>
        <v>0</v>
      </c>
      <c r="N10" s="437">
        <v>0</v>
      </c>
      <c r="O10" s="436">
        <f t="shared" si="8"/>
        <v>77560</v>
      </c>
      <c r="P10" s="436">
        <f>IF(AND(DATA!$AD$44=3),ROUND('Annexure -I'!D10/10,0.1)+ROUND('Annexure -I'!E10/10,0.1),DATA!T56)</f>
        <v>10000</v>
      </c>
      <c r="Q10" s="436">
        <f>DATA!U56</f>
        <v>350</v>
      </c>
      <c r="R10" s="436">
        <f t="shared" si="2"/>
        <v>60</v>
      </c>
      <c r="S10" s="438">
        <f>IF(AND(DATA!AF69=1),0,IF(AND(O10&gt;5000,O10&lt;=6000),60,IF(AND(O10&gt;6000,O10&lt;=10000),80,IF(AND(O10&gt;10000,O10&lt;=15000),100,IF(AND(O10&gt;15000,O10&lt;=20000),150,IF(AND(O10&gt;20000),200))))))</f>
        <v>200</v>
      </c>
      <c r="T10" s="438">
        <f>DATA!Q37</f>
        <v>0</v>
      </c>
      <c r="U10" s="436">
        <f t="shared" si="3"/>
        <v>0</v>
      </c>
      <c r="V10" s="436">
        <v>0</v>
      </c>
      <c r="W10" s="436">
        <v>0</v>
      </c>
      <c r="X10" s="436">
        <f t="shared" si="4"/>
        <v>10610</v>
      </c>
      <c r="Y10" s="397"/>
    </row>
    <row r="11" spans="2:25" ht="17.25" customHeight="1">
      <c r="B11" s="79">
        <v>8</v>
      </c>
      <c r="C11" s="435" t="str">
        <f>DATA!AR47</f>
        <v>Oct,19</v>
      </c>
      <c r="D11" s="436">
        <f>DATA!AS47</f>
        <v>53950</v>
      </c>
      <c r="E11" s="436">
        <f t="shared" si="7"/>
        <v>16396</v>
      </c>
      <c r="F11" s="436">
        <f>IF(AND(DATA!D$60&gt;1,DATA!D$60='Annexure -I'!B11),DATA!J$61,IF(AND(DATA!Q57=30,ROUND(D11*DATA!Q57/100,0.1)&gt;20000),20000,IF(AND(DATA!Q57=30,ROUND(D11*DATA!Q57/100,0.1)&lt;=20000),ROUND(D11*DATA!Q57/100,0.1),IF(AND(DATA!Q57&lt;30,ROUND(D11*DATA!Q57/100,0.1)&gt;15000),15000,IF(AND(DATA!Q57&lt;30,ROUND(D11*DATA!Q57/100,0.1)&lt;=15000),ROUND(D11*DATA!Q57/100,0.1))))))</f>
        <v>6474</v>
      </c>
      <c r="G11" s="436">
        <f t="shared" si="5"/>
        <v>610</v>
      </c>
      <c r="H11" s="436">
        <f t="shared" si="0"/>
        <v>0</v>
      </c>
      <c r="I11" s="436">
        <f t="shared" si="6"/>
        <v>130</v>
      </c>
      <c r="J11" s="436">
        <v>0</v>
      </c>
      <c r="K11" s="436">
        <f t="shared" si="1"/>
        <v>0</v>
      </c>
      <c r="L11" s="436">
        <f>DATA!S57</f>
        <v>0</v>
      </c>
      <c r="M11" s="437">
        <f>IF(AND(DATA!$AF$69=2),0,IF(AND(ROUND(D11/10,0.1)&lt;2000),(ROUND(D11/10,0.1)),IF(AND(ROUND(D11/10,0.1)&gt;2000),2000)))</f>
        <v>0</v>
      </c>
      <c r="N11" s="437">
        <v>0</v>
      </c>
      <c r="O11" s="436">
        <f t="shared" si="8"/>
        <v>77560</v>
      </c>
      <c r="P11" s="436">
        <f>IF(AND(DATA!$AD$44=3),ROUND('Annexure -I'!D11/10,0.1)+ROUND('Annexure -I'!E11/10,0.1),DATA!T57)</f>
        <v>10000</v>
      </c>
      <c r="Q11" s="436">
        <f>DATA!U57</f>
        <v>350</v>
      </c>
      <c r="R11" s="436">
        <f t="shared" si="2"/>
        <v>60</v>
      </c>
      <c r="S11" s="438">
        <f>IF(AND(DATA!AF69=1),0,IF(AND(O11&gt;5000,O11&lt;=6000),60,IF(AND(O11&gt;6000,O11&lt;=10000),80,IF(AND(O11&gt;10000,O11&lt;=15000),100,IF(AND(O11&gt;15000,O11&lt;=20000),150,IF(AND(O11&gt;20000),200))))))</f>
        <v>200</v>
      </c>
      <c r="T11" s="438">
        <f>DATA!Q38</f>
        <v>0</v>
      </c>
      <c r="U11" s="436">
        <f t="shared" si="3"/>
        <v>0</v>
      </c>
      <c r="V11" s="436">
        <v>0</v>
      </c>
      <c r="W11" s="436">
        <v>0</v>
      </c>
      <c r="X11" s="436">
        <f t="shared" si="4"/>
        <v>10610</v>
      </c>
      <c r="Y11" s="397"/>
    </row>
    <row r="12" spans="2:25" ht="17.25" customHeight="1">
      <c r="B12" s="79">
        <v>9</v>
      </c>
      <c r="C12" s="435" t="str">
        <f>DATA!AR48</f>
        <v>Nov,19</v>
      </c>
      <c r="D12" s="436">
        <f>DATA!AS48</f>
        <v>53950</v>
      </c>
      <c r="E12" s="436">
        <f>ROUND(D12*33.536/100,0.1)</f>
        <v>18093</v>
      </c>
      <c r="F12" s="436">
        <f>IF(AND(DATA!D$60&gt;1,DATA!D$60='Annexure -I'!B12),DATA!J$61,IF(AND(DATA!Q58=30,ROUND(D12*DATA!Q58/100,0.1)&gt;20000),20000,IF(AND(DATA!Q58=30,ROUND(D12*DATA!Q58/100,0.1)&lt;=20000),ROUND(D12*DATA!Q58/100,0.1),IF(AND(DATA!Q58&lt;30,ROUND(D12*DATA!Q58/100,0.1)&gt;15000),15000,IF(AND(DATA!Q58&lt;30,ROUND(D12*DATA!Q58/100,0.1)&lt;=15000),ROUND(D12*DATA!Q58/100,0.1))))))</f>
        <v>6474</v>
      </c>
      <c r="G12" s="436">
        <f t="shared" si="5"/>
        <v>610</v>
      </c>
      <c r="H12" s="436">
        <f t="shared" si="0"/>
        <v>0</v>
      </c>
      <c r="I12" s="436">
        <f t="shared" si="6"/>
        <v>130</v>
      </c>
      <c r="J12" s="436">
        <v>0</v>
      </c>
      <c r="K12" s="436">
        <f t="shared" si="1"/>
        <v>0</v>
      </c>
      <c r="L12" s="436">
        <f>DATA!S58</f>
        <v>0</v>
      </c>
      <c r="M12" s="437">
        <f>IF(AND(DATA!$AF$69=2),0,IF(AND(ROUND(D12/10,0.1)&lt;2000),(ROUND(D12/10,0.1)),IF(AND(ROUND(D12/10,0.1)&gt;2000),2000)))</f>
        <v>0</v>
      </c>
      <c r="N12" s="437">
        <v>0</v>
      </c>
      <c r="O12" s="436">
        <f>SUM(D12:N12)</f>
        <v>79257</v>
      </c>
      <c r="P12" s="436">
        <f>IF(AND(DATA!$AD$44=3),ROUND('Annexure -I'!D12/10,0.1)+ROUND('Annexure -I'!E12/10,0.1),DATA!T58)</f>
        <v>10000</v>
      </c>
      <c r="Q12" s="436">
        <f>DATA!U58</f>
        <v>350</v>
      </c>
      <c r="R12" s="436">
        <f t="shared" si="2"/>
        <v>60</v>
      </c>
      <c r="S12" s="438">
        <f>IF(AND(DATA!AF69=1),0,IF(AND(O12&gt;5000,O12&lt;=6000),60,IF(AND(O12&gt;6000,O12&lt;=10000),80,IF(AND(O12&gt;10000,O12&lt;=15000),100,IF(AND(O12&gt;15000,O12&lt;=20000),150,IF(AND(O12&gt;20000),200))))))</f>
        <v>200</v>
      </c>
      <c r="T12" s="438">
        <f>DATA!Q39</f>
        <v>0</v>
      </c>
      <c r="U12" s="436">
        <f t="shared" si="3"/>
        <v>0</v>
      </c>
      <c r="V12" s="436">
        <v>0</v>
      </c>
      <c r="W12" s="436">
        <v>0</v>
      </c>
      <c r="X12" s="436">
        <f t="shared" si="4"/>
        <v>10610</v>
      </c>
      <c r="Y12" s="397"/>
    </row>
    <row r="13" spans="2:25" ht="17.25" customHeight="1">
      <c r="B13" s="79">
        <v>10</v>
      </c>
      <c r="C13" s="435" t="str">
        <f>DATA!AR49</f>
        <v>Dec,19</v>
      </c>
      <c r="D13" s="436">
        <f>DATA!AS49</f>
        <v>55410</v>
      </c>
      <c r="E13" s="436">
        <f t="shared" ref="E13:E15" si="9">ROUND(D13*33.536/100,0.1)</f>
        <v>18582</v>
      </c>
      <c r="F13" s="436">
        <f>IF(AND(DATA!D$60&gt;1,DATA!D$60='Annexure -I'!B13),DATA!J$61,IF(AND(DATA!Q59=30,ROUND(D13*DATA!Q59/100,0.1)&gt;20000),20000,IF(AND(DATA!Q59=30,ROUND(D13*DATA!Q59/100,0.1)&lt;=20000),ROUND(D13*DATA!Q59/100,0.1),IF(AND(DATA!Q59&lt;30,ROUND(D13*DATA!Q59/100,0.1)&gt;15000),15000,IF(AND(DATA!Q59&lt;30,ROUND(D13*DATA!Q59/100,0.1)&lt;=15000),ROUND(D13*DATA!Q59/100,0.1))))))</f>
        <v>6649</v>
      </c>
      <c r="G13" s="436">
        <f t="shared" si="5"/>
        <v>610</v>
      </c>
      <c r="H13" s="436">
        <f t="shared" si="0"/>
        <v>0</v>
      </c>
      <c r="I13" s="436">
        <f t="shared" si="6"/>
        <v>130</v>
      </c>
      <c r="J13" s="436">
        <v>0</v>
      </c>
      <c r="K13" s="436">
        <f t="shared" si="1"/>
        <v>0</v>
      </c>
      <c r="L13" s="436">
        <f>DATA!S59</f>
        <v>0</v>
      </c>
      <c r="M13" s="437">
        <f>IF(AND(DATA!$AF$69=2),0,IF(AND(ROUND(D13/10,0.1)&lt;2000),(ROUND(D13/10,0.1)),IF(AND(ROUND(D13/10,0.1)&gt;2000),2000)))</f>
        <v>0</v>
      </c>
      <c r="N13" s="437">
        <v>0</v>
      </c>
      <c r="O13" s="436">
        <f t="shared" si="8"/>
        <v>81381</v>
      </c>
      <c r="P13" s="436">
        <f>IF(AND(DATA!$AD$44=3),ROUND('Annexure -I'!D13/10,0.1)+ROUND('Annexure -I'!E13/10,0.1),DATA!T59)</f>
        <v>10000</v>
      </c>
      <c r="Q13" s="436">
        <f>DATA!U59</f>
        <v>350</v>
      </c>
      <c r="R13" s="436">
        <f t="shared" si="2"/>
        <v>60</v>
      </c>
      <c r="S13" s="438">
        <f>IF(AND(DATA!AF69=1),0,IF(AND(O13&gt;5000,O13&lt;=6000),60,IF(AND(O13&gt;6000,O13&lt;=10000),80,IF(AND(O13&gt;10000,O13&lt;=15000),100,IF(AND(O13&gt;15000,O13&lt;=20000),150,IF(AND(O13&gt;20000),200))))))</f>
        <v>200</v>
      </c>
      <c r="T13" s="438">
        <f>DATA!Q40</f>
        <v>0</v>
      </c>
      <c r="U13" s="436">
        <f t="shared" si="3"/>
        <v>0</v>
      </c>
      <c r="V13" s="436">
        <f>IF(DATA!I54=1,200,100)</f>
        <v>100</v>
      </c>
      <c r="W13" s="436">
        <v>0</v>
      </c>
      <c r="X13" s="436">
        <f t="shared" si="4"/>
        <v>10710</v>
      </c>
      <c r="Y13" s="397"/>
    </row>
    <row r="14" spans="2:25" ht="17.25" customHeight="1">
      <c r="B14" s="79">
        <v>11</v>
      </c>
      <c r="C14" s="435" t="str">
        <f>DATA!AR50</f>
        <v>Jan,20</v>
      </c>
      <c r="D14" s="436">
        <f>DATA!AS50</f>
        <v>56870</v>
      </c>
      <c r="E14" s="436">
        <f t="shared" si="9"/>
        <v>19072</v>
      </c>
      <c r="F14" s="436">
        <f>IF(AND(DATA!D$60&gt;1,DATA!D$60='Annexure -I'!B14),DATA!J$61,IF(AND(DATA!Q60=30,ROUND(D14*DATA!Q60/100,0.1)&gt;20000),20000,IF(AND(DATA!Q60=30,ROUND(D14*DATA!Q60/100,0.1)&lt;=20000),ROUND(D14*DATA!Q60/100,0.1),IF(AND(DATA!Q60&lt;30,ROUND(D14*DATA!Q60/100,0.1)&gt;15000),15000,IF(AND(DATA!Q60&lt;30,ROUND(D14*DATA!Q60/100,0.1)&lt;=15000),ROUND(D14*DATA!Q60/100,0.1))))))</f>
        <v>6824</v>
      </c>
      <c r="G14" s="436">
        <f t="shared" si="5"/>
        <v>610</v>
      </c>
      <c r="H14" s="436">
        <f t="shared" si="0"/>
        <v>0</v>
      </c>
      <c r="I14" s="436">
        <f t="shared" si="6"/>
        <v>130</v>
      </c>
      <c r="J14" s="436">
        <v>0</v>
      </c>
      <c r="K14" s="436">
        <f t="shared" si="1"/>
        <v>0</v>
      </c>
      <c r="L14" s="436">
        <f>DATA!S60</f>
        <v>0</v>
      </c>
      <c r="M14" s="437">
        <f>IF(AND(DATA!$AF$69=2),0,IF(AND(ROUND(D14/10,0.1)&lt;2000),(ROUND(D14/10,0.1)),IF(AND(ROUND(D14/10,0.1)&gt;2000),2000)))</f>
        <v>0</v>
      </c>
      <c r="N14" s="437">
        <v>0</v>
      </c>
      <c r="O14" s="436">
        <f t="shared" si="8"/>
        <v>83506</v>
      </c>
      <c r="P14" s="436">
        <f>IF(AND(DATA!$AD$44=3),ROUND('Annexure -I'!D14/10,0.1)+ROUND('Annexure -I'!E14/10,0.1),DATA!T60)</f>
        <v>10000</v>
      </c>
      <c r="Q14" s="436">
        <f>DATA!U60</f>
        <v>350</v>
      </c>
      <c r="R14" s="436">
        <v>120</v>
      </c>
      <c r="S14" s="438">
        <f>IF(AND(DATA!AF69=1),0,IF(AND(O14&gt;5000,O14&lt;=6000),60,IF(AND(O14&gt;6000,O14&lt;=10000),80,IF(AND(O14&gt;10000,O14&lt;=15000),100,IF(AND(O14&gt;15000,O14&lt;=20000),150,IF(AND(O14&gt;20000),200))))))</f>
        <v>200</v>
      </c>
      <c r="T14" s="438">
        <f>DATA!Q41</f>
        <v>0</v>
      </c>
      <c r="U14" s="436">
        <f t="shared" si="3"/>
        <v>0</v>
      </c>
      <c r="V14" s="436">
        <v>0</v>
      </c>
      <c r="W14" s="436">
        <v>0</v>
      </c>
      <c r="X14" s="436">
        <f t="shared" si="4"/>
        <v>10670</v>
      </c>
      <c r="Y14" s="397"/>
    </row>
    <row r="15" spans="2:25" ht="17.25" customHeight="1">
      <c r="B15" s="79">
        <v>12</v>
      </c>
      <c r="C15" s="435" t="str">
        <f>DATA!AR51</f>
        <v>Feb,20</v>
      </c>
      <c r="D15" s="436">
        <f>DATA!AS51</f>
        <v>56870</v>
      </c>
      <c r="E15" s="436">
        <f t="shared" si="9"/>
        <v>19072</v>
      </c>
      <c r="F15" s="436">
        <f>IF(AND(DATA!D$60&gt;1,DATA!D$60='Annexure -I'!B15),DATA!J$61,IF(AND(DATA!Q61=30,ROUND(D15*DATA!Q61/100,0.1)&gt;20000),20000,IF(AND(DATA!Q61=30,ROUND(D15*DATA!Q61/100,0.1)&lt;=20000),ROUND(D15*DATA!Q61/100,0.1),IF(AND(DATA!Q61&lt;30,ROUND(D15*DATA!Q61/100,0.1)&gt;15000),15000,IF(AND(DATA!Q61&lt;30,ROUND(D15*DATA!Q61/100,0.1)&lt;=15000),ROUND(D15*DATA!Q61/100,0.1))))))</f>
        <v>6824</v>
      </c>
      <c r="G15" s="436">
        <f t="shared" si="5"/>
        <v>610</v>
      </c>
      <c r="H15" s="436">
        <f t="shared" si="0"/>
        <v>0</v>
      </c>
      <c r="I15" s="436">
        <f t="shared" si="6"/>
        <v>130</v>
      </c>
      <c r="J15" s="436">
        <v>0</v>
      </c>
      <c r="K15" s="436">
        <f t="shared" si="1"/>
        <v>0</v>
      </c>
      <c r="L15" s="436">
        <f>DATA!S61</f>
        <v>0</v>
      </c>
      <c r="M15" s="437">
        <f>IF(AND(DATA!$AF$69=2),0,IF(AND(ROUND(D15/10,0.1)&lt;2000),(ROUND(D15/10,0.1)),IF(AND(ROUND(D15/10,0.1)&gt;2000),2000)))</f>
        <v>0</v>
      </c>
      <c r="N15" s="437">
        <v>0</v>
      </c>
      <c r="O15" s="436">
        <f t="shared" si="8"/>
        <v>83506</v>
      </c>
      <c r="P15" s="436">
        <f>IF(AND(DATA!$AD$44=3),ROUND('Annexure -I'!D15/10,0.1)+ROUND('Annexure -I'!E15/10,0.1),DATA!T61)</f>
        <v>10000</v>
      </c>
      <c r="Q15" s="436">
        <f>DATA!U61</f>
        <v>350</v>
      </c>
      <c r="R15" s="436">
        <f t="shared" si="2"/>
        <v>120</v>
      </c>
      <c r="S15" s="438">
        <f>IF(AND(DATA!AF69=1),0,IF(AND(O15&gt;5000,O15&lt;=6000),60,IF(AND(O15&gt;6000,O15&lt;=10000),80,IF(AND(O15&gt;10000,O15&lt;=15000),100,IF(AND(O15&gt;15000,O15&lt;=20000),150,IF(AND(O15&gt;20000),200))))))</f>
        <v>200</v>
      </c>
      <c r="T15" s="438">
        <f>DATA!Q45</f>
        <v>0</v>
      </c>
      <c r="U15" s="436">
        <f t="shared" si="3"/>
        <v>0</v>
      </c>
      <c r="V15" s="436">
        <v>0</v>
      </c>
      <c r="W15" s="436">
        <v>0</v>
      </c>
      <c r="X15" s="436">
        <f t="shared" si="4"/>
        <v>10670</v>
      </c>
      <c r="Y15" s="397"/>
    </row>
    <row r="16" spans="2:25" ht="28.5" customHeight="1">
      <c r="B16" s="1131" t="str">
        <f>CONCATENATE("Surrender Leave  ",DATA!BN70)</f>
        <v>Surrender Leave  Not Availed</v>
      </c>
      <c r="C16" s="1132"/>
      <c r="D16" s="436">
        <v>0</v>
      </c>
      <c r="E16" s="436">
        <v>0</v>
      </c>
      <c r="F16" s="436">
        <v>0</v>
      </c>
      <c r="G16" s="436">
        <v>0</v>
      </c>
      <c r="H16" s="436">
        <v>0</v>
      </c>
      <c r="I16" s="436">
        <v>0</v>
      </c>
      <c r="J16" s="436">
        <v>0</v>
      </c>
      <c r="K16" s="745">
        <f>DATA!BY98</f>
        <v>0</v>
      </c>
      <c r="L16" s="436">
        <v>0</v>
      </c>
      <c r="M16" s="436">
        <v>0</v>
      </c>
      <c r="N16" s="436">
        <v>0</v>
      </c>
      <c r="O16" s="436">
        <f t="shared" si="8"/>
        <v>0</v>
      </c>
      <c r="P16" s="436">
        <v>0</v>
      </c>
      <c r="Q16" s="436">
        <v>0</v>
      </c>
      <c r="R16" s="436">
        <v>0</v>
      </c>
      <c r="S16" s="436">
        <v>0</v>
      </c>
      <c r="T16" s="436">
        <v>0</v>
      </c>
      <c r="U16" s="436">
        <v>0</v>
      </c>
      <c r="V16" s="436">
        <v>0</v>
      </c>
      <c r="W16" s="436">
        <v>0</v>
      </c>
      <c r="X16" s="436">
        <f t="shared" si="4"/>
        <v>0</v>
      </c>
      <c r="Y16" s="397"/>
    </row>
    <row r="17" spans="2:25" ht="28.5" customHeight="1">
      <c r="B17" s="1133" t="s">
        <v>824</v>
      </c>
      <c r="C17" s="1137"/>
      <c r="D17" s="436">
        <v>0</v>
      </c>
      <c r="E17" s="439">
        <v>18441</v>
      </c>
      <c r="F17" s="436">
        <v>0</v>
      </c>
      <c r="G17" s="436">
        <v>0</v>
      </c>
      <c r="H17" s="436">
        <v>0</v>
      </c>
      <c r="I17" s="436">
        <v>0</v>
      </c>
      <c r="J17" s="436">
        <v>0</v>
      </c>
      <c r="K17" s="436">
        <v>0</v>
      </c>
      <c r="L17" s="436">
        <v>0</v>
      </c>
      <c r="M17" s="436">
        <v>0</v>
      </c>
      <c r="N17" s="436">
        <v>0</v>
      </c>
      <c r="O17" s="436">
        <f t="shared" si="8"/>
        <v>18441</v>
      </c>
      <c r="P17" s="439">
        <f>IF(DATA!$AD$44&lt;3,O17,DATA!Z42)</f>
        <v>18441</v>
      </c>
      <c r="Q17" s="436">
        <v>0</v>
      </c>
      <c r="R17" s="436">
        <v>0</v>
      </c>
      <c r="S17" s="436">
        <v>0</v>
      </c>
      <c r="T17" s="436">
        <v>0</v>
      </c>
      <c r="U17" s="436">
        <v>0</v>
      </c>
      <c r="V17" s="436">
        <v>0</v>
      </c>
      <c r="W17" s="436">
        <v>0</v>
      </c>
      <c r="X17" s="436">
        <f t="shared" si="4"/>
        <v>18441</v>
      </c>
      <c r="Y17" s="397"/>
    </row>
    <row r="18" spans="2:25" ht="28.5" customHeight="1">
      <c r="B18" s="1133" t="s">
        <v>823</v>
      </c>
      <c r="C18" s="1137"/>
      <c r="D18" s="436">
        <v>0</v>
      </c>
      <c r="E18" s="439">
        <f>DATA!AR110</f>
        <v>16970</v>
      </c>
      <c r="F18" s="436">
        <v>0</v>
      </c>
      <c r="G18" s="436">
        <v>0</v>
      </c>
      <c r="H18" s="436">
        <v>0</v>
      </c>
      <c r="I18" s="436">
        <v>0</v>
      </c>
      <c r="J18" s="436">
        <v>0</v>
      </c>
      <c r="K18" s="436">
        <v>0</v>
      </c>
      <c r="L18" s="436">
        <v>0</v>
      </c>
      <c r="M18" s="436">
        <v>0</v>
      </c>
      <c r="N18" s="436">
        <v>0</v>
      </c>
      <c r="O18" s="436">
        <f t="shared" si="8"/>
        <v>16970</v>
      </c>
      <c r="P18" s="439">
        <f>IF(DATA!$AD$44=3,DATA!$AV$110,DATA!$AR$110)</f>
        <v>16970</v>
      </c>
      <c r="Q18" s="436">
        <v>0</v>
      </c>
      <c r="R18" s="436">
        <v>0</v>
      </c>
      <c r="S18" s="436">
        <v>0</v>
      </c>
      <c r="T18" s="436">
        <v>0</v>
      </c>
      <c r="U18" s="436">
        <v>0</v>
      </c>
      <c r="V18" s="436">
        <v>0</v>
      </c>
      <c r="W18" s="436">
        <v>0</v>
      </c>
      <c r="X18" s="436">
        <f t="shared" si="4"/>
        <v>16970</v>
      </c>
      <c r="Y18" s="397"/>
    </row>
    <row r="19" spans="2:25" ht="24.75" customHeight="1">
      <c r="B19" s="1133" t="str">
        <f>DATA!D124</f>
        <v>AAS  Arrears                                           19-31/12/2019</v>
      </c>
      <c r="C19" s="1134"/>
      <c r="D19" s="440">
        <f>DATA!G127</f>
        <v>613</v>
      </c>
      <c r="E19" s="440">
        <f>DATA!H127</f>
        <v>206</v>
      </c>
      <c r="F19" s="440">
        <f>DATA!I127</f>
        <v>74</v>
      </c>
      <c r="G19" s="440">
        <v>0</v>
      </c>
      <c r="H19" s="436">
        <v>0</v>
      </c>
      <c r="I19" s="436">
        <v>0</v>
      </c>
      <c r="J19" s="436">
        <v>0</v>
      </c>
      <c r="K19" s="436">
        <v>0</v>
      </c>
      <c r="L19" s="436">
        <v>0</v>
      </c>
      <c r="M19" s="436">
        <v>0</v>
      </c>
      <c r="N19" s="436">
        <v>0</v>
      </c>
      <c r="O19" s="436">
        <f t="shared" si="8"/>
        <v>893</v>
      </c>
      <c r="P19" s="439">
        <f>IF(DATA!$AD$44=3,DATA!I128,0)</f>
        <v>0</v>
      </c>
      <c r="Q19" s="436">
        <v>0</v>
      </c>
      <c r="R19" s="436">
        <v>0</v>
      </c>
      <c r="S19" s="436">
        <v>0</v>
      </c>
      <c r="T19" s="436">
        <v>0</v>
      </c>
      <c r="U19" s="436">
        <v>0</v>
      </c>
      <c r="V19" s="436">
        <v>0</v>
      </c>
      <c r="W19" s="436">
        <v>0</v>
      </c>
      <c r="X19" s="436">
        <f t="shared" si="4"/>
        <v>0</v>
      </c>
      <c r="Y19" s="397"/>
    </row>
    <row r="20" spans="2:25" ht="24.75" customHeight="1">
      <c r="B20" s="1133" t="str">
        <f>DATA!D132</f>
        <v xml:space="preserve">No Promotion </v>
      </c>
      <c r="C20" s="1134"/>
      <c r="D20" s="440">
        <f>DATA!G135</f>
        <v>0</v>
      </c>
      <c r="E20" s="440">
        <f>DATA!H135</f>
        <v>0</v>
      </c>
      <c r="F20" s="440">
        <f>DATA!I135</f>
        <v>0</v>
      </c>
      <c r="G20" s="440">
        <v>0</v>
      </c>
      <c r="H20" s="436">
        <v>0</v>
      </c>
      <c r="I20" s="436">
        <v>0</v>
      </c>
      <c r="J20" s="436">
        <v>0</v>
      </c>
      <c r="K20" s="436">
        <v>0</v>
      </c>
      <c r="L20" s="436">
        <v>0</v>
      </c>
      <c r="M20" s="436">
        <v>0</v>
      </c>
      <c r="N20" s="436">
        <v>0</v>
      </c>
      <c r="O20" s="436">
        <f t="shared" si="8"/>
        <v>0</v>
      </c>
      <c r="P20" s="439">
        <f>IF(DATA!$AD$44=3,DATA!I136,0)</f>
        <v>0</v>
      </c>
      <c r="Q20" s="436">
        <v>0</v>
      </c>
      <c r="R20" s="436">
        <v>0</v>
      </c>
      <c r="S20" s="436">
        <v>0</v>
      </c>
      <c r="T20" s="436">
        <v>0</v>
      </c>
      <c r="U20" s="436">
        <v>0</v>
      </c>
      <c r="V20" s="436">
        <v>0</v>
      </c>
      <c r="W20" s="436">
        <v>0</v>
      </c>
      <c r="X20" s="436">
        <f t="shared" si="4"/>
        <v>0</v>
      </c>
      <c r="Y20" s="397"/>
    </row>
    <row r="21" spans="2:25" ht="24.75" customHeight="1">
      <c r="B21" s="1131" t="s">
        <v>520</v>
      </c>
      <c r="C21" s="1132"/>
      <c r="D21" s="440">
        <f>DATA!Q11</f>
        <v>0</v>
      </c>
      <c r="E21" s="439">
        <v>0</v>
      </c>
      <c r="F21" s="436">
        <v>0</v>
      </c>
      <c r="G21" s="436">
        <v>0</v>
      </c>
      <c r="H21" s="436">
        <v>0</v>
      </c>
      <c r="I21" s="436">
        <v>0</v>
      </c>
      <c r="J21" s="436">
        <v>0</v>
      </c>
      <c r="K21" s="436">
        <v>0</v>
      </c>
      <c r="L21" s="436">
        <v>0</v>
      </c>
      <c r="M21" s="436">
        <v>0</v>
      </c>
      <c r="N21" s="436">
        <v>0</v>
      </c>
      <c r="O21" s="436">
        <f t="shared" si="8"/>
        <v>0</v>
      </c>
      <c r="P21" s="439">
        <v>0</v>
      </c>
      <c r="Q21" s="436">
        <v>0</v>
      </c>
      <c r="R21" s="436">
        <v>0</v>
      </c>
      <c r="S21" s="436">
        <v>0</v>
      </c>
      <c r="T21" s="436">
        <v>0</v>
      </c>
      <c r="U21" s="436">
        <v>0</v>
      </c>
      <c r="V21" s="436">
        <v>0</v>
      </c>
      <c r="W21" s="436">
        <v>0</v>
      </c>
      <c r="X21" s="436">
        <f t="shared" si="4"/>
        <v>0</v>
      </c>
      <c r="Y21" s="397"/>
    </row>
    <row r="22" spans="2:25" ht="24.75" customHeight="1">
      <c r="B22" s="1135" t="s">
        <v>177</v>
      </c>
      <c r="C22" s="1136"/>
      <c r="D22" s="441">
        <f>DATA!E12</f>
        <v>0</v>
      </c>
      <c r="E22" s="439">
        <f>DATA!E13</f>
        <v>0</v>
      </c>
      <c r="F22" s="436">
        <f>DATA!E14</f>
        <v>0</v>
      </c>
      <c r="G22" s="436">
        <v>0</v>
      </c>
      <c r="H22" s="436">
        <v>0</v>
      </c>
      <c r="I22" s="436">
        <v>0</v>
      </c>
      <c r="J22" s="436">
        <v>0</v>
      </c>
      <c r="K22" s="436">
        <f>DATA!E15</f>
        <v>0</v>
      </c>
      <c r="L22" s="436">
        <v>0</v>
      </c>
      <c r="M22" s="436">
        <v>0</v>
      </c>
      <c r="N22" s="436">
        <v>0</v>
      </c>
      <c r="O22" s="436">
        <f t="shared" si="8"/>
        <v>0</v>
      </c>
      <c r="P22" s="439">
        <f>DATA!J12</f>
        <v>0</v>
      </c>
      <c r="Q22" s="436">
        <v>0</v>
      </c>
      <c r="R22" s="436">
        <v>0</v>
      </c>
      <c r="S22" s="436">
        <v>0</v>
      </c>
      <c r="T22" s="436">
        <v>0</v>
      </c>
      <c r="U22" s="436">
        <v>0</v>
      </c>
      <c r="V22" s="436">
        <v>0</v>
      </c>
      <c r="W22" s="436">
        <v>0</v>
      </c>
      <c r="X22" s="436">
        <f t="shared" si="4"/>
        <v>0</v>
      </c>
      <c r="Y22" s="397"/>
    </row>
    <row r="23" spans="2:25" ht="33.75" customHeight="1">
      <c r="B23" s="1129" t="s">
        <v>8</v>
      </c>
      <c r="C23" s="1130"/>
      <c r="D23" s="757">
        <f t="shared" ref="D23:X23" si="10">SUM(D4:D22)</f>
        <v>655313</v>
      </c>
      <c r="E23" s="757">
        <f t="shared" si="10"/>
        <v>236516</v>
      </c>
      <c r="F23" s="757">
        <f t="shared" si="10"/>
        <v>78637</v>
      </c>
      <c r="G23" s="757">
        <f t="shared" si="10"/>
        <v>7320</v>
      </c>
      <c r="H23" s="757">
        <f t="shared" si="10"/>
        <v>0</v>
      </c>
      <c r="I23" s="757">
        <f t="shared" si="10"/>
        <v>1560</v>
      </c>
      <c r="J23" s="757">
        <f t="shared" si="10"/>
        <v>0</v>
      </c>
      <c r="K23" s="757">
        <f t="shared" si="10"/>
        <v>0</v>
      </c>
      <c r="L23" s="757">
        <f t="shared" si="10"/>
        <v>0</v>
      </c>
      <c r="M23" s="758">
        <f t="shared" si="10"/>
        <v>0</v>
      </c>
      <c r="N23" s="758">
        <f>SUM(N4:N22)</f>
        <v>0</v>
      </c>
      <c r="O23" s="758">
        <f>SUM(O4:O22)</f>
        <v>979346</v>
      </c>
      <c r="P23" s="758">
        <f t="shared" si="10"/>
        <v>155411</v>
      </c>
      <c r="Q23" s="758">
        <f t="shared" si="10"/>
        <v>4200</v>
      </c>
      <c r="R23" s="758">
        <f t="shared" si="10"/>
        <v>840</v>
      </c>
      <c r="S23" s="758">
        <f t="shared" si="10"/>
        <v>2400</v>
      </c>
      <c r="T23" s="758">
        <f t="shared" si="10"/>
        <v>0</v>
      </c>
      <c r="U23" s="758">
        <f t="shared" si="10"/>
        <v>0</v>
      </c>
      <c r="V23" s="758">
        <f t="shared" si="10"/>
        <v>120</v>
      </c>
      <c r="W23" s="758">
        <f t="shared" si="10"/>
        <v>0</v>
      </c>
      <c r="X23" s="758">
        <f t="shared" si="10"/>
        <v>162971</v>
      </c>
      <c r="Y23" s="397"/>
    </row>
    <row r="24" spans="2:25" ht="19.5" customHeight="1">
      <c r="B24" s="398"/>
      <c r="C24" s="398"/>
      <c r="D24" s="398"/>
      <c r="E24" s="398"/>
      <c r="F24" s="398"/>
      <c r="G24" s="398"/>
      <c r="H24" s="398"/>
      <c r="I24" s="398"/>
      <c r="J24" s="398"/>
      <c r="K24" s="398"/>
      <c r="L24" s="398"/>
      <c r="M24" s="399"/>
      <c r="N24" s="399"/>
      <c r="O24" s="399"/>
      <c r="P24" s="399"/>
      <c r="Q24" s="399"/>
      <c r="R24" s="399"/>
      <c r="S24" s="399"/>
      <c r="T24" s="399"/>
      <c r="U24" s="399"/>
      <c r="V24" s="399"/>
      <c r="W24" s="399"/>
      <c r="X24" s="399"/>
      <c r="Y24" s="397"/>
    </row>
    <row r="25" spans="2:25" ht="19.5" customHeight="1">
      <c r="B25" s="398"/>
      <c r="C25" s="398"/>
      <c r="D25" s="398"/>
      <c r="E25" s="398"/>
      <c r="F25" s="398"/>
      <c r="G25" s="398"/>
      <c r="H25" s="398"/>
      <c r="I25" s="398"/>
      <c r="J25" s="398"/>
      <c r="K25" s="398"/>
      <c r="L25" s="398"/>
      <c r="M25" s="399"/>
      <c r="N25" s="399"/>
      <c r="O25" s="399"/>
      <c r="P25" s="399"/>
      <c r="Q25" s="399"/>
      <c r="R25" s="399"/>
      <c r="S25" s="399"/>
      <c r="T25" s="399"/>
      <c r="U25" s="399"/>
      <c r="V25" s="399"/>
      <c r="W25" s="399"/>
      <c r="X25" s="399"/>
      <c r="Y25" s="397"/>
    </row>
    <row r="26" spans="2:25" ht="21.75" customHeight="1">
      <c r="B26" s="394"/>
      <c r="C26" s="394"/>
      <c r="D26" s="395"/>
      <c r="E26" s="395"/>
      <c r="F26" s="395"/>
      <c r="G26" s="395"/>
      <c r="H26" s="395"/>
      <c r="I26" s="395"/>
      <c r="J26" s="395"/>
      <c r="K26" s="395"/>
      <c r="L26" s="395"/>
      <c r="M26" s="395"/>
      <c r="N26" s="395"/>
      <c r="O26" s="395"/>
      <c r="P26" s="395"/>
      <c r="Q26" s="395"/>
      <c r="R26" s="395"/>
      <c r="S26" s="395"/>
      <c r="T26" s="395"/>
      <c r="U26" s="395"/>
      <c r="V26" s="395"/>
      <c r="W26" s="395"/>
      <c r="X26" s="395"/>
    </row>
    <row r="27" spans="2:25" s="404" customFormat="1" ht="16.5" customHeight="1">
      <c r="B27" s="400"/>
      <c r="C27" s="400"/>
      <c r="D27" s="401" t="s">
        <v>22</v>
      </c>
      <c r="E27" s="401"/>
      <c r="F27" s="401"/>
      <c r="G27" s="401"/>
      <c r="H27" s="401"/>
      <c r="I27" s="401"/>
      <c r="J27" s="401"/>
      <c r="K27" s="401"/>
      <c r="L27" s="401"/>
      <c r="M27" s="401"/>
      <c r="N27" s="401"/>
      <c r="O27" s="401"/>
      <c r="P27" s="401"/>
      <c r="Q27" s="401"/>
      <c r="R27" s="401"/>
      <c r="S27" s="401"/>
      <c r="T27" s="402" t="s">
        <v>168</v>
      </c>
      <c r="U27" s="402"/>
      <c r="V27" s="402"/>
      <c r="W27" s="746"/>
      <c r="X27" s="403"/>
    </row>
    <row r="28" spans="2:25" s="405" customFormat="1" ht="18.75" customHeight="1">
      <c r="B28" s="1127" t="str">
        <f>'Annexure -II'!B76</f>
        <v xml:space="preserve">Progrmme developed by www.putta.in (Putta Srinivas Reddy 98490 25860) </v>
      </c>
      <c r="C28" s="1127"/>
      <c r="D28" s="1127"/>
      <c r="E28" s="1127"/>
      <c r="F28" s="1127"/>
      <c r="G28" s="1127"/>
      <c r="H28" s="1127"/>
      <c r="I28" s="1127"/>
      <c r="J28" s="1127"/>
      <c r="K28" s="1127"/>
      <c r="L28" s="1127"/>
      <c r="M28" s="1127"/>
      <c r="N28" s="1127"/>
      <c r="O28" s="1127"/>
      <c r="P28" s="1127"/>
      <c r="Q28" s="1127"/>
      <c r="R28" s="1127"/>
      <c r="S28" s="1127"/>
      <c r="T28" s="1127"/>
      <c r="U28" s="1127"/>
      <c r="V28" s="1127"/>
      <c r="W28" s="1127"/>
      <c r="X28" s="1127"/>
    </row>
    <row r="29" spans="2:25" ht="13.5" hidden="1" customHeight="1"/>
    <row r="30" spans="2:25" hidden="1"/>
    <row r="31" spans="2:25" hidden="1"/>
    <row r="32" spans="2:25"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t="13.5" customHeight="1"/>
    <row r="474" ht="13.5" customHeight="1"/>
  </sheetData>
  <sheetProtection password="CF7B" sheet="1" objects="1" scenarios="1" selectLockedCells="1"/>
  <protectedRanges>
    <protectedRange sqref="B1:C15 B16:B22 B23:C23 D1:X23" name="Range1"/>
  </protectedRanges>
  <customSheetViews>
    <customSheetView guid="{C9DCC1B1-1130-43C1-807F-FB357D8E7C6B}" showPageBreaks="1" showGridLines="0" showRowCol="0" hiddenRows="1" hiddenColumns="1" topLeftCell="A2">
      <selection activeCell="D17" sqref="D17"/>
      <pageMargins left="0.35" right="0.18" top="0.57999999999999996" bottom="0.49" header="0" footer="0.28000000000000003"/>
      <pageSetup paperSize="9" scale="89" orientation="landscape" horizontalDpi="120" verticalDpi="180" r:id="rId1"/>
      <headerFooter alignWithMargins="0"/>
    </customSheetView>
    <customSheetView guid="{74B9DB0D-A27C-483C-9482-296E1DCC546B}" showGridLines="0" showRowCol="0" hiddenRows="1" hiddenColumns="1">
      <selection activeCell="F20" sqref="F20"/>
      <pageMargins left="0.35" right="0.18" top="0.57999999999999996" bottom="0.49" header="0" footer="0.28000000000000003"/>
      <pageSetup paperSize="9" scale="89" orientation="landscape" horizontalDpi="120" verticalDpi="180" r:id="rId2"/>
      <headerFooter alignWithMargins="0"/>
    </customSheetView>
  </customSheetViews>
  <mergeCells count="10">
    <mergeCell ref="B28:X28"/>
    <mergeCell ref="B1:X1"/>
    <mergeCell ref="B23:C23"/>
    <mergeCell ref="B16:C16"/>
    <mergeCell ref="B19:C19"/>
    <mergeCell ref="B20:C20"/>
    <mergeCell ref="B21:C21"/>
    <mergeCell ref="B22:C22"/>
    <mergeCell ref="B17:C17"/>
    <mergeCell ref="B18:C18"/>
  </mergeCells>
  <phoneticPr fontId="1" type="noConversion"/>
  <pageMargins left="0.35" right="0.18" top="0.57999999999999996" bottom="0.49" header="0" footer="0.28000000000000003"/>
  <pageSetup paperSize="9" scale="89" orientation="landscape" horizontalDpi="120" verticalDpi="180" r:id="rId3"/>
  <headerFooter alignWithMargins="0"/>
</worksheet>
</file>

<file path=xl/worksheets/sheet4.xml><?xml version="1.0" encoding="utf-8"?>
<worksheet xmlns="http://schemas.openxmlformats.org/spreadsheetml/2006/main" xmlns:r="http://schemas.openxmlformats.org/officeDocument/2006/relationships">
  <sheetPr codeName="Sheet4"/>
  <dimension ref="A1:K72"/>
  <sheetViews>
    <sheetView showGridLines="0" showRowColHeaders="0" topLeftCell="A7" workbookViewId="0">
      <selection activeCell="I33" sqref="I33:J33"/>
    </sheetView>
  </sheetViews>
  <sheetFormatPr defaultColWidth="0" defaultRowHeight="16.5" zeroHeight="1"/>
  <cols>
    <col min="1" max="1" width="4.7109375" style="466" customWidth="1"/>
    <col min="2" max="2" width="4" style="466" customWidth="1"/>
    <col min="3" max="3" width="4.85546875" style="466" customWidth="1"/>
    <col min="4" max="4" width="17.28515625" style="466" customWidth="1"/>
    <col min="5" max="5" width="17.7109375" style="466" customWidth="1"/>
    <col min="6" max="6" width="14.28515625" style="466" customWidth="1"/>
    <col min="7" max="7" width="11.28515625" style="466" customWidth="1"/>
    <col min="8" max="8" width="9.85546875" style="466" customWidth="1"/>
    <col min="9" max="9" width="9.7109375" style="466" customWidth="1"/>
    <col min="10" max="10" width="9.28515625" style="466" customWidth="1"/>
    <col min="11" max="11" width="0.85546875" style="466" customWidth="1"/>
    <col min="12" max="16384" width="9.140625" style="466" hidden="1"/>
  </cols>
  <sheetData>
    <row r="1" spans="1:10" ht="17.25" customHeight="1">
      <c r="A1" s="1233" t="s">
        <v>572</v>
      </c>
      <c r="B1" s="1234"/>
      <c r="C1" s="1234"/>
      <c r="D1" s="1234"/>
      <c r="E1" s="1234"/>
      <c r="F1" s="1234"/>
      <c r="G1" s="1234"/>
      <c r="H1" s="1234"/>
      <c r="I1" s="1234"/>
      <c r="J1" s="1235"/>
    </row>
    <row r="2" spans="1:10" ht="3.75" customHeight="1">
      <c r="A2" s="524"/>
      <c r="B2" s="525"/>
      <c r="C2" s="525"/>
      <c r="D2" s="525"/>
      <c r="E2" s="525"/>
      <c r="F2" s="525"/>
      <c r="G2" s="525"/>
      <c r="H2" s="525"/>
      <c r="I2" s="525"/>
      <c r="J2" s="526"/>
    </row>
    <row r="3" spans="1:10" ht="17.25" customHeight="1">
      <c r="A3" s="1236" t="s">
        <v>573</v>
      </c>
      <c r="B3" s="1237"/>
      <c r="C3" s="1237"/>
      <c r="D3" s="1237"/>
      <c r="E3" s="1237"/>
      <c r="F3" s="1237"/>
      <c r="G3" s="1237"/>
      <c r="H3" s="1237"/>
      <c r="I3" s="1237"/>
      <c r="J3" s="1238"/>
    </row>
    <row r="4" spans="1:10" ht="15" customHeight="1">
      <c r="A4" s="1239" t="s">
        <v>574</v>
      </c>
      <c r="B4" s="1240"/>
      <c r="C4" s="1240"/>
      <c r="D4" s="1240"/>
      <c r="E4" s="1240"/>
      <c r="F4" s="1240"/>
      <c r="G4" s="1240"/>
      <c r="H4" s="1240"/>
      <c r="I4" s="1240"/>
      <c r="J4" s="1241"/>
    </row>
    <row r="5" spans="1:10" ht="33" customHeight="1">
      <c r="A5" s="467" t="s">
        <v>613</v>
      </c>
      <c r="B5" s="468"/>
      <c r="C5" s="468"/>
      <c r="D5" s="468"/>
      <c r="E5" s="468"/>
      <c r="F5" s="1267" t="str">
        <f>CONCATENATE(DATA!E4,", ",DATA!M4,", ","                                                     ",DATA!D6)</f>
        <v>S.KARUNAKAR, S.A.,                                                      ZPGHS SHANKARAMPET A</v>
      </c>
      <c r="G5" s="1267"/>
      <c r="H5" s="1267"/>
      <c r="I5" s="1267"/>
      <c r="J5" s="1268"/>
    </row>
    <row r="6" spans="1:10" ht="15" customHeight="1">
      <c r="A6" s="467" t="s">
        <v>614</v>
      </c>
      <c r="B6" s="468"/>
      <c r="C6" s="468"/>
      <c r="D6" s="468"/>
      <c r="E6" s="468"/>
      <c r="F6" s="1211" t="str">
        <f>'Annexure -II'!L6</f>
        <v>BQOPS3738N</v>
      </c>
      <c r="G6" s="1211"/>
      <c r="H6" s="1211"/>
      <c r="I6" s="1211"/>
      <c r="J6" s="1212"/>
    </row>
    <row r="7" spans="1:10" ht="17.25" customHeight="1">
      <c r="A7" s="1242" t="s">
        <v>821</v>
      </c>
      <c r="B7" s="1243"/>
      <c r="C7" s="1243"/>
      <c r="D7" s="1243"/>
      <c r="E7" s="1243"/>
      <c r="F7" s="1243"/>
      <c r="G7" s="1243"/>
      <c r="H7" s="1243"/>
      <c r="I7" s="1243"/>
      <c r="J7" s="1244"/>
    </row>
    <row r="8" spans="1:10" ht="14.25" customHeight="1">
      <c r="A8" s="1246" t="s">
        <v>575</v>
      </c>
      <c r="B8" s="1247"/>
      <c r="C8" s="1247"/>
      <c r="D8" s="1247"/>
      <c r="E8" s="1247"/>
      <c r="F8" s="1247"/>
      <c r="G8" s="1247"/>
      <c r="H8" s="1247"/>
      <c r="I8" s="1247"/>
      <c r="J8" s="1248"/>
    </row>
    <row r="9" spans="1:10" ht="29.25" customHeight="1">
      <c r="A9" s="469" t="s">
        <v>576</v>
      </c>
      <c r="B9" s="1252" t="s">
        <v>577</v>
      </c>
      <c r="C9" s="1253"/>
      <c r="D9" s="1253"/>
      <c r="E9" s="1253"/>
      <c r="F9" s="1253"/>
      <c r="G9" s="1254"/>
      <c r="H9" s="470" t="s">
        <v>578</v>
      </c>
      <c r="I9" s="1252" t="s">
        <v>579</v>
      </c>
      <c r="J9" s="1255"/>
    </row>
    <row r="10" spans="1:10" s="474" customFormat="1" ht="12" customHeight="1">
      <c r="A10" s="472" t="s">
        <v>580</v>
      </c>
      <c r="B10" s="1249" t="s">
        <v>581</v>
      </c>
      <c r="C10" s="1250"/>
      <c r="D10" s="1250"/>
      <c r="E10" s="1250"/>
      <c r="F10" s="1250"/>
      <c r="G10" s="1251"/>
      <c r="H10" s="473" t="s">
        <v>582</v>
      </c>
      <c r="I10" s="1249" t="s">
        <v>583</v>
      </c>
      <c r="J10" s="1266"/>
    </row>
    <row r="11" spans="1:10" s="471" customFormat="1" ht="13.5" customHeight="1">
      <c r="A11" s="475">
        <v>1</v>
      </c>
      <c r="B11" s="1256" t="s">
        <v>584</v>
      </c>
      <c r="C11" s="1257"/>
      <c r="D11" s="1257"/>
      <c r="E11" s="1257"/>
      <c r="F11" s="1257"/>
      <c r="G11" s="1257"/>
      <c r="H11" s="476"/>
      <c r="I11" s="1258" t="str">
        <f>IF(DATA!N89=1,"","Receipt Produced")</f>
        <v>Receipt Produced</v>
      </c>
      <c r="J11" s="1259"/>
    </row>
    <row r="12" spans="1:10" s="471" customFormat="1" ht="13.5" customHeight="1">
      <c r="A12" s="500"/>
      <c r="B12" s="477" t="s">
        <v>585</v>
      </c>
      <c r="C12" s="1181" t="s">
        <v>586</v>
      </c>
      <c r="D12" s="1182"/>
      <c r="E12" s="1245"/>
      <c r="F12" s="1231" t="str">
        <f>IF(DATA!N89=1,"",CONCATENATE(DATA!Q19,"X 12"))</f>
        <v>14100X 12</v>
      </c>
      <c r="G12" s="1232"/>
      <c r="H12" s="478">
        <f>IF(DATA!N89=1,"",DATA!Q19*12)</f>
        <v>169200</v>
      </c>
      <c r="I12" s="1260"/>
      <c r="J12" s="1261"/>
    </row>
    <row r="13" spans="1:10" s="471" customFormat="1" ht="13.5" customHeight="1">
      <c r="A13" s="500"/>
      <c r="B13" s="527" t="s">
        <v>587</v>
      </c>
      <c r="C13" s="1181" t="s">
        <v>615</v>
      </c>
      <c r="D13" s="1182"/>
      <c r="E13" s="1182" t="str">
        <f>IF(DATA!N89=1,"",DATA!D23)</f>
        <v>N.RAJU</v>
      </c>
      <c r="F13" s="1182"/>
      <c r="G13" s="1189"/>
      <c r="H13" s="528"/>
      <c r="I13" s="1260"/>
      <c r="J13" s="1261"/>
    </row>
    <row r="14" spans="1:10" s="471" customFormat="1" ht="15" customHeight="1">
      <c r="A14" s="500"/>
      <c r="B14" s="1201" t="s">
        <v>588</v>
      </c>
      <c r="C14" s="1262" t="s">
        <v>589</v>
      </c>
      <c r="D14" s="1263"/>
      <c r="E14" s="1205" t="str">
        <f>IF(DATA!N89=1,"",CONCATENATE(DATA!P23,", ",DATA!D24))</f>
        <v>, PATANCHERU,shanthinagar</v>
      </c>
      <c r="F14" s="1206"/>
      <c r="G14" s="1207"/>
      <c r="H14" s="1203"/>
      <c r="I14" s="1260"/>
      <c r="J14" s="1261"/>
    </row>
    <row r="15" spans="1:10" s="471" customFormat="1" ht="15" customHeight="1">
      <c r="A15" s="500"/>
      <c r="B15" s="1202"/>
      <c r="C15" s="1264"/>
      <c r="D15" s="1265"/>
      <c r="E15" s="1208" t="str">
        <f>IF(DATA!N89=1,"",CONCATENATE(DATA!K24,", ",DATA!O24))</f>
        <v>PATANCHERU, SANGAREDDY</v>
      </c>
      <c r="F15" s="1209"/>
      <c r="G15" s="1210"/>
      <c r="H15" s="1204"/>
      <c r="I15" s="1260"/>
      <c r="J15" s="1261"/>
    </row>
    <row r="16" spans="1:10" s="471" customFormat="1" ht="15" customHeight="1">
      <c r="A16" s="500"/>
      <c r="B16" s="527" t="s">
        <v>590</v>
      </c>
      <c r="C16" s="532" t="s">
        <v>591</v>
      </c>
      <c r="D16" s="507"/>
      <c r="E16" s="507"/>
      <c r="F16" s="1179">
        <f>IF(DATA!N89=1,"",DATA!N23)</f>
        <v>0</v>
      </c>
      <c r="G16" s="1180"/>
      <c r="H16" s="508"/>
      <c r="I16" s="1260"/>
      <c r="J16" s="1261"/>
    </row>
    <row r="17" spans="1:10" s="471" customFormat="1" ht="27.75" customHeight="1">
      <c r="A17" s="500"/>
      <c r="B17" s="1183" t="s">
        <v>619</v>
      </c>
      <c r="C17" s="1184"/>
      <c r="D17" s="1190" t="s">
        <v>618</v>
      </c>
      <c r="E17" s="1190"/>
      <c r="F17" s="1190"/>
      <c r="G17" s="1190"/>
      <c r="H17" s="1190"/>
      <c r="I17" s="1190"/>
      <c r="J17" s="1213"/>
    </row>
    <row r="18" spans="1:10" s="471" customFormat="1" ht="12" customHeight="1">
      <c r="A18" s="480">
        <v>2</v>
      </c>
      <c r="B18" s="1197" t="s">
        <v>592</v>
      </c>
      <c r="C18" s="1198"/>
      <c r="D18" s="1198"/>
      <c r="E18" s="1198"/>
      <c r="F18" s="1198"/>
      <c r="G18" s="1198"/>
      <c r="H18" s="481"/>
      <c r="I18" s="1219"/>
      <c r="J18" s="1220"/>
    </row>
    <row r="19" spans="1:10" s="471" customFormat="1" ht="15">
      <c r="A19" s="475">
        <v>3</v>
      </c>
      <c r="B19" s="1221" t="s">
        <v>593</v>
      </c>
      <c r="C19" s="1222"/>
      <c r="D19" s="1222"/>
      <c r="E19" s="1222"/>
      <c r="F19" s="1222"/>
      <c r="G19" s="1222"/>
      <c r="H19" s="482"/>
      <c r="I19" s="1223"/>
      <c r="J19" s="1224"/>
    </row>
    <row r="20" spans="1:10" s="471" customFormat="1" ht="15" customHeight="1">
      <c r="A20" s="500"/>
      <c r="B20" s="509" t="s">
        <v>594</v>
      </c>
      <c r="C20" s="1182" t="s">
        <v>595</v>
      </c>
      <c r="D20" s="1182"/>
      <c r="E20" s="1182"/>
      <c r="F20" s="1182"/>
      <c r="G20" s="1182"/>
      <c r="H20" s="478">
        <f>IF(DATA!AA18=1,0,DATA!K21)</f>
        <v>158610</v>
      </c>
      <c r="I20" s="1225" t="str">
        <f>IF(DATA!AA18&gt;1,"Certificate Produced","")</f>
        <v>Certificate Produced</v>
      </c>
      <c r="J20" s="1226"/>
    </row>
    <row r="21" spans="1:10" s="471" customFormat="1" ht="15" customHeight="1">
      <c r="A21" s="500"/>
      <c r="B21" s="529" t="s">
        <v>587</v>
      </c>
      <c r="C21" s="1182" t="s">
        <v>643</v>
      </c>
      <c r="D21" s="1182"/>
      <c r="E21" s="1199" t="str">
        <f>IF(DATA!AA18&gt;1,DATA!J20,"")</f>
        <v>LIC HFL</v>
      </c>
      <c r="F21" s="1199"/>
      <c r="G21" s="1200"/>
      <c r="H21" s="528"/>
      <c r="I21" s="1227"/>
      <c r="J21" s="1228"/>
    </row>
    <row r="22" spans="1:10" s="471" customFormat="1" ht="15" customHeight="1">
      <c r="A22" s="500"/>
      <c r="B22" s="529" t="s">
        <v>588</v>
      </c>
      <c r="C22" s="1182" t="s">
        <v>644</v>
      </c>
      <c r="D22" s="1182"/>
      <c r="E22" s="548" t="str">
        <f>IF(DATA!AA18&gt;1,DATA!O20,"")</f>
        <v>SANGAREDDY</v>
      </c>
      <c r="F22" s="546"/>
      <c r="G22" s="547"/>
      <c r="H22" s="528"/>
      <c r="I22" s="1227"/>
      <c r="J22" s="1228"/>
    </row>
    <row r="23" spans="1:10" s="471" customFormat="1" ht="13.5">
      <c r="A23" s="500"/>
      <c r="B23" s="509" t="s">
        <v>590</v>
      </c>
      <c r="C23" s="484" t="s">
        <v>596</v>
      </c>
      <c r="D23" s="484"/>
      <c r="E23" s="484"/>
      <c r="F23" s="484"/>
      <c r="G23" s="485"/>
      <c r="H23" s="478"/>
      <c r="I23" s="1185"/>
      <c r="J23" s="1186"/>
    </row>
    <row r="24" spans="1:10" s="471" customFormat="1" ht="13.5">
      <c r="A24" s="500"/>
      <c r="B24" s="486" t="s">
        <v>207</v>
      </c>
      <c r="C24" s="1182" t="s">
        <v>597</v>
      </c>
      <c r="D24" s="1182"/>
      <c r="E24" s="1182"/>
      <c r="F24" s="1182"/>
      <c r="G24" s="1189"/>
      <c r="H24" s="478"/>
      <c r="I24" s="1185"/>
      <c r="J24" s="1186"/>
    </row>
    <row r="25" spans="1:10" s="471" customFormat="1" ht="13.5">
      <c r="A25" s="500"/>
      <c r="B25" s="486" t="s">
        <v>209</v>
      </c>
      <c r="C25" s="1182" t="s">
        <v>598</v>
      </c>
      <c r="D25" s="1182"/>
      <c r="E25" s="1182"/>
      <c r="F25" s="1182"/>
      <c r="G25" s="1189"/>
      <c r="H25" s="478"/>
      <c r="I25" s="1185"/>
      <c r="J25" s="1186"/>
    </row>
    <row r="26" spans="1:10" s="471" customFormat="1" ht="13.5">
      <c r="A26" s="479"/>
      <c r="B26" s="487" t="s">
        <v>599</v>
      </c>
      <c r="C26" s="1190" t="s">
        <v>42</v>
      </c>
      <c r="D26" s="1190"/>
      <c r="E26" s="1190"/>
      <c r="F26" s="1190"/>
      <c r="G26" s="1191"/>
      <c r="H26" s="488"/>
      <c r="I26" s="1195"/>
      <c r="J26" s="1196"/>
    </row>
    <row r="27" spans="1:10" s="471" customFormat="1" ht="13.5">
      <c r="A27" s="500">
        <v>4</v>
      </c>
      <c r="B27" s="1192" t="s">
        <v>600</v>
      </c>
      <c r="C27" s="1193"/>
      <c r="D27" s="1193"/>
      <c r="E27" s="1193"/>
      <c r="F27" s="1193"/>
      <c r="G27" s="1194"/>
      <c r="H27" s="489"/>
      <c r="I27" s="1214"/>
      <c r="J27" s="1215"/>
    </row>
    <row r="28" spans="1:10" s="471" customFormat="1" ht="12.75" customHeight="1">
      <c r="A28" s="500"/>
      <c r="B28" s="1216" t="s">
        <v>601</v>
      </c>
      <c r="C28" s="1217"/>
      <c r="D28" s="1217"/>
      <c r="E28" s="1217"/>
      <c r="F28" s="1217"/>
      <c r="G28" s="1218"/>
      <c r="H28" s="490"/>
      <c r="I28" s="1145"/>
      <c r="J28" s="1146"/>
    </row>
    <row r="29" spans="1:10" s="471" customFormat="1" ht="13.5" customHeight="1">
      <c r="A29" s="500"/>
      <c r="B29" s="509" t="s">
        <v>594</v>
      </c>
      <c r="C29" s="491" t="s">
        <v>207</v>
      </c>
      <c r="D29" s="1187" t="str">
        <f>CONCATENATE('Annexure -II'!D40,"        ",'Annexure -II'!G40,"",'Annexure -II'!H40,'Annexure -II'!I40)</f>
        <v>APGLI        Pol. No.(L-1001955A)</v>
      </c>
      <c r="E29" s="1187"/>
      <c r="F29" s="1187"/>
      <c r="G29" s="1188"/>
      <c r="H29" s="511">
        <f>'Annexure -II'!L40</f>
        <v>4200</v>
      </c>
      <c r="I29" s="1138" t="str">
        <f>IF(H29&gt;0,"Salary Deduction",0)</f>
        <v>Salary Deduction</v>
      </c>
      <c r="J29" s="1139"/>
    </row>
    <row r="30" spans="1:10" s="471" customFormat="1" ht="13.5" customHeight="1">
      <c r="A30" s="500"/>
      <c r="B30" s="483"/>
      <c r="C30" s="491" t="s">
        <v>209</v>
      </c>
      <c r="D30" s="495" t="str">
        <f>'Annexure -II'!D41</f>
        <v>GIS</v>
      </c>
      <c r="E30" s="494"/>
      <c r="F30" s="494"/>
      <c r="G30" s="496"/>
      <c r="H30" s="492">
        <f>'Annexure -II'!L41</f>
        <v>840</v>
      </c>
      <c r="I30" s="1163" t="str">
        <f>IF(H30&gt;0,"Salary Deduction",0)</f>
        <v>Salary Deduction</v>
      </c>
      <c r="J30" s="1164"/>
    </row>
    <row r="31" spans="1:10" s="471" customFormat="1" ht="13.5" customHeight="1">
      <c r="A31" s="500"/>
      <c r="B31" s="483"/>
      <c r="C31" s="491" t="s">
        <v>210</v>
      </c>
      <c r="D31" s="495" t="str">
        <f>'Annexure -II'!D43:I43</f>
        <v>Children Tuition Fee (2Children)</v>
      </c>
      <c r="E31" s="494"/>
      <c r="F31" s="494"/>
      <c r="G31" s="496"/>
      <c r="H31" s="492">
        <f>'Annexure -II'!L43</f>
        <v>0</v>
      </c>
      <c r="I31" s="1229">
        <f>IF(H31&gt;0,"Reciept produced",0)</f>
        <v>0</v>
      </c>
      <c r="J31" s="1230"/>
    </row>
    <row r="32" spans="1:10" s="471" customFormat="1" ht="13.5" customHeight="1">
      <c r="A32" s="500"/>
      <c r="B32" s="483"/>
      <c r="C32" s="491" t="s">
        <v>221</v>
      </c>
      <c r="D32" s="495" t="str">
        <f>'Annexure -II'!D45</f>
        <v xml:space="preserve">5Years Fixed Deposits                           </v>
      </c>
      <c r="E32" s="494"/>
      <c r="F32" s="494"/>
      <c r="G32" s="496"/>
      <c r="H32" s="492">
        <f>'Annexure -II'!L45</f>
        <v>0</v>
      </c>
      <c r="I32" s="1138">
        <f>IF(H32&gt;0,"Certificate produced",0)</f>
        <v>0</v>
      </c>
      <c r="J32" s="1139"/>
    </row>
    <row r="33" spans="1:10" s="471" customFormat="1" ht="13.5" customHeight="1">
      <c r="A33" s="500"/>
      <c r="B33" s="483"/>
      <c r="C33" s="491" t="s">
        <v>222</v>
      </c>
      <c r="D33" s="495" t="str">
        <f>'Annexure -II'!D48</f>
        <v xml:space="preserve">LIC Annual Premiums Paid by Hand    </v>
      </c>
      <c r="E33" s="494"/>
      <c r="F33" s="494"/>
      <c r="G33" s="496"/>
      <c r="H33" s="492">
        <f>'Annexure -II'!L48</f>
        <v>0</v>
      </c>
      <c r="I33" s="1138">
        <f>IF(H33&gt;0,"Reciept produced",0)</f>
        <v>0</v>
      </c>
      <c r="J33" s="1139"/>
    </row>
    <row r="34" spans="1:10" s="471" customFormat="1" ht="13.5" customHeight="1">
      <c r="A34" s="500"/>
      <c r="B34" s="483"/>
      <c r="C34" s="491" t="s">
        <v>223</v>
      </c>
      <c r="D34" s="495" t="str">
        <f>'Annexure -II'!D49</f>
        <v xml:space="preserve">Investment in Sukanya Samridhi        </v>
      </c>
      <c r="E34" s="494"/>
      <c r="F34" s="494"/>
      <c r="G34" s="496"/>
      <c r="H34" s="492">
        <f>'Annexure -II'!L49</f>
        <v>0</v>
      </c>
      <c r="I34" s="1138">
        <f>IF(H34&gt;0,"Reciept produced",0)</f>
        <v>0</v>
      </c>
      <c r="J34" s="1139"/>
    </row>
    <row r="35" spans="1:10" s="471" customFormat="1" ht="13.5" customHeight="1">
      <c r="A35" s="500"/>
      <c r="B35" s="483"/>
      <c r="C35" s="491" t="s">
        <v>224</v>
      </c>
      <c r="D35" s="495" t="str">
        <f>'Annexure -II'!D50</f>
        <v xml:space="preserve">Public Provident Fund                           </v>
      </c>
      <c r="E35" s="494"/>
      <c r="F35" s="494"/>
      <c r="G35" s="496"/>
      <c r="H35" s="492">
        <f>'Annexure -II'!L50</f>
        <v>0</v>
      </c>
      <c r="I35" s="1138">
        <f>IF(H35&gt;0,"Reciept produced",0)</f>
        <v>0</v>
      </c>
      <c r="J35" s="1139"/>
    </row>
    <row r="36" spans="1:10" s="471" customFormat="1" ht="13.5" customHeight="1">
      <c r="A36" s="500"/>
      <c r="B36" s="483"/>
      <c r="C36" s="491" t="s">
        <v>14</v>
      </c>
      <c r="D36" s="1167" t="str">
        <f>CONCATENATE('Annexure -II'!D51,'Annexure -II'!F51,)</f>
        <v>Others       (0</v>
      </c>
      <c r="E36" s="1167"/>
      <c r="F36" s="1167"/>
      <c r="G36" s="496" t="str">
        <f>CONCATENATE('Annexure -II'!I51)</f>
        <v>)</v>
      </c>
      <c r="H36" s="492">
        <f>'Annexure -II'!L51</f>
        <v>0</v>
      </c>
      <c r="I36" s="1138">
        <f>IF(H36&gt;0,"Reciept produced",0)</f>
        <v>0</v>
      </c>
      <c r="J36" s="1139"/>
    </row>
    <row r="37" spans="1:10" s="471" customFormat="1" ht="12.75" customHeight="1">
      <c r="A37" s="500"/>
      <c r="B37" s="509" t="s">
        <v>587</v>
      </c>
      <c r="C37" s="1172" t="s">
        <v>306</v>
      </c>
      <c r="D37" s="1172"/>
      <c r="E37" s="1172"/>
      <c r="F37" s="1172"/>
      <c r="G37" s="1173"/>
      <c r="H37" s="493">
        <v>0</v>
      </c>
      <c r="I37" s="1174"/>
      <c r="J37" s="1175"/>
    </row>
    <row r="38" spans="1:10" s="471" customFormat="1" ht="15" customHeight="1">
      <c r="A38" s="500"/>
      <c r="B38" s="486"/>
      <c r="C38" s="491" t="s">
        <v>207</v>
      </c>
      <c r="D38" s="495" t="str">
        <f>'Annexure -II'!D42:I42</f>
        <v>LIC Premium Deducted in Salary Savings Scheme</v>
      </c>
      <c r="E38" s="530"/>
      <c r="F38" s="530"/>
      <c r="G38" s="531"/>
      <c r="H38" s="493">
        <f>'Annexure -II'!L42</f>
        <v>0</v>
      </c>
      <c r="I38" s="1138">
        <f>IF(H38&gt;0,"Salary Deduction",0)</f>
        <v>0</v>
      </c>
      <c r="J38" s="1139"/>
    </row>
    <row r="39" spans="1:10" s="471" customFormat="1" ht="13.5">
      <c r="A39" s="500"/>
      <c r="B39" s="486"/>
      <c r="C39" s="491" t="s">
        <v>209</v>
      </c>
      <c r="D39" s="495" t="str">
        <f>'Annexure -II'!D46</f>
        <v xml:space="preserve">National Savings Certificate                </v>
      </c>
      <c r="E39" s="530"/>
      <c r="F39" s="530"/>
      <c r="G39" s="531"/>
      <c r="H39" s="493">
        <f>'Annexure -II'!L46</f>
        <v>0</v>
      </c>
      <c r="I39" s="1163">
        <f>IF(H39&gt;0,"Reciept produced",0)</f>
        <v>0</v>
      </c>
      <c r="J39" s="1164"/>
    </row>
    <row r="40" spans="1:10" s="471" customFormat="1" ht="15" customHeight="1">
      <c r="A40" s="500"/>
      <c r="B40" s="486"/>
      <c r="C40" s="491" t="s">
        <v>210</v>
      </c>
      <c r="D40" s="495" t="str">
        <f>'Annexure -II'!D47</f>
        <v xml:space="preserve">PLI Annual Insurance Plan                   </v>
      </c>
      <c r="E40" s="530"/>
      <c r="F40" s="530"/>
      <c r="G40" s="531"/>
      <c r="H40" s="493">
        <f>'Annexure -II'!L47</f>
        <v>0</v>
      </c>
      <c r="I40" s="1168">
        <f>IF(H40&gt;0,"Reciept produced",0)</f>
        <v>0</v>
      </c>
      <c r="J40" s="1169"/>
    </row>
    <row r="41" spans="1:10" s="471" customFormat="1" ht="13.5" customHeight="1">
      <c r="A41" s="500"/>
      <c r="B41" s="510" t="s">
        <v>588</v>
      </c>
      <c r="C41" s="1172" t="s">
        <v>616</v>
      </c>
      <c r="D41" s="1172"/>
      <c r="E41" s="494" t="str">
        <f>IF(DATA!AD44=3,"PRAN NO.","")</f>
        <v/>
      </c>
      <c r="F41" s="1170" t="str">
        <f>IF(DATA!AD44=3,DATA!G16,"")</f>
        <v/>
      </c>
      <c r="G41" s="1171"/>
      <c r="H41" s="493" t="str">
        <f>IF(DATA!AD44=3,'Annexure -II'!L29,"")</f>
        <v/>
      </c>
      <c r="I41" s="1145"/>
      <c r="J41" s="1146"/>
    </row>
    <row r="42" spans="1:10" s="471" customFormat="1" ht="15">
      <c r="A42" s="500"/>
      <c r="B42" s="1176" t="s">
        <v>602</v>
      </c>
      <c r="C42" s="1177"/>
      <c r="D42" s="1177"/>
      <c r="E42" s="1177"/>
      <c r="F42" s="1177"/>
      <c r="G42" s="1177"/>
      <c r="H42" s="1178"/>
      <c r="I42" s="1145"/>
      <c r="J42" s="1146"/>
    </row>
    <row r="43" spans="1:10" s="471" customFormat="1" ht="13.5">
      <c r="A43" s="500"/>
      <c r="B43" s="483"/>
      <c r="C43" s="494" t="s">
        <v>585</v>
      </c>
      <c r="D43" s="495" t="s">
        <v>603</v>
      </c>
      <c r="E43" s="494"/>
      <c r="F43" s="494"/>
      <c r="G43" s="496"/>
      <c r="H43" s="493">
        <f>'Annexure -II'!L31</f>
        <v>158610</v>
      </c>
      <c r="I43" s="1138" t="str">
        <f>IF(H43&gt;0,"Certificate produced",0)</f>
        <v>Certificate produced</v>
      </c>
      <c r="J43" s="1139"/>
    </row>
    <row r="44" spans="1:10" s="471" customFormat="1" ht="12" customHeight="1">
      <c r="A44" s="500"/>
      <c r="B44" s="483"/>
      <c r="C44" s="494" t="s">
        <v>587</v>
      </c>
      <c r="D44" s="495" t="s">
        <v>604</v>
      </c>
      <c r="E44" s="494"/>
      <c r="F44" s="494"/>
      <c r="G44" s="496"/>
      <c r="H44" s="493">
        <f>'Annexure -II'!L30</f>
        <v>0</v>
      </c>
      <c r="I44" s="1138">
        <f>IF(H44&gt;0,"Certificate produced",0)</f>
        <v>0</v>
      </c>
      <c r="J44" s="1139"/>
    </row>
    <row r="45" spans="1:10" s="471" customFormat="1" ht="13.5" customHeight="1">
      <c r="A45" s="500"/>
      <c r="B45" s="483"/>
      <c r="C45" s="494" t="s">
        <v>588</v>
      </c>
      <c r="D45" s="495" t="s">
        <v>605</v>
      </c>
      <c r="E45" s="494"/>
      <c r="F45" s="494"/>
      <c r="G45" s="496"/>
      <c r="H45" s="493">
        <f>'Annexure -II'!L34</f>
        <v>0</v>
      </c>
      <c r="I45" s="1163">
        <f>IF(H45&gt;0,"Certificate produced",0)</f>
        <v>0</v>
      </c>
      <c r="J45" s="1164"/>
    </row>
    <row r="46" spans="1:10" s="471" customFormat="1" ht="13.5">
      <c r="A46" s="500"/>
      <c r="B46" s="483"/>
      <c r="C46" s="494" t="s">
        <v>590</v>
      </c>
      <c r="D46" s="533" t="s">
        <v>606</v>
      </c>
      <c r="E46" s="494"/>
      <c r="F46" s="494"/>
      <c r="G46" s="496"/>
      <c r="H46" s="493"/>
      <c r="I46" s="1145"/>
      <c r="J46" s="1146"/>
    </row>
    <row r="47" spans="1:10" s="471" customFormat="1" ht="13.5">
      <c r="A47" s="500"/>
      <c r="B47" s="512"/>
      <c r="C47" s="513" t="s">
        <v>617</v>
      </c>
      <c r="D47" s="516" t="s">
        <v>607</v>
      </c>
      <c r="E47" s="513"/>
      <c r="F47" s="513"/>
      <c r="G47" s="514"/>
      <c r="H47" s="515">
        <f>'Annexure -II'!L54</f>
        <v>0</v>
      </c>
      <c r="I47" s="1163">
        <f>IF(H47&gt;0,"True copy produced",0)</f>
        <v>0</v>
      </c>
      <c r="J47" s="1164"/>
    </row>
    <row r="48" spans="1:10" s="471" customFormat="1" ht="13.5">
      <c r="A48" s="500"/>
      <c r="B48" s="512"/>
      <c r="C48" s="513" t="s">
        <v>620</v>
      </c>
      <c r="D48" s="516" t="s">
        <v>627</v>
      </c>
      <c r="E48" s="513"/>
      <c r="F48" s="513"/>
      <c r="G48" s="514"/>
      <c r="H48" s="515">
        <f>'Annexure -II'!L33</f>
        <v>0</v>
      </c>
      <c r="I48" s="1163">
        <f>IF(H48&gt;0,"Certificate produced",0)</f>
        <v>0</v>
      </c>
      <c r="J48" s="1164"/>
    </row>
    <row r="49" spans="1:10" s="471" customFormat="1" ht="13.5">
      <c r="A49" s="500"/>
      <c r="B49" s="512"/>
      <c r="C49" s="513" t="s">
        <v>621</v>
      </c>
      <c r="D49" s="516" t="str">
        <f>'Annexure -II'!D35:I35</f>
        <v>E.W.F, S.W.F &amp; CM Relief Fund U/s 80G</v>
      </c>
      <c r="E49" s="513"/>
      <c r="F49" s="513"/>
      <c r="G49" s="514"/>
      <c r="H49" s="515">
        <f>'Annexure -II'!L35</f>
        <v>120</v>
      </c>
      <c r="I49" s="1138" t="str">
        <f>IF(H49&gt;0,"Salary Deduction",0)</f>
        <v>Salary Deduction</v>
      </c>
      <c r="J49" s="1139"/>
    </row>
    <row r="50" spans="1:10" s="471" customFormat="1" ht="15" customHeight="1">
      <c r="A50" s="479"/>
      <c r="B50" s="497"/>
      <c r="C50" s="498" t="s">
        <v>622</v>
      </c>
      <c r="D50" s="1147" t="str">
        <f>'Annexure -II'!D29:I29</f>
        <v>Employer Contribution towards NPS U/s 80CCD 2  (Govt. Contribution)</v>
      </c>
      <c r="E50" s="1147"/>
      <c r="F50" s="1147"/>
      <c r="G50" s="1148"/>
      <c r="H50" s="499">
        <f>'Annexure -II'!L22</f>
        <v>0</v>
      </c>
      <c r="I50" s="1152">
        <f>IF(H50&gt;0,"Amount equilent to my contribution",0)</f>
        <v>0</v>
      </c>
      <c r="J50" s="1153"/>
    </row>
    <row r="51" spans="1:10" s="471" customFormat="1" ht="15" customHeight="1">
      <c r="A51" s="1154" t="s">
        <v>608</v>
      </c>
      <c r="B51" s="1155"/>
      <c r="C51" s="1155"/>
      <c r="D51" s="1155"/>
      <c r="E51" s="1155"/>
      <c r="F51" s="1155"/>
      <c r="G51" s="1155"/>
      <c r="H51" s="1155"/>
      <c r="I51" s="1155"/>
      <c r="J51" s="1156"/>
    </row>
    <row r="52" spans="1:10" s="471" customFormat="1" ht="12" customHeight="1">
      <c r="A52" s="1157" t="str">
        <f>CONCATENATE("I, ",DATA!E4,IF(DATA!AD35=1," son of "," daughter of "),DATA!E5," do hereby certify that the information given above is complete and correct.")</f>
        <v>I, S.KARUNAKAR son of SRINIVASULU do hereby certify that the information given above is complete and correct.</v>
      </c>
      <c r="B52" s="1158"/>
      <c r="C52" s="1158"/>
      <c r="D52" s="1158"/>
      <c r="E52" s="1158"/>
      <c r="F52" s="1158"/>
      <c r="G52" s="1158"/>
      <c r="H52" s="1158"/>
      <c r="I52" s="1158"/>
      <c r="J52" s="1159"/>
    </row>
    <row r="53" spans="1:10" s="471" customFormat="1" ht="11.25" customHeight="1">
      <c r="A53" s="1160"/>
      <c r="B53" s="1161"/>
      <c r="C53" s="1161"/>
      <c r="D53" s="1161"/>
      <c r="E53" s="1161"/>
      <c r="F53" s="1161"/>
      <c r="G53" s="1161"/>
      <c r="H53" s="1161"/>
      <c r="I53" s="1161"/>
      <c r="J53" s="1162"/>
    </row>
    <row r="54" spans="1:10" s="471" customFormat="1" ht="13.5">
      <c r="A54" s="501" t="s">
        <v>609</v>
      </c>
      <c r="B54" s="1151"/>
      <c r="C54" s="1151"/>
      <c r="D54" s="1151"/>
      <c r="E54" s="1151"/>
      <c r="F54" s="502"/>
      <c r="G54" s="502"/>
      <c r="H54" s="1165"/>
      <c r="I54" s="1165"/>
      <c r="J54" s="1166"/>
    </row>
    <row r="55" spans="1:10" s="471" customFormat="1" ht="11.25" customHeight="1">
      <c r="A55" s="503" t="s">
        <v>610</v>
      </c>
      <c r="B55" s="1142">
        <f ca="1">TODAY()</f>
        <v>43884</v>
      </c>
      <c r="C55" s="1142"/>
      <c r="D55" s="1142"/>
      <c r="E55" s="504"/>
      <c r="F55" s="504"/>
      <c r="G55" s="1149"/>
      <c r="H55" s="1149"/>
      <c r="I55" s="1149"/>
      <c r="J55" s="1150"/>
    </row>
    <row r="56" spans="1:10" s="471" customFormat="1" ht="13.5">
      <c r="A56" s="503"/>
      <c r="B56" s="504"/>
      <c r="C56" s="504"/>
      <c r="D56" s="504"/>
      <c r="E56" s="504"/>
      <c r="F56" s="504"/>
      <c r="G56" s="1143" t="s">
        <v>611</v>
      </c>
      <c r="H56" s="1143"/>
      <c r="I56" s="1143"/>
      <c r="J56" s="1144"/>
    </row>
    <row r="57" spans="1:10" s="471" customFormat="1" ht="15.75" customHeight="1" thickBot="1">
      <c r="A57" s="505" t="s">
        <v>626</v>
      </c>
      <c r="B57" s="506"/>
      <c r="C57" s="506"/>
      <c r="D57" s="1140" t="str">
        <f>DATA!M4</f>
        <v>S.A.</v>
      </c>
      <c r="E57" s="1140"/>
      <c r="F57" s="517" t="s">
        <v>612</v>
      </c>
      <c r="G57" s="1140" t="str">
        <f>DATA!E4</f>
        <v>S.KARUNAKAR</v>
      </c>
      <c r="H57" s="1140"/>
      <c r="I57" s="1140"/>
      <c r="J57" s="1141"/>
    </row>
    <row r="58" spans="1:10" s="471" customFormat="1" ht="13.5"/>
    <row r="59" spans="1:10" s="471" customFormat="1" ht="13.5" hidden="1"/>
    <row r="60" spans="1:10" s="471" customFormat="1" ht="13.5" hidden="1"/>
    <row r="61" spans="1:10" s="471" customFormat="1" ht="13.5" hidden="1"/>
    <row r="62" spans="1:10" s="471" customFormat="1" ht="13.5" hidden="1"/>
    <row r="63" spans="1:10" s="471" customFormat="1" ht="13.5" hidden="1"/>
    <row r="64" spans="1:10" s="471" customFormat="1" ht="13.5" hidden="1"/>
    <row r="65" s="471" customFormat="1" ht="13.5" hidden="1"/>
    <row r="66" s="471" customFormat="1" ht="13.5" hidden="1"/>
    <row r="67" s="471" customFormat="1" ht="13.5" hidden="1"/>
    <row r="68" s="471" customFormat="1" ht="13.5" hidden="1"/>
    <row r="69" s="471" customFormat="1" ht="13.5" hidden="1"/>
    <row r="70" s="471" customFormat="1" ht="13.5" hidden="1"/>
    <row r="71" s="471" customFormat="1" ht="13.5" hidden="1"/>
    <row r="72" s="471" customFormat="1" ht="13.5" hidden="1"/>
  </sheetData>
  <customSheetViews>
    <customSheetView guid="{C9DCC1B1-1130-43C1-807F-FB357D8E7C6B}" showGridLines="0" showRowCol="0" hiddenRows="1" hiddenColumns="1" state="hidden" topLeftCell="A7">
      <selection activeCell="I33" sqref="I33:J33"/>
      <pageMargins left="0.39370078740157483" right="0.19685039370078741" top="0.39370078740157483" bottom="0.15748031496062992" header="0" footer="0"/>
      <pageSetup paperSize="9" scale="95" orientation="portrait" r:id="rId1"/>
    </customSheetView>
    <customSheetView guid="{74B9DB0D-A27C-483C-9482-296E1DCC546B}" showGridLines="0" showRowCol="0" hiddenRows="1" hiddenColumns="1" state="hidden" topLeftCell="A7">
      <selection activeCell="I33" sqref="I33:J33"/>
      <pageMargins left="0.39370078740157483" right="0.19685039370078741" top="0.39370078740157483" bottom="0.15748031496062992" header="0" footer="0"/>
      <pageSetup paperSize="9" scale="95" orientation="portrait" r:id="rId2"/>
    </customSheetView>
  </customSheetViews>
  <mergeCells count="83">
    <mergeCell ref="F12:G12"/>
    <mergeCell ref="I34:J34"/>
    <mergeCell ref="A1:J1"/>
    <mergeCell ref="A3:J3"/>
    <mergeCell ref="A4:J4"/>
    <mergeCell ref="A7:J7"/>
    <mergeCell ref="C12:E12"/>
    <mergeCell ref="A8:J8"/>
    <mergeCell ref="B10:G10"/>
    <mergeCell ref="B9:G9"/>
    <mergeCell ref="I9:J9"/>
    <mergeCell ref="B11:G11"/>
    <mergeCell ref="I11:J16"/>
    <mergeCell ref="C14:D15"/>
    <mergeCell ref="I10:J10"/>
    <mergeCell ref="F5:J5"/>
    <mergeCell ref="F6:J6"/>
    <mergeCell ref="E13:G13"/>
    <mergeCell ref="I30:J30"/>
    <mergeCell ref="I39:J39"/>
    <mergeCell ref="D17:J17"/>
    <mergeCell ref="I24:J24"/>
    <mergeCell ref="I27:J27"/>
    <mergeCell ref="B28:G28"/>
    <mergeCell ref="C22:D22"/>
    <mergeCell ref="I18:J18"/>
    <mergeCell ref="B19:G19"/>
    <mergeCell ref="I19:J19"/>
    <mergeCell ref="C20:G20"/>
    <mergeCell ref="I20:J22"/>
    <mergeCell ref="I31:J31"/>
    <mergeCell ref="I32:J32"/>
    <mergeCell ref="I33:J33"/>
    <mergeCell ref="B18:G18"/>
    <mergeCell ref="C21:D21"/>
    <mergeCell ref="E21:G21"/>
    <mergeCell ref="B14:B15"/>
    <mergeCell ref="H14:H15"/>
    <mergeCell ref="E14:G14"/>
    <mergeCell ref="E15:G15"/>
    <mergeCell ref="B42:H42"/>
    <mergeCell ref="I42:J42"/>
    <mergeCell ref="C41:D41"/>
    <mergeCell ref="F16:G16"/>
    <mergeCell ref="C13:D13"/>
    <mergeCell ref="B17:C17"/>
    <mergeCell ref="I23:J23"/>
    <mergeCell ref="D29:G29"/>
    <mergeCell ref="C25:G25"/>
    <mergeCell ref="I25:J25"/>
    <mergeCell ref="C26:G26"/>
    <mergeCell ref="I28:J28"/>
    <mergeCell ref="I29:J29"/>
    <mergeCell ref="B27:G27"/>
    <mergeCell ref="C24:G24"/>
    <mergeCell ref="I26:J26"/>
    <mergeCell ref="F41:G41"/>
    <mergeCell ref="I41:J41"/>
    <mergeCell ref="C37:G37"/>
    <mergeCell ref="I36:J36"/>
    <mergeCell ref="I38:J38"/>
    <mergeCell ref="I37:J37"/>
    <mergeCell ref="I47:J47"/>
    <mergeCell ref="I43:J43"/>
    <mergeCell ref="I44:J44"/>
    <mergeCell ref="I45:J45"/>
    <mergeCell ref="I40:J40"/>
    <mergeCell ref="I35:J35"/>
    <mergeCell ref="D57:E57"/>
    <mergeCell ref="G57:J57"/>
    <mergeCell ref="B55:D55"/>
    <mergeCell ref="G56:J56"/>
    <mergeCell ref="I46:J46"/>
    <mergeCell ref="I49:J49"/>
    <mergeCell ref="D50:G50"/>
    <mergeCell ref="G55:J55"/>
    <mergeCell ref="B54:E54"/>
    <mergeCell ref="I50:J50"/>
    <mergeCell ref="A51:J51"/>
    <mergeCell ref="A52:J53"/>
    <mergeCell ref="I48:J48"/>
    <mergeCell ref="H54:J54"/>
    <mergeCell ref="D36:F36"/>
  </mergeCells>
  <pageMargins left="0.39370078740157483" right="0.19685039370078741" top="0.39370078740157483" bottom="0.15748031496062992" header="0" footer="0"/>
  <pageSetup paperSize="9" scale="95" orientation="portrait" r:id="rId3"/>
</worksheet>
</file>

<file path=xl/worksheets/sheet5.xml><?xml version="1.0" encoding="utf-8"?>
<worksheet xmlns="http://schemas.openxmlformats.org/spreadsheetml/2006/main" xmlns:r="http://schemas.openxmlformats.org/officeDocument/2006/relationships">
  <sheetPr codeName="Sheet5"/>
  <dimension ref="A1:CE98"/>
  <sheetViews>
    <sheetView showRowColHeaders="0" topLeftCell="A24" zoomScaleSheetLayoutView="100" workbookViewId="0">
      <selection activeCell="L53" sqref="L53"/>
    </sheetView>
  </sheetViews>
  <sheetFormatPr defaultColWidth="0" defaultRowHeight="0" customHeight="1" zeroHeight="1"/>
  <cols>
    <col min="1" max="1" width="1.42578125" style="227" customWidth="1"/>
    <col min="2" max="2" width="4.42578125" style="432" customWidth="1"/>
    <col min="3" max="3" width="3.5703125" style="432" customWidth="1"/>
    <col min="4" max="4" width="4.7109375" style="432" customWidth="1"/>
    <col min="5" max="5" width="4.5703125" style="432" customWidth="1"/>
    <col min="6" max="6" width="5.28515625" style="432" customWidth="1"/>
    <col min="7" max="7" width="6.42578125" style="432" customWidth="1"/>
    <col min="8" max="8" width="21.7109375" style="432" customWidth="1"/>
    <col min="9" max="9" width="29.140625" style="432" customWidth="1"/>
    <col min="10" max="10" width="3.85546875" style="433" customWidth="1"/>
    <col min="11" max="11" width="2.5703125" style="433" customWidth="1"/>
    <col min="12" max="12" width="10" style="433" customWidth="1"/>
    <col min="13" max="13" width="14.140625" style="433" customWidth="1"/>
    <col min="14" max="14" width="1" style="310" customWidth="1"/>
    <col min="15" max="16384" width="9.140625" style="310" hidden="1"/>
  </cols>
  <sheetData>
    <row r="1" spans="1:14" ht="7.5" customHeight="1" thickBot="1">
      <c r="A1" s="1306"/>
      <c r="B1" s="1306"/>
      <c r="C1" s="1306"/>
      <c r="D1" s="1306"/>
      <c r="E1" s="1306"/>
      <c r="F1" s="1306"/>
      <c r="G1" s="1306"/>
      <c r="H1" s="1306"/>
      <c r="I1" s="1306"/>
      <c r="J1" s="1306"/>
      <c r="K1" s="1306"/>
      <c r="L1" s="1306"/>
      <c r="M1" s="1306"/>
      <c r="N1" s="1306"/>
    </row>
    <row r="2" spans="1:14" ht="15" customHeight="1">
      <c r="A2" s="1309"/>
      <c r="B2" s="1269" t="s">
        <v>202</v>
      </c>
      <c r="C2" s="1270"/>
      <c r="D2" s="1270"/>
      <c r="E2" s="1270"/>
      <c r="F2" s="1270"/>
      <c r="G2" s="1270"/>
      <c r="H2" s="1270"/>
      <c r="I2" s="1270"/>
      <c r="J2" s="1270"/>
      <c r="K2" s="1270"/>
      <c r="L2" s="1270"/>
      <c r="M2" s="1271"/>
      <c r="N2" s="1307"/>
    </row>
    <row r="3" spans="1:14" ht="12" customHeight="1" thickBot="1">
      <c r="A3" s="1309"/>
      <c r="B3" s="1310" t="s">
        <v>817</v>
      </c>
      <c r="C3" s="1311"/>
      <c r="D3" s="1311"/>
      <c r="E3" s="1311"/>
      <c r="F3" s="1311"/>
      <c r="G3" s="1311"/>
      <c r="H3" s="1311"/>
      <c r="I3" s="1311"/>
      <c r="J3" s="1311"/>
      <c r="K3" s="1311"/>
      <c r="L3" s="1311"/>
      <c r="M3" s="1312"/>
      <c r="N3" s="1307"/>
    </row>
    <row r="4" spans="1:14" ht="12.75" customHeight="1">
      <c r="A4" s="1309"/>
      <c r="B4" s="1317" t="s">
        <v>528</v>
      </c>
      <c r="C4" s="1318"/>
      <c r="D4" s="1318"/>
      <c r="E4" s="1313" t="str">
        <f>DATA!E4</f>
        <v>S.KARUNAKAR</v>
      </c>
      <c r="F4" s="1313"/>
      <c r="G4" s="1313"/>
      <c r="H4" s="1313"/>
      <c r="I4" s="444" t="s">
        <v>547</v>
      </c>
      <c r="J4" s="1272" t="str">
        <f>DATA!D6</f>
        <v>ZPGHS SHANKARAMPET A</v>
      </c>
      <c r="K4" s="1272"/>
      <c r="L4" s="1272"/>
      <c r="M4" s="1273"/>
      <c r="N4" s="1307"/>
    </row>
    <row r="5" spans="1:14" ht="12.75" customHeight="1" thickBot="1">
      <c r="A5" s="1309"/>
      <c r="B5" s="1320" t="s">
        <v>203</v>
      </c>
      <c r="C5" s="1321"/>
      <c r="D5" s="1321"/>
      <c r="E5" s="1319" t="str">
        <f>DATA!AC6</f>
        <v>S.A.</v>
      </c>
      <c r="F5" s="1319"/>
      <c r="G5" s="1319"/>
      <c r="H5" s="1319"/>
      <c r="I5" s="445" t="s">
        <v>548</v>
      </c>
      <c r="J5" s="1274" t="str">
        <f>DATA!M5</f>
        <v>SHANKARAMPET A., MEDAK</v>
      </c>
      <c r="K5" s="1274"/>
      <c r="L5" s="1274"/>
      <c r="M5" s="1275"/>
      <c r="N5" s="1307"/>
    </row>
    <row r="6" spans="1:14" ht="13.5" customHeight="1">
      <c r="A6" s="1309"/>
      <c r="B6" s="255">
        <v>1</v>
      </c>
      <c r="C6" s="1314" t="str">
        <f>DATA!I87</f>
        <v>Living in : Rented House</v>
      </c>
      <c r="D6" s="1315"/>
      <c r="E6" s="1315"/>
      <c r="F6" s="1315"/>
      <c r="G6" s="1315"/>
      <c r="H6" s="1316" t="s">
        <v>464</v>
      </c>
      <c r="I6" s="1316"/>
      <c r="J6" s="1316"/>
      <c r="K6" s="443"/>
      <c r="L6" s="1287" t="str">
        <f>DATA!M16</f>
        <v>BQOPS3738N</v>
      </c>
      <c r="M6" s="1288"/>
      <c r="N6" s="1307"/>
    </row>
    <row r="7" spans="1:14" ht="12.75" customHeight="1">
      <c r="A7" s="1309"/>
      <c r="B7" s="255">
        <v>2</v>
      </c>
      <c r="C7" s="1278" t="s">
        <v>204</v>
      </c>
      <c r="D7" s="1279"/>
      <c r="E7" s="1279"/>
      <c r="F7" s="1279"/>
      <c r="G7" s="1279"/>
      <c r="H7" s="1279"/>
      <c r="I7" s="1279"/>
      <c r="J7" s="81" t="s">
        <v>205</v>
      </c>
      <c r="K7" s="82"/>
      <c r="L7" s="825"/>
      <c r="M7" s="826">
        <f>'Annexure -I'!O23</f>
        <v>979346</v>
      </c>
      <c r="N7" s="1307"/>
    </row>
    <row r="8" spans="1:14" ht="12" customHeight="1">
      <c r="A8" s="1309"/>
      <c r="B8" s="255">
        <v>3</v>
      </c>
      <c r="C8" s="1282" t="s">
        <v>206</v>
      </c>
      <c r="D8" s="1283"/>
      <c r="E8" s="1283"/>
      <c r="F8" s="1283"/>
      <c r="G8" s="1283"/>
      <c r="H8" s="1283"/>
      <c r="I8" s="1283"/>
      <c r="J8" s="83"/>
      <c r="K8" s="84"/>
      <c r="L8" s="827"/>
      <c r="M8" s="828"/>
      <c r="N8" s="1307"/>
    </row>
    <row r="9" spans="1:14" ht="11.25" customHeight="1">
      <c r="A9" s="1309"/>
      <c r="B9" s="255"/>
      <c r="C9" s="85" t="s">
        <v>207</v>
      </c>
      <c r="D9" s="1276" t="s">
        <v>208</v>
      </c>
      <c r="E9" s="1276"/>
      <c r="F9" s="1276"/>
      <c r="G9" s="1276"/>
      <c r="H9" s="1276"/>
      <c r="I9" s="1276"/>
      <c r="J9" s="86" t="s">
        <v>205</v>
      </c>
      <c r="K9" s="87"/>
      <c r="L9" s="91">
        <f>'Annexure -I'!F23</f>
        <v>78637</v>
      </c>
      <c r="M9" s="828"/>
      <c r="N9" s="1307"/>
    </row>
    <row r="10" spans="1:14" ht="13.5" customHeight="1">
      <c r="A10" s="1309"/>
      <c r="B10" s="255"/>
      <c r="C10" s="85" t="s">
        <v>209</v>
      </c>
      <c r="D10" s="1276" t="str">
        <f>IF(DATA!N89=1,"Rent paid in excess of 10% Salary(Rent: @ 0/-PM)",(CONCATENATE("Rent paid in excess of 10% Salary(Rent: @ ",DATA!Q19,"/-PM)")))</f>
        <v>Rent paid in excess of 10% Salary(Rent: @ 14100/-PM)</v>
      </c>
      <c r="E10" s="1276"/>
      <c r="F10" s="1276"/>
      <c r="G10" s="1276"/>
      <c r="H10" s="1276"/>
      <c r="I10" s="1276"/>
      <c r="J10" s="86" t="s">
        <v>205</v>
      </c>
      <c r="K10" s="87"/>
      <c r="L10" s="91">
        <f>IF(DATA!N89=1,0,DATA!R101)</f>
        <v>80017</v>
      </c>
      <c r="M10" s="828"/>
      <c r="N10" s="1307"/>
    </row>
    <row r="11" spans="1:14" ht="11.25" customHeight="1">
      <c r="A11" s="1309"/>
      <c r="B11" s="255"/>
      <c r="C11" s="85" t="s">
        <v>210</v>
      </c>
      <c r="D11" s="1276" t="s">
        <v>211</v>
      </c>
      <c r="E11" s="1276"/>
      <c r="F11" s="1276"/>
      <c r="G11" s="1276"/>
      <c r="H11" s="1276"/>
      <c r="I11" s="1276"/>
      <c r="J11" s="86" t="s">
        <v>205</v>
      </c>
      <c r="K11" s="87"/>
      <c r="L11" s="91">
        <f>ROUND(('Annexure -I'!D23+'Annexure -I'!E23)*0.4,-2)</f>
        <v>356700</v>
      </c>
      <c r="M11" s="829">
        <f>MIN(L9:L11)</f>
        <v>78637</v>
      </c>
      <c r="N11" s="1307"/>
    </row>
    <row r="12" spans="1:14" ht="14.1" customHeight="1">
      <c r="A12" s="1309"/>
      <c r="B12" s="255">
        <v>4</v>
      </c>
      <c r="C12" s="1278" t="s">
        <v>212</v>
      </c>
      <c r="D12" s="1279"/>
      <c r="E12" s="1279"/>
      <c r="F12" s="1279"/>
      <c r="G12" s="1279"/>
      <c r="H12" s="1279"/>
      <c r="I12" s="1279"/>
      <c r="J12" s="83" t="s">
        <v>205</v>
      </c>
      <c r="K12" s="84"/>
      <c r="L12" s="827"/>
      <c r="M12" s="826">
        <f>M7-M11</f>
        <v>900709</v>
      </c>
      <c r="N12" s="1307"/>
    </row>
    <row r="13" spans="1:14" ht="12" customHeight="1">
      <c r="A13" s="1309"/>
      <c r="B13" s="255">
        <v>5</v>
      </c>
      <c r="C13" s="1282" t="s">
        <v>213</v>
      </c>
      <c r="D13" s="1283"/>
      <c r="E13" s="1283"/>
      <c r="F13" s="1283"/>
      <c r="G13" s="1283"/>
      <c r="H13" s="1283"/>
      <c r="I13" s="1283"/>
      <c r="J13" s="83"/>
      <c r="K13" s="84"/>
      <c r="L13" s="827"/>
      <c r="M13" s="828"/>
      <c r="N13" s="1307"/>
    </row>
    <row r="14" spans="1:14" ht="12" customHeight="1">
      <c r="A14" s="1309"/>
      <c r="B14" s="255"/>
      <c r="C14" s="85" t="s">
        <v>207</v>
      </c>
      <c r="D14" s="1291" t="s">
        <v>214</v>
      </c>
      <c r="E14" s="1291"/>
      <c r="F14" s="1291"/>
      <c r="G14" s="1291"/>
      <c r="H14" s="1291"/>
      <c r="I14" s="1291"/>
      <c r="J14" s="86" t="s">
        <v>205</v>
      </c>
      <c r="K14" s="87"/>
      <c r="L14" s="91">
        <f>'Annexure -I'!M23</f>
        <v>0</v>
      </c>
      <c r="M14" s="828"/>
      <c r="N14" s="1307"/>
    </row>
    <row r="15" spans="1:14" ht="12" customHeight="1">
      <c r="A15" s="1309"/>
      <c r="B15" s="255"/>
      <c r="C15" s="85" t="s">
        <v>209</v>
      </c>
      <c r="D15" s="77" t="s">
        <v>657</v>
      </c>
      <c r="E15" s="77"/>
      <c r="F15" s="77"/>
      <c r="G15" s="77"/>
      <c r="H15" s="77"/>
      <c r="I15" s="614"/>
      <c r="J15" s="86" t="s">
        <v>205</v>
      </c>
      <c r="K15" s="87"/>
      <c r="L15" s="91"/>
      <c r="M15" s="828"/>
      <c r="N15" s="1307"/>
    </row>
    <row r="16" spans="1:14" ht="12" customHeight="1">
      <c r="A16" s="1309"/>
      <c r="B16" s="255"/>
      <c r="C16" s="83" t="s">
        <v>210</v>
      </c>
      <c r="D16" s="388" t="s">
        <v>757</v>
      </c>
      <c r="E16" s="388"/>
      <c r="F16" s="388"/>
      <c r="G16" s="388"/>
      <c r="H16" s="388"/>
      <c r="I16" s="389"/>
      <c r="J16" s="83" t="s">
        <v>205</v>
      </c>
      <c r="K16" s="84"/>
      <c r="L16" s="827">
        <f>IF(M7&gt;=50000,50000,M7)</f>
        <v>50000</v>
      </c>
      <c r="M16" s="828"/>
      <c r="N16" s="1307"/>
    </row>
    <row r="17" spans="1:14" ht="14.1" customHeight="1">
      <c r="A17" s="1309"/>
      <c r="B17" s="255"/>
      <c r="C17" s="737" t="s">
        <v>221</v>
      </c>
      <c r="D17" s="1276" t="s">
        <v>216</v>
      </c>
      <c r="E17" s="1276"/>
      <c r="F17" s="1276"/>
      <c r="G17" s="1276"/>
      <c r="H17" s="1276"/>
      <c r="I17" s="735"/>
      <c r="J17" s="86" t="s">
        <v>205</v>
      </c>
      <c r="K17" s="87"/>
      <c r="L17" s="91">
        <f>'Annexure -I'!S23</f>
        <v>2400</v>
      </c>
      <c r="M17" s="829">
        <f>SUM(L14:L17)</f>
        <v>52400</v>
      </c>
      <c r="N17" s="1307"/>
    </row>
    <row r="18" spans="1:14" ht="14.25" customHeight="1">
      <c r="A18" s="1309"/>
      <c r="B18" s="255">
        <v>6</v>
      </c>
      <c r="C18" s="1278" t="s">
        <v>217</v>
      </c>
      <c r="D18" s="1279"/>
      <c r="E18" s="1279"/>
      <c r="F18" s="1279"/>
      <c r="G18" s="1279"/>
      <c r="H18" s="1279"/>
      <c r="I18" s="1279"/>
      <c r="J18" s="83" t="s">
        <v>205</v>
      </c>
      <c r="K18" s="84"/>
      <c r="L18" s="830"/>
      <c r="M18" s="831">
        <f>M12-M17</f>
        <v>848309</v>
      </c>
      <c r="N18" s="1307"/>
    </row>
    <row r="19" spans="1:14" ht="11.25" customHeight="1">
      <c r="A19" s="1309"/>
      <c r="B19" s="255">
        <v>7</v>
      </c>
      <c r="C19" s="1281" t="s">
        <v>218</v>
      </c>
      <c r="D19" s="1276"/>
      <c r="E19" s="1276"/>
      <c r="F19" s="1276"/>
      <c r="G19" s="1276"/>
      <c r="H19" s="1276"/>
      <c r="I19" s="1276"/>
      <c r="J19" s="83" t="s">
        <v>205</v>
      </c>
      <c r="K19" s="84"/>
      <c r="L19" s="830">
        <f>DATA!O13</f>
        <v>0</v>
      </c>
      <c r="M19" s="832"/>
      <c r="N19" s="1307"/>
    </row>
    <row r="20" spans="1:14" ht="11.25" customHeight="1">
      <c r="A20" s="1309"/>
      <c r="B20" s="255">
        <v>8</v>
      </c>
      <c r="C20" s="1281" t="s">
        <v>219</v>
      </c>
      <c r="D20" s="1276"/>
      <c r="E20" s="1276"/>
      <c r="F20" s="1276"/>
      <c r="G20" s="1276"/>
      <c r="H20" s="1276"/>
      <c r="I20" s="1276"/>
      <c r="J20" s="83" t="s">
        <v>205</v>
      </c>
      <c r="K20" s="84"/>
      <c r="L20" s="830">
        <f>DATA!O14</f>
        <v>0</v>
      </c>
      <c r="M20" s="833"/>
      <c r="N20" s="1307"/>
    </row>
    <row r="21" spans="1:14" ht="11.25" customHeight="1">
      <c r="A21" s="1309"/>
      <c r="B21" s="255">
        <v>9</v>
      </c>
      <c r="C21" s="1281" t="s">
        <v>247</v>
      </c>
      <c r="D21" s="1276"/>
      <c r="E21" s="1276"/>
      <c r="F21" s="1276"/>
      <c r="G21" s="1276"/>
      <c r="H21" s="1276"/>
      <c r="I21" s="1276"/>
      <c r="J21" s="83" t="s">
        <v>205</v>
      </c>
      <c r="K21" s="84"/>
      <c r="L21" s="830">
        <f>DATA!O15</f>
        <v>0</v>
      </c>
      <c r="M21" s="834"/>
      <c r="N21" s="1307"/>
    </row>
    <row r="22" spans="1:14" ht="14.25" customHeight="1">
      <c r="A22" s="1309"/>
      <c r="B22" s="255">
        <v>10</v>
      </c>
      <c r="C22" s="1281" t="s">
        <v>647</v>
      </c>
      <c r="D22" s="1276"/>
      <c r="E22" s="1276"/>
      <c r="F22" s="1276"/>
      <c r="G22" s="1276"/>
      <c r="H22" s="1276"/>
      <c r="I22" s="1280"/>
      <c r="J22" s="83" t="s">
        <v>205</v>
      </c>
      <c r="K22" s="84"/>
      <c r="L22" s="463">
        <f>IF(DATA!AD44&lt;3,0,'Annexure -I'!P23)</f>
        <v>0</v>
      </c>
      <c r="M22" s="834"/>
      <c r="N22" s="1307"/>
    </row>
    <row r="23" spans="1:14" ht="14.1" customHeight="1">
      <c r="A23" s="1309"/>
      <c r="B23" s="255">
        <v>11</v>
      </c>
      <c r="C23" s="407" t="str">
        <f>DATA!H37</f>
        <v>Interest on Savings Account (not fixed) U/s 80TTA</v>
      </c>
      <c r="D23" s="88"/>
      <c r="E23" s="88"/>
      <c r="F23" s="88"/>
      <c r="G23" s="88"/>
      <c r="H23" s="88"/>
      <c r="I23" s="88"/>
      <c r="J23" s="83" t="s">
        <v>205</v>
      </c>
      <c r="K23" s="84"/>
      <c r="L23" s="827">
        <f>DATA!N37</f>
        <v>0</v>
      </c>
      <c r="M23" s="829"/>
      <c r="N23" s="1307"/>
    </row>
    <row r="24" spans="1:14" ht="13.5" customHeight="1">
      <c r="A24" s="1309"/>
      <c r="B24" s="255">
        <v>12</v>
      </c>
      <c r="C24" s="1278" t="s">
        <v>527</v>
      </c>
      <c r="D24" s="1279"/>
      <c r="E24" s="1279"/>
      <c r="F24" s="1279"/>
      <c r="G24" s="1279"/>
      <c r="H24" s="1279"/>
      <c r="I24" s="1279"/>
      <c r="J24" s="83" t="s">
        <v>205</v>
      </c>
      <c r="K24" s="84"/>
      <c r="L24" s="91"/>
      <c r="M24" s="826">
        <f>SUM(M18,L19:L23)</f>
        <v>848309</v>
      </c>
      <c r="N24" s="1307"/>
    </row>
    <row r="25" spans="1:14" ht="12" customHeight="1">
      <c r="A25" s="1309"/>
      <c r="B25" s="255">
        <v>13</v>
      </c>
      <c r="C25" s="1278" t="s">
        <v>220</v>
      </c>
      <c r="D25" s="1279"/>
      <c r="E25" s="1279"/>
      <c r="F25" s="1279"/>
      <c r="G25" s="1279"/>
      <c r="H25" s="1279"/>
      <c r="I25" s="1279"/>
      <c r="J25" s="83"/>
      <c r="K25" s="84"/>
      <c r="L25" s="835"/>
      <c r="M25" s="836"/>
      <c r="N25" s="1307"/>
    </row>
    <row r="26" spans="1:14" ht="12" customHeight="1">
      <c r="A26" s="1309"/>
      <c r="B26" s="255"/>
      <c r="C26" s="85" t="s">
        <v>207</v>
      </c>
      <c r="D26" s="1276" t="str">
        <f>DATA!H33</f>
        <v>Medical Insurance Premium for Self, Spouse &amp; Children U/s 80D</v>
      </c>
      <c r="E26" s="1276"/>
      <c r="F26" s="1276"/>
      <c r="G26" s="1276"/>
      <c r="H26" s="1276"/>
      <c r="I26" s="1280"/>
      <c r="J26" s="89" t="s">
        <v>205</v>
      </c>
      <c r="K26" s="90"/>
      <c r="L26" s="91">
        <f>DATA!U69</f>
        <v>0</v>
      </c>
      <c r="M26" s="828"/>
      <c r="N26" s="1307"/>
    </row>
    <row r="27" spans="1:14" ht="12" customHeight="1">
      <c r="A27" s="1309"/>
      <c r="B27" s="255"/>
      <c r="C27" s="85" t="s">
        <v>209</v>
      </c>
      <c r="D27" s="1276" t="str">
        <f>DATA!H34</f>
        <v>Senior Citizen Parents Medical Insurance U/s 80D</v>
      </c>
      <c r="E27" s="1276"/>
      <c r="F27" s="1276"/>
      <c r="G27" s="1276"/>
      <c r="H27" s="1276"/>
      <c r="I27" s="1280"/>
      <c r="J27" s="89" t="s">
        <v>205</v>
      </c>
      <c r="K27" s="90"/>
      <c r="L27" s="91">
        <f>DATA!U70</f>
        <v>0</v>
      </c>
      <c r="M27" s="828"/>
      <c r="N27" s="1307"/>
    </row>
    <row r="28" spans="1:14" ht="12" customHeight="1">
      <c r="A28" s="1309"/>
      <c r="B28" s="255"/>
      <c r="C28" s="85" t="s">
        <v>210</v>
      </c>
      <c r="D28" s="1276" t="str">
        <f>DATA!H35</f>
        <v>Payment made for preventive health check up of Assessee, spouse, children &amp; parents</v>
      </c>
      <c r="E28" s="1276"/>
      <c r="F28" s="1276"/>
      <c r="G28" s="1276"/>
      <c r="H28" s="1276"/>
      <c r="I28" s="1280"/>
      <c r="J28" s="89" t="s">
        <v>205</v>
      </c>
      <c r="K28" s="90"/>
      <c r="L28" s="91">
        <f>DATA!U72</f>
        <v>0</v>
      </c>
      <c r="M28" s="828"/>
      <c r="N28" s="1307"/>
    </row>
    <row r="29" spans="1:14" ht="12" customHeight="1">
      <c r="A29" s="1309"/>
      <c r="B29" s="255"/>
      <c r="C29" s="85" t="s">
        <v>221</v>
      </c>
      <c r="D29" s="1276" t="s">
        <v>648</v>
      </c>
      <c r="E29" s="1276"/>
      <c r="F29" s="1276"/>
      <c r="G29" s="1276"/>
      <c r="H29" s="1276"/>
      <c r="I29" s="1280"/>
      <c r="J29" s="89" t="s">
        <v>205</v>
      </c>
      <c r="K29" s="90"/>
      <c r="L29" s="91">
        <f>L22</f>
        <v>0</v>
      </c>
      <c r="M29" s="828"/>
      <c r="N29" s="1307"/>
    </row>
    <row r="30" spans="1:14" ht="12" customHeight="1">
      <c r="A30" s="1309"/>
      <c r="B30" s="255"/>
      <c r="C30" s="85" t="s">
        <v>222</v>
      </c>
      <c r="D30" s="1276" t="str">
        <f>DATA!O78</f>
        <v>Interest on Educational Loan U/s 80E</v>
      </c>
      <c r="E30" s="1276"/>
      <c r="F30" s="1276"/>
      <c r="G30" s="1276"/>
      <c r="H30" s="1276"/>
      <c r="I30" s="1280"/>
      <c r="J30" s="89" t="s">
        <v>205</v>
      </c>
      <c r="K30" s="90"/>
      <c r="L30" s="91">
        <f>DATA!N30</f>
        <v>0</v>
      </c>
      <c r="M30" s="828"/>
      <c r="N30" s="1307"/>
    </row>
    <row r="31" spans="1:14" ht="25.5" customHeight="1">
      <c r="A31" s="1309"/>
      <c r="B31" s="255"/>
      <c r="C31" s="85" t="s">
        <v>223</v>
      </c>
      <c r="D31" s="1276" t="str">
        <f>DATA!O80</f>
        <v>Interest on Housing Loan Advance U/c 24</v>
      </c>
      <c r="E31" s="1276"/>
      <c r="F31" s="1276"/>
      <c r="G31" s="1276"/>
      <c r="H31" s="1276"/>
      <c r="I31" s="1280"/>
      <c r="J31" s="89" t="s">
        <v>205</v>
      </c>
      <c r="K31" s="90"/>
      <c r="L31" s="91">
        <f>IF(DATA!AA18&gt;1,DATA!U82,0)</f>
        <v>158610</v>
      </c>
      <c r="M31" s="828"/>
      <c r="N31" s="1307"/>
    </row>
    <row r="32" spans="1:14" ht="12" customHeight="1">
      <c r="A32" s="1309"/>
      <c r="B32" s="255"/>
      <c r="C32" s="115" t="s">
        <v>224</v>
      </c>
      <c r="D32" s="1289" t="str">
        <f>IF(DATA!AA18=2,"Interest on Housing Loan U/s 80EEA ","Interest on Housing Loan U/s 80EE ")</f>
        <v xml:space="preserve">Interest on Housing Loan U/s 80EEA </v>
      </c>
      <c r="E32" s="1289"/>
      <c r="F32" s="1289"/>
      <c r="G32" s="1289"/>
      <c r="H32" s="1289"/>
      <c r="I32" s="1290"/>
      <c r="J32" s="89" t="s">
        <v>205</v>
      </c>
      <c r="K32" s="92"/>
      <c r="L32" s="91">
        <f>DATA!AB17</f>
        <v>0</v>
      </c>
      <c r="M32" s="828"/>
      <c r="N32" s="1307"/>
    </row>
    <row r="33" spans="1:22" ht="12" customHeight="1">
      <c r="A33" s="1309"/>
      <c r="B33" s="255"/>
      <c r="C33" s="85" t="s">
        <v>14</v>
      </c>
      <c r="D33" s="1276" t="str">
        <f>DATA!O82</f>
        <v xml:space="preserve">No Handicapped Dependent </v>
      </c>
      <c r="E33" s="1276"/>
      <c r="F33" s="1276"/>
      <c r="G33" s="1276"/>
      <c r="H33" s="1276"/>
      <c r="I33" s="1280"/>
      <c r="J33" s="89" t="s">
        <v>205</v>
      </c>
      <c r="K33" s="92"/>
      <c r="L33" s="91">
        <f>DATA!U84</f>
        <v>0</v>
      </c>
      <c r="M33" s="828"/>
      <c r="N33" s="1307"/>
    </row>
    <row r="34" spans="1:22" ht="12" customHeight="1">
      <c r="A34" s="1309"/>
      <c r="B34" s="255"/>
      <c r="C34" s="85" t="s">
        <v>227</v>
      </c>
      <c r="D34" s="1276" t="str">
        <f>DATA!O83</f>
        <v/>
      </c>
      <c r="E34" s="1276"/>
      <c r="F34" s="1276"/>
      <c r="G34" s="1276"/>
      <c r="H34" s="1276"/>
      <c r="I34" s="1280"/>
      <c r="J34" s="89" t="s">
        <v>205</v>
      </c>
      <c r="K34" s="92"/>
      <c r="L34" s="91">
        <f>DATA!U85</f>
        <v>0</v>
      </c>
      <c r="M34" s="828"/>
      <c r="N34" s="1307"/>
    </row>
    <row r="35" spans="1:22" ht="13.5" customHeight="1">
      <c r="A35" s="1309"/>
      <c r="B35" s="255"/>
      <c r="C35" s="85" t="s">
        <v>228</v>
      </c>
      <c r="D35" s="1276" t="s">
        <v>540</v>
      </c>
      <c r="E35" s="1276"/>
      <c r="F35" s="1276"/>
      <c r="G35" s="1276"/>
      <c r="H35" s="1276"/>
      <c r="I35" s="1276"/>
      <c r="J35" s="93" t="s">
        <v>205</v>
      </c>
      <c r="K35" s="94"/>
      <c r="L35" s="95">
        <f>'Annexure -I'!V23+'Annexure -I'!W23</f>
        <v>120</v>
      </c>
      <c r="M35" s="828"/>
      <c r="N35" s="1307"/>
    </row>
    <row r="36" spans="1:22" ht="14.25" customHeight="1">
      <c r="A36" s="1309"/>
      <c r="B36" s="255"/>
      <c r="C36" s="1278" t="s">
        <v>225</v>
      </c>
      <c r="D36" s="1279"/>
      <c r="E36" s="1279"/>
      <c r="F36" s="1279"/>
      <c r="G36" s="1279"/>
      <c r="H36" s="1279"/>
      <c r="I36" s="1279"/>
      <c r="J36" s="96" t="s">
        <v>205</v>
      </c>
      <c r="K36" s="97"/>
      <c r="L36" s="837">
        <f>SUM(L26:L35)</f>
        <v>158730</v>
      </c>
      <c r="M36" s="829">
        <f>L36</f>
        <v>158730</v>
      </c>
      <c r="N36" s="1307"/>
    </row>
    <row r="37" spans="1:22" ht="12" customHeight="1">
      <c r="A37" s="1309"/>
      <c r="B37" s="255">
        <v>14</v>
      </c>
      <c r="C37" s="1278" t="s">
        <v>543</v>
      </c>
      <c r="D37" s="1279"/>
      <c r="E37" s="1279"/>
      <c r="F37" s="1279"/>
      <c r="G37" s="1279"/>
      <c r="H37" s="1279"/>
      <c r="I37" s="1279"/>
      <c r="J37" s="83" t="s">
        <v>205</v>
      </c>
      <c r="K37" s="84"/>
      <c r="L37" s="827"/>
      <c r="M37" s="838">
        <f>M24-M36</f>
        <v>689579</v>
      </c>
      <c r="N37" s="1307"/>
    </row>
    <row r="38" spans="1:22" ht="12" customHeight="1">
      <c r="A38" s="1309"/>
      <c r="B38" s="255">
        <v>15</v>
      </c>
      <c r="C38" s="1278" t="s">
        <v>499</v>
      </c>
      <c r="D38" s="1279"/>
      <c r="E38" s="1279"/>
      <c r="F38" s="1279"/>
      <c r="G38" s="1279"/>
      <c r="H38" s="1279"/>
      <c r="I38" s="1279"/>
      <c r="J38" s="83"/>
      <c r="K38" s="84"/>
      <c r="L38" s="827"/>
      <c r="M38" s="828"/>
      <c r="N38" s="1307"/>
    </row>
    <row r="39" spans="1:22" ht="12" customHeight="1">
      <c r="A39" s="1309"/>
      <c r="B39" s="255"/>
      <c r="C39" s="85" t="s">
        <v>207</v>
      </c>
      <c r="D39" s="1276" t="str">
        <f>DATA!AG44</f>
        <v>ZP GPF A/c No. (8441)</v>
      </c>
      <c r="E39" s="1276"/>
      <c r="F39" s="1276"/>
      <c r="G39" s="1276"/>
      <c r="H39" s="1276"/>
      <c r="I39" s="1280"/>
      <c r="J39" s="86" t="s">
        <v>205</v>
      </c>
      <c r="K39" s="87"/>
      <c r="L39" s="463">
        <f>IF(DATA!AD44=3,U50,'Annexure -I'!P23)</f>
        <v>155411</v>
      </c>
      <c r="M39" s="828"/>
      <c r="N39" s="1307"/>
    </row>
    <row r="40" spans="1:22" ht="12" customHeight="1">
      <c r="A40" s="1309"/>
      <c r="B40" s="255"/>
      <c r="C40" s="85" t="s">
        <v>209</v>
      </c>
      <c r="D40" s="1276" t="s">
        <v>19</v>
      </c>
      <c r="E40" s="1276"/>
      <c r="F40" s="88"/>
      <c r="G40" s="391" t="s">
        <v>456</v>
      </c>
      <c r="H40" s="392" t="str">
        <f>DATA!D18</f>
        <v>L-1001955A</v>
      </c>
      <c r="I40" s="77" t="s">
        <v>242</v>
      </c>
      <c r="J40" s="86" t="s">
        <v>205</v>
      </c>
      <c r="K40" s="87"/>
      <c r="L40" s="91">
        <f>'Annexure -I'!Q23</f>
        <v>4200</v>
      </c>
      <c r="M40" s="828"/>
      <c r="N40" s="1307"/>
    </row>
    <row r="41" spans="1:22" ht="12" customHeight="1">
      <c r="A41" s="1309"/>
      <c r="B41" s="255"/>
      <c r="C41" s="85" t="s">
        <v>210</v>
      </c>
      <c r="D41" s="88" t="s">
        <v>20</v>
      </c>
      <c r="E41" s="88"/>
      <c r="F41" s="88"/>
      <c r="G41" s="88"/>
      <c r="H41" s="88"/>
      <c r="I41" s="88"/>
      <c r="J41" s="86" t="s">
        <v>205</v>
      </c>
      <c r="K41" s="87"/>
      <c r="L41" s="91">
        <f>'Annexure -I'!R23</f>
        <v>840</v>
      </c>
      <c r="M41" s="828"/>
      <c r="N41" s="1307"/>
    </row>
    <row r="42" spans="1:22" ht="12" customHeight="1">
      <c r="A42" s="1309"/>
      <c r="B42" s="255"/>
      <c r="C42" s="85" t="s">
        <v>221</v>
      </c>
      <c r="D42" s="1276" t="s">
        <v>226</v>
      </c>
      <c r="E42" s="1276"/>
      <c r="F42" s="1276"/>
      <c r="G42" s="1276"/>
      <c r="H42" s="1276"/>
      <c r="I42" s="1276"/>
      <c r="J42" s="86" t="s">
        <v>205</v>
      </c>
      <c r="K42" s="87"/>
      <c r="L42" s="91">
        <f>'Annexure -I'!U23</f>
        <v>0</v>
      </c>
      <c r="M42" s="828"/>
      <c r="N42" s="1307"/>
    </row>
    <row r="43" spans="1:22" ht="12" customHeight="1">
      <c r="A43" s="1309"/>
      <c r="B43" s="255"/>
      <c r="C43" s="85" t="s">
        <v>222</v>
      </c>
      <c r="D43" s="1276" t="str">
        <f>DATA!C30</f>
        <v>Children Tuition Fee (2Children)</v>
      </c>
      <c r="E43" s="1276"/>
      <c r="F43" s="1276"/>
      <c r="G43" s="1276"/>
      <c r="H43" s="1276"/>
      <c r="I43" s="1276"/>
      <c r="J43" s="86" t="s">
        <v>205</v>
      </c>
      <c r="K43" s="87"/>
      <c r="L43" s="91">
        <f>DATA!F30</f>
        <v>0</v>
      </c>
      <c r="M43" s="828"/>
      <c r="N43" s="1307"/>
    </row>
    <row r="44" spans="1:22" ht="12" customHeight="1">
      <c r="A44" s="1309"/>
      <c r="B44" s="255"/>
      <c r="C44" s="85" t="s">
        <v>223</v>
      </c>
      <c r="D44" s="384" t="s">
        <v>183</v>
      </c>
      <c r="E44" s="88"/>
      <c r="F44" s="88"/>
      <c r="G44" s="88"/>
      <c r="H44" s="88"/>
      <c r="I44" s="88"/>
      <c r="J44" s="86" t="s">
        <v>205</v>
      </c>
      <c r="K44" s="87"/>
      <c r="L44" s="91">
        <f>IF(DATA!AA18&gt;1,DATA!F21,0)</f>
        <v>59926.5</v>
      </c>
      <c r="M44" s="828"/>
      <c r="N44" s="1307"/>
    </row>
    <row r="45" spans="1:22" ht="12" customHeight="1">
      <c r="A45" s="1309"/>
      <c r="B45" s="255"/>
      <c r="C45" s="85" t="s">
        <v>224</v>
      </c>
      <c r="D45" s="88" t="str">
        <f>DATA!C31</f>
        <v xml:space="preserve">5Years Fixed Deposits                           </v>
      </c>
      <c r="E45" s="88"/>
      <c r="F45" s="88"/>
      <c r="G45" s="88"/>
      <c r="H45" s="88"/>
      <c r="I45" s="88"/>
      <c r="J45" s="86" t="s">
        <v>205</v>
      </c>
      <c r="K45" s="87"/>
      <c r="L45" s="91">
        <f>DATA!F31</f>
        <v>0</v>
      </c>
      <c r="M45" s="828"/>
      <c r="N45" s="1307"/>
    </row>
    <row r="46" spans="1:22" ht="12" customHeight="1">
      <c r="A46" s="1309"/>
      <c r="B46" s="255"/>
      <c r="C46" s="85" t="s">
        <v>14</v>
      </c>
      <c r="D46" s="88" t="str">
        <f>DATA!C32</f>
        <v xml:space="preserve">National Savings Certificate                </v>
      </c>
      <c r="E46" s="88"/>
      <c r="F46" s="88"/>
      <c r="G46" s="88"/>
      <c r="H46" s="88"/>
      <c r="I46" s="88"/>
      <c r="J46" s="86" t="s">
        <v>205</v>
      </c>
      <c r="K46" s="87"/>
      <c r="L46" s="91">
        <f>DATA!F32</f>
        <v>0</v>
      </c>
      <c r="M46" s="828"/>
      <c r="N46" s="1307"/>
    </row>
    <row r="47" spans="1:22" ht="12" customHeight="1">
      <c r="A47" s="1309"/>
      <c r="B47" s="255"/>
      <c r="C47" s="85" t="s">
        <v>227</v>
      </c>
      <c r="D47" s="88" t="str">
        <f>DATA!C33</f>
        <v xml:space="preserve">PLI Annual Insurance Plan                   </v>
      </c>
      <c r="E47" s="88"/>
      <c r="F47" s="88"/>
      <c r="G47" s="88"/>
      <c r="H47" s="88"/>
      <c r="I47" s="88"/>
      <c r="J47" s="86" t="s">
        <v>205</v>
      </c>
      <c r="K47" s="87"/>
      <c r="L47" s="91">
        <f>DATA!F33</f>
        <v>0</v>
      </c>
      <c r="M47" s="828"/>
      <c r="N47" s="1307"/>
    </row>
    <row r="48" spans="1:22" ht="12" customHeight="1">
      <c r="A48" s="1309"/>
      <c r="B48" s="255"/>
      <c r="C48" s="85" t="s">
        <v>228</v>
      </c>
      <c r="D48" s="88" t="str">
        <f>DATA!C34</f>
        <v xml:space="preserve">LIC Annual Premiums Paid by Hand    </v>
      </c>
      <c r="E48" s="88"/>
      <c r="F48" s="88"/>
      <c r="G48" s="88"/>
      <c r="H48" s="88"/>
      <c r="I48" s="88"/>
      <c r="J48" s="86" t="s">
        <v>205</v>
      </c>
      <c r="K48" s="87"/>
      <c r="L48" s="91">
        <f>DATA!F34</f>
        <v>0</v>
      </c>
      <c r="M48" s="828"/>
      <c r="N48" s="1307"/>
      <c r="P48" s="447"/>
      <c r="Q48" s="447" t="s">
        <v>530</v>
      </c>
      <c r="R48" s="447" t="s">
        <v>531</v>
      </c>
      <c r="S48" s="447" t="s">
        <v>140</v>
      </c>
      <c r="T48" s="447"/>
      <c r="U48" s="447" t="s">
        <v>532</v>
      </c>
      <c r="V48" s="447" t="s">
        <v>533</v>
      </c>
    </row>
    <row r="49" spans="1:83" ht="12" customHeight="1">
      <c r="A49" s="1309"/>
      <c r="B49" s="255"/>
      <c r="C49" s="85" t="s">
        <v>229</v>
      </c>
      <c r="D49" s="88" t="str">
        <f>DATA!C35</f>
        <v xml:space="preserve">Investment in Sukanya Samridhi        </v>
      </c>
      <c r="E49" s="88"/>
      <c r="F49" s="88"/>
      <c r="G49" s="88"/>
      <c r="H49" s="88"/>
      <c r="I49" s="88"/>
      <c r="J49" s="86" t="s">
        <v>205</v>
      </c>
      <c r="K49" s="87"/>
      <c r="L49" s="725">
        <f>DATA!F35</f>
        <v>0</v>
      </c>
      <c r="M49" s="828"/>
      <c r="N49" s="1307"/>
      <c r="P49" s="448">
        <f>'Annexure -I'!P23</f>
        <v>155411</v>
      </c>
      <c r="Q49" s="449">
        <f>SUM(L40:L51)</f>
        <v>64966.5</v>
      </c>
      <c r="R49" s="449">
        <f>IF(Q49&gt;=150000,0,150000-Q49)</f>
        <v>85033.5</v>
      </c>
      <c r="S49" s="449">
        <f>IF(DATA!AD44&lt;3,0,P49)</f>
        <v>0</v>
      </c>
      <c r="T49" s="447">
        <f>IF(R49&gt;S49,S49,R49)</f>
        <v>0</v>
      </c>
      <c r="U49" s="447">
        <f>IF(T49=0,0,T49)</f>
        <v>0</v>
      </c>
      <c r="V49" s="449">
        <f>IF(AND(Q49&gt;100000,S49&lt;=50000),S49,S49-U49)</f>
        <v>0</v>
      </c>
      <c r="AB49" s="310" t="s">
        <v>738</v>
      </c>
    </row>
    <row r="50" spans="1:83" ht="11.25" customHeight="1">
      <c r="A50" s="1309"/>
      <c r="B50" s="255"/>
      <c r="C50" s="85" t="s">
        <v>512</v>
      </c>
      <c r="D50" s="88" t="str">
        <f>DATA!C36</f>
        <v xml:space="preserve">Public Provident Fund                           </v>
      </c>
      <c r="E50" s="88"/>
      <c r="F50" s="88"/>
      <c r="G50" s="88"/>
      <c r="H50" s="88"/>
      <c r="I50" s="88"/>
      <c r="J50" s="86" t="s">
        <v>205</v>
      </c>
      <c r="K50" s="87"/>
      <c r="L50" s="91">
        <f>DATA!F36</f>
        <v>0</v>
      </c>
      <c r="M50" s="828"/>
      <c r="N50" s="1307"/>
      <c r="P50" s="447"/>
      <c r="Q50" s="447"/>
      <c r="R50" s="447"/>
      <c r="S50" s="447"/>
      <c r="T50" s="447"/>
      <c r="U50" s="447">
        <f>IF(S49=V49,0,U49)</f>
        <v>0</v>
      </c>
      <c r="V50" s="449">
        <f>V49</f>
        <v>0</v>
      </c>
    </row>
    <row r="51" spans="1:83" ht="14.25" customHeight="1" thickBot="1">
      <c r="A51" s="1309"/>
      <c r="B51" s="255"/>
      <c r="C51" s="85" t="s">
        <v>632</v>
      </c>
      <c r="D51" s="88" t="s">
        <v>244</v>
      </c>
      <c r="E51" s="88"/>
      <c r="F51" s="1277">
        <f>DATA!C37</f>
        <v>0</v>
      </c>
      <c r="G51" s="1277"/>
      <c r="H51" s="1277"/>
      <c r="I51" s="88" t="s">
        <v>242</v>
      </c>
      <c r="J51" s="99" t="s">
        <v>205</v>
      </c>
      <c r="K51" s="100"/>
      <c r="L51" s="91">
        <f>DATA!F37</f>
        <v>0</v>
      </c>
      <c r="M51" s="828"/>
      <c r="N51" s="1307"/>
      <c r="P51" s="446"/>
      <c r="Q51" s="446"/>
      <c r="R51" s="446"/>
      <c r="S51" s="446"/>
      <c r="T51" s="446"/>
      <c r="U51" s="450"/>
      <c r="V51" s="450"/>
      <c r="AB51" s="310" t="s">
        <v>739</v>
      </c>
    </row>
    <row r="52" spans="1:83" ht="12.75" customHeight="1" thickBot="1">
      <c r="A52" s="1309"/>
      <c r="B52" s="255"/>
      <c r="C52" s="1278" t="s">
        <v>230</v>
      </c>
      <c r="D52" s="1279"/>
      <c r="E52" s="1279"/>
      <c r="F52" s="1279"/>
      <c r="G52" s="80"/>
      <c r="H52" s="80"/>
      <c r="I52" s="101"/>
      <c r="J52" s="96" t="s">
        <v>205</v>
      </c>
      <c r="K52" s="97"/>
      <c r="L52" s="837">
        <f>SUM(L39:L51)</f>
        <v>220377.5</v>
      </c>
      <c r="M52" s="839">
        <f>IF(L52&lt;=150000,L52,150000)</f>
        <v>150000</v>
      </c>
      <c r="N52" s="1307"/>
      <c r="P52" s="451">
        <f>IF(DATA!AD44&lt;3,0,IF(AND(P49=U49,DATA!AD44=3),0,IF(DATA!AD44=3,V49)))</f>
        <v>0</v>
      </c>
      <c r="Q52" s="446" t="s">
        <v>545</v>
      </c>
      <c r="R52" s="446"/>
      <c r="S52" s="446"/>
      <c r="T52" s="446"/>
      <c r="U52" s="450">
        <f>IF(Q49&lt;=100000,S49,0)</f>
        <v>0</v>
      </c>
      <c r="V52" s="450">
        <f>IF(Q49&gt;=100000,S49,0)</f>
        <v>0</v>
      </c>
    </row>
    <row r="53" spans="1:83" ht="12.75" customHeight="1">
      <c r="A53" s="1309"/>
      <c r="B53" s="255"/>
      <c r="C53" s="820" t="s">
        <v>831</v>
      </c>
      <c r="D53" s="1283" t="str">
        <f>CONCATENATE("Additional benefit under NPS U/s 80CCD(1B) (PRAN-",DATA!G16,")")</f>
        <v>Additional benefit under NPS U/s 80CCD(1B) (PRAN-8441)</v>
      </c>
      <c r="E53" s="1283"/>
      <c r="F53" s="1283"/>
      <c r="G53" s="1283"/>
      <c r="H53" s="1283"/>
      <c r="I53" s="1285"/>
      <c r="J53" s="83"/>
      <c r="K53" s="84"/>
      <c r="L53" s="840">
        <f>IF(DATA!AD44&lt;3,0,V49)</f>
        <v>0</v>
      </c>
      <c r="M53" s="828">
        <f>IF(L53&lt;50000,L53,50000)</f>
        <v>0</v>
      </c>
      <c r="N53" s="1307"/>
      <c r="P53" s="446"/>
      <c r="Q53" s="446"/>
      <c r="R53" s="446"/>
      <c r="S53" s="446"/>
      <c r="T53" s="446"/>
      <c r="U53" s="450"/>
      <c r="V53" s="450"/>
    </row>
    <row r="54" spans="1:83" ht="12.75" customHeight="1">
      <c r="A54" s="1309"/>
      <c r="B54" s="255"/>
      <c r="C54" s="820" t="s">
        <v>831</v>
      </c>
      <c r="D54" s="384" t="s">
        <v>515</v>
      </c>
      <c r="E54" s="384"/>
      <c r="F54" s="384"/>
      <c r="G54" s="384"/>
      <c r="H54" s="384"/>
      <c r="I54" s="384"/>
      <c r="J54" s="83" t="s">
        <v>205</v>
      </c>
      <c r="K54" s="84"/>
      <c r="L54" s="827">
        <f>DATA!N37</f>
        <v>0</v>
      </c>
      <c r="M54" s="828">
        <f>IF(L54&lt;10000,L54,10000)</f>
        <v>0</v>
      </c>
      <c r="N54" s="1307"/>
    </row>
    <row r="55" spans="1:83" ht="12.75" customHeight="1" thickBot="1">
      <c r="A55" s="1309"/>
      <c r="B55" s="255">
        <v>16</v>
      </c>
      <c r="C55" s="1278" t="s">
        <v>544</v>
      </c>
      <c r="D55" s="1279"/>
      <c r="E55" s="1279"/>
      <c r="F55" s="1279"/>
      <c r="G55" s="1279"/>
      <c r="H55" s="1279"/>
      <c r="I55" s="1279"/>
      <c r="J55" s="102" t="s">
        <v>205</v>
      </c>
      <c r="K55" s="103"/>
      <c r="L55" s="835"/>
      <c r="M55" s="841">
        <f>IF(ROUND(M37-M52-M53-M54,-1)&lt;=0,0,ROUND(M37-M52-M53-M54,-1))</f>
        <v>539580</v>
      </c>
      <c r="N55" s="1307"/>
    </row>
    <row r="56" spans="1:83" ht="12.75" customHeight="1">
      <c r="A56" s="1309"/>
      <c r="B56" s="255">
        <v>17</v>
      </c>
      <c r="C56" s="1278" t="s">
        <v>231</v>
      </c>
      <c r="D56" s="1279"/>
      <c r="E56" s="1279"/>
      <c r="F56" s="1279"/>
      <c r="G56" s="1279"/>
      <c r="H56" s="1279"/>
      <c r="I56" s="80"/>
      <c r="J56" s="86"/>
      <c r="K56" s="87"/>
      <c r="L56" s="91"/>
      <c r="M56" s="842"/>
      <c r="N56" s="1307"/>
      <c r="V56" s="623"/>
      <c r="W56" s="624"/>
      <c r="X56" s="624"/>
      <c r="Y56" s="624"/>
      <c r="Z56" s="624"/>
      <c r="AA56" s="624"/>
      <c r="AB56" s="624"/>
      <c r="AC56" s="624"/>
      <c r="AD56" s="624"/>
      <c r="AE56" s="1284" t="s">
        <v>870</v>
      </c>
      <c r="AF56" s="1284"/>
      <c r="AG56" s="1284"/>
      <c r="AH56" s="624"/>
      <c r="AI56" s="624"/>
      <c r="AJ56" s="624"/>
      <c r="AK56" s="624"/>
      <c r="AL56" s="624"/>
      <c r="AM56" s="624"/>
      <c r="AN56" s="624"/>
      <c r="AO56" s="625"/>
      <c r="AQ56" s="623"/>
      <c r="AR56" s="624"/>
      <c r="AS56" s="624"/>
      <c r="AT56" s="624"/>
      <c r="AU56" s="624"/>
      <c r="AV56" s="624"/>
      <c r="AW56" s="624"/>
      <c r="AX56" s="624"/>
      <c r="AY56" s="624"/>
      <c r="AZ56" s="1284" t="s">
        <v>761</v>
      </c>
      <c r="BA56" s="1284"/>
      <c r="BB56" s="1284"/>
      <c r="BC56" s="624"/>
      <c r="BD56" s="624"/>
      <c r="BE56" s="624"/>
      <c r="BF56" s="624"/>
      <c r="BG56" s="624"/>
      <c r="BH56" s="624"/>
      <c r="BI56" s="624"/>
      <c r="BJ56" s="625"/>
      <c r="BL56" s="623"/>
      <c r="BM56" s="624"/>
      <c r="BN56" s="624"/>
      <c r="BO56" s="624"/>
      <c r="BP56" s="624"/>
      <c r="BQ56" s="624"/>
      <c r="BR56" s="624"/>
      <c r="BS56" s="624"/>
      <c r="BT56" s="624"/>
      <c r="BU56" s="1284" t="s">
        <v>773</v>
      </c>
      <c r="BV56" s="1284"/>
      <c r="BW56" s="1284"/>
      <c r="BX56" s="624"/>
      <c r="BY56" s="624"/>
      <c r="BZ56" s="624"/>
      <c r="CA56" s="624"/>
      <c r="CB56" s="624"/>
      <c r="CC56" s="624"/>
      <c r="CD56" s="624"/>
      <c r="CE56" s="625"/>
    </row>
    <row r="57" spans="1:83" ht="11.25" customHeight="1">
      <c r="A57" s="1309"/>
      <c r="B57" s="255"/>
      <c r="C57" s="85" t="s">
        <v>207</v>
      </c>
      <c r="D57" s="1286" t="s">
        <v>491</v>
      </c>
      <c r="E57" s="1286"/>
      <c r="F57" s="1286"/>
      <c r="G57" s="1286"/>
      <c r="H57" s="1286"/>
      <c r="I57" s="98"/>
      <c r="J57" s="86" t="s">
        <v>205</v>
      </c>
      <c r="K57" s="87"/>
      <c r="L57" s="91"/>
      <c r="M57" s="843" t="s">
        <v>232</v>
      </c>
      <c r="N57" s="1307"/>
      <c r="V57" s="626"/>
      <c r="W57" s="313"/>
      <c r="X57" s="313"/>
      <c r="Y57" s="313"/>
      <c r="Z57" s="313"/>
      <c r="AA57" s="313"/>
      <c r="AB57" s="313"/>
      <c r="AC57" s="313"/>
      <c r="AD57" s="313"/>
      <c r="AE57" s="313"/>
      <c r="AF57" s="313"/>
      <c r="AG57" s="313"/>
      <c r="AH57" s="313"/>
      <c r="AI57" s="313"/>
      <c r="AJ57" s="313"/>
      <c r="AK57" s="313"/>
      <c r="AL57" s="313"/>
      <c r="AM57" s="313"/>
      <c r="AN57" s="313"/>
      <c r="AO57" s="418"/>
      <c r="AQ57" s="626"/>
      <c r="AR57" s="313"/>
      <c r="AS57" s="313"/>
      <c r="AT57" s="313"/>
      <c r="AU57" s="313"/>
      <c r="AV57" s="313"/>
      <c r="AW57" s="313"/>
      <c r="AX57" s="313"/>
      <c r="AY57" s="313"/>
      <c r="AZ57" s="313"/>
      <c r="BA57" s="313"/>
      <c r="BB57" s="313"/>
      <c r="BC57" s="313"/>
      <c r="BD57" s="313"/>
      <c r="BE57" s="313"/>
      <c r="BF57" s="313"/>
      <c r="BG57" s="313"/>
      <c r="BH57" s="313"/>
      <c r="BI57" s="313"/>
      <c r="BJ57" s="418"/>
      <c r="BL57" s="626"/>
      <c r="BM57" s="313"/>
      <c r="BN57" s="313"/>
      <c r="BO57" s="313"/>
      <c r="BP57" s="313"/>
      <c r="BQ57" s="313"/>
      <c r="BR57" s="313"/>
      <c r="BS57" s="313"/>
      <c r="BT57" s="313"/>
      <c r="BU57" s="313"/>
      <c r="BV57" s="313"/>
      <c r="BW57" s="313"/>
      <c r="BX57" s="313"/>
      <c r="BY57" s="313"/>
      <c r="BZ57" s="313"/>
      <c r="CA57" s="313"/>
      <c r="CB57" s="313"/>
      <c r="CC57" s="313"/>
      <c r="CD57" s="313"/>
      <c r="CE57" s="418"/>
    </row>
    <row r="58" spans="1:83" ht="11.25" customHeight="1">
      <c r="A58" s="1309"/>
      <c r="B58" s="255"/>
      <c r="C58" s="85" t="s">
        <v>209</v>
      </c>
      <c r="D58" s="1286" t="s">
        <v>656</v>
      </c>
      <c r="E58" s="1286"/>
      <c r="F58" s="1286"/>
      <c r="G58" s="1286"/>
      <c r="H58" s="1286"/>
      <c r="I58" s="98"/>
      <c r="J58" s="86" t="s">
        <v>205</v>
      </c>
      <c r="K58" s="87"/>
      <c r="L58" s="91"/>
      <c r="M58" s="842">
        <f>AD60</f>
        <v>12500</v>
      </c>
      <c r="N58" s="1307"/>
      <c r="V58" s="626"/>
      <c r="W58" s="313"/>
      <c r="X58" s="313" t="s">
        <v>676</v>
      </c>
      <c r="Y58" s="313"/>
      <c r="Z58" s="627">
        <f>M55</f>
        <v>539580</v>
      </c>
      <c r="AA58" s="627"/>
      <c r="AB58" s="627"/>
      <c r="AC58" s="313"/>
      <c r="AD58" s="313"/>
      <c r="AE58" s="313"/>
      <c r="AF58" s="313">
        <f>DATA!H27</f>
        <v>0</v>
      </c>
      <c r="AG58" s="313">
        <f>DATA!H26</f>
        <v>0</v>
      </c>
      <c r="AH58" s="627">
        <f>Z58-AF58-AG58</f>
        <v>539580</v>
      </c>
      <c r="AI58" s="313"/>
      <c r="AJ58" s="313"/>
      <c r="AK58" s="313"/>
      <c r="AL58" s="313"/>
      <c r="AM58" s="313"/>
      <c r="AN58" s="313"/>
      <c r="AO58" s="418"/>
      <c r="AQ58" s="626">
        <f>DATA!AC70</f>
        <v>2</v>
      </c>
      <c r="AR58" s="313"/>
      <c r="AS58" s="313">
        <f>DATA!O27</f>
        <v>0</v>
      </c>
      <c r="AT58" s="651">
        <f>DATA!H27</f>
        <v>0</v>
      </c>
      <c r="AU58" s="627">
        <f>SUM(AS58:AT58)</f>
        <v>0</v>
      </c>
      <c r="AV58" s="627"/>
      <c r="AW58" s="627"/>
      <c r="AX58" s="313"/>
      <c r="AY58" s="313"/>
      <c r="AZ58" s="313"/>
      <c r="BA58" s="313"/>
      <c r="BB58" s="313"/>
      <c r="BC58" s="627">
        <f>AS58</f>
        <v>0</v>
      </c>
      <c r="BD58" s="313"/>
      <c r="BE58" s="313"/>
      <c r="BF58" s="313"/>
      <c r="BG58" s="313"/>
      <c r="BH58" s="313"/>
      <c r="BI58" s="651">
        <f>DATA!H27</f>
        <v>0</v>
      </c>
      <c r="BJ58" s="418"/>
      <c r="BL58" s="626">
        <f>DATA!AB70</f>
        <v>2</v>
      </c>
      <c r="BM58" s="313"/>
      <c r="BN58" s="313">
        <f>DATA!O26</f>
        <v>0</v>
      </c>
      <c r="BO58" s="651">
        <f>DATA!H26</f>
        <v>0</v>
      </c>
      <c r="BP58" s="627">
        <f>SUM(BN58:BO58)</f>
        <v>0</v>
      </c>
      <c r="BQ58" s="627"/>
      <c r="BR58" s="627"/>
      <c r="BS58" s="313"/>
      <c r="BT58" s="313"/>
      <c r="BU58" s="313"/>
      <c r="BV58" s="313"/>
      <c r="BW58" s="313"/>
      <c r="BX58" s="627">
        <f>BN58</f>
        <v>0</v>
      </c>
      <c r="BY58" s="313"/>
      <c r="BZ58" s="313"/>
      <c r="CA58" s="313"/>
      <c r="CB58" s="313"/>
      <c r="CC58" s="313"/>
      <c r="CD58" s="651">
        <f>DATA!H26</f>
        <v>0</v>
      </c>
      <c r="CE58" s="418"/>
    </row>
    <row r="59" spans="1:83" ht="11.25" customHeight="1">
      <c r="A59" s="1309"/>
      <c r="B59" s="255"/>
      <c r="C59" s="85" t="s">
        <v>210</v>
      </c>
      <c r="D59" s="1286" t="s">
        <v>489</v>
      </c>
      <c r="E59" s="1286"/>
      <c r="F59" s="1286"/>
      <c r="G59" s="1286"/>
      <c r="H59" s="1286"/>
      <c r="I59" s="98"/>
      <c r="J59" s="86" t="s">
        <v>205</v>
      </c>
      <c r="K59" s="87"/>
      <c r="L59" s="91"/>
      <c r="M59" s="842">
        <f>AD62</f>
        <v>7916</v>
      </c>
      <c r="N59" s="1307"/>
      <c r="V59" s="626"/>
      <c r="W59" s="313"/>
      <c r="X59" s="313"/>
      <c r="Y59" s="313"/>
      <c r="Z59" s="313"/>
      <c r="AA59" s="313">
        <v>250000</v>
      </c>
      <c r="AB59" s="313">
        <v>250000</v>
      </c>
      <c r="AC59" s="313">
        <f>IF(X58=1,AA59,AB59)</f>
        <v>250000</v>
      </c>
      <c r="AD59" s="313">
        <v>0</v>
      </c>
      <c r="AE59" s="313"/>
      <c r="AF59" s="313"/>
      <c r="AG59" s="313"/>
      <c r="AH59" s="313"/>
      <c r="AI59" s="313"/>
      <c r="AJ59" s="313"/>
      <c r="AK59" s="313"/>
      <c r="AL59" s="313"/>
      <c r="AM59" s="313"/>
      <c r="AN59" s="313"/>
      <c r="AO59" s="418"/>
      <c r="AQ59" s="626"/>
      <c r="AR59" s="313"/>
      <c r="AS59" s="313"/>
      <c r="AT59" s="313"/>
      <c r="AU59" s="313"/>
      <c r="AV59" s="313">
        <v>250000</v>
      </c>
      <c r="AW59" s="313">
        <v>250000</v>
      </c>
      <c r="AX59" s="313">
        <f>IF(AS57=1,AV59,AW59)</f>
        <v>250000</v>
      </c>
      <c r="AY59" s="313">
        <v>0</v>
      </c>
      <c r="AZ59" s="313"/>
      <c r="BA59" s="313"/>
      <c r="BB59" s="313"/>
      <c r="BC59" s="313"/>
      <c r="BD59" s="313"/>
      <c r="BE59" s="313"/>
      <c r="BF59" s="313"/>
      <c r="BG59" s="313"/>
      <c r="BH59" s="313"/>
      <c r="BI59" s="313"/>
      <c r="BJ59" s="418"/>
      <c r="BL59" s="626"/>
      <c r="BM59" s="313"/>
      <c r="BN59" s="313"/>
      <c r="BO59" s="313"/>
      <c r="BP59" s="313"/>
      <c r="BQ59" s="313">
        <v>250000</v>
      </c>
      <c r="BR59" s="313">
        <v>250000</v>
      </c>
      <c r="BS59" s="313">
        <f>IF(BN57=1,BQ59,BR59)</f>
        <v>250000</v>
      </c>
      <c r="BT59" s="313">
        <v>0</v>
      </c>
      <c r="BU59" s="313"/>
      <c r="BV59" s="313"/>
      <c r="BW59" s="313"/>
      <c r="BX59" s="313"/>
      <c r="BY59" s="313"/>
      <c r="BZ59" s="313"/>
      <c r="CA59" s="313"/>
      <c r="CB59" s="313"/>
      <c r="CC59" s="313"/>
      <c r="CD59" s="313"/>
      <c r="CE59" s="418"/>
    </row>
    <row r="60" spans="1:83" ht="11.25" customHeight="1">
      <c r="A60" s="1309"/>
      <c r="B60" s="255"/>
      <c r="C60" s="85" t="s">
        <v>221</v>
      </c>
      <c r="D60" s="1297" t="s">
        <v>511</v>
      </c>
      <c r="E60" s="1297"/>
      <c r="F60" s="1297"/>
      <c r="G60" s="1297"/>
      <c r="H60" s="1297"/>
      <c r="I60" s="98"/>
      <c r="J60" s="86" t="s">
        <v>205</v>
      </c>
      <c r="K60" s="87"/>
      <c r="L60" s="91"/>
      <c r="M60" s="842">
        <f>AD63</f>
        <v>0</v>
      </c>
      <c r="N60" s="1307"/>
      <c r="V60" s="626"/>
      <c r="W60" s="313" t="str">
        <f>D58</f>
        <v>Rs.2,50,001 To 5,00,000.     (@ 5%)</v>
      </c>
      <c r="X60" s="313"/>
      <c r="Y60" s="313"/>
      <c r="Z60" s="313"/>
      <c r="AA60" s="313">
        <f>IF(AND(Z58&gt;500000),250000,IF(AND(Z58&gt;250000,Z58&lt;=500000),Z58-250000,0))</f>
        <v>250000</v>
      </c>
      <c r="AB60" s="313">
        <f>IF(AND(Z58&gt;500000),250000,IF(AND(Z58&gt;250000,Z58&lt;=500000),Z58-250000,0))</f>
        <v>250000</v>
      </c>
      <c r="AC60" s="313">
        <f>IF(X58=1,AA60,AB60)</f>
        <v>250000</v>
      </c>
      <c r="AD60" s="313">
        <f>ROUND(AC60*5%,0.1)</f>
        <v>12500</v>
      </c>
      <c r="AE60" s="313"/>
      <c r="AF60" s="313"/>
      <c r="AG60" s="313"/>
      <c r="AH60" s="313"/>
      <c r="AI60" s="313">
        <f>IF(AND(AH58&gt;500000),250000,IF(AND(AH58&gt;250000,AH58&lt;=500000),AH58-250000,0))</f>
        <v>250000</v>
      </c>
      <c r="AJ60" s="313">
        <f>IF(AND(AH58&gt;500000),250000,IF(AND(AH58&gt;250000,AH58&lt;=500000),AH58-250000,0))</f>
        <v>250000</v>
      </c>
      <c r="AK60" s="313">
        <f>IF(X58=1,AI60,AJ60)</f>
        <v>250000</v>
      </c>
      <c r="AL60" s="313">
        <f>ROUND(AK60*5%,0.1)</f>
        <v>12500</v>
      </c>
      <c r="AM60" s="313"/>
      <c r="AN60" s="313">
        <f>IF(AND(AL60&lt;=2500),0,IF(AND(AH58&lt;=350000),AJ67,AK67))</f>
        <v>204</v>
      </c>
      <c r="AO60" s="418"/>
      <c r="AQ60" s="626"/>
      <c r="AR60" s="313" t="s">
        <v>708</v>
      </c>
      <c r="AS60" s="313"/>
      <c r="AT60" s="313"/>
      <c r="AU60" s="313"/>
      <c r="AV60" s="313">
        <f>IF(AND(AU58&gt;500000),250000,IF(AND(AU58&gt;250000,AU58&lt;=500000),AU58-250000,0))</f>
        <v>0</v>
      </c>
      <c r="AW60" s="313">
        <f>IF(AND(AU58&gt;500000),250000,IF(AND(AU58&gt;250000,AU58&lt;=500000),AU58-250000,0))</f>
        <v>0</v>
      </c>
      <c r="AX60" s="313">
        <f>IF(AS58=1,AV60,AW60)</f>
        <v>0</v>
      </c>
      <c r="AY60" s="313">
        <f>ROUND(AX60*5%,0.1)</f>
        <v>0</v>
      </c>
      <c r="AZ60" s="313"/>
      <c r="BA60" s="313"/>
      <c r="BB60" s="313"/>
      <c r="BC60" s="313"/>
      <c r="BD60" s="313">
        <f>IF(AND(BC58&gt;500000),250000,IF(AND(BC58&gt;250000,BC58&lt;=500000),BC58-250000,0))</f>
        <v>0</v>
      </c>
      <c r="BE60" s="313">
        <f>IF(AND(BC58&gt;500000),250000,IF(AND(BC58&gt;250000,BC58&lt;=500000),BC58-250000,0))</f>
        <v>0</v>
      </c>
      <c r="BF60" s="313">
        <f>IF(AS66=1,BD60,BE60)</f>
        <v>0</v>
      </c>
      <c r="BG60" s="313">
        <f>ROUND(BF60*5%,0.1)</f>
        <v>0</v>
      </c>
      <c r="BH60" s="313"/>
      <c r="BI60" s="313">
        <f>IF(AND(BG60&lt;=2500),0,IF(AND(BC58&lt;=350000),BE67,BF67))</f>
        <v>0</v>
      </c>
      <c r="BJ60" s="418"/>
      <c r="BL60" s="626"/>
      <c r="BM60" s="313" t="s">
        <v>708</v>
      </c>
      <c r="BN60" s="313"/>
      <c r="BO60" s="313"/>
      <c r="BP60" s="313"/>
      <c r="BQ60" s="313">
        <f>IF(AND(BP58&gt;500000),250000,IF(AND(BP58&gt;250000,BP58&lt;=500000),BP58-250000,0))</f>
        <v>0</v>
      </c>
      <c r="BR60" s="313">
        <f>IF(AND(BP58&gt;500000),250000,IF(AND(BP58&gt;250000,BP58&lt;=500000),BP58-250000,0))</f>
        <v>0</v>
      </c>
      <c r="BS60" s="313">
        <f>IF(BN58=1,BQ60,BR60)</f>
        <v>0</v>
      </c>
      <c r="BT60" s="313">
        <f>ROUND(BS60*10%,0.1)</f>
        <v>0</v>
      </c>
      <c r="BU60" s="313"/>
      <c r="BV60" s="313"/>
      <c r="BW60" s="313"/>
      <c r="BX60" s="313"/>
      <c r="BY60" s="313">
        <f>IF(AND(BX58&gt;500000),250000,IF(AND(BX58&gt;250000,BX58&lt;=500000),BX58-250000,0))</f>
        <v>0</v>
      </c>
      <c r="BZ60" s="313">
        <f>IF(AND(BX58&gt;500000),250000,IF(AND(BX58&gt;250000,BX58&lt;=500000),BX58-250000,0))</f>
        <v>0</v>
      </c>
      <c r="CA60" s="313">
        <f>IF(BN66=1,BY60,BZ60)</f>
        <v>0</v>
      </c>
      <c r="CB60" s="313">
        <f>ROUND(CA60*10%,0.1)</f>
        <v>0</v>
      </c>
      <c r="CC60" s="313"/>
      <c r="CD60" s="313">
        <f>IF(AND(CB60&lt;=2500),0,IF(AND(BX58&lt;=350000),BZ67,CA67))</f>
        <v>0</v>
      </c>
      <c r="CE60" s="418"/>
    </row>
    <row r="61" spans="1:83" ht="11.25" customHeight="1">
      <c r="A61" s="1309"/>
      <c r="B61" s="255">
        <v>18</v>
      </c>
      <c r="C61" s="1278" t="s">
        <v>818</v>
      </c>
      <c r="D61" s="1279"/>
      <c r="E61" s="1279"/>
      <c r="F61" s="1279"/>
      <c r="G61" s="1279"/>
      <c r="H61" s="1279"/>
      <c r="I61" s="1279"/>
      <c r="J61" s="86" t="s">
        <v>205</v>
      </c>
      <c r="K61" s="87"/>
      <c r="L61" s="91"/>
      <c r="M61" s="842">
        <f>IF(AND(M55&lt;250001),0,IF(AND(M55&gt;500000),0,IF(AND(M58&lt;=12500),M58,12500)))</f>
        <v>0</v>
      </c>
      <c r="N61" s="1307"/>
      <c r="V61" s="626"/>
      <c r="W61" s="313"/>
      <c r="X61" s="313"/>
      <c r="Y61" s="313"/>
      <c r="Z61" s="313"/>
      <c r="AA61" s="313"/>
      <c r="AB61" s="313"/>
      <c r="AC61" s="313"/>
      <c r="AD61" s="313"/>
      <c r="AE61" s="313"/>
      <c r="AF61" s="313"/>
      <c r="AG61" s="313"/>
      <c r="AH61" s="313"/>
      <c r="AI61" s="313"/>
      <c r="AJ61" s="313"/>
      <c r="AK61" s="313"/>
      <c r="AL61" s="313"/>
      <c r="AM61" s="313"/>
      <c r="AN61" s="313">
        <f>IF(AND(AL60&lt;=2500),0,IF(AND(AH58&lt;=350000),AJ68,AK68))</f>
        <v>408</v>
      </c>
      <c r="AO61" s="418"/>
      <c r="AQ61" s="626"/>
      <c r="AR61" s="313"/>
      <c r="AS61" s="313"/>
      <c r="AT61" s="313"/>
      <c r="AU61" s="313"/>
      <c r="AV61" s="313"/>
      <c r="AW61" s="313"/>
      <c r="AX61" s="313"/>
      <c r="AY61" s="313"/>
      <c r="AZ61" s="313"/>
      <c r="BA61" s="313"/>
      <c r="BB61" s="313"/>
      <c r="BC61" s="313"/>
      <c r="BD61" s="313"/>
      <c r="BE61" s="313"/>
      <c r="BF61" s="313"/>
      <c r="BG61" s="313"/>
      <c r="BH61" s="313"/>
      <c r="BI61" s="313">
        <f>IF(AND(BG60&lt;=2500),0,IF(AND(BC58&lt;=350000),BE68,BF68))</f>
        <v>0</v>
      </c>
      <c r="BJ61" s="418"/>
      <c r="BL61" s="626"/>
      <c r="BM61" s="313"/>
      <c r="BN61" s="313"/>
      <c r="BO61" s="313"/>
      <c r="BP61" s="313"/>
      <c r="BQ61" s="313"/>
      <c r="BR61" s="313"/>
      <c r="BS61" s="313"/>
      <c r="BT61" s="313"/>
      <c r="BU61" s="313"/>
      <c r="BV61" s="313"/>
      <c r="BW61" s="313"/>
      <c r="BX61" s="313"/>
      <c r="BY61" s="313"/>
      <c r="BZ61" s="313"/>
      <c r="CA61" s="313"/>
      <c r="CB61" s="313"/>
      <c r="CC61" s="313"/>
      <c r="CD61" s="313">
        <f>IF(AND(CB60&lt;=2500),0,IF(AND(BX58&lt;=350000),BZ68,CA68))</f>
        <v>0</v>
      </c>
      <c r="CE61" s="418"/>
    </row>
    <row r="62" spans="1:83" ht="11.25" customHeight="1">
      <c r="A62" s="1309"/>
      <c r="B62" s="255">
        <v>19</v>
      </c>
      <c r="C62" s="1281" t="s">
        <v>766</v>
      </c>
      <c r="D62" s="1276"/>
      <c r="E62" s="1276"/>
      <c r="F62" s="1276"/>
      <c r="G62" s="1276"/>
      <c r="H62" s="1276"/>
      <c r="I62" s="1280"/>
      <c r="J62" s="86" t="s">
        <v>205</v>
      </c>
      <c r="K62" s="105"/>
      <c r="L62" s="91"/>
      <c r="M62" s="842">
        <f>IF(AND(M55&lt;=500000),W67,X67)</f>
        <v>817</v>
      </c>
      <c r="N62" s="1307"/>
      <c r="V62" s="626"/>
      <c r="W62" s="313" t="str">
        <f>D59</f>
        <v>Rs.5,00,001 To 10,00,000.   (@ 20%)</v>
      </c>
      <c r="X62" s="313"/>
      <c r="Y62" s="313"/>
      <c r="Z62" s="313"/>
      <c r="AA62" s="313">
        <f>IF(AND(Z58&gt;1000000),500000,IF(AND(Z58&gt;500000,Z58&lt;=1000000),Z58-500000,0))</f>
        <v>39580</v>
      </c>
      <c r="AB62" s="313">
        <f>AA62</f>
        <v>39580</v>
      </c>
      <c r="AC62" s="313">
        <f>IF(X58=1,AA62,AB62)</f>
        <v>39580</v>
      </c>
      <c r="AD62" s="313">
        <f>ROUND(AC62*20%,0.1)</f>
        <v>7916</v>
      </c>
      <c r="AE62" s="313"/>
      <c r="AF62" s="313"/>
      <c r="AG62" s="313"/>
      <c r="AH62" s="313"/>
      <c r="AI62" s="313">
        <f>IF(AND(AH58&gt;1000000),500000,IF(AND(AH58&gt;500000,AH58&lt;=1000000),AH58-500000,0))</f>
        <v>39580</v>
      </c>
      <c r="AJ62" s="313">
        <f>AI62</f>
        <v>39580</v>
      </c>
      <c r="AK62" s="313">
        <f>IF(X58=1,AI62,AJ62)</f>
        <v>39580</v>
      </c>
      <c r="AL62" s="313">
        <f>ROUND(AK62*20%,0.1)</f>
        <v>7916</v>
      </c>
      <c r="AM62" s="313"/>
      <c r="AN62" s="313">
        <f>AL60+AN60+AN61</f>
        <v>13112</v>
      </c>
      <c r="AO62" s="418"/>
      <c r="AQ62" s="626"/>
      <c r="AR62" s="313" t="s">
        <v>489</v>
      </c>
      <c r="AS62" s="313"/>
      <c r="AT62" s="313"/>
      <c r="AU62" s="313"/>
      <c r="AV62" s="313">
        <f>IF(AND(AU58&gt;1000000),500000,IF(AND(AU58&gt;500000,AU58&lt;=1000000),AU58-500000,0))</f>
        <v>0</v>
      </c>
      <c r="AW62" s="313">
        <f>AV62</f>
        <v>0</v>
      </c>
      <c r="AX62" s="313">
        <f>IF(AS59=1,AV62,AW62)</f>
        <v>0</v>
      </c>
      <c r="AY62" s="313">
        <f>ROUND(AX62*20%,0.1)</f>
        <v>0</v>
      </c>
      <c r="AZ62" s="313"/>
      <c r="BA62" s="313"/>
      <c r="BB62" s="313"/>
      <c r="BC62" s="313"/>
      <c r="BD62" s="313">
        <f>IF(AND(BC58&gt;1000000),500000,IF(AND(BC58&gt;500000,BC58&lt;=1000000),BC58-500000,0))</f>
        <v>0</v>
      </c>
      <c r="BE62" s="313">
        <f>BD62</f>
        <v>0</v>
      </c>
      <c r="BF62" s="313">
        <f>IF(AS67=1,BD62,BE62)</f>
        <v>0</v>
      </c>
      <c r="BG62" s="313">
        <f>ROUND(BF62*20%,0.1)</f>
        <v>0</v>
      </c>
      <c r="BH62" s="313"/>
      <c r="BI62" s="313">
        <f>BG60+BI60+BI61</f>
        <v>0</v>
      </c>
      <c r="BJ62" s="418"/>
      <c r="BL62" s="626"/>
      <c r="BM62" s="313" t="s">
        <v>489</v>
      </c>
      <c r="BN62" s="313"/>
      <c r="BO62" s="313"/>
      <c r="BP62" s="313"/>
      <c r="BQ62" s="313">
        <f>IF(AND(BP58&gt;1000000),500000,IF(AND(BP58&gt;500000,BP58&lt;=1000000),BP58-500000,0))</f>
        <v>0</v>
      </c>
      <c r="BR62" s="313">
        <f>BQ62</f>
        <v>0</v>
      </c>
      <c r="BS62" s="313">
        <f>IF(BN59=1,BQ62,BR62)</f>
        <v>0</v>
      </c>
      <c r="BT62" s="313">
        <f>ROUND(BS62*20%,0.1)</f>
        <v>0</v>
      </c>
      <c r="BU62" s="313"/>
      <c r="BV62" s="313"/>
      <c r="BW62" s="313"/>
      <c r="BX62" s="313"/>
      <c r="BY62" s="313">
        <f>IF(AND(BX58&gt;1000000),500000,IF(AND(BX58&gt;500000,BX58&lt;=1000000),BX58-500000,0))</f>
        <v>0</v>
      </c>
      <c r="BZ62" s="313">
        <f>BY62</f>
        <v>0</v>
      </c>
      <c r="CA62" s="313">
        <f>IF(BN67=1,BY62,BZ62)</f>
        <v>0</v>
      </c>
      <c r="CB62" s="313">
        <f>ROUND(CA62*20%,0.1)</f>
        <v>0</v>
      </c>
      <c r="CC62" s="313"/>
      <c r="CD62" s="313">
        <f>CB60+CD60+CD61</f>
        <v>0</v>
      </c>
      <c r="CE62" s="418"/>
    </row>
    <row r="63" spans="1:83" ht="11.25" customHeight="1">
      <c r="A63" s="1309"/>
      <c r="B63" s="255">
        <v>20</v>
      </c>
      <c r="C63" s="1282" t="s">
        <v>729</v>
      </c>
      <c r="D63" s="1279"/>
      <c r="E63" s="1279"/>
      <c r="F63" s="1279"/>
      <c r="G63" s="1279"/>
      <c r="H63" s="1279"/>
      <c r="I63" s="1279"/>
      <c r="J63" s="86" t="s">
        <v>205</v>
      </c>
      <c r="K63" s="105"/>
      <c r="L63" s="91"/>
      <c r="M63" s="842">
        <f>IF(OR(DATA!AB70=1,DATA!AC70=1),'10E'!T44,0)</f>
        <v>0</v>
      </c>
      <c r="N63" s="1307"/>
      <c r="O63" s="312"/>
      <c r="V63" s="626"/>
      <c r="W63" s="313" t="str">
        <f>D60</f>
        <v>above Rs.10,00,001.         (@ 30%)</v>
      </c>
      <c r="X63" s="313"/>
      <c r="Y63" s="313"/>
      <c r="Z63" s="313"/>
      <c r="AA63" s="313">
        <f>IF(AND(Z58&gt;1000000),Z58-1000000,0)</f>
        <v>0</v>
      </c>
      <c r="AB63" s="313">
        <f>AA63</f>
        <v>0</v>
      </c>
      <c r="AC63" s="313">
        <f>IF(X58=1,AA63,AB63)</f>
        <v>0</v>
      </c>
      <c r="AD63" s="313">
        <f>ROUND(AC63*30%,0.1)</f>
        <v>0</v>
      </c>
      <c r="AE63" s="313"/>
      <c r="AF63" s="313"/>
      <c r="AG63" s="313"/>
      <c r="AH63" s="313"/>
      <c r="AI63" s="313">
        <f>IF(AND(AH58&gt;1000000),AH58-1000000,0)</f>
        <v>0</v>
      </c>
      <c r="AJ63" s="313">
        <f>AI63</f>
        <v>0</v>
      </c>
      <c r="AK63" s="313">
        <f>IF(X58=1,AI63,AJ63)</f>
        <v>0</v>
      </c>
      <c r="AL63" s="313">
        <f>ROUND(AK63*30%,0.1)</f>
        <v>0</v>
      </c>
      <c r="AM63" s="313"/>
      <c r="AN63" s="313"/>
      <c r="AO63" s="418"/>
      <c r="AQ63" s="626"/>
      <c r="AR63" s="313" t="s">
        <v>511</v>
      </c>
      <c r="AS63" s="313"/>
      <c r="AT63" s="313"/>
      <c r="AU63" s="313"/>
      <c r="AV63" s="313">
        <f>IF(AND(AU58&gt;1000000),AU58-1000000,0)</f>
        <v>0</v>
      </c>
      <c r="AW63" s="313">
        <f>AV63</f>
        <v>0</v>
      </c>
      <c r="AX63" s="313">
        <f>IF(AS60=1,AV63,AW63)</f>
        <v>0</v>
      </c>
      <c r="AY63" s="313">
        <f>ROUND(AX63*30%,0.1)</f>
        <v>0</v>
      </c>
      <c r="AZ63" s="313"/>
      <c r="BA63" s="313"/>
      <c r="BB63" s="313"/>
      <c r="BC63" s="313"/>
      <c r="BD63" s="313">
        <f>IF(AND(BC58&gt;1000000),BC58-1000000,0)</f>
        <v>0</v>
      </c>
      <c r="BE63" s="313">
        <f>BD63</f>
        <v>0</v>
      </c>
      <c r="BF63" s="313">
        <f>IF(AS68=1,BD63,BE63)</f>
        <v>0</v>
      </c>
      <c r="BG63" s="313">
        <f>ROUND(BF63*30%,0.1)</f>
        <v>0</v>
      </c>
      <c r="BH63" s="313"/>
      <c r="BI63" s="313"/>
      <c r="BJ63" s="418"/>
      <c r="BL63" s="626"/>
      <c r="BM63" s="313" t="s">
        <v>511</v>
      </c>
      <c r="BN63" s="313"/>
      <c r="BO63" s="313"/>
      <c r="BP63" s="313"/>
      <c r="BQ63" s="313">
        <f>IF(AND(BP58&gt;1000000),BP58-1000000,0)</f>
        <v>0</v>
      </c>
      <c r="BR63" s="313">
        <f>BQ63</f>
        <v>0</v>
      </c>
      <c r="BS63" s="313">
        <f>IF(BN60=1,BQ63,BR63)</f>
        <v>0</v>
      </c>
      <c r="BT63" s="313">
        <f>ROUND(BS63*30%,0.1)</f>
        <v>0</v>
      </c>
      <c r="BU63" s="313"/>
      <c r="BV63" s="313"/>
      <c r="BW63" s="313"/>
      <c r="BX63" s="313"/>
      <c r="BY63" s="313">
        <f>IF(AND(BX58&gt;1000000),BX58-1000000,0)</f>
        <v>0</v>
      </c>
      <c r="BZ63" s="313">
        <f>BY63</f>
        <v>0</v>
      </c>
      <c r="CA63" s="313">
        <f>IF(BN68=1,BY63,BZ63)</f>
        <v>0</v>
      </c>
      <c r="CB63" s="313">
        <f>ROUND(CA63*30%,0.1)</f>
        <v>0</v>
      </c>
      <c r="CC63" s="313"/>
      <c r="CD63" s="313"/>
      <c r="CE63" s="418"/>
    </row>
    <row r="64" spans="1:83" s="421" customFormat="1" ht="12.75" customHeight="1">
      <c r="A64" s="1309"/>
      <c r="B64" s="434">
        <v>21</v>
      </c>
      <c r="C64" s="1302" t="s">
        <v>819</v>
      </c>
      <c r="D64" s="1303"/>
      <c r="E64" s="1303"/>
      <c r="F64" s="1303"/>
      <c r="G64" s="1303"/>
      <c r="H64" s="1303"/>
      <c r="I64" s="1304"/>
      <c r="J64" s="419" t="s">
        <v>205</v>
      </c>
      <c r="K64" s="420"/>
      <c r="L64" s="823"/>
      <c r="M64" s="422">
        <f>SUM(M58,M59,M60,M62)-M61-M63</f>
        <v>21233</v>
      </c>
      <c r="N64" s="1307"/>
      <c r="V64" s="628"/>
      <c r="W64" s="311"/>
      <c r="X64" s="311"/>
      <c r="Y64" s="311"/>
      <c r="Z64" s="311"/>
      <c r="AA64" s="311">
        <f>SUM(AA59:AA63)</f>
        <v>539580</v>
      </c>
      <c r="AB64" s="311">
        <f>SUM(AB59:AB63)</f>
        <v>539580</v>
      </c>
      <c r="AC64" s="311">
        <f>SUM(AC59:AC63)</f>
        <v>539580</v>
      </c>
      <c r="AD64" s="313">
        <f>SUM(AD60:AD63)</f>
        <v>20416</v>
      </c>
      <c r="AE64" s="311"/>
      <c r="AF64" s="311"/>
      <c r="AG64" s="313"/>
      <c r="AH64" s="313"/>
      <c r="AI64" s="311">
        <f>SUM(AI59:AI63)</f>
        <v>289580</v>
      </c>
      <c r="AJ64" s="311">
        <f>SUM(AJ59:AJ63)</f>
        <v>289580</v>
      </c>
      <c r="AK64" s="311">
        <f>SUM(AK59:AK63)</f>
        <v>289580</v>
      </c>
      <c r="AL64" s="313">
        <f>SUM(AL60:AL63)</f>
        <v>20416</v>
      </c>
      <c r="AM64" s="313"/>
      <c r="AN64" s="313"/>
      <c r="AO64" s="629"/>
      <c r="AQ64" s="628"/>
      <c r="AR64" s="311"/>
      <c r="AS64" s="311"/>
      <c r="AT64" s="311"/>
      <c r="AU64" s="311"/>
      <c r="AV64" s="311">
        <f>SUM(AV59:AV63)</f>
        <v>250000</v>
      </c>
      <c r="AW64" s="311">
        <f>SUM(AW59:AW63)</f>
        <v>250000</v>
      </c>
      <c r="AX64" s="311">
        <f>SUM(AX59:AX63)</f>
        <v>250000</v>
      </c>
      <c r="AY64" s="311">
        <f>SUM(AY60:AY63)</f>
        <v>0</v>
      </c>
      <c r="AZ64" s="311"/>
      <c r="BA64" s="311"/>
      <c r="BB64" s="313"/>
      <c r="BC64" s="313"/>
      <c r="BD64" s="311">
        <f>SUM(BD59:BD63)</f>
        <v>0</v>
      </c>
      <c r="BE64" s="311">
        <f>SUM(BE59:BE63)</f>
        <v>0</v>
      </c>
      <c r="BF64" s="311">
        <f>SUM(BF59:BF63)</f>
        <v>0</v>
      </c>
      <c r="BG64" s="313">
        <f>SUM(BG60:BG63)</f>
        <v>0</v>
      </c>
      <c r="BH64" s="313"/>
      <c r="BI64" s="313"/>
      <c r="BJ64" s="629"/>
      <c r="BL64" s="628"/>
      <c r="BM64" s="311"/>
      <c r="BN64" s="311"/>
      <c r="BO64" s="311"/>
      <c r="BP64" s="311"/>
      <c r="BQ64" s="311">
        <f>SUM(BQ59:BQ63)</f>
        <v>250000</v>
      </c>
      <c r="BR64" s="311">
        <f>SUM(BR59:BR63)</f>
        <v>250000</v>
      </c>
      <c r="BS64" s="311">
        <f>SUM(BS59:BS63)</f>
        <v>250000</v>
      </c>
      <c r="BT64" s="311">
        <f>SUM(BT60:BT63)</f>
        <v>0</v>
      </c>
      <c r="BU64" s="311"/>
      <c r="BV64" s="311"/>
      <c r="BW64" s="313"/>
      <c r="BX64" s="313"/>
      <c r="BY64" s="311">
        <f>SUM(BY59:BY63)</f>
        <v>0</v>
      </c>
      <c r="BZ64" s="311">
        <f>SUM(BZ59:BZ63)</f>
        <v>0</v>
      </c>
      <c r="CA64" s="311">
        <f>SUM(CA59:CA63)</f>
        <v>0</v>
      </c>
      <c r="CB64" s="313">
        <f>SUM(CB60:CB63)</f>
        <v>0</v>
      </c>
      <c r="CC64" s="313"/>
      <c r="CD64" s="313"/>
      <c r="CE64" s="629"/>
    </row>
    <row r="65" spans="1:83" ht="12.75" customHeight="1">
      <c r="A65" s="1309"/>
      <c r="B65" s="255">
        <v>22</v>
      </c>
      <c r="C65" s="1278" t="s">
        <v>249</v>
      </c>
      <c r="D65" s="1279"/>
      <c r="E65" s="1279"/>
      <c r="F65" s="1279"/>
      <c r="G65" s="1279"/>
      <c r="H65" s="1279"/>
      <c r="I65" s="106"/>
      <c r="J65" s="86" t="s">
        <v>205</v>
      </c>
      <c r="K65" s="87"/>
      <c r="L65" s="91"/>
      <c r="M65" s="842"/>
      <c r="N65" s="1307"/>
      <c r="V65" s="626"/>
      <c r="W65" s="313"/>
      <c r="X65" s="313"/>
      <c r="Y65" s="313"/>
      <c r="Z65" s="313"/>
      <c r="AA65" s="313"/>
      <c r="AB65" s="313"/>
      <c r="AC65" s="313"/>
      <c r="AD65" s="313">
        <f>IF(AND(Z58&lt;250001),0,IF(AND(Z58&gt;350000),0,IF(AND(AD64&lt;=2500),AD64,2500)))</f>
        <v>0</v>
      </c>
      <c r="AE65" s="313"/>
      <c r="AF65" s="313"/>
      <c r="AG65" s="313"/>
      <c r="AH65" s="313"/>
      <c r="AI65" s="313"/>
      <c r="AJ65" s="313"/>
      <c r="AK65" s="313"/>
      <c r="AL65" s="313">
        <f>IF(AND(AH58&lt;250001),0,IF(AND(AH58&gt;350000),0,IF(AND(AL64&lt;=2500),AL64,2500)))</f>
        <v>0</v>
      </c>
      <c r="AM65" s="313"/>
      <c r="AN65" s="313"/>
      <c r="AO65" s="418"/>
      <c r="AQ65" s="626"/>
      <c r="AR65" s="313"/>
      <c r="AS65" s="313"/>
      <c r="AT65" s="313"/>
      <c r="AU65" s="313"/>
      <c r="AV65" s="313"/>
      <c r="AW65" s="313"/>
      <c r="AX65" s="313"/>
      <c r="AY65" s="313">
        <f>IF(AND(AU58&lt;250001),0,IF(AND(AU58&gt;350000),0,IF(AND(AY64&lt;=2500),AY64,2500)))</f>
        <v>0</v>
      </c>
      <c r="AZ65" s="313"/>
      <c r="BA65" s="313"/>
      <c r="BB65" s="313"/>
      <c r="BC65" s="313"/>
      <c r="BD65" s="313"/>
      <c r="BE65" s="313"/>
      <c r="BF65" s="313"/>
      <c r="BG65" s="313">
        <f>IF(AND(BC58&lt;250001),0,IF(AND(BC58&gt;350000),0,IF(AND(BG64&lt;=2500),BG64,2500)))</f>
        <v>0</v>
      </c>
      <c r="BH65" s="313"/>
      <c r="BI65" s="313"/>
      <c r="BJ65" s="418"/>
      <c r="BL65" s="626"/>
      <c r="BM65" s="313"/>
      <c r="BN65" s="313"/>
      <c r="BO65" s="313"/>
      <c r="BP65" s="313"/>
      <c r="BQ65" s="313"/>
      <c r="BR65" s="313"/>
      <c r="BS65" s="313"/>
      <c r="BT65" s="313">
        <f>IF(AND(BP58&lt;250001),0,IF(AND(BP58&gt;500000),0,IF(AND(BT64&lt;=5000),BT64,5000)))</f>
        <v>0</v>
      </c>
      <c r="BU65" s="313"/>
      <c r="BV65" s="313"/>
      <c r="BW65" s="313"/>
      <c r="BX65" s="313"/>
      <c r="BY65" s="313"/>
      <c r="BZ65" s="313"/>
      <c r="CA65" s="313"/>
      <c r="CB65" s="313">
        <f>IF(AND(BX58&lt;250001),0,IF(AND(BX58&gt;500000),0,IF(AND(CB64&lt;=5000),CB64,5000)))</f>
        <v>0</v>
      </c>
      <c r="CC65" s="313"/>
      <c r="CD65" s="313"/>
      <c r="CE65" s="418"/>
    </row>
    <row r="66" spans="1:83" ht="12" customHeight="1">
      <c r="A66" s="1309"/>
      <c r="B66" s="255"/>
      <c r="C66" s="85" t="s">
        <v>207</v>
      </c>
      <c r="D66" s="77" t="s">
        <v>234</v>
      </c>
      <c r="E66" s="1305">
        <v>43770</v>
      </c>
      <c r="F66" s="1305"/>
      <c r="G66" s="107" t="s">
        <v>205</v>
      </c>
      <c r="H66" s="108">
        <f>SUM(DATA!Q31:Q39)</f>
        <v>0</v>
      </c>
      <c r="I66" s="98"/>
      <c r="J66" s="109"/>
      <c r="K66" s="84"/>
      <c r="L66" s="827"/>
      <c r="M66" s="824"/>
      <c r="N66" s="1307"/>
      <c r="V66" s="626"/>
      <c r="W66" s="313"/>
      <c r="X66" s="313"/>
      <c r="Y66" s="313"/>
      <c r="Z66" s="313"/>
      <c r="AA66" s="313"/>
      <c r="AB66" s="313"/>
      <c r="AC66" s="313"/>
      <c r="AD66" s="313">
        <f>AD64-AD65</f>
        <v>20416</v>
      </c>
      <c r="AE66" s="313"/>
      <c r="AF66" s="313"/>
      <c r="AG66" s="313"/>
      <c r="AH66" s="313"/>
      <c r="AI66" s="313"/>
      <c r="AJ66" s="313"/>
      <c r="AK66" s="313"/>
      <c r="AL66" s="313">
        <f>AL64-AL65</f>
        <v>20416</v>
      </c>
      <c r="AM66" s="313"/>
      <c r="AN66" s="313"/>
      <c r="AO66" s="418"/>
      <c r="AQ66" s="626"/>
      <c r="AR66" s="313"/>
      <c r="AS66" s="313"/>
      <c r="AT66" s="313"/>
      <c r="AU66" s="313"/>
      <c r="AV66" s="313"/>
      <c r="AW66" s="313"/>
      <c r="AX66" s="313"/>
      <c r="AY66" s="313">
        <f>AY64-AY65</f>
        <v>0</v>
      </c>
      <c r="AZ66" s="313"/>
      <c r="BA66" s="313"/>
      <c r="BB66" s="313"/>
      <c r="BC66" s="313"/>
      <c r="BD66" s="313"/>
      <c r="BE66" s="313"/>
      <c r="BF66" s="313"/>
      <c r="BG66" s="313">
        <f>BG64-BG65</f>
        <v>0</v>
      </c>
      <c r="BH66" s="313"/>
      <c r="BI66" s="313">
        <f>AY66-BG66</f>
        <v>0</v>
      </c>
      <c r="BJ66" s="418"/>
      <c r="BL66" s="626"/>
      <c r="BM66" s="313"/>
      <c r="BN66" s="313"/>
      <c r="BO66" s="313"/>
      <c r="BP66" s="313"/>
      <c r="BQ66" s="313"/>
      <c r="BR66" s="313"/>
      <c r="BS66" s="313"/>
      <c r="BT66" s="313">
        <f>BT64-BT65</f>
        <v>0</v>
      </c>
      <c r="BU66" s="313"/>
      <c r="BV66" s="313"/>
      <c r="BW66" s="313"/>
      <c r="BX66" s="313"/>
      <c r="BY66" s="313"/>
      <c r="BZ66" s="313"/>
      <c r="CA66" s="313"/>
      <c r="CB66" s="313">
        <f>CB64-CB65</f>
        <v>0</v>
      </c>
      <c r="CC66" s="313"/>
      <c r="CD66" s="313">
        <f>BT66-CB66</f>
        <v>0</v>
      </c>
      <c r="CE66" s="418"/>
    </row>
    <row r="67" spans="1:83" ht="11.25" customHeight="1">
      <c r="A67" s="1309"/>
      <c r="B67" s="255"/>
      <c r="C67" s="85" t="s">
        <v>209</v>
      </c>
      <c r="D67" s="77"/>
      <c r="E67" s="1305">
        <v>43800</v>
      </c>
      <c r="F67" s="1305"/>
      <c r="G67" s="107" t="s">
        <v>205</v>
      </c>
      <c r="H67" s="108">
        <f>DATA!Q40</f>
        <v>0</v>
      </c>
      <c r="I67" s="98"/>
      <c r="J67" s="109"/>
      <c r="K67" s="84"/>
      <c r="L67" s="827"/>
      <c r="M67" s="824"/>
      <c r="N67" s="1307"/>
      <c r="V67" s="626"/>
      <c r="W67" s="313">
        <f>ROUND((M58-M61)*4%,0.1)</f>
        <v>500</v>
      </c>
      <c r="X67" s="313">
        <f>ROUND((M58+M59+M60)*4%,0.1)</f>
        <v>817</v>
      </c>
      <c r="Y67" s="313"/>
      <c r="Z67" s="313"/>
      <c r="AA67" s="313"/>
      <c r="AB67" s="313"/>
      <c r="AC67" s="313"/>
      <c r="AD67" s="313">
        <f>ROUND(AD66*4%,0.1)</f>
        <v>817</v>
      </c>
      <c r="AE67" s="313"/>
      <c r="AF67" s="313"/>
      <c r="AG67" s="313"/>
      <c r="AH67" s="313"/>
      <c r="AI67" s="313"/>
      <c r="AJ67" s="313">
        <f>ROUND((AL64-AL65)*1%,0.1)</f>
        <v>204</v>
      </c>
      <c r="AK67" s="313">
        <f>ROUND((AL60+AL62+AL63)*1%,0.1)</f>
        <v>204</v>
      </c>
      <c r="AL67" s="313" t="s">
        <v>676</v>
      </c>
      <c r="AM67" s="313"/>
      <c r="AN67" s="313"/>
      <c r="AO67" s="418"/>
      <c r="AQ67" s="626"/>
      <c r="AR67" s="313"/>
      <c r="AS67" s="313"/>
      <c r="AT67" s="313"/>
      <c r="AU67" s="313"/>
      <c r="AV67" s="313"/>
      <c r="AW67" s="313"/>
      <c r="AX67" s="313"/>
      <c r="AY67" s="313">
        <f>ROUND(AY66*1%,0.1)</f>
        <v>0</v>
      </c>
      <c r="AZ67" s="313"/>
      <c r="BA67" s="313"/>
      <c r="BB67" s="313"/>
      <c r="BC67" s="313"/>
      <c r="BD67" s="313"/>
      <c r="BE67" s="313"/>
      <c r="BF67" s="313"/>
      <c r="BG67" s="313">
        <f>ROUND(BG66*1%,0.1)</f>
        <v>0</v>
      </c>
      <c r="BH67" s="313"/>
      <c r="BI67" s="313"/>
      <c r="BJ67" s="418"/>
      <c r="BL67" s="626"/>
      <c r="BM67" s="313"/>
      <c r="BN67" s="313"/>
      <c r="BO67" s="313"/>
      <c r="BP67" s="313"/>
      <c r="BQ67" s="313"/>
      <c r="BR67" s="313"/>
      <c r="BS67" s="313"/>
      <c r="BT67" s="313">
        <f>ROUND(BT66*1%,0.1)</f>
        <v>0</v>
      </c>
      <c r="BU67" s="313"/>
      <c r="BV67" s="313"/>
      <c r="BW67" s="313"/>
      <c r="BX67" s="313"/>
      <c r="BY67" s="313"/>
      <c r="BZ67" s="313"/>
      <c r="CA67" s="313"/>
      <c r="CB67" s="313">
        <f>ROUND(CB66*1%,0.1)</f>
        <v>0</v>
      </c>
      <c r="CC67" s="313"/>
      <c r="CD67" s="313"/>
      <c r="CE67" s="418"/>
    </row>
    <row r="68" spans="1:83" ht="11.25" customHeight="1">
      <c r="A68" s="1309"/>
      <c r="B68" s="255"/>
      <c r="C68" s="85" t="s">
        <v>210</v>
      </c>
      <c r="D68" s="77"/>
      <c r="E68" s="1305">
        <v>43831</v>
      </c>
      <c r="F68" s="1305"/>
      <c r="G68" s="107" t="s">
        <v>205</v>
      </c>
      <c r="H68" s="108">
        <f>DATA!Q41</f>
        <v>0</v>
      </c>
      <c r="I68" s="98"/>
      <c r="J68" s="109"/>
      <c r="K68" s="84"/>
      <c r="L68" s="827"/>
      <c r="M68" s="824"/>
      <c r="N68" s="1307"/>
      <c r="V68" s="626"/>
      <c r="W68" s="313" t="s">
        <v>676</v>
      </c>
      <c r="X68" s="313" t="s">
        <v>676</v>
      </c>
      <c r="Y68" s="313"/>
      <c r="Z68" s="313"/>
      <c r="AA68" s="313"/>
      <c r="AB68" s="313"/>
      <c r="AC68" s="313"/>
      <c r="AD68" s="310">
        <v>0</v>
      </c>
      <c r="AE68" s="313"/>
      <c r="AF68" s="313"/>
      <c r="AG68" s="313"/>
      <c r="AH68" s="313"/>
      <c r="AI68" s="313"/>
      <c r="AJ68" s="313">
        <f>ROUND((AL64-AL65)*2%,0.1)</f>
        <v>408</v>
      </c>
      <c r="AK68" s="313">
        <f>ROUND((AL60+AL62+AL63)*2%,0.1)</f>
        <v>408</v>
      </c>
      <c r="AL68" s="310">
        <f>ROUND(AL66*4%,0.1)</f>
        <v>817</v>
      </c>
      <c r="AM68" s="313"/>
      <c r="AN68" s="313"/>
      <c r="AO68" s="418"/>
      <c r="AQ68" s="626"/>
      <c r="AR68" s="313"/>
      <c r="AS68" s="313"/>
      <c r="AT68" s="313"/>
      <c r="AU68" s="313"/>
      <c r="AV68" s="313"/>
      <c r="AW68" s="313"/>
      <c r="AX68" s="313"/>
      <c r="AY68" s="310">
        <f>ROUND(AY66*2%,0.1)</f>
        <v>0</v>
      </c>
      <c r="AZ68" s="313"/>
      <c r="BA68" s="313"/>
      <c r="BB68" s="313"/>
      <c r="BC68" s="313"/>
      <c r="BD68" s="313"/>
      <c r="BE68" s="313"/>
      <c r="BF68" s="313"/>
      <c r="BG68" s="310">
        <f>ROUND(BG66*2%,0.1)</f>
        <v>0</v>
      </c>
      <c r="BH68" s="313"/>
      <c r="BI68" s="313"/>
      <c r="BJ68" s="418"/>
      <c r="BL68" s="626"/>
      <c r="BM68" s="313"/>
      <c r="BN68" s="313"/>
      <c r="BO68" s="313"/>
      <c r="BP68" s="313"/>
      <c r="BQ68" s="313"/>
      <c r="BR68" s="313"/>
      <c r="BS68" s="313"/>
      <c r="BT68" s="310">
        <f>ROUND(BT66*2%,0.1)</f>
        <v>0</v>
      </c>
      <c r="BU68" s="313"/>
      <c r="BV68" s="313"/>
      <c r="BW68" s="313"/>
      <c r="BX68" s="313"/>
      <c r="BY68" s="313"/>
      <c r="BZ68" s="313"/>
      <c r="CA68" s="313"/>
      <c r="CB68" s="310">
        <f>ROUND(CB66*2%,0.1)</f>
        <v>0</v>
      </c>
      <c r="CC68" s="313"/>
      <c r="CD68" s="313"/>
      <c r="CE68" s="418"/>
    </row>
    <row r="69" spans="1:83" ht="11.25" customHeight="1">
      <c r="A69" s="1309"/>
      <c r="B69" s="255"/>
      <c r="C69" s="85" t="s">
        <v>221</v>
      </c>
      <c r="D69" s="77"/>
      <c r="E69" s="1305">
        <v>43862</v>
      </c>
      <c r="F69" s="1305"/>
      <c r="G69" s="107" t="s">
        <v>205</v>
      </c>
      <c r="H69" s="108">
        <f>DATA!Q42</f>
        <v>0</v>
      </c>
      <c r="I69" s="98"/>
      <c r="J69" s="109"/>
      <c r="K69" s="84"/>
      <c r="L69" s="827"/>
      <c r="M69" s="824"/>
      <c r="N69" s="1307"/>
      <c r="V69" s="626"/>
      <c r="W69" s="313"/>
      <c r="X69" s="313"/>
      <c r="Y69" s="313"/>
      <c r="Z69" s="313"/>
      <c r="AA69" s="313"/>
      <c r="AB69" s="313"/>
      <c r="AC69" s="313"/>
      <c r="AD69" s="313">
        <f>SUM(AD66:AD68)</f>
        <v>21233</v>
      </c>
      <c r="AE69" s="313"/>
      <c r="AF69" s="313"/>
      <c r="AG69" s="313"/>
      <c r="AH69" s="313"/>
      <c r="AI69" s="313"/>
      <c r="AJ69" s="313"/>
      <c r="AK69" s="313"/>
      <c r="AL69" s="313">
        <f>SUM(AL66:AL68)</f>
        <v>21233</v>
      </c>
      <c r="AM69" s="313"/>
      <c r="AN69" s="313"/>
      <c r="AO69" s="418"/>
      <c r="AQ69" s="626"/>
      <c r="AR69" s="313"/>
      <c r="AS69" s="313"/>
      <c r="AT69" s="313"/>
      <c r="AU69" s="313"/>
      <c r="AV69" s="313"/>
      <c r="AW69" s="313"/>
      <c r="AX69" s="313"/>
      <c r="AY69" s="313">
        <f>SUM(AY66:AY68)</f>
        <v>0</v>
      </c>
      <c r="AZ69" s="313"/>
      <c r="BA69" s="313"/>
      <c r="BB69" s="313"/>
      <c r="BC69" s="313"/>
      <c r="BD69" s="313"/>
      <c r="BE69" s="313"/>
      <c r="BF69" s="313"/>
      <c r="BG69" s="313">
        <f>SUM(BG66:BG68)</f>
        <v>0</v>
      </c>
      <c r="BH69" s="313"/>
      <c r="BI69" s="313"/>
      <c r="BJ69" s="418"/>
      <c r="BL69" s="626"/>
      <c r="BM69" s="313"/>
      <c r="BN69" s="313"/>
      <c r="BO69" s="313"/>
      <c r="BP69" s="313"/>
      <c r="BQ69" s="313"/>
      <c r="BR69" s="313"/>
      <c r="BS69" s="313"/>
      <c r="BT69" s="313">
        <f>SUM(BT66:BT68)</f>
        <v>0</v>
      </c>
      <c r="BU69" s="313"/>
      <c r="BV69" s="313"/>
      <c r="BW69" s="313"/>
      <c r="BX69" s="313"/>
      <c r="BY69" s="313"/>
      <c r="BZ69" s="313"/>
      <c r="CA69" s="313"/>
      <c r="CB69" s="313">
        <f>SUM(CB66:CB68)</f>
        <v>0</v>
      </c>
      <c r="CC69" s="313"/>
      <c r="CD69" s="313"/>
      <c r="CE69" s="418"/>
    </row>
    <row r="70" spans="1:83" ht="12.75" customHeight="1">
      <c r="A70" s="1309"/>
      <c r="B70" s="255"/>
      <c r="C70" s="85"/>
      <c r="D70" s="1276" t="s">
        <v>250</v>
      </c>
      <c r="E70" s="1276"/>
      <c r="F70" s="1276"/>
      <c r="G70" s="1276"/>
      <c r="H70" s="110">
        <f>SUM(H66:H69)</f>
        <v>0</v>
      </c>
      <c r="I70" s="98"/>
      <c r="J70" s="109"/>
      <c r="K70" s="84"/>
      <c r="L70" s="827"/>
      <c r="M70" s="824"/>
      <c r="N70" s="1307"/>
      <c r="V70" s="626"/>
      <c r="W70" s="313"/>
      <c r="X70" s="313"/>
      <c r="Y70" s="313"/>
      <c r="Z70" s="313"/>
      <c r="AA70" s="313"/>
      <c r="AB70" s="313"/>
      <c r="AC70" s="313"/>
      <c r="AD70" s="313"/>
      <c r="AE70" s="313"/>
      <c r="AF70" s="313"/>
      <c r="AG70" s="313"/>
      <c r="AH70" s="313"/>
      <c r="AI70" s="313"/>
      <c r="AJ70" s="313"/>
      <c r="AK70" s="313"/>
      <c r="AL70" s="313"/>
      <c r="AM70" s="313"/>
      <c r="AN70" s="313"/>
      <c r="AO70" s="418"/>
      <c r="AQ70" s="626"/>
      <c r="AR70" s="313"/>
      <c r="AS70" s="313"/>
      <c r="AT70" s="313"/>
      <c r="AU70" s="313"/>
      <c r="AV70" s="313"/>
      <c r="AW70" s="313"/>
      <c r="AX70" s="313"/>
      <c r="AY70" s="313"/>
      <c r="AZ70" s="313"/>
      <c r="BA70" s="313"/>
      <c r="BB70" s="313"/>
      <c r="BC70" s="313"/>
      <c r="BD70" s="313"/>
      <c r="BE70" s="313"/>
      <c r="BF70" s="313"/>
      <c r="BG70" s="313"/>
      <c r="BH70" s="313"/>
      <c r="BI70" s="313"/>
      <c r="BJ70" s="418"/>
      <c r="BL70" s="626"/>
      <c r="BM70" s="313"/>
      <c r="BN70" s="313"/>
      <c r="BO70" s="313"/>
      <c r="BP70" s="313"/>
      <c r="BQ70" s="313"/>
      <c r="BR70" s="313"/>
      <c r="BS70" s="313"/>
      <c r="BT70" s="313"/>
      <c r="BU70" s="313"/>
      <c r="BV70" s="313"/>
      <c r="BW70" s="313"/>
      <c r="BX70" s="313"/>
      <c r="BY70" s="313"/>
      <c r="BZ70" s="313"/>
      <c r="CA70" s="313"/>
      <c r="CB70" s="313"/>
      <c r="CC70" s="313"/>
      <c r="CD70" s="313"/>
      <c r="CE70" s="418"/>
    </row>
    <row r="71" spans="1:83" ht="12.75" customHeight="1">
      <c r="A71" s="1309"/>
      <c r="B71" s="318">
        <v>23</v>
      </c>
      <c r="C71" s="1298" t="s">
        <v>820</v>
      </c>
      <c r="D71" s="1299"/>
      <c r="E71" s="1299"/>
      <c r="F71" s="1299"/>
      <c r="G71" s="1299"/>
      <c r="H71" s="1299"/>
      <c r="I71" s="111"/>
      <c r="J71" s="112" t="s">
        <v>205</v>
      </c>
      <c r="K71" s="113"/>
      <c r="L71" s="844"/>
      <c r="M71" s="845">
        <f>M64-H70</f>
        <v>21233</v>
      </c>
      <c r="N71" s="1307"/>
      <c r="V71" s="626"/>
      <c r="W71" s="313"/>
      <c r="X71" s="313"/>
      <c r="Y71" s="313"/>
      <c r="Z71" s="313"/>
      <c r="AA71" s="313"/>
      <c r="AB71" s="313"/>
      <c r="AC71" s="313"/>
      <c r="AD71" s="313"/>
      <c r="AE71" s="313"/>
      <c r="AF71" s="313"/>
      <c r="AG71" s="313"/>
      <c r="AH71" s="313"/>
      <c r="AI71" s="313"/>
      <c r="AJ71" s="313"/>
      <c r="AK71" s="313"/>
      <c r="AL71" s="313"/>
      <c r="AM71" s="313"/>
      <c r="AN71" s="313"/>
      <c r="AO71" s="418"/>
      <c r="AQ71" s="626"/>
      <c r="AR71" s="313"/>
      <c r="AS71" s="313"/>
      <c r="AT71" s="313"/>
      <c r="AU71" s="313"/>
      <c r="AV71" s="313"/>
      <c r="AW71" s="313"/>
      <c r="AX71" s="313"/>
      <c r="AY71" s="313"/>
      <c r="AZ71" s="313"/>
      <c r="BA71" s="313"/>
      <c r="BB71" s="313"/>
      <c r="BC71" s="313"/>
      <c r="BD71" s="313"/>
      <c r="BE71" s="313"/>
      <c r="BF71" s="313"/>
      <c r="BG71" s="313"/>
      <c r="BH71" s="313"/>
      <c r="BI71" s="313"/>
      <c r="BJ71" s="418"/>
      <c r="BL71" s="626"/>
      <c r="BM71" s="313"/>
      <c r="BN71" s="313"/>
      <c r="BO71" s="313"/>
      <c r="BP71" s="313"/>
      <c r="BQ71" s="313"/>
      <c r="BR71" s="313"/>
      <c r="BS71" s="313"/>
      <c r="BT71" s="313"/>
      <c r="BU71" s="313"/>
      <c r="BV71" s="313"/>
      <c r="BW71" s="313"/>
      <c r="BX71" s="313"/>
      <c r="BY71" s="313"/>
      <c r="BZ71" s="313"/>
      <c r="CA71" s="313"/>
      <c r="CB71" s="313"/>
      <c r="CC71" s="313"/>
      <c r="CD71" s="313"/>
      <c r="CE71" s="418"/>
    </row>
    <row r="72" spans="1:83" ht="18" customHeight="1" thickBot="1">
      <c r="A72" s="43"/>
      <c r="B72" s="256"/>
      <c r="C72" s="51"/>
      <c r="D72" s="51"/>
      <c r="E72" s="51"/>
      <c r="F72" s="51"/>
      <c r="G72" s="51"/>
      <c r="H72" s="51"/>
      <c r="I72" s="51"/>
      <c r="J72" s="48"/>
      <c r="K72" s="48"/>
      <c r="L72" s="57"/>
      <c r="M72" s="257"/>
      <c r="N72" s="1307"/>
      <c r="V72" s="630"/>
      <c r="W72" s="631"/>
      <c r="X72" s="631"/>
      <c r="Y72" s="631"/>
      <c r="Z72" s="631"/>
      <c r="AA72" s="631"/>
      <c r="AB72" s="631"/>
      <c r="AC72" s="631"/>
      <c r="AD72" s="631"/>
      <c r="AE72" s="631"/>
      <c r="AF72" s="631"/>
      <c r="AG72" s="631"/>
      <c r="AH72" s="631"/>
      <c r="AI72" s="631"/>
      <c r="AJ72" s="631"/>
      <c r="AK72" s="631"/>
      <c r="AL72" s="631"/>
      <c r="AM72" s="631"/>
      <c r="AN72" s="631"/>
      <c r="AO72" s="632"/>
      <c r="AQ72" s="630"/>
      <c r="AR72" s="631"/>
      <c r="AS72" s="631"/>
      <c r="AT72" s="631"/>
      <c r="AU72" s="631"/>
      <c r="AV72" s="631"/>
      <c r="AW72" s="631"/>
      <c r="AX72" s="631"/>
      <c r="AY72" s="631"/>
      <c r="AZ72" s="631"/>
      <c r="BA72" s="631"/>
      <c r="BB72" s="631"/>
      <c r="BC72" s="631"/>
      <c r="BD72" s="631"/>
      <c r="BE72" s="631"/>
      <c r="BF72" s="631"/>
      <c r="BG72" s="631"/>
      <c r="BH72" s="631"/>
      <c r="BI72" s="631"/>
      <c r="BJ72" s="632"/>
      <c r="BL72" s="630"/>
      <c r="BM72" s="631"/>
      <c r="BN72" s="631"/>
      <c r="BO72" s="631"/>
      <c r="BP72" s="631"/>
      <c r="BQ72" s="631"/>
      <c r="BR72" s="631"/>
      <c r="BS72" s="631"/>
      <c r="BT72" s="631"/>
      <c r="BU72" s="631"/>
      <c r="BV72" s="631"/>
      <c r="BW72" s="631"/>
      <c r="BX72" s="631"/>
      <c r="BY72" s="631"/>
      <c r="BZ72" s="631"/>
      <c r="CA72" s="631"/>
      <c r="CB72" s="631"/>
      <c r="CC72" s="631"/>
      <c r="CD72" s="631"/>
      <c r="CE72" s="632"/>
    </row>
    <row r="73" spans="1:83" s="313" customFormat="1" ht="13.5" customHeight="1">
      <c r="A73" s="45"/>
      <c r="B73" s="258"/>
      <c r="C73" s="55"/>
      <c r="D73" s="55"/>
      <c r="E73" s="55"/>
      <c r="F73" s="55"/>
      <c r="G73" s="55"/>
      <c r="H73" s="55"/>
      <c r="I73" s="51"/>
      <c r="J73" s="48"/>
      <c r="K73" s="48"/>
      <c r="L73" s="48"/>
      <c r="M73" s="259"/>
      <c r="N73" s="1307"/>
    </row>
    <row r="74" spans="1:83" s="313" customFormat="1" ht="15.75" thickBot="1">
      <c r="A74" s="45"/>
      <c r="B74" s="1300" t="s">
        <v>235</v>
      </c>
      <c r="C74" s="1301"/>
      <c r="D74" s="1301"/>
      <c r="E74" s="1301"/>
      <c r="F74" s="1301"/>
      <c r="G74" s="1301"/>
      <c r="H74" s="1301"/>
      <c r="I74" s="262"/>
      <c r="J74" s="1295" t="s">
        <v>236</v>
      </c>
      <c r="K74" s="1295"/>
      <c r="L74" s="1295"/>
      <c r="M74" s="1296"/>
      <c r="N74" s="1307"/>
    </row>
    <row r="75" spans="1:83" s="313" customFormat="1" ht="14.25" customHeight="1" thickBot="1">
      <c r="A75" s="45"/>
      <c r="B75" s="260" t="s">
        <v>251</v>
      </c>
      <c r="C75" s="261"/>
      <c r="D75" s="261"/>
      <c r="E75" s="261"/>
      <c r="F75" s="261"/>
      <c r="G75" s="261"/>
      <c r="H75" s="261"/>
      <c r="I75" s="262"/>
      <c r="J75" s="263"/>
      <c r="K75" s="263"/>
      <c r="L75" s="264"/>
      <c r="M75" s="265"/>
      <c r="N75" s="1307"/>
    </row>
    <row r="76" spans="1:83" s="313" customFormat="1" ht="12.75" customHeight="1" thickBot="1">
      <c r="A76" s="45"/>
      <c r="B76" s="1292" t="s">
        <v>862</v>
      </c>
      <c r="C76" s="1293"/>
      <c r="D76" s="1293"/>
      <c r="E76" s="1293"/>
      <c r="F76" s="1293"/>
      <c r="G76" s="1293"/>
      <c r="H76" s="1293"/>
      <c r="I76" s="1293"/>
      <c r="J76" s="1293"/>
      <c r="K76" s="1293"/>
      <c r="L76" s="1293"/>
      <c r="M76" s="1294"/>
      <c r="N76" s="1307"/>
    </row>
    <row r="77" spans="1:83" s="313" customFormat="1" ht="15" customHeight="1">
      <c r="A77" s="1308"/>
      <c r="B77" s="1308"/>
      <c r="C77" s="1308"/>
      <c r="D77" s="1308"/>
      <c r="E77" s="1308"/>
      <c r="F77" s="1308"/>
      <c r="G77" s="1308"/>
      <c r="H77" s="1308"/>
      <c r="I77" s="1308"/>
      <c r="J77" s="1308"/>
      <c r="K77" s="1308"/>
      <c r="L77" s="1308"/>
      <c r="M77" s="1308"/>
      <c r="N77" s="1307"/>
    </row>
    <row r="78" spans="1:83" s="313" customFormat="1" ht="16.5" hidden="1">
      <c r="A78" s="228"/>
      <c r="B78" s="429"/>
      <c r="C78" s="429"/>
      <c r="D78" s="429"/>
      <c r="E78" s="429"/>
      <c r="F78" s="429"/>
      <c r="G78" s="429"/>
      <c r="H78" s="429"/>
      <c r="I78" s="429"/>
      <c r="J78" s="427"/>
      <c r="K78" s="427"/>
      <c r="L78" s="428"/>
      <c r="M78" s="430"/>
      <c r="N78" s="314"/>
    </row>
    <row r="79" spans="1:83" s="313" customFormat="1" ht="16.5" hidden="1">
      <c r="A79" s="228"/>
      <c r="B79" s="429"/>
      <c r="C79" s="429"/>
      <c r="D79" s="429"/>
      <c r="E79" s="429"/>
      <c r="F79" s="429"/>
      <c r="G79" s="429"/>
      <c r="H79" s="429"/>
      <c r="I79" s="429"/>
      <c r="J79" s="427"/>
      <c r="K79" s="427"/>
      <c r="L79" s="428"/>
      <c r="M79" s="430"/>
      <c r="N79" s="314"/>
    </row>
    <row r="80" spans="1:83" s="313" customFormat="1" ht="16.5" hidden="1">
      <c r="A80" s="228"/>
      <c r="B80" s="429"/>
      <c r="C80" s="429"/>
      <c r="D80" s="429"/>
      <c r="E80" s="429"/>
      <c r="F80" s="429"/>
      <c r="G80" s="429"/>
      <c r="H80" s="429"/>
      <c r="I80" s="429"/>
      <c r="J80" s="427"/>
      <c r="K80" s="427"/>
      <c r="L80" s="428"/>
      <c r="M80" s="430"/>
      <c r="N80" s="315"/>
    </row>
    <row r="81" spans="1:14" s="313" customFormat="1" ht="16.5" hidden="1">
      <c r="A81" s="228"/>
      <c r="B81" s="429"/>
      <c r="C81" s="429"/>
      <c r="D81" s="429"/>
      <c r="E81" s="429"/>
      <c r="F81" s="429"/>
      <c r="G81" s="429"/>
      <c r="H81" s="429"/>
      <c r="I81" s="429"/>
      <c r="J81" s="427"/>
      <c r="K81" s="427"/>
      <c r="L81" s="427"/>
      <c r="M81" s="431"/>
      <c r="N81" s="315"/>
    </row>
    <row r="82" spans="1:14" s="313" customFormat="1" ht="16.5" hidden="1">
      <c r="A82" s="228"/>
      <c r="B82" s="429"/>
      <c r="C82" s="429"/>
      <c r="D82" s="429"/>
      <c r="E82" s="429"/>
      <c r="F82" s="429"/>
      <c r="G82" s="429"/>
      <c r="H82" s="429"/>
      <c r="I82" s="429"/>
      <c r="J82" s="427"/>
      <c r="K82" s="427"/>
      <c r="L82" s="427"/>
      <c r="M82" s="431"/>
      <c r="N82" s="315"/>
    </row>
    <row r="83" spans="1:14" s="313" customFormat="1" ht="16.5" hidden="1">
      <c r="A83" s="228"/>
      <c r="B83" s="429"/>
      <c r="C83" s="429"/>
      <c r="D83" s="429"/>
      <c r="E83" s="429"/>
      <c r="F83" s="429"/>
      <c r="G83" s="429"/>
      <c r="H83" s="429"/>
      <c r="I83" s="429"/>
      <c r="J83" s="427"/>
      <c r="K83" s="427"/>
      <c r="L83" s="427"/>
      <c r="M83" s="431"/>
      <c r="N83" s="316"/>
    </row>
    <row r="84" spans="1:14" s="313" customFormat="1" ht="16.5" hidden="1">
      <c r="A84" s="228"/>
      <c r="B84" s="426"/>
      <c r="C84" s="426"/>
      <c r="D84" s="426"/>
      <c r="E84" s="426"/>
      <c r="F84" s="426"/>
      <c r="G84" s="426"/>
      <c r="H84" s="426"/>
      <c r="I84" s="426"/>
      <c r="J84" s="427"/>
      <c r="K84" s="427"/>
      <c r="L84" s="427"/>
      <c r="M84" s="427"/>
      <c r="N84" s="316"/>
    </row>
    <row r="85" spans="1:14" s="313" customFormat="1" ht="16.5" hidden="1">
      <c r="A85" s="228"/>
      <c r="B85" s="426"/>
      <c r="C85" s="426"/>
      <c r="D85" s="426"/>
      <c r="E85" s="426"/>
      <c r="F85" s="426"/>
      <c r="G85" s="426"/>
      <c r="H85" s="426"/>
      <c r="I85" s="426"/>
      <c r="J85" s="427"/>
      <c r="K85" s="427"/>
      <c r="L85" s="427"/>
      <c r="M85" s="427"/>
      <c r="N85" s="316"/>
    </row>
    <row r="86" spans="1:14" s="313" customFormat="1" ht="15" hidden="1">
      <c r="A86" s="228"/>
      <c r="B86" s="426"/>
      <c r="C86" s="426"/>
      <c r="D86" s="426"/>
      <c r="E86" s="426"/>
      <c r="F86" s="426"/>
      <c r="G86" s="426"/>
      <c r="H86" s="426"/>
      <c r="I86" s="426"/>
      <c r="J86" s="427"/>
      <c r="K86" s="427"/>
      <c r="L86" s="427"/>
      <c r="M86" s="427"/>
    </row>
    <row r="87" spans="1:14" s="313" customFormat="1" ht="15" hidden="1">
      <c r="A87" s="228"/>
      <c r="B87" s="426"/>
      <c r="C87" s="426"/>
      <c r="D87" s="426"/>
      <c r="E87" s="426"/>
      <c r="F87" s="426"/>
      <c r="G87" s="426"/>
      <c r="H87" s="426"/>
      <c r="I87" s="426"/>
      <c r="J87" s="427"/>
      <c r="K87" s="427"/>
      <c r="L87" s="427"/>
      <c r="M87" s="427"/>
    </row>
    <row r="88" spans="1:14" s="313" customFormat="1" ht="15" hidden="1">
      <c r="A88" s="228"/>
      <c r="B88" s="426"/>
      <c r="C88" s="426"/>
      <c r="D88" s="426"/>
      <c r="E88" s="426"/>
      <c r="F88" s="426"/>
      <c r="G88" s="426"/>
      <c r="H88" s="426"/>
      <c r="I88" s="426"/>
      <c r="J88" s="427"/>
      <c r="K88" s="427"/>
      <c r="L88" s="427"/>
      <c r="M88" s="427"/>
    </row>
    <row r="89" spans="1:14" s="313" customFormat="1" ht="15" hidden="1">
      <c r="A89" s="228"/>
      <c r="B89" s="426"/>
      <c r="C89" s="426"/>
      <c r="D89" s="426"/>
      <c r="E89" s="426"/>
      <c r="F89" s="426"/>
      <c r="G89" s="426"/>
      <c r="H89" s="426"/>
      <c r="I89" s="426"/>
      <c r="J89" s="427"/>
      <c r="K89" s="427"/>
      <c r="L89" s="427"/>
      <c r="M89" s="427"/>
    </row>
    <row r="90" spans="1:14" s="313" customFormat="1" ht="15" hidden="1">
      <c r="A90" s="228"/>
      <c r="B90" s="426"/>
      <c r="C90" s="426"/>
      <c r="D90" s="426"/>
      <c r="E90" s="426"/>
      <c r="F90" s="426"/>
      <c r="G90" s="426"/>
      <c r="H90" s="426"/>
      <c r="I90" s="426"/>
      <c r="J90" s="427"/>
      <c r="K90" s="427"/>
      <c r="L90" s="427"/>
      <c r="M90" s="427"/>
    </row>
    <row r="91" spans="1:14" s="313" customFormat="1" ht="15" hidden="1">
      <c r="A91" s="228"/>
      <c r="B91" s="426"/>
      <c r="C91" s="426"/>
      <c r="D91" s="426"/>
      <c r="E91" s="426"/>
      <c r="F91" s="426"/>
      <c r="G91" s="426"/>
      <c r="H91" s="426"/>
      <c r="I91" s="426"/>
      <c r="J91" s="427"/>
      <c r="K91" s="427"/>
      <c r="L91" s="427"/>
      <c r="M91" s="427"/>
    </row>
    <row r="92" spans="1:14" s="313" customFormat="1" ht="15" hidden="1">
      <c r="A92" s="228"/>
      <c r="B92" s="426"/>
      <c r="C92" s="426"/>
      <c r="D92" s="426"/>
      <c r="E92" s="426"/>
      <c r="F92" s="426"/>
      <c r="G92" s="426"/>
      <c r="H92" s="426"/>
      <c r="I92" s="426"/>
      <c r="J92" s="427"/>
      <c r="K92" s="427"/>
      <c r="L92" s="427"/>
      <c r="M92" s="427"/>
    </row>
    <row r="93" spans="1:14" s="313" customFormat="1" ht="15" hidden="1">
      <c r="A93" s="228"/>
      <c r="B93" s="426"/>
      <c r="C93" s="426"/>
      <c r="D93" s="426"/>
      <c r="E93" s="426"/>
      <c r="F93" s="426"/>
      <c r="G93" s="426"/>
      <c r="H93" s="426"/>
      <c r="I93" s="426"/>
      <c r="J93" s="427"/>
      <c r="K93" s="427"/>
      <c r="L93" s="427"/>
      <c r="M93" s="427"/>
    </row>
    <row r="94" spans="1:14" s="313" customFormat="1" ht="15" hidden="1">
      <c r="A94" s="228"/>
      <c r="B94" s="426"/>
      <c r="C94" s="426"/>
      <c r="D94" s="426"/>
      <c r="E94" s="426"/>
      <c r="F94" s="426"/>
      <c r="G94" s="426"/>
      <c r="H94" s="426"/>
      <c r="I94" s="426"/>
      <c r="J94" s="427"/>
      <c r="K94" s="427"/>
      <c r="L94" s="427"/>
      <c r="M94" s="427"/>
    </row>
    <row r="95" spans="1:14" s="313" customFormat="1" ht="15" hidden="1">
      <c r="A95" s="228"/>
      <c r="B95" s="426"/>
      <c r="C95" s="426"/>
      <c r="D95" s="426"/>
      <c r="E95" s="426"/>
      <c r="F95" s="426"/>
      <c r="G95" s="426"/>
      <c r="H95" s="426"/>
      <c r="I95" s="426"/>
      <c r="J95" s="427"/>
      <c r="K95" s="427"/>
      <c r="L95" s="427"/>
      <c r="M95" s="427"/>
    </row>
    <row r="96" spans="1:14" s="313" customFormat="1" ht="15" hidden="1">
      <c r="A96" s="228"/>
      <c r="B96" s="432"/>
      <c r="C96" s="432"/>
      <c r="D96" s="432"/>
      <c r="E96" s="432"/>
      <c r="F96" s="432"/>
      <c r="G96" s="432"/>
      <c r="H96" s="432"/>
      <c r="I96" s="432"/>
      <c r="J96" s="433"/>
      <c r="K96" s="433"/>
      <c r="L96" s="433"/>
      <c r="M96" s="433"/>
    </row>
    <row r="97" spans="14:14" ht="0" hidden="1" customHeight="1">
      <c r="N97" s="313"/>
    </row>
    <row r="98" spans="14:14" ht="0" hidden="1" customHeight="1"/>
  </sheetData>
  <sheetProtection password="CF7B" sheet="1" objects="1" scenarios="1" selectLockedCells="1"/>
  <protectedRanges>
    <protectedRange sqref="L19:L22 L23:M27 D35:M35 B53:C53 J53:M53 D28:M30 B2:F2 B3:G14 H2:I14 J5 J2:M3 B17:K27 J4:K4 J6:K14 L5 B28:C35 I31:M34 B36:M52 B54:M62 B63:M71 B16:M16 B15:K15 L6:M15 L17:M18" name="Range1"/>
    <protectedRange sqref="D53:I53" name="Range1_1"/>
  </protectedRanges>
  <customSheetViews>
    <customSheetView guid="{C9DCC1B1-1130-43C1-807F-FB357D8E7C6B}" showPageBreaks="1" showRowCol="0" printArea="1" hiddenRows="1" hiddenColumns="1" topLeftCell="A24">
      <selection activeCell="L53" sqref="L53"/>
      <rowBreaks count="1" manualBreakCount="1">
        <brk id="4844" min="1" max="13" man="1"/>
      </rowBreaks>
      <pageMargins left="0.55118110236220474" right="0.19685039370078741" top="0.47244094488188981" bottom="0.31496062992125984" header="0.31496062992125984" footer="0.31496062992125984"/>
      <printOptions horizontalCentered="1" verticalCentered="1"/>
      <pageSetup paperSize="9" scale="83" orientation="portrait" horizontalDpi="180" verticalDpi="180" r:id="rId1"/>
      <headerFooter alignWithMargins="0"/>
    </customSheetView>
    <customSheetView guid="{74B9DB0D-A27C-483C-9482-296E1DCC546B}" showRowCol="0" hiddenRows="1" hiddenColumns="1">
      <selection activeCell="L7" sqref="L7"/>
      <rowBreaks count="1" manualBreakCount="1">
        <brk id="4844" min="1" max="13" man="1"/>
      </rowBreaks>
      <pageMargins left="0.55118110236220474" right="0.19685039370078741" top="0.47244094488188981" bottom="0.31496062992125984" header="0.31496062992125984" footer="0.31496062992125984"/>
      <printOptions horizontalCentered="1" verticalCentered="1"/>
      <pageSetup paperSize="9" scale="83" orientation="portrait" horizontalDpi="180" verticalDpi="180" r:id="rId2"/>
      <headerFooter alignWithMargins="0"/>
    </customSheetView>
  </customSheetViews>
  <mergeCells count="74">
    <mergeCell ref="A1:N1"/>
    <mergeCell ref="N2:N77"/>
    <mergeCell ref="A77:M77"/>
    <mergeCell ref="A2:A71"/>
    <mergeCell ref="B3:M3"/>
    <mergeCell ref="E4:H4"/>
    <mergeCell ref="C6:G6"/>
    <mergeCell ref="H6:J6"/>
    <mergeCell ref="D11:I11"/>
    <mergeCell ref="B4:D4"/>
    <mergeCell ref="E5:H5"/>
    <mergeCell ref="B5:D5"/>
    <mergeCell ref="C8:I8"/>
    <mergeCell ref="D9:I9"/>
    <mergeCell ref="D59:H59"/>
    <mergeCell ref="C24:I24"/>
    <mergeCell ref="B76:M76"/>
    <mergeCell ref="J74:M74"/>
    <mergeCell ref="D60:H60"/>
    <mergeCell ref="D70:G70"/>
    <mergeCell ref="C71:H71"/>
    <mergeCell ref="B74:H74"/>
    <mergeCell ref="C64:I64"/>
    <mergeCell ref="E69:F69"/>
    <mergeCell ref="E66:F66"/>
    <mergeCell ref="E68:F68"/>
    <mergeCell ref="E67:F67"/>
    <mergeCell ref="C65:H65"/>
    <mergeCell ref="C61:I61"/>
    <mergeCell ref="C63:I63"/>
    <mergeCell ref="C62:I62"/>
    <mergeCell ref="D58:H58"/>
    <mergeCell ref="D57:H57"/>
    <mergeCell ref="L6:M6"/>
    <mergeCell ref="D30:I30"/>
    <mergeCell ref="C56:H56"/>
    <mergeCell ref="D35:I35"/>
    <mergeCell ref="D28:I28"/>
    <mergeCell ref="D27:I27"/>
    <mergeCell ref="D32:I32"/>
    <mergeCell ref="C55:I55"/>
    <mergeCell ref="C12:I12"/>
    <mergeCell ref="D14:I14"/>
    <mergeCell ref="C18:I18"/>
    <mergeCell ref="C20:I20"/>
    <mergeCell ref="D26:I26"/>
    <mergeCell ref="D10:I10"/>
    <mergeCell ref="C13:I13"/>
    <mergeCell ref="C7:I7"/>
    <mergeCell ref="BU56:BW56"/>
    <mergeCell ref="AZ56:BB56"/>
    <mergeCell ref="AE56:AG56"/>
    <mergeCell ref="C37:I37"/>
    <mergeCell ref="D34:I34"/>
    <mergeCell ref="D43:I43"/>
    <mergeCell ref="D53:I53"/>
    <mergeCell ref="D39:I39"/>
    <mergeCell ref="C52:F52"/>
    <mergeCell ref="B2:M2"/>
    <mergeCell ref="J4:M4"/>
    <mergeCell ref="J5:M5"/>
    <mergeCell ref="D40:E40"/>
    <mergeCell ref="F51:H51"/>
    <mergeCell ref="D42:I42"/>
    <mergeCell ref="C36:I36"/>
    <mergeCell ref="D29:I29"/>
    <mergeCell ref="C38:I38"/>
    <mergeCell ref="C25:I25"/>
    <mergeCell ref="D17:H17"/>
    <mergeCell ref="C22:I22"/>
    <mergeCell ref="C19:I19"/>
    <mergeCell ref="D33:I33"/>
    <mergeCell ref="D31:I31"/>
    <mergeCell ref="C21:I21"/>
  </mergeCells>
  <phoneticPr fontId="1" type="noConversion"/>
  <printOptions horizontalCentered="1" verticalCentered="1"/>
  <pageMargins left="0.55118110236220474" right="0.19685039370078741" top="0.47244094488188981" bottom="0.31496062992125984" header="0.31496062992125984" footer="0.31496062992125984"/>
  <pageSetup paperSize="9" scale="83" orientation="portrait" horizontalDpi="180" verticalDpi="180" r:id="rId3"/>
  <headerFooter alignWithMargins="0"/>
  <rowBreaks count="1" manualBreakCount="1">
    <brk id="4844" min="1" max="13" man="1"/>
  </rowBreaks>
</worksheet>
</file>

<file path=xl/worksheets/sheet6.xml><?xml version="1.0" encoding="utf-8"?>
<worksheet xmlns="http://schemas.openxmlformats.org/spreadsheetml/2006/main" xmlns:r="http://schemas.openxmlformats.org/officeDocument/2006/relationships">
  <sheetPr codeName="Sheet6"/>
  <dimension ref="B1:IU111"/>
  <sheetViews>
    <sheetView showGridLines="0" topLeftCell="A40" workbookViewId="0">
      <selection activeCell="D65" sqref="D65"/>
    </sheetView>
  </sheetViews>
  <sheetFormatPr defaultColWidth="0" defaultRowHeight="0" customHeight="1" zeroHeight="1"/>
  <cols>
    <col min="1" max="1" width="1.42578125" style="43" customWidth="1"/>
    <col min="2" max="2" width="4.28515625" style="43" customWidth="1"/>
    <col min="3" max="3" width="3" style="43" customWidth="1"/>
    <col min="4" max="4" width="15.7109375" style="43" customWidth="1"/>
    <col min="5" max="5" width="22.85546875" style="43" customWidth="1"/>
    <col min="6" max="6" width="2.85546875" style="43" customWidth="1"/>
    <col min="7" max="7" width="9.28515625" style="43" customWidth="1"/>
    <col min="8" max="8" width="0.7109375" style="43" customWidth="1"/>
    <col min="9" max="9" width="2.85546875" style="43" customWidth="1"/>
    <col min="10" max="10" width="10" style="43" customWidth="1"/>
    <col min="11" max="11" width="2.85546875" style="43" customWidth="1"/>
    <col min="12" max="12" width="10" style="43" customWidth="1"/>
    <col min="13" max="13" width="2.85546875" style="43" customWidth="1"/>
    <col min="14" max="14" width="10.7109375" style="43" customWidth="1"/>
    <col min="15" max="15" width="2" style="43" customWidth="1"/>
    <col min="16" max="24" width="10.7109375" style="43" hidden="1" customWidth="1"/>
    <col min="25" max="25" width="9.140625" style="43" hidden="1" customWidth="1"/>
    <col min="26" max="26" width="9.140625" style="44" hidden="1" customWidth="1"/>
    <col min="27" max="28" width="9.140625" style="43" hidden="1" customWidth="1"/>
    <col min="29" max="29" width="36.28515625" style="43" hidden="1" customWidth="1"/>
    <col min="30" max="255" width="9.140625" style="43" hidden="1" customWidth="1"/>
    <col min="256" max="16384" width="0" style="43" hidden="1"/>
  </cols>
  <sheetData>
    <row r="1" spans="2:24" ht="37.5" customHeight="1">
      <c r="B1" s="1369" t="s">
        <v>465</v>
      </c>
      <c r="C1" s="1370"/>
      <c r="D1" s="1370"/>
      <c r="E1" s="1370"/>
      <c r="F1" s="1370"/>
      <c r="G1" s="1370"/>
      <c r="H1" s="1370"/>
      <c r="I1" s="1370"/>
      <c r="J1" s="1370"/>
      <c r="K1" s="1370"/>
      <c r="L1" s="1370"/>
      <c r="M1" s="1370"/>
      <c r="N1" s="1371"/>
      <c r="O1" s="346"/>
      <c r="P1" s="346"/>
      <c r="Q1" s="346"/>
      <c r="R1" s="346"/>
      <c r="S1" s="346"/>
      <c r="T1" s="346"/>
      <c r="U1" s="346"/>
      <c r="V1" s="346"/>
      <c r="W1" s="346"/>
      <c r="X1" s="346"/>
    </row>
    <row r="2" spans="2:24" ht="11.25" customHeight="1">
      <c r="B2" s="1372" t="s">
        <v>252</v>
      </c>
      <c r="C2" s="1373"/>
      <c r="D2" s="1373"/>
      <c r="E2" s="1373"/>
      <c r="F2" s="1373"/>
      <c r="G2" s="1373"/>
      <c r="H2" s="1373"/>
      <c r="I2" s="1373"/>
      <c r="J2" s="1373"/>
      <c r="K2" s="1373"/>
      <c r="L2" s="1373"/>
      <c r="M2" s="1373"/>
      <c r="N2" s="1374"/>
      <c r="O2" s="347"/>
      <c r="P2" s="347"/>
      <c r="Q2" s="347"/>
      <c r="R2" s="347"/>
      <c r="S2" s="347"/>
      <c r="T2" s="347"/>
      <c r="U2" s="347"/>
      <c r="V2" s="347"/>
      <c r="W2" s="347"/>
      <c r="X2" s="347"/>
    </row>
    <row r="3" spans="2:24" ht="14.25" customHeight="1">
      <c r="B3" s="1372"/>
      <c r="C3" s="1373"/>
      <c r="D3" s="1373"/>
      <c r="E3" s="1373"/>
      <c r="F3" s="1373"/>
      <c r="G3" s="1373"/>
      <c r="H3" s="1373"/>
      <c r="I3" s="1373"/>
      <c r="J3" s="1373"/>
      <c r="K3" s="1373"/>
      <c r="L3" s="1373"/>
      <c r="M3" s="1373"/>
      <c r="N3" s="1374"/>
      <c r="O3" s="347"/>
      <c r="P3" s="347"/>
      <c r="Q3" s="347"/>
      <c r="R3" s="347"/>
      <c r="S3" s="347"/>
      <c r="T3" s="347"/>
      <c r="U3" s="347"/>
      <c r="V3" s="347"/>
      <c r="W3" s="347"/>
      <c r="X3" s="347"/>
    </row>
    <row r="4" spans="2:24" ht="15" customHeight="1">
      <c r="B4" s="1375" t="s">
        <v>253</v>
      </c>
      <c r="C4" s="1376"/>
      <c r="D4" s="1376"/>
      <c r="E4" s="1376"/>
      <c r="F4" s="1376"/>
      <c r="G4" s="1376"/>
      <c r="H4" s="1376"/>
      <c r="I4" s="1377" t="s">
        <v>254</v>
      </c>
      <c r="J4" s="1376"/>
      <c r="K4" s="1376"/>
      <c r="L4" s="1376"/>
      <c r="M4" s="1376"/>
      <c r="N4" s="1378"/>
      <c r="O4" s="348"/>
      <c r="P4" s="348"/>
      <c r="Q4" s="348"/>
      <c r="R4" s="348"/>
      <c r="S4" s="348"/>
      <c r="T4" s="348"/>
      <c r="U4" s="348"/>
      <c r="V4" s="348"/>
      <c r="W4" s="348"/>
      <c r="X4" s="348"/>
    </row>
    <row r="5" spans="2:24" ht="3.75" customHeight="1">
      <c r="B5" s="114"/>
      <c r="C5" s="76"/>
      <c r="D5" s="76"/>
      <c r="E5" s="76"/>
      <c r="F5" s="76"/>
      <c r="G5" s="76"/>
      <c r="H5" s="76"/>
      <c r="I5" s="115"/>
      <c r="J5" s="76"/>
      <c r="K5" s="76"/>
      <c r="L5" s="76"/>
      <c r="M5" s="76"/>
      <c r="N5" s="116"/>
      <c r="O5" s="349"/>
      <c r="P5" s="349"/>
      <c r="Q5" s="349"/>
      <c r="R5" s="349"/>
      <c r="S5" s="349"/>
      <c r="T5" s="349"/>
      <c r="U5" s="349"/>
      <c r="V5" s="349"/>
      <c r="W5" s="349"/>
      <c r="X5" s="349"/>
    </row>
    <row r="6" spans="2:24" ht="15" customHeight="1">
      <c r="B6" s="1342" t="str">
        <f>CONCATENATE(DATA!D41,",")</f>
        <v>P.SUJATHA,</v>
      </c>
      <c r="C6" s="1343"/>
      <c r="D6" s="1343"/>
      <c r="E6" s="1343"/>
      <c r="F6" s="1343"/>
      <c r="G6" s="1343"/>
      <c r="H6" s="1343"/>
      <c r="I6" s="1282" t="str">
        <f>'Annexure -II'!E4</f>
        <v>S.KARUNAKAR</v>
      </c>
      <c r="J6" s="1283"/>
      <c r="K6" s="1283"/>
      <c r="L6" s="1283"/>
      <c r="M6" s="1283"/>
      <c r="N6" s="1344"/>
      <c r="O6" s="46"/>
      <c r="P6" s="46"/>
      <c r="Q6" s="46"/>
      <c r="R6" s="46"/>
      <c r="S6" s="46"/>
      <c r="T6" s="46"/>
      <c r="U6" s="46"/>
      <c r="V6" s="46"/>
      <c r="W6" s="46"/>
      <c r="X6" s="46"/>
    </row>
    <row r="7" spans="2:24" ht="15" customHeight="1">
      <c r="B7" s="1342" t="str">
        <f>CONCATENATE(DATA!D42,",")</f>
        <v>Gaz.H,M,</v>
      </c>
      <c r="C7" s="1343"/>
      <c r="D7" s="1343"/>
      <c r="E7" s="1343"/>
      <c r="F7" s="1343"/>
      <c r="G7" s="1343"/>
      <c r="H7" s="1343"/>
      <c r="I7" s="1282" t="str">
        <f>'Annexure -II'!E5</f>
        <v>S.A.</v>
      </c>
      <c r="J7" s="1283"/>
      <c r="K7" s="1283"/>
      <c r="L7" s="1283"/>
      <c r="M7" s="1283"/>
      <c r="N7" s="1344"/>
      <c r="O7" s="46"/>
      <c r="P7" s="46"/>
      <c r="Q7" s="46"/>
      <c r="R7" s="46"/>
      <c r="S7" s="46"/>
      <c r="T7" s="46"/>
      <c r="U7" s="46"/>
      <c r="V7" s="46"/>
      <c r="W7" s="46"/>
      <c r="X7" s="46"/>
    </row>
    <row r="8" spans="2:24" ht="15" customHeight="1">
      <c r="B8" s="1342" t="str">
        <f>CONCATENATE("O/o ",DATA!J43,",")</f>
        <v>O/o M.P Domakonda,</v>
      </c>
      <c r="C8" s="1343"/>
      <c r="D8" s="1343"/>
      <c r="E8" s="1343"/>
      <c r="F8" s="1343"/>
      <c r="G8" s="1343"/>
      <c r="H8" s="1345"/>
      <c r="I8" s="1282" t="str">
        <f>'Annexure -II'!J4</f>
        <v>ZPGHS SHANKARAMPET A</v>
      </c>
      <c r="J8" s="1283"/>
      <c r="K8" s="1283"/>
      <c r="L8" s="1283"/>
      <c r="M8" s="1283"/>
      <c r="N8" s="1344"/>
      <c r="O8" s="46"/>
      <c r="P8" s="46"/>
      <c r="Q8" s="46"/>
      <c r="R8" s="46"/>
      <c r="S8" s="46"/>
      <c r="T8" s="46"/>
      <c r="U8" s="46"/>
      <c r="V8" s="46"/>
      <c r="W8" s="46"/>
      <c r="X8" s="46"/>
    </row>
    <row r="9" spans="2:24" ht="15" customHeight="1">
      <c r="B9" s="1342" t="str">
        <f>CONCATENATE("Mandal: ",DATA!M5)</f>
        <v>Mandal: SHANKARAMPET A., MEDAK</v>
      </c>
      <c r="C9" s="1343"/>
      <c r="D9" s="1343"/>
      <c r="E9" s="1343"/>
      <c r="F9" s="1343"/>
      <c r="G9" s="1343"/>
      <c r="H9" s="1343"/>
      <c r="I9" s="1282" t="str">
        <f>'Annexure -II'!J5</f>
        <v>SHANKARAMPET A., MEDAK</v>
      </c>
      <c r="J9" s="1283"/>
      <c r="K9" s="1283"/>
      <c r="L9" s="1283"/>
      <c r="M9" s="1283"/>
      <c r="N9" s="1344"/>
      <c r="O9" s="46"/>
      <c r="P9" s="46"/>
      <c r="Q9" s="46"/>
      <c r="R9" s="46"/>
      <c r="S9" s="46"/>
      <c r="T9" s="46"/>
      <c r="U9" s="46"/>
      <c r="V9" s="46"/>
      <c r="W9" s="46"/>
      <c r="X9" s="46"/>
    </row>
    <row r="10" spans="2:24" ht="3.75" customHeight="1">
      <c r="B10" s="1364"/>
      <c r="C10" s="1365"/>
      <c r="D10" s="1365"/>
      <c r="E10" s="1365"/>
      <c r="F10" s="1365"/>
      <c r="G10" s="1365"/>
      <c r="H10" s="1366"/>
      <c r="I10" s="1387"/>
      <c r="J10" s="1365"/>
      <c r="K10" s="1365"/>
      <c r="L10" s="1365"/>
      <c r="M10" s="1365"/>
      <c r="N10" s="1388"/>
      <c r="O10" s="46"/>
      <c r="P10" s="46"/>
      <c r="Q10" s="46"/>
      <c r="R10" s="46"/>
      <c r="S10" s="46"/>
      <c r="T10" s="46"/>
      <c r="U10" s="46"/>
      <c r="V10" s="46"/>
      <c r="W10" s="46"/>
      <c r="X10" s="46"/>
    </row>
    <row r="11" spans="2:24" ht="13.5" customHeight="1">
      <c r="B11" s="1379" t="s">
        <v>255</v>
      </c>
      <c r="C11" s="1380"/>
      <c r="D11" s="1381"/>
      <c r="E11" s="1389" t="str">
        <f>DATA!D43</f>
        <v>HYDZO5861C</v>
      </c>
      <c r="F11" s="1380"/>
      <c r="G11" s="1381"/>
      <c r="H11" s="117"/>
      <c r="I11" s="1382" t="s">
        <v>256</v>
      </c>
      <c r="J11" s="1383"/>
      <c r="K11" s="1384"/>
      <c r="L11" s="1389" t="str">
        <f>DATA!M16</f>
        <v>BQOPS3738N</v>
      </c>
      <c r="M11" s="1380"/>
      <c r="N11" s="1390"/>
      <c r="O11" s="348"/>
      <c r="P11" s="348"/>
      <c r="Q11" s="348"/>
      <c r="R11" s="348"/>
      <c r="S11" s="348"/>
      <c r="T11" s="348"/>
      <c r="U11" s="348"/>
      <c r="V11" s="348"/>
      <c r="W11" s="348"/>
      <c r="X11" s="348"/>
    </row>
    <row r="12" spans="2:24" ht="26.25" customHeight="1">
      <c r="B12" s="1393" t="s">
        <v>257</v>
      </c>
      <c r="C12" s="1394"/>
      <c r="D12" s="1394"/>
      <c r="E12" s="1394"/>
      <c r="F12" s="1394"/>
      <c r="G12" s="1394"/>
      <c r="H12" s="1395"/>
      <c r="I12" s="1394"/>
      <c r="J12" s="1394"/>
      <c r="K12" s="1394"/>
      <c r="L12" s="1394"/>
      <c r="M12" s="1394"/>
      <c r="N12" s="1396"/>
      <c r="O12" s="350"/>
      <c r="P12" s="350"/>
      <c r="Q12" s="350"/>
      <c r="R12" s="350"/>
      <c r="S12" s="350"/>
      <c r="T12" s="350"/>
      <c r="U12" s="350"/>
      <c r="V12" s="350"/>
      <c r="W12" s="350"/>
      <c r="X12" s="350"/>
    </row>
    <row r="13" spans="2:24" ht="14.25" customHeight="1">
      <c r="B13" s="1367" t="s">
        <v>258</v>
      </c>
      <c r="C13" s="1368"/>
      <c r="D13" s="1368"/>
      <c r="E13" s="1368" t="s">
        <v>259</v>
      </c>
      <c r="F13" s="1368"/>
      <c r="G13" s="1368"/>
      <c r="H13" s="1368"/>
      <c r="I13" s="1368" t="s">
        <v>260</v>
      </c>
      <c r="J13" s="1368"/>
      <c r="K13" s="1368"/>
      <c r="L13" s="1385"/>
      <c r="M13" s="1391" t="s">
        <v>261</v>
      </c>
      <c r="N13" s="1392"/>
      <c r="O13" s="348"/>
      <c r="P13" s="348"/>
      <c r="Q13" s="348"/>
      <c r="R13" s="348"/>
      <c r="S13" s="348"/>
      <c r="T13" s="348"/>
      <c r="U13" s="348"/>
      <c r="V13" s="348"/>
      <c r="W13" s="348"/>
      <c r="X13" s="348"/>
    </row>
    <row r="14" spans="2:24" ht="11.25" customHeight="1">
      <c r="B14" s="1367">
        <v>1</v>
      </c>
      <c r="C14" s="1368"/>
      <c r="D14" s="1368"/>
      <c r="E14" s="1368"/>
      <c r="F14" s="1368"/>
      <c r="G14" s="1368"/>
      <c r="H14" s="1368"/>
      <c r="I14" s="1368" t="s">
        <v>262</v>
      </c>
      <c r="J14" s="1368"/>
      <c r="K14" s="1368" t="s">
        <v>263</v>
      </c>
      <c r="L14" s="1385"/>
      <c r="M14" s="1385" t="s">
        <v>264</v>
      </c>
      <c r="N14" s="1386"/>
      <c r="O14" s="348"/>
      <c r="P14" s="348"/>
      <c r="Q14" s="348"/>
      <c r="R14" s="348"/>
      <c r="S14" s="348"/>
      <c r="T14" s="348"/>
      <c r="U14" s="348"/>
      <c r="V14" s="348"/>
      <c r="W14" s="348"/>
      <c r="X14" s="348"/>
    </row>
    <row r="15" spans="2:24" ht="10.5" customHeight="1">
      <c r="B15" s="1362">
        <v>2</v>
      </c>
      <c r="C15" s="1363"/>
      <c r="D15" s="1363"/>
      <c r="E15" s="1363"/>
      <c r="F15" s="1363"/>
      <c r="G15" s="1363"/>
      <c r="H15" s="1363"/>
      <c r="I15" s="1356" t="s">
        <v>497</v>
      </c>
      <c r="J15" s="1357"/>
      <c r="K15" s="1356" t="s">
        <v>502</v>
      </c>
      <c r="L15" s="1397"/>
      <c r="M15" s="1359" t="s">
        <v>503</v>
      </c>
      <c r="N15" s="1400"/>
      <c r="O15" s="351"/>
      <c r="P15" s="351"/>
      <c r="Q15" s="351"/>
      <c r="R15" s="351"/>
      <c r="S15" s="351"/>
      <c r="T15" s="351"/>
      <c r="U15" s="351"/>
      <c r="V15" s="351"/>
      <c r="W15" s="351"/>
      <c r="X15" s="351"/>
    </row>
    <row r="16" spans="2:24" ht="10.5" customHeight="1">
      <c r="B16" s="1362">
        <v>3</v>
      </c>
      <c r="C16" s="1363"/>
      <c r="D16" s="1363"/>
      <c r="E16" s="1363"/>
      <c r="F16" s="1363"/>
      <c r="G16" s="1363"/>
      <c r="H16" s="1363"/>
      <c r="I16" s="1358"/>
      <c r="J16" s="1359"/>
      <c r="K16" s="1358"/>
      <c r="L16" s="1398"/>
      <c r="M16" s="1359"/>
      <c r="N16" s="1400"/>
      <c r="O16" s="351"/>
      <c r="P16" s="351"/>
      <c r="Q16" s="351"/>
      <c r="R16" s="351"/>
      <c r="S16" s="351"/>
      <c r="T16" s="351"/>
      <c r="U16" s="351"/>
      <c r="V16" s="351"/>
      <c r="W16" s="351"/>
      <c r="X16" s="351"/>
    </row>
    <row r="17" spans="2:30" ht="10.5" customHeight="1">
      <c r="B17" s="1362">
        <v>4</v>
      </c>
      <c r="C17" s="1363"/>
      <c r="D17" s="1363"/>
      <c r="E17" s="1363"/>
      <c r="F17" s="1363"/>
      <c r="G17" s="1363"/>
      <c r="H17" s="1363"/>
      <c r="I17" s="1360"/>
      <c r="J17" s="1361"/>
      <c r="K17" s="1360"/>
      <c r="L17" s="1399"/>
      <c r="M17" s="1361"/>
      <c r="N17" s="1401"/>
      <c r="O17" s="351"/>
      <c r="P17" s="351"/>
      <c r="Q17" s="351"/>
      <c r="R17" s="351"/>
      <c r="S17" s="351"/>
      <c r="T17" s="351"/>
      <c r="U17" s="351"/>
      <c r="V17" s="351"/>
      <c r="W17" s="351"/>
      <c r="X17" s="351"/>
    </row>
    <row r="18" spans="2:30" ht="15" customHeight="1">
      <c r="B18" s="1337" t="s">
        <v>265</v>
      </c>
      <c r="C18" s="1311"/>
      <c r="D18" s="1311"/>
      <c r="E18" s="1311"/>
      <c r="F18" s="1311"/>
      <c r="G18" s="1311"/>
      <c r="H18" s="1311"/>
      <c r="I18" s="1311"/>
      <c r="J18" s="1311"/>
      <c r="K18" s="1311"/>
      <c r="L18" s="1311"/>
      <c r="M18" s="1311"/>
      <c r="N18" s="1338"/>
      <c r="O18" s="352"/>
      <c r="P18" s="352"/>
      <c r="Q18" s="352"/>
      <c r="R18" s="352"/>
      <c r="S18" s="352"/>
      <c r="T18" s="352"/>
      <c r="U18" s="352"/>
      <c r="V18" s="352"/>
      <c r="W18" s="352"/>
      <c r="X18" s="352"/>
      <c r="Y18" s="353"/>
      <c r="Z18" s="353"/>
    </row>
    <row r="19" spans="2:30" ht="3.75" customHeight="1">
      <c r="B19" s="1339"/>
      <c r="C19" s="1340"/>
      <c r="D19" s="1340"/>
      <c r="E19" s="1340"/>
      <c r="F19" s="1340"/>
      <c r="G19" s="1340"/>
      <c r="H19" s="1340"/>
      <c r="I19" s="1340"/>
      <c r="J19" s="1340"/>
      <c r="K19" s="1340"/>
      <c r="L19" s="1340"/>
      <c r="M19" s="1340"/>
      <c r="N19" s="1341"/>
      <c r="O19" s="47"/>
      <c r="P19" s="47"/>
      <c r="Q19" s="47"/>
      <c r="R19" s="47"/>
      <c r="S19" s="47"/>
      <c r="T19" s="47"/>
      <c r="U19" s="47"/>
      <c r="V19" s="47"/>
      <c r="W19" s="47"/>
      <c r="X19" s="47"/>
    </row>
    <row r="20" spans="2:30" ht="12.75" customHeight="1">
      <c r="B20" s="118">
        <v>1</v>
      </c>
      <c r="C20" s="1328" t="s">
        <v>266</v>
      </c>
      <c r="D20" s="1329"/>
      <c r="E20" s="121"/>
      <c r="F20" s="121"/>
      <c r="G20" s="121"/>
      <c r="H20" s="121"/>
      <c r="I20" s="122" t="s">
        <v>205</v>
      </c>
      <c r="J20" s="123">
        <f>'Annexure -II'!M7</f>
        <v>979346</v>
      </c>
      <c r="K20" s="124"/>
      <c r="L20" s="125"/>
      <c r="M20" s="124"/>
      <c r="N20" s="126"/>
      <c r="O20" s="354"/>
      <c r="P20" s="354"/>
      <c r="Q20" s="354"/>
      <c r="R20" s="354"/>
      <c r="S20" s="354"/>
      <c r="T20" s="354"/>
      <c r="U20" s="354"/>
      <c r="V20" s="354"/>
      <c r="W20" s="354"/>
      <c r="X20" s="354"/>
    </row>
    <row r="21" spans="2:30" ht="15" customHeight="1">
      <c r="B21" s="118"/>
      <c r="C21" s="127" t="s">
        <v>207</v>
      </c>
      <c r="D21" s="1335" t="s">
        <v>267</v>
      </c>
      <c r="E21" s="1335"/>
      <c r="F21" s="1335"/>
      <c r="G21" s="1335"/>
      <c r="H21" s="1335"/>
      <c r="I21" s="129" t="s">
        <v>205</v>
      </c>
      <c r="J21" s="130">
        <v>0</v>
      </c>
      <c r="K21" s="124"/>
      <c r="L21" s="125"/>
      <c r="M21" s="124"/>
      <c r="N21" s="126"/>
      <c r="O21" s="354"/>
      <c r="P21" s="354"/>
      <c r="Q21" s="354"/>
      <c r="R21" s="354"/>
      <c r="S21" s="354"/>
      <c r="T21" s="354"/>
      <c r="U21" s="354"/>
      <c r="V21" s="354"/>
      <c r="W21" s="354"/>
      <c r="X21" s="354"/>
    </row>
    <row r="22" spans="2:30" ht="15" customHeight="1">
      <c r="B22" s="118"/>
      <c r="C22" s="127" t="s">
        <v>209</v>
      </c>
      <c r="D22" s="1335" t="s">
        <v>268</v>
      </c>
      <c r="E22" s="1335"/>
      <c r="F22" s="1335"/>
      <c r="G22" s="1335"/>
      <c r="H22" s="1335"/>
      <c r="I22" s="129" t="s">
        <v>205</v>
      </c>
      <c r="J22" s="130">
        <v>0</v>
      </c>
      <c r="K22" s="124"/>
      <c r="L22" s="125"/>
      <c r="M22" s="124"/>
      <c r="N22" s="126"/>
      <c r="O22" s="354"/>
      <c r="P22" s="354"/>
      <c r="Q22" s="354"/>
      <c r="R22" s="354"/>
      <c r="S22" s="354"/>
      <c r="T22" s="354"/>
      <c r="U22" s="354"/>
      <c r="V22" s="354"/>
      <c r="W22" s="354"/>
      <c r="X22" s="354"/>
    </row>
    <row r="23" spans="2:30" ht="15" customHeight="1">
      <c r="B23" s="118"/>
      <c r="C23" s="127"/>
      <c r="D23" s="1335" t="s">
        <v>269</v>
      </c>
      <c r="E23" s="1335"/>
      <c r="F23" s="1335"/>
      <c r="G23" s="1335"/>
      <c r="H23" s="1335"/>
      <c r="I23" s="131"/>
      <c r="J23" s="132"/>
      <c r="K23" s="124"/>
      <c r="L23" s="125"/>
      <c r="M23" s="124"/>
      <c r="N23" s="126"/>
      <c r="O23" s="354"/>
      <c r="P23" s="354"/>
      <c r="Q23" s="354"/>
      <c r="R23" s="354"/>
      <c r="S23" s="354"/>
      <c r="T23" s="354"/>
      <c r="U23" s="354"/>
      <c r="V23" s="354"/>
      <c r="W23" s="354"/>
      <c r="X23" s="354"/>
    </row>
    <row r="24" spans="2:30" ht="15" customHeight="1">
      <c r="B24" s="118"/>
      <c r="C24" s="127" t="s">
        <v>210</v>
      </c>
      <c r="D24" s="1335" t="s">
        <v>270</v>
      </c>
      <c r="E24" s="1335"/>
      <c r="F24" s="1335"/>
      <c r="G24" s="1335"/>
      <c r="H24" s="1335"/>
      <c r="I24" s="122" t="s">
        <v>205</v>
      </c>
      <c r="J24" s="123">
        <v>0</v>
      </c>
      <c r="K24" s="124"/>
      <c r="L24" s="125"/>
      <c r="M24" s="124"/>
      <c r="N24" s="126"/>
      <c r="O24" s="354"/>
      <c r="P24" s="354"/>
      <c r="Q24" s="354"/>
      <c r="R24" s="354"/>
      <c r="S24" s="354"/>
      <c r="T24" s="354"/>
      <c r="U24" s="354"/>
      <c r="V24" s="354"/>
      <c r="W24" s="354"/>
      <c r="X24" s="354"/>
      <c r="AC24" s="65" t="s">
        <v>310</v>
      </c>
      <c r="AD24" s="56">
        <v>100000</v>
      </c>
    </row>
    <row r="25" spans="2:30" ht="15" customHeight="1">
      <c r="B25" s="118"/>
      <c r="C25" s="127"/>
      <c r="D25" s="1335" t="s">
        <v>271</v>
      </c>
      <c r="E25" s="1335"/>
      <c r="F25" s="1335"/>
      <c r="G25" s="1335"/>
      <c r="H25" s="1335"/>
      <c r="I25" s="133"/>
      <c r="J25" s="134"/>
      <c r="K25" s="124"/>
      <c r="L25" s="125"/>
      <c r="M25" s="124"/>
      <c r="N25" s="126"/>
      <c r="O25" s="354"/>
      <c r="P25" s="354"/>
      <c r="Q25" s="354"/>
      <c r="R25" s="354"/>
      <c r="S25" s="354"/>
      <c r="T25" s="354"/>
      <c r="U25" s="354"/>
      <c r="V25" s="354"/>
      <c r="W25" s="354"/>
      <c r="X25" s="354"/>
      <c r="AC25" s="65" t="s">
        <v>182</v>
      </c>
      <c r="AD25" s="56">
        <v>100000</v>
      </c>
    </row>
    <row r="26" spans="2:30" ht="15" customHeight="1">
      <c r="B26" s="118"/>
      <c r="C26" s="127" t="s">
        <v>221</v>
      </c>
      <c r="D26" s="135" t="s">
        <v>157</v>
      </c>
      <c r="E26" s="121"/>
      <c r="F26" s="121"/>
      <c r="G26" s="121"/>
      <c r="H26" s="121"/>
      <c r="I26" s="136" t="s">
        <v>205</v>
      </c>
      <c r="J26" s="137">
        <f>J20+J21+J22+J24</f>
        <v>979346</v>
      </c>
      <c r="K26" s="124"/>
      <c r="L26" s="125"/>
      <c r="M26" s="124" t="s">
        <v>205</v>
      </c>
      <c r="N26" s="138">
        <f>J26</f>
        <v>979346</v>
      </c>
      <c r="O26" s="355"/>
      <c r="P26" s="355"/>
      <c r="Q26" s="355"/>
      <c r="R26" s="355"/>
      <c r="S26" s="355"/>
      <c r="T26" s="355"/>
      <c r="U26" s="355"/>
      <c r="V26" s="355"/>
      <c r="W26" s="355"/>
      <c r="X26" s="355"/>
      <c r="AC26" s="65" t="s">
        <v>311</v>
      </c>
      <c r="AD26" s="56">
        <v>100000</v>
      </c>
    </row>
    <row r="27" spans="2:30" ht="15" customHeight="1">
      <c r="B27" s="118">
        <v>2</v>
      </c>
      <c r="C27" s="1334" t="s">
        <v>272</v>
      </c>
      <c r="D27" s="1335"/>
      <c r="E27" s="1335"/>
      <c r="F27" s="1335"/>
      <c r="G27" s="1335"/>
      <c r="H27" s="1335"/>
      <c r="I27" s="136"/>
      <c r="J27" s="139"/>
      <c r="K27" s="140"/>
      <c r="L27" s="125"/>
      <c r="M27" s="124"/>
      <c r="N27" s="126"/>
      <c r="O27" s="354"/>
      <c r="P27" s="354"/>
      <c r="Q27" s="354"/>
      <c r="R27" s="354"/>
      <c r="S27" s="354"/>
      <c r="T27" s="354"/>
      <c r="U27" s="354"/>
      <c r="V27" s="354"/>
      <c r="W27" s="354"/>
      <c r="X27" s="354"/>
      <c r="AC27" s="66" t="s">
        <v>312</v>
      </c>
      <c r="AD27" s="56">
        <v>100000</v>
      </c>
    </row>
    <row r="28" spans="2:30" ht="15" customHeight="1">
      <c r="B28" s="118"/>
      <c r="C28" s="127" t="s">
        <v>207</v>
      </c>
      <c r="D28" s="128" t="s">
        <v>273</v>
      </c>
      <c r="E28" s="128"/>
      <c r="F28" s="77"/>
      <c r="G28" s="77"/>
      <c r="H28" s="141"/>
      <c r="I28" s="142" t="s">
        <v>205</v>
      </c>
      <c r="J28" s="143">
        <f>'Annexure -II'!M11</f>
        <v>78637</v>
      </c>
      <c r="K28" s="140"/>
      <c r="L28" s="125"/>
      <c r="M28" s="124"/>
      <c r="N28" s="126"/>
      <c r="O28" s="354"/>
      <c r="P28" s="354"/>
      <c r="Q28" s="354"/>
      <c r="R28" s="354"/>
      <c r="S28" s="354"/>
      <c r="T28" s="354"/>
      <c r="U28" s="354"/>
      <c r="V28" s="354"/>
      <c r="W28" s="354"/>
      <c r="X28" s="354"/>
      <c r="AC28" s="65" t="s">
        <v>185</v>
      </c>
      <c r="AD28" s="56">
        <v>100000</v>
      </c>
    </row>
    <row r="29" spans="2:30" ht="15" customHeight="1">
      <c r="B29" s="118"/>
      <c r="C29" s="127" t="s">
        <v>209</v>
      </c>
      <c r="D29" s="1335" t="s">
        <v>274</v>
      </c>
      <c r="E29" s="1335"/>
      <c r="F29" s="128"/>
      <c r="G29" s="77"/>
      <c r="H29" s="141"/>
      <c r="I29" s="142" t="s">
        <v>205</v>
      </c>
      <c r="J29" s="143">
        <f>'Annexure -II'!L14</f>
        <v>0</v>
      </c>
      <c r="K29" s="140"/>
      <c r="L29" s="125"/>
      <c r="M29" s="144" t="s">
        <v>205</v>
      </c>
      <c r="N29" s="145">
        <f>J28+J29</f>
        <v>78637</v>
      </c>
      <c r="O29" s="354"/>
      <c r="P29" s="354"/>
      <c r="Q29" s="354"/>
      <c r="R29" s="354"/>
      <c r="S29" s="354"/>
      <c r="T29" s="354"/>
      <c r="U29" s="354"/>
      <c r="V29" s="354"/>
      <c r="W29" s="354"/>
      <c r="X29" s="354"/>
      <c r="AC29" s="65" t="s">
        <v>186</v>
      </c>
      <c r="AD29" s="56">
        <v>100000</v>
      </c>
    </row>
    <row r="30" spans="2:30" ht="15" customHeight="1">
      <c r="B30" s="118">
        <v>3</v>
      </c>
      <c r="C30" s="1328" t="s">
        <v>275</v>
      </c>
      <c r="D30" s="1329"/>
      <c r="E30" s="1329"/>
      <c r="F30" s="1329"/>
      <c r="G30" s="1329"/>
      <c r="H30" s="1336"/>
      <c r="I30" s="121"/>
      <c r="J30" s="139"/>
      <c r="K30" s="140"/>
      <c r="L30" s="125"/>
      <c r="M30" s="124" t="s">
        <v>205</v>
      </c>
      <c r="N30" s="138">
        <f>N26-N29</f>
        <v>900709</v>
      </c>
      <c r="O30" s="355"/>
      <c r="P30" s="355"/>
      <c r="Q30" s="355"/>
      <c r="R30" s="355"/>
      <c r="S30" s="355"/>
      <c r="T30" s="355"/>
      <c r="U30" s="355"/>
      <c r="V30" s="355"/>
      <c r="W30" s="355"/>
      <c r="X30" s="355"/>
      <c r="AC30" s="65" t="s">
        <v>187</v>
      </c>
      <c r="AD30" s="56">
        <v>100000</v>
      </c>
    </row>
    <row r="31" spans="2:30" ht="15" customHeight="1">
      <c r="B31" s="118">
        <v>4</v>
      </c>
      <c r="C31" s="1328" t="s">
        <v>220</v>
      </c>
      <c r="D31" s="1329"/>
      <c r="E31" s="1329"/>
      <c r="F31" s="1329"/>
      <c r="G31" s="1329"/>
      <c r="H31" s="1336"/>
      <c r="I31" s="121"/>
      <c r="J31" s="139"/>
      <c r="K31" s="140"/>
      <c r="L31" s="125"/>
      <c r="M31" s="124"/>
      <c r="N31" s="126"/>
      <c r="O31" s="354"/>
      <c r="P31" s="354"/>
      <c r="Q31" s="354"/>
      <c r="R31" s="354"/>
      <c r="S31" s="354"/>
      <c r="T31" s="354"/>
      <c r="U31" s="354"/>
      <c r="V31" s="354"/>
      <c r="W31" s="354"/>
      <c r="X31" s="354"/>
      <c r="AC31" s="65" t="s">
        <v>188</v>
      </c>
      <c r="AD31" s="56">
        <v>100000</v>
      </c>
    </row>
    <row r="32" spans="2:30" ht="12.75" customHeight="1">
      <c r="B32" s="118"/>
      <c r="C32" s="127" t="s">
        <v>207</v>
      </c>
      <c r="D32" s="128" t="s">
        <v>276</v>
      </c>
      <c r="E32" s="128"/>
      <c r="F32" s="77"/>
      <c r="G32" s="77"/>
      <c r="H32" s="146"/>
      <c r="I32" s="142" t="s">
        <v>205</v>
      </c>
      <c r="J32" s="143">
        <v>0</v>
      </c>
      <c r="K32" s="140"/>
      <c r="L32" s="125"/>
      <c r="M32" s="124"/>
      <c r="N32" s="126"/>
      <c r="O32" s="354"/>
      <c r="P32" s="354"/>
      <c r="Q32" s="354"/>
      <c r="R32" s="354"/>
      <c r="S32" s="354"/>
      <c r="T32" s="354"/>
      <c r="U32" s="354"/>
      <c r="V32" s="354"/>
      <c r="W32" s="354"/>
      <c r="X32" s="354"/>
      <c r="AC32" s="65" t="s">
        <v>189</v>
      </c>
      <c r="AD32" s="56">
        <v>100000</v>
      </c>
    </row>
    <row r="33" spans="2:30" ht="12.75" customHeight="1">
      <c r="B33" s="118"/>
      <c r="C33" s="127" t="s">
        <v>209</v>
      </c>
      <c r="D33" s="128" t="s">
        <v>277</v>
      </c>
      <c r="E33" s="128"/>
      <c r="F33" s="121"/>
      <c r="G33" s="77"/>
      <c r="H33" s="146"/>
      <c r="I33" s="142" t="s">
        <v>205</v>
      </c>
      <c r="J33" s="143">
        <f>'Annexure -II'!L17</f>
        <v>2400</v>
      </c>
      <c r="K33" s="140"/>
      <c r="L33" s="125"/>
      <c r="M33" s="124"/>
      <c r="N33" s="126"/>
      <c r="O33" s="354"/>
      <c r="P33" s="354"/>
      <c r="Q33" s="354"/>
      <c r="R33" s="354"/>
      <c r="S33" s="354"/>
      <c r="T33" s="354"/>
      <c r="U33" s="354"/>
      <c r="V33" s="354"/>
      <c r="W33" s="354"/>
      <c r="X33" s="354"/>
      <c r="AC33" s="65" t="s">
        <v>313</v>
      </c>
      <c r="AD33" s="56">
        <v>100000</v>
      </c>
    </row>
    <row r="34" spans="2:30" ht="15" customHeight="1">
      <c r="B34" s="118">
        <v>5</v>
      </c>
      <c r="C34" s="1328" t="s">
        <v>278</v>
      </c>
      <c r="D34" s="1329"/>
      <c r="E34" s="1329"/>
      <c r="F34" s="1329"/>
      <c r="G34" s="1329"/>
      <c r="H34" s="1329"/>
      <c r="I34" s="136"/>
      <c r="J34" s="137"/>
      <c r="K34" s="124"/>
      <c r="L34" s="125"/>
      <c r="M34" s="144" t="s">
        <v>205</v>
      </c>
      <c r="N34" s="145">
        <f>J32+J33</f>
        <v>2400</v>
      </c>
      <c r="O34" s="354"/>
      <c r="P34" s="354"/>
      <c r="Q34" s="354"/>
      <c r="R34" s="354"/>
      <c r="S34" s="354"/>
      <c r="T34" s="354"/>
      <c r="U34" s="354"/>
      <c r="V34" s="354"/>
      <c r="W34" s="354"/>
      <c r="X34" s="354"/>
      <c r="AC34" s="65" t="s">
        <v>190</v>
      </c>
      <c r="AD34" s="56">
        <v>100000</v>
      </c>
    </row>
    <row r="35" spans="2:30" ht="15" customHeight="1">
      <c r="B35" s="118">
        <v>6</v>
      </c>
      <c r="C35" s="1334" t="s">
        <v>279</v>
      </c>
      <c r="D35" s="1335"/>
      <c r="E35" s="1335"/>
      <c r="F35" s="1335"/>
      <c r="G35" s="1335"/>
      <c r="H35" s="1335"/>
      <c r="I35" s="136"/>
      <c r="J35" s="137"/>
      <c r="K35" s="124"/>
      <c r="L35" s="125"/>
      <c r="M35" s="147" t="s">
        <v>205</v>
      </c>
      <c r="N35" s="148">
        <f>N30-N34</f>
        <v>898309</v>
      </c>
      <c r="O35" s="355"/>
      <c r="P35" s="355"/>
      <c r="Q35" s="355"/>
      <c r="R35" s="355"/>
      <c r="S35" s="355"/>
      <c r="T35" s="355"/>
      <c r="U35" s="355"/>
      <c r="V35" s="355"/>
      <c r="W35" s="355"/>
      <c r="X35" s="355"/>
      <c r="AC35" s="65" t="s">
        <v>193</v>
      </c>
      <c r="AD35" s="56">
        <v>10000</v>
      </c>
    </row>
    <row r="36" spans="2:30" ht="12.75" customHeight="1">
      <c r="B36" s="118">
        <v>7</v>
      </c>
      <c r="C36" s="1334" t="s">
        <v>280</v>
      </c>
      <c r="D36" s="1335"/>
      <c r="E36" s="1335"/>
      <c r="F36" s="1335"/>
      <c r="G36" s="1335"/>
      <c r="H36" s="1335"/>
      <c r="I36" s="136"/>
      <c r="J36" s="137"/>
      <c r="K36" s="124"/>
      <c r="L36" s="125"/>
      <c r="M36" s="149" t="s">
        <v>205</v>
      </c>
      <c r="N36" s="150">
        <v>0</v>
      </c>
      <c r="O36" s="354"/>
      <c r="P36" s="354"/>
      <c r="Q36" s="354"/>
      <c r="R36" s="354"/>
      <c r="S36" s="354"/>
      <c r="T36" s="354"/>
      <c r="U36" s="354"/>
      <c r="V36" s="354"/>
      <c r="W36" s="354"/>
      <c r="X36" s="354"/>
    </row>
    <row r="37" spans="2:30" ht="12.75" customHeight="1">
      <c r="B37" s="118"/>
      <c r="C37" s="1334" t="s">
        <v>281</v>
      </c>
      <c r="D37" s="1335"/>
      <c r="E37" s="1335"/>
      <c r="F37" s="1335"/>
      <c r="G37" s="1335"/>
      <c r="H37" s="1335"/>
      <c r="I37" s="136"/>
      <c r="J37" s="137"/>
      <c r="K37" s="124"/>
      <c r="L37" s="125"/>
      <c r="M37" s="149" t="s">
        <v>205</v>
      </c>
      <c r="N37" s="150">
        <v>0</v>
      </c>
      <c r="O37" s="354"/>
      <c r="P37" s="354"/>
      <c r="Q37" s="354"/>
      <c r="R37" s="354"/>
      <c r="S37" s="354"/>
      <c r="T37" s="354"/>
      <c r="U37" s="354"/>
      <c r="V37" s="354"/>
      <c r="W37" s="354"/>
      <c r="X37" s="354"/>
    </row>
    <row r="38" spans="2:30" ht="12.75" customHeight="1">
      <c r="B38" s="118"/>
      <c r="C38" s="1334" t="s">
        <v>282</v>
      </c>
      <c r="D38" s="1335"/>
      <c r="E38" s="1335"/>
      <c r="F38" s="1335"/>
      <c r="G38" s="1335"/>
      <c r="H38" s="1335"/>
      <c r="I38" s="136"/>
      <c r="J38" s="137"/>
      <c r="K38" s="124"/>
      <c r="L38" s="125"/>
      <c r="M38" s="151" t="s">
        <v>205</v>
      </c>
      <c r="N38" s="152">
        <v>0</v>
      </c>
      <c r="O38" s="354"/>
      <c r="P38" s="354"/>
      <c r="Q38" s="354"/>
      <c r="R38" s="354"/>
      <c r="S38" s="354"/>
      <c r="T38" s="354"/>
      <c r="U38" s="354"/>
      <c r="V38" s="354"/>
      <c r="W38" s="354"/>
      <c r="X38" s="354"/>
    </row>
    <row r="39" spans="2:30" ht="14.25" customHeight="1">
      <c r="B39" s="118">
        <v>8</v>
      </c>
      <c r="C39" s="1328" t="s">
        <v>283</v>
      </c>
      <c r="D39" s="1329"/>
      <c r="E39" s="1329"/>
      <c r="F39" s="153"/>
      <c r="G39" s="153"/>
      <c r="H39" s="121"/>
      <c r="I39" s="136"/>
      <c r="J39" s="137"/>
      <c r="K39" s="124"/>
      <c r="L39" s="125"/>
      <c r="M39" s="124" t="s">
        <v>205</v>
      </c>
      <c r="N39" s="138">
        <f>N35+N36+N37-N38</f>
        <v>898309</v>
      </c>
      <c r="O39" s="355"/>
      <c r="P39" s="355"/>
      <c r="Q39" s="355"/>
      <c r="R39" s="355"/>
      <c r="S39" s="355"/>
      <c r="T39" s="355"/>
      <c r="U39" s="355"/>
      <c r="V39" s="355"/>
      <c r="W39" s="355"/>
      <c r="X39" s="355"/>
    </row>
    <row r="40" spans="2:30" ht="13.5" customHeight="1">
      <c r="B40" s="118">
        <v>9</v>
      </c>
      <c r="C40" s="1328" t="s">
        <v>284</v>
      </c>
      <c r="D40" s="1329"/>
      <c r="E40" s="1329"/>
      <c r="F40" s="1329"/>
      <c r="G40" s="1329"/>
      <c r="H40" s="121"/>
      <c r="I40" s="136"/>
      <c r="J40" s="154"/>
      <c r="K40" s="124"/>
      <c r="L40" s="125"/>
      <c r="M40" s="124"/>
      <c r="N40" s="126"/>
      <c r="O40" s="354"/>
      <c r="P40" s="354"/>
      <c r="Q40" s="354"/>
      <c r="R40" s="354"/>
      <c r="S40" s="354"/>
      <c r="T40" s="354"/>
      <c r="U40" s="354"/>
      <c r="V40" s="354"/>
      <c r="W40" s="354"/>
      <c r="X40" s="354"/>
    </row>
    <row r="41" spans="2:30" ht="13.5" customHeight="1">
      <c r="B41" s="155" t="s">
        <v>285</v>
      </c>
      <c r="C41" s="1330" t="s">
        <v>517</v>
      </c>
      <c r="D41" s="1331"/>
      <c r="E41" s="1331"/>
      <c r="F41" s="120"/>
      <c r="G41" s="76" t="s">
        <v>286</v>
      </c>
      <c r="H41" s="128"/>
      <c r="I41" s="1326" t="s">
        <v>287</v>
      </c>
      <c r="J41" s="1327"/>
      <c r="K41" s="1326" t="s">
        <v>288</v>
      </c>
      <c r="L41" s="1327"/>
      <c r="M41" s="121"/>
      <c r="N41" s="126"/>
      <c r="O41" s="356"/>
      <c r="P41" s="356"/>
      <c r="Q41" s="356"/>
      <c r="R41" s="356"/>
      <c r="S41" s="356"/>
      <c r="T41" s="356"/>
      <c r="U41" s="356"/>
      <c r="V41" s="356"/>
      <c r="W41" s="356"/>
      <c r="X41" s="356"/>
    </row>
    <row r="42" spans="2:30" ht="12.75" customHeight="1">
      <c r="B42" s="118"/>
      <c r="C42" s="119" t="s">
        <v>207</v>
      </c>
      <c r="D42" s="120" t="s">
        <v>289</v>
      </c>
      <c r="E42" s="156"/>
      <c r="F42" s="156"/>
      <c r="G42" s="76" t="s">
        <v>290</v>
      </c>
      <c r="H42" s="128"/>
      <c r="I42" s="127"/>
      <c r="J42" s="141" t="s">
        <v>290</v>
      </c>
      <c r="K42" s="128"/>
      <c r="L42" s="141" t="s">
        <v>290</v>
      </c>
      <c r="M42" s="121"/>
      <c r="N42" s="126"/>
      <c r="O42" s="356"/>
      <c r="P42" s="356"/>
      <c r="Q42" s="356"/>
      <c r="R42" s="356"/>
      <c r="S42" s="356"/>
      <c r="T42" s="356"/>
      <c r="U42" s="356"/>
      <c r="V42" s="356"/>
      <c r="W42" s="356"/>
      <c r="X42" s="356"/>
    </row>
    <row r="43" spans="2:30" ht="14.1" customHeight="1">
      <c r="B43" s="118"/>
      <c r="C43" s="157" t="s">
        <v>291</v>
      </c>
      <c r="D43" s="124" t="s">
        <v>292</v>
      </c>
      <c r="E43" s="124"/>
      <c r="F43" s="158" t="s">
        <v>205</v>
      </c>
      <c r="G43" s="143">
        <f>IF(DATA!AD44=3,0,'Annexure -I'!P23)</f>
        <v>155411</v>
      </c>
      <c r="H43" s="158"/>
      <c r="I43" s="149" t="s">
        <v>205</v>
      </c>
      <c r="J43" s="130">
        <f>IF(G43&lt;=Z43,G43,IF(G43&gt;=Z43,Z43))</f>
        <v>150000</v>
      </c>
      <c r="K43" s="158" t="s">
        <v>205</v>
      </c>
      <c r="L43" s="130">
        <f t="shared" ref="L43:L54" si="0">J43</f>
        <v>150000</v>
      </c>
      <c r="M43" s="124"/>
      <c r="N43" s="126"/>
      <c r="O43" s="354"/>
      <c r="P43" s="354"/>
      <c r="Q43" s="354"/>
      <c r="R43" s="354"/>
      <c r="S43" s="354"/>
      <c r="T43" s="354"/>
      <c r="U43" s="354"/>
      <c r="V43" s="354"/>
      <c r="W43" s="354"/>
      <c r="X43" s="354"/>
      <c r="Z43" s="357">
        <v>150000</v>
      </c>
    </row>
    <row r="44" spans="2:30" ht="14.1" customHeight="1">
      <c r="B44" s="118"/>
      <c r="C44" s="157" t="s">
        <v>293</v>
      </c>
      <c r="D44" s="124" t="s">
        <v>294</v>
      </c>
      <c r="E44" s="124"/>
      <c r="F44" s="158" t="s">
        <v>205</v>
      </c>
      <c r="G44" s="143">
        <f>'Annexure -II'!L40</f>
        <v>4200</v>
      </c>
      <c r="H44" s="158"/>
      <c r="I44" s="149" t="s">
        <v>205</v>
      </c>
      <c r="J44" s="130">
        <f t="shared" ref="J44:J53" si="1">IF(G44&lt;=Z44,G44,IF(G44&gt;=Z44,Z44))</f>
        <v>4200</v>
      </c>
      <c r="K44" s="158" t="s">
        <v>205</v>
      </c>
      <c r="L44" s="130">
        <f t="shared" si="0"/>
        <v>4200</v>
      </c>
      <c r="M44" s="124"/>
      <c r="N44" s="126"/>
      <c r="O44" s="354"/>
      <c r="P44" s="354"/>
      <c r="Q44" s="354"/>
      <c r="R44" s="354"/>
      <c r="S44" s="354"/>
      <c r="T44" s="354"/>
      <c r="U44" s="354"/>
      <c r="V44" s="354"/>
      <c r="W44" s="354"/>
      <c r="X44" s="354"/>
      <c r="Z44" s="357">
        <v>150000</v>
      </c>
    </row>
    <row r="45" spans="2:30" ht="14.1" customHeight="1">
      <c r="B45" s="118"/>
      <c r="C45" s="157" t="s">
        <v>295</v>
      </c>
      <c r="D45" s="124" t="s">
        <v>296</v>
      </c>
      <c r="E45" s="124"/>
      <c r="F45" s="158" t="s">
        <v>205</v>
      </c>
      <c r="G45" s="143">
        <f>'Annexure -II'!L41</f>
        <v>840</v>
      </c>
      <c r="H45" s="158"/>
      <c r="I45" s="149" t="s">
        <v>205</v>
      </c>
      <c r="J45" s="130">
        <f t="shared" si="1"/>
        <v>840</v>
      </c>
      <c r="K45" s="158" t="s">
        <v>205</v>
      </c>
      <c r="L45" s="130">
        <f t="shared" si="0"/>
        <v>840</v>
      </c>
      <c r="M45" s="124"/>
      <c r="N45" s="126"/>
      <c r="O45" s="354"/>
      <c r="P45" s="354"/>
      <c r="Q45" s="354"/>
      <c r="R45" s="354"/>
      <c r="S45" s="354"/>
      <c r="T45" s="354"/>
      <c r="U45" s="354"/>
      <c r="V45" s="354"/>
      <c r="W45" s="354"/>
      <c r="X45" s="354"/>
      <c r="Z45" s="357">
        <v>150000</v>
      </c>
    </row>
    <row r="46" spans="2:30" ht="14.1" customHeight="1">
      <c r="B46" s="118"/>
      <c r="C46" s="157" t="s">
        <v>297</v>
      </c>
      <c r="D46" s="1333" t="s">
        <v>298</v>
      </c>
      <c r="E46" s="1333"/>
      <c r="F46" s="158" t="s">
        <v>205</v>
      </c>
      <c r="G46" s="143">
        <f>'Annexure -II'!L42</f>
        <v>0</v>
      </c>
      <c r="H46" s="158"/>
      <c r="I46" s="149" t="s">
        <v>205</v>
      </c>
      <c r="J46" s="130">
        <f t="shared" si="1"/>
        <v>0</v>
      </c>
      <c r="K46" s="158" t="s">
        <v>205</v>
      </c>
      <c r="L46" s="130">
        <f t="shared" si="0"/>
        <v>0</v>
      </c>
      <c r="M46" s="124"/>
      <c r="N46" s="126"/>
      <c r="O46" s="354"/>
      <c r="P46" s="354"/>
      <c r="Q46" s="354"/>
      <c r="R46" s="354"/>
      <c r="S46" s="354"/>
      <c r="T46" s="354"/>
      <c r="U46" s="354"/>
      <c r="V46" s="354"/>
      <c r="W46" s="354"/>
      <c r="X46" s="354"/>
      <c r="Z46" s="357">
        <v>150000</v>
      </c>
    </row>
    <row r="47" spans="2:30" ht="14.1" customHeight="1">
      <c r="B47" s="118"/>
      <c r="C47" s="157" t="s">
        <v>299</v>
      </c>
      <c r="D47" s="1333" t="str">
        <f>'Annexure -II'!D43:I43</f>
        <v>Children Tuition Fee (2Children)</v>
      </c>
      <c r="E47" s="1333"/>
      <c r="F47" s="158" t="s">
        <v>205</v>
      </c>
      <c r="G47" s="143">
        <f>'Annexure -II'!L43</f>
        <v>0</v>
      </c>
      <c r="H47" s="158"/>
      <c r="I47" s="149" t="s">
        <v>205</v>
      </c>
      <c r="J47" s="130">
        <f t="shared" si="1"/>
        <v>0</v>
      </c>
      <c r="K47" s="158" t="s">
        <v>205</v>
      </c>
      <c r="L47" s="130">
        <f t="shared" si="0"/>
        <v>0</v>
      </c>
      <c r="M47" s="124"/>
      <c r="N47" s="126"/>
      <c r="O47" s="354"/>
      <c r="P47" s="354"/>
      <c r="Q47" s="354"/>
      <c r="R47" s="354"/>
      <c r="S47" s="354"/>
      <c r="T47" s="354"/>
      <c r="U47" s="354"/>
      <c r="V47" s="354"/>
      <c r="W47" s="354"/>
      <c r="X47" s="354"/>
      <c r="Z47" s="357">
        <v>150000</v>
      </c>
    </row>
    <row r="48" spans="2:30" ht="14.1" customHeight="1">
      <c r="B48" s="118"/>
      <c r="C48" s="157" t="s">
        <v>300</v>
      </c>
      <c r="D48" s="124" t="str">
        <f>'Annexure -II'!D45:I45</f>
        <v xml:space="preserve">5Years Fixed Deposits                           </v>
      </c>
      <c r="E48" s="124"/>
      <c r="F48" s="158" t="s">
        <v>205</v>
      </c>
      <c r="G48" s="143">
        <f>'Annexure -II'!L45</f>
        <v>0</v>
      </c>
      <c r="H48" s="158"/>
      <c r="I48" s="149" t="s">
        <v>205</v>
      </c>
      <c r="J48" s="130">
        <f t="shared" si="1"/>
        <v>0</v>
      </c>
      <c r="K48" s="158" t="s">
        <v>205</v>
      </c>
      <c r="L48" s="130">
        <f t="shared" si="0"/>
        <v>0</v>
      </c>
      <c r="M48" s="124"/>
      <c r="N48" s="126"/>
      <c r="O48" s="354"/>
      <c r="P48" s="354"/>
      <c r="Q48" s="354"/>
      <c r="R48" s="354"/>
      <c r="S48" s="354"/>
      <c r="T48" s="354"/>
      <c r="U48" s="354"/>
      <c r="V48" s="354"/>
      <c r="W48" s="354"/>
      <c r="X48" s="354"/>
      <c r="Z48" s="357">
        <v>150000</v>
      </c>
    </row>
    <row r="49" spans="2:28" ht="14.1" customHeight="1">
      <c r="B49" s="118"/>
      <c r="C49" s="157" t="s">
        <v>301</v>
      </c>
      <c r="D49" s="124" t="str">
        <f>'Annexure -II'!D46:I46</f>
        <v xml:space="preserve">National Savings Certificate                </v>
      </c>
      <c r="E49" s="124"/>
      <c r="F49" s="158" t="s">
        <v>205</v>
      </c>
      <c r="G49" s="143">
        <f>'Annexure -II'!L46</f>
        <v>0</v>
      </c>
      <c r="H49" s="158"/>
      <c r="I49" s="149" t="s">
        <v>205</v>
      </c>
      <c r="J49" s="130">
        <f t="shared" si="1"/>
        <v>0</v>
      </c>
      <c r="K49" s="158" t="s">
        <v>205</v>
      </c>
      <c r="L49" s="130">
        <f t="shared" si="0"/>
        <v>0</v>
      </c>
      <c r="M49" s="124"/>
      <c r="N49" s="126"/>
      <c r="O49" s="354"/>
      <c r="P49" s="354"/>
      <c r="Q49" s="354"/>
      <c r="R49" s="354"/>
      <c r="S49" s="354"/>
      <c r="T49" s="354"/>
      <c r="U49" s="354"/>
      <c r="V49" s="354"/>
      <c r="W49" s="354"/>
      <c r="X49" s="354"/>
      <c r="Z49" s="357">
        <v>150000</v>
      </c>
    </row>
    <row r="50" spans="2:28" ht="14.1" customHeight="1">
      <c r="B50" s="118"/>
      <c r="C50" s="167" t="s">
        <v>302</v>
      </c>
      <c r="D50" s="124" t="str">
        <f>'Annexure -II'!D47:I47</f>
        <v xml:space="preserve">PLI Annual Insurance Plan                   </v>
      </c>
      <c r="E50" s="124"/>
      <c r="F50" s="158" t="s">
        <v>205</v>
      </c>
      <c r="G50" s="143">
        <f>'Annexure -II'!L47</f>
        <v>0</v>
      </c>
      <c r="H50" s="158"/>
      <c r="I50" s="149" t="s">
        <v>205</v>
      </c>
      <c r="J50" s="130">
        <f t="shared" si="1"/>
        <v>0</v>
      </c>
      <c r="K50" s="158" t="s">
        <v>205</v>
      </c>
      <c r="L50" s="130">
        <f t="shared" si="0"/>
        <v>0</v>
      </c>
      <c r="M50" s="140"/>
      <c r="N50" s="126"/>
      <c r="O50" s="354"/>
      <c r="P50" s="354"/>
      <c r="Q50" s="354"/>
      <c r="R50" s="354"/>
      <c r="S50" s="354"/>
      <c r="T50" s="354"/>
      <c r="U50" s="354"/>
      <c r="V50" s="354"/>
      <c r="W50" s="354"/>
      <c r="X50" s="354"/>
      <c r="Z50" s="357">
        <v>150000</v>
      </c>
    </row>
    <row r="51" spans="2:28" ht="14.1" customHeight="1">
      <c r="B51" s="118"/>
      <c r="C51" s="157" t="s">
        <v>303</v>
      </c>
      <c r="D51" s="124" t="str">
        <f>'Annexure -II'!D48:I48</f>
        <v xml:space="preserve">LIC Annual Premiums Paid by Hand    </v>
      </c>
      <c r="E51" s="124"/>
      <c r="F51" s="159" t="s">
        <v>205</v>
      </c>
      <c r="G51" s="143">
        <f>'Annexure -II'!L48</f>
        <v>0</v>
      </c>
      <c r="H51" s="160"/>
      <c r="I51" s="161" t="s">
        <v>205</v>
      </c>
      <c r="J51" s="132">
        <f t="shared" si="1"/>
        <v>0</v>
      </c>
      <c r="K51" s="159" t="s">
        <v>205</v>
      </c>
      <c r="L51" s="132">
        <f t="shared" si="0"/>
        <v>0</v>
      </c>
      <c r="M51" s="140"/>
      <c r="N51" s="126"/>
      <c r="O51" s="354"/>
      <c r="P51" s="354"/>
      <c r="Q51" s="354"/>
      <c r="R51" s="354"/>
      <c r="S51" s="354"/>
      <c r="T51" s="354"/>
      <c r="U51" s="354"/>
      <c r="V51" s="354"/>
      <c r="W51" s="354"/>
      <c r="X51" s="354"/>
      <c r="Z51" s="357">
        <v>150000</v>
      </c>
    </row>
    <row r="52" spans="2:28" ht="14.1" customHeight="1">
      <c r="B52" s="118"/>
      <c r="C52" s="157" t="s">
        <v>304</v>
      </c>
      <c r="D52" s="1332" t="s">
        <v>506</v>
      </c>
      <c r="E52" s="1332"/>
      <c r="F52" s="159" t="s">
        <v>205</v>
      </c>
      <c r="G52" s="143"/>
      <c r="H52" s="160"/>
      <c r="I52" s="140" t="s">
        <v>205</v>
      </c>
      <c r="J52" s="139"/>
      <c r="K52" s="140" t="s">
        <v>205</v>
      </c>
      <c r="L52" s="139"/>
      <c r="M52" s="140"/>
      <c r="N52" s="126"/>
      <c r="O52" s="354"/>
      <c r="P52" s="354"/>
      <c r="Q52" s="354"/>
      <c r="R52" s="354"/>
      <c r="S52" s="354"/>
      <c r="T52" s="354"/>
      <c r="U52" s="354"/>
      <c r="V52" s="354"/>
      <c r="W52" s="354"/>
      <c r="X52" s="354"/>
      <c r="Z52" s="357">
        <v>150000</v>
      </c>
    </row>
    <row r="53" spans="2:28" ht="14.1" customHeight="1">
      <c r="B53" s="118"/>
      <c r="C53" s="157" t="s">
        <v>317</v>
      </c>
      <c r="D53" s="124" t="str">
        <f>'Annexure -II'!D50:I50</f>
        <v xml:space="preserve">Public Provident Fund                           </v>
      </c>
      <c r="E53" s="124"/>
      <c r="F53" s="124" t="s">
        <v>205</v>
      </c>
      <c r="G53" s="143">
        <f>'Annexure -II'!L50</f>
        <v>0</v>
      </c>
      <c r="H53" s="162"/>
      <c r="I53" s="140" t="s">
        <v>205</v>
      </c>
      <c r="J53" s="139">
        <f t="shared" si="1"/>
        <v>0</v>
      </c>
      <c r="K53" s="140" t="s">
        <v>205</v>
      </c>
      <c r="L53" s="139">
        <f t="shared" si="0"/>
        <v>0</v>
      </c>
      <c r="M53" s="140"/>
      <c r="N53" s="126"/>
      <c r="O53" s="354"/>
      <c r="P53" s="354"/>
      <c r="Q53" s="354"/>
      <c r="R53" s="354"/>
      <c r="S53" s="354"/>
      <c r="T53" s="354"/>
      <c r="U53" s="354"/>
      <c r="V53" s="354"/>
      <c r="W53" s="354"/>
      <c r="X53" s="354"/>
      <c r="Y53" s="50">
        <f>SUM(G43:G54)</f>
        <v>160451</v>
      </c>
      <c r="Z53" s="357">
        <v>20000</v>
      </c>
    </row>
    <row r="54" spans="2:28" ht="14.1" customHeight="1">
      <c r="B54" s="118"/>
      <c r="C54" s="157" t="s">
        <v>513</v>
      </c>
      <c r="D54" s="124" t="str">
        <f>CONCATENATE('Annexure -II'!D51,'Annexure -II'!F51,'Annexure -II'!I51)</f>
        <v>Others       (0)</v>
      </c>
      <c r="E54" s="124"/>
      <c r="F54" s="124" t="s">
        <v>205</v>
      </c>
      <c r="G54" s="143">
        <f>'Annexure -II'!L51</f>
        <v>0</v>
      </c>
      <c r="H54" s="124"/>
      <c r="I54" s="140" t="s">
        <v>205</v>
      </c>
      <c r="J54" s="139">
        <f>G54</f>
        <v>0</v>
      </c>
      <c r="K54" s="140" t="s">
        <v>205</v>
      </c>
      <c r="L54" s="139">
        <f t="shared" si="0"/>
        <v>0</v>
      </c>
      <c r="M54" s="124"/>
      <c r="N54" s="126"/>
      <c r="O54" s="354"/>
      <c r="P54" s="354"/>
      <c r="Q54" s="354"/>
      <c r="R54" s="354"/>
      <c r="S54" s="354"/>
      <c r="T54" s="354"/>
      <c r="U54" s="354"/>
      <c r="V54" s="354"/>
      <c r="W54" s="354"/>
      <c r="X54" s="354"/>
      <c r="Y54" s="50"/>
      <c r="Z54" s="357"/>
    </row>
    <row r="55" spans="2:28" ht="12" customHeight="1">
      <c r="B55" s="118"/>
      <c r="C55" s="140"/>
      <c r="D55" s="124"/>
      <c r="E55" s="124"/>
      <c r="F55" s="124"/>
      <c r="G55" s="139"/>
      <c r="H55" s="124"/>
      <c r="I55" s="1353" t="s">
        <v>305</v>
      </c>
      <c r="J55" s="1354"/>
      <c r="K55" s="1354"/>
      <c r="L55" s="1355"/>
      <c r="M55" s="163" t="s">
        <v>205</v>
      </c>
      <c r="N55" s="138">
        <f>IF(Z55&lt;=Y55,Z55,IF(Z55&gt;=Y55,Y55))</f>
        <v>150000</v>
      </c>
      <c r="O55" s="355"/>
      <c r="P55" s="355"/>
      <c r="Q55" s="355"/>
      <c r="R55" s="355"/>
      <c r="S55" s="355"/>
      <c r="T55" s="355"/>
      <c r="U55" s="355"/>
      <c r="V55" s="355"/>
      <c r="W55" s="355"/>
      <c r="X55" s="355"/>
      <c r="Y55" s="358">
        <v>150000</v>
      </c>
      <c r="Z55" s="359">
        <f>SUM(L43:L54)</f>
        <v>155040</v>
      </c>
    </row>
    <row r="56" spans="2:28" ht="11.25" customHeight="1">
      <c r="B56" s="118"/>
      <c r="C56" s="164" t="s">
        <v>209</v>
      </c>
      <c r="D56" s="165" t="s">
        <v>306</v>
      </c>
      <c r="E56" s="124"/>
      <c r="F56" s="124"/>
      <c r="G56" s="139"/>
      <c r="H56" s="124"/>
      <c r="I56" s="140"/>
      <c r="J56" s="166"/>
      <c r="K56" s="124"/>
      <c r="L56" s="166"/>
      <c r="M56" s="124"/>
      <c r="N56" s="126"/>
      <c r="O56" s="354"/>
      <c r="P56" s="354"/>
      <c r="Q56" s="354"/>
      <c r="R56" s="354"/>
      <c r="S56" s="354"/>
      <c r="T56" s="354"/>
      <c r="U56" s="354"/>
      <c r="V56" s="354"/>
      <c r="W56" s="354"/>
      <c r="X56" s="354"/>
    </row>
    <row r="57" spans="2:28" ht="14.1" customHeight="1">
      <c r="B57" s="118"/>
      <c r="C57" s="167" t="s">
        <v>291</v>
      </c>
      <c r="D57" s="1333"/>
      <c r="E57" s="1333"/>
      <c r="F57" s="158" t="s">
        <v>205</v>
      </c>
      <c r="G57" s="143"/>
      <c r="H57" s="158"/>
      <c r="I57" s="149" t="s">
        <v>205</v>
      </c>
      <c r="J57" s="130">
        <f>IF(G57&lt;=Z57,G57,IF(G57&gt;=Z57,Z57))</f>
        <v>0</v>
      </c>
      <c r="K57" s="158" t="s">
        <v>205</v>
      </c>
      <c r="L57" s="130">
        <f>IF(G57&lt;=Z57,G57,IF(G57&gt;=Z57,Z57))</f>
        <v>0</v>
      </c>
      <c r="M57" s="168" t="s">
        <v>205</v>
      </c>
      <c r="N57" s="169">
        <f>L57</f>
        <v>0</v>
      </c>
      <c r="O57" s="355"/>
      <c r="P57" s="355"/>
      <c r="Q57" s="355"/>
      <c r="R57" s="355"/>
      <c r="S57" s="355"/>
      <c r="T57" s="355"/>
      <c r="U57" s="355"/>
      <c r="V57" s="355"/>
      <c r="W57" s="355"/>
      <c r="X57" s="355"/>
      <c r="Z57" s="357">
        <v>10000</v>
      </c>
      <c r="AB57" s="360">
        <f>N55+N57+N59</f>
        <v>150000</v>
      </c>
    </row>
    <row r="58" spans="2:28" ht="14.25" customHeight="1">
      <c r="B58" s="118"/>
      <c r="C58" s="164" t="s">
        <v>210</v>
      </c>
      <c r="D58" s="165" t="s">
        <v>514</v>
      </c>
      <c r="E58" s="124"/>
      <c r="F58" s="124"/>
      <c r="G58" s="139"/>
      <c r="H58" s="124"/>
      <c r="I58" s="140"/>
      <c r="J58" s="137"/>
      <c r="K58" s="124"/>
      <c r="L58" s="137"/>
      <c r="M58" s="124"/>
      <c r="N58" s="126"/>
      <c r="O58" s="354"/>
      <c r="P58" s="354"/>
      <c r="Q58" s="354"/>
      <c r="R58" s="354"/>
      <c r="S58" s="354"/>
      <c r="T58" s="354"/>
      <c r="U58" s="354"/>
      <c r="V58" s="354"/>
      <c r="W58" s="354"/>
      <c r="X58" s="354"/>
      <c r="AB58" s="361"/>
    </row>
    <row r="59" spans="2:28" ht="14.1" customHeight="1">
      <c r="B59" s="118"/>
      <c r="C59" s="167" t="s">
        <v>291</v>
      </c>
      <c r="D59" s="1333" t="s">
        <v>307</v>
      </c>
      <c r="E59" s="1333"/>
      <c r="F59" s="158" t="s">
        <v>205</v>
      </c>
      <c r="G59" s="143">
        <f>IF(DATA!AD44=3,'Annexure -I'!P23,0)</f>
        <v>0</v>
      </c>
      <c r="H59" s="158"/>
      <c r="I59" s="149" t="s">
        <v>205</v>
      </c>
      <c r="J59" s="130">
        <f>IF(G59&lt;=Z59,G59,IF(G59&gt;=Z59,Z59))</f>
        <v>0</v>
      </c>
      <c r="K59" s="158" t="s">
        <v>205</v>
      </c>
      <c r="L59" s="130">
        <f>IF(G59&lt;Z59,G59,IF(G59&gt;Z59,Z59))</f>
        <v>0</v>
      </c>
      <c r="M59" s="170" t="s">
        <v>205</v>
      </c>
      <c r="N59" s="171">
        <f>L59</f>
        <v>0</v>
      </c>
      <c r="O59" s="355"/>
      <c r="P59" s="355"/>
      <c r="Q59" s="355"/>
      <c r="R59" s="355"/>
      <c r="S59" s="355"/>
      <c r="T59" s="355"/>
      <c r="U59" s="355"/>
      <c r="V59" s="355"/>
      <c r="W59" s="355"/>
      <c r="X59" s="355"/>
      <c r="Z59" s="357">
        <v>100000</v>
      </c>
      <c r="AB59" s="45"/>
    </row>
    <row r="60" spans="2:28" ht="15" customHeight="1">
      <c r="B60" s="118"/>
      <c r="C60" s="1346" t="s">
        <v>308</v>
      </c>
      <c r="D60" s="1347"/>
      <c r="E60" s="1347"/>
      <c r="F60" s="1347"/>
      <c r="G60" s="1347"/>
      <c r="H60" s="1347"/>
      <c r="I60" s="1347"/>
      <c r="J60" s="1347"/>
      <c r="K60" s="1347"/>
      <c r="L60" s="1348"/>
      <c r="M60" s="172" t="s">
        <v>205</v>
      </c>
      <c r="N60" s="173">
        <f>AB64+L53</f>
        <v>150000</v>
      </c>
      <c r="O60" s="355"/>
      <c r="P60" s="355"/>
      <c r="Q60" s="355"/>
      <c r="R60" s="355"/>
      <c r="S60" s="355"/>
      <c r="T60" s="355"/>
      <c r="U60" s="355"/>
      <c r="V60" s="355"/>
      <c r="W60" s="355"/>
      <c r="X60" s="355"/>
      <c r="Y60" s="45">
        <f>Z55+N57+N59</f>
        <v>155040</v>
      </c>
      <c r="Z60" s="58">
        <v>150000</v>
      </c>
      <c r="AB60" s="362">
        <f>IF(AB57&lt;Y55,AB57,AB58)</f>
        <v>0</v>
      </c>
    </row>
    <row r="61" spans="2:28" ht="15" customHeight="1">
      <c r="B61" s="155"/>
      <c r="C61" s="164" t="s">
        <v>221</v>
      </c>
      <c r="D61" s="165" t="s">
        <v>472</v>
      </c>
      <c r="E61" s="165" t="s">
        <v>473</v>
      </c>
      <c r="F61" s="158" t="s">
        <v>205</v>
      </c>
      <c r="G61" s="143">
        <f>'Annexure -II'!L16</f>
        <v>50000</v>
      </c>
      <c r="H61" s="158"/>
      <c r="I61" s="149" t="s">
        <v>205</v>
      </c>
      <c r="J61" s="130">
        <f>'Annexure -II'!M16</f>
        <v>0</v>
      </c>
      <c r="K61" s="158" t="s">
        <v>205</v>
      </c>
      <c r="L61" s="130">
        <f>J61</f>
        <v>0</v>
      </c>
      <c r="M61" s="168" t="s">
        <v>205</v>
      </c>
      <c r="N61" s="169">
        <f>L61</f>
        <v>0</v>
      </c>
      <c r="O61" s="355"/>
      <c r="P61" s="355"/>
      <c r="Q61" s="355"/>
      <c r="R61" s="355"/>
      <c r="S61" s="355"/>
      <c r="T61" s="355"/>
      <c r="U61" s="355"/>
      <c r="V61" s="355"/>
      <c r="W61" s="355"/>
      <c r="X61" s="355"/>
      <c r="Y61" s="45"/>
      <c r="Z61" s="58">
        <v>25000</v>
      </c>
      <c r="AB61" s="362"/>
    </row>
    <row r="62" spans="2:28" ht="15" customHeight="1">
      <c r="B62" s="390"/>
      <c r="C62" s="165" t="s">
        <v>222</v>
      </c>
      <c r="D62" s="165" t="s">
        <v>516</v>
      </c>
      <c r="E62" s="165"/>
      <c r="F62" s="158" t="s">
        <v>205</v>
      </c>
      <c r="G62" s="143">
        <f>'Annexure -II'!L54</f>
        <v>0</v>
      </c>
      <c r="H62" s="124"/>
      <c r="I62" s="149" t="s">
        <v>205</v>
      </c>
      <c r="J62" s="130">
        <f>'Annexure -II'!M54</f>
        <v>0</v>
      </c>
      <c r="K62" s="158" t="s">
        <v>205</v>
      </c>
      <c r="L62" s="130">
        <f>J62</f>
        <v>0</v>
      </c>
      <c r="M62" s="168" t="s">
        <v>205</v>
      </c>
      <c r="N62" s="169">
        <f>L62</f>
        <v>0</v>
      </c>
      <c r="O62" s="355"/>
      <c r="P62" s="355"/>
      <c r="Q62" s="355"/>
      <c r="R62" s="355"/>
      <c r="S62" s="355"/>
      <c r="T62" s="355"/>
      <c r="U62" s="355"/>
      <c r="V62" s="355"/>
      <c r="W62" s="355"/>
      <c r="X62" s="355"/>
      <c r="Y62" s="45"/>
      <c r="Z62" s="58"/>
      <c r="AB62" s="362"/>
    </row>
    <row r="63" spans="2:28" ht="12" customHeight="1">
      <c r="B63" s="1322" t="s">
        <v>309</v>
      </c>
      <c r="C63" s="1323"/>
      <c r="D63" s="1324" t="s">
        <v>518</v>
      </c>
      <c r="E63" s="1324"/>
      <c r="F63" s="1324"/>
      <c r="G63" s="1324"/>
      <c r="H63" s="1324"/>
      <c r="I63" s="1324"/>
      <c r="J63" s="1324"/>
      <c r="K63" s="1324"/>
      <c r="L63" s="1324"/>
      <c r="M63" s="1324"/>
      <c r="N63" s="1325"/>
      <c r="O63" s="356"/>
      <c r="P63" s="356"/>
      <c r="Q63" s="356"/>
      <c r="R63" s="356"/>
      <c r="S63" s="356"/>
      <c r="T63" s="356"/>
      <c r="U63" s="356"/>
      <c r="V63" s="356"/>
      <c r="W63" s="356"/>
      <c r="X63" s="356"/>
      <c r="AB63" s="45"/>
    </row>
    <row r="64" spans="2:28" ht="12" customHeight="1">
      <c r="B64" s="1349"/>
      <c r="C64" s="1350"/>
      <c r="D64" s="1351" t="s">
        <v>519</v>
      </c>
      <c r="E64" s="1351"/>
      <c r="F64" s="1351"/>
      <c r="G64" s="1351"/>
      <c r="H64" s="1351"/>
      <c r="I64" s="1351"/>
      <c r="J64" s="1351"/>
      <c r="K64" s="1351"/>
      <c r="L64" s="1351"/>
      <c r="M64" s="1351"/>
      <c r="N64" s="1352"/>
      <c r="O64" s="356"/>
      <c r="P64" s="356"/>
      <c r="Q64" s="356"/>
      <c r="R64" s="356"/>
      <c r="S64" s="356"/>
      <c r="T64" s="356"/>
      <c r="U64" s="356"/>
      <c r="V64" s="356"/>
      <c r="W64" s="356"/>
      <c r="X64" s="356"/>
      <c r="AB64" s="359">
        <f>IF(Y60&lt;Z60,Y60,IF(Y60&gt;Z60,Z60))</f>
        <v>150000</v>
      </c>
    </row>
    <row r="65" spans="2:25" ht="14.1" customHeight="1">
      <c r="B65" s="63" t="str">
        <f>'Annexure -II'!B76</f>
        <v xml:space="preserve">Progrmme developed by www.putta.in (Putta Srinivas Reddy 98490 25860) </v>
      </c>
      <c r="C65" s="64"/>
      <c r="D65" s="53"/>
      <c r="E65" s="53"/>
      <c r="F65" s="53"/>
      <c r="G65" s="53"/>
      <c r="H65" s="53"/>
      <c r="I65" s="53"/>
      <c r="J65" s="53"/>
      <c r="K65" s="53"/>
      <c r="L65" s="53"/>
      <c r="M65" s="53"/>
      <c r="N65" s="53"/>
      <c r="O65" s="53"/>
      <c r="P65" s="53"/>
      <c r="Q65" s="53"/>
      <c r="R65" s="53"/>
      <c r="S65" s="53"/>
      <c r="T65" s="53"/>
      <c r="U65" s="53"/>
      <c r="V65" s="53"/>
      <c r="W65" s="53"/>
      <c r="X65" s="53"/>
    </row>
    <row r="66" spans="2:25" ht="14.1" hidden="1" customHeight="1">
      <c r="B66" s="64"/>
      <c r="C66" s="64"/>
      <c r="D66" s="53"/>
      <c r="E66" s="53"/>
      <c r="F66" s="53"/>
      <c r="G66" s="53"/>
      <c r="H66" s="53"/>
      <c r="I66" s="53"/>
      <c r="J66" s="53"/>
      <c r="K66" s="53"/>
      <c r="L66" s="53"/>
      <c r="M66" s="53"/>
      <c r="N66" s="53"/>
      <c r="O66" s="53"/>
      <c r="P66" s="53"/>
      <c r="Q66" s="53"/>
      <c r="R66" s="53"/>
      <c r="S66" s="53"/>
      <c r="T66" s="53"/>
      <c r="U66" s="53"/>
      <c r="V66" s="53"/>
      <c r="W66" s="53"/>
      <c r="X66" s="53"/>
    </row>
    <row r="67" spans="2:25" ht="14.1" hidden="1" customHeight="1">
      <c r="B67" s="64"/>
      <c r="C67" s="64"/>
      <c r="D67" s="45"/>
      <c r="E67" s="363"/>
      <c r="F67" s="363"/>
      <c r="G67" s="363"/>
      <c r="H67" s="363"/>
      <c r="I67" s="45"/>
      <c r="J67" s="45"/>
      <c r="K67" s="45"/>
      <c r="L67" s="45"/>
      <c r="M67" s="45"/>
      <c r="N67" s="45"/>
      <c r="O67" s="45"/>
      <c r="P67" s="45"/>
      <c r="Q67" s="45"/>
      <c r="R67" s="45"/>
      <c r="S67" s="45"/>
      <c r="T67" s="45"/>
      <c r="U67" s="45"/>
      <c r="V67" s="45"/>
      <c r="W67" s="45"/>
      <c r="X67" s="45"/>
    </row>
    <row r="68" spans="2:25" ht="14.1" hidden="1" customHeight="1">
      <c r="B68" s="64"/>
      <c r="C68" s="54"/>
      <c r="D68" s="54"/>
      <c r="E68" s="54"/>
      <c r="F68" s="54"/>
      <c r="G68" s="54"/>
      <c r="H68" s="54"/>
      <c r="I68" s="45"/>
      <c r="J68" s="45"/>
      <c r="K68" s="45"/>
      <c r="L68" s="45"/>
      <c r="M68" s="45"/>
      <c r="N68" s="45"/>
      <c r="O68" s="45"/>
      <c r="P68" s="45"/>
      <c r="Q68" s="45"/>
      <c r="R68" s="45"/>
      <c r="S68" s="45"/>
      <c r="T68" s="45"/>
      <c r="U68" s="45"/>
      <c r="V68" s="45"/>
      <c r="W68" s="45"/>
      <c r="X68" s="45"/>
    </row>
    <row r="69" spans="2:25" ht="14.1" hidden="1" customHeight="1">
      <c r="B69" s="364"/>
      <c r="C69" s="64"/>
      <c r="D69" s="363"/>
      <c r="E69" s="363"/>
      <c r="F69" s="363"/>
      <c r="G69" s="363"/>
      <c r="H69" s="363"/>
      <c r="I69" s="45"/>
      <c r="J69" s="45"/>
      <c r="K69" s="45"/>
      <c r="L69" s="45"/>
      <c r="M69" s="45"/>
      <c r="N69" s="45"/>
      <c r="O69" s="45"/>
      <c r="P69" s="45"/>
      <c r="Q69" s="45"/>
      <c r="R69" s="45"/>
      <c r="S69" s="45"/>
      <c r="T69" s="45"/>
      <c r="U69" s="45"/>
      <c r="V69" s="45"/>
      <c r="W69" s="45"/>
      <c r="X69" s="45"/>
    </row>
    <row r="70" spans="2:25" ht="14.1" hidden="1" customHeight="1">
      <c r="B70" s="67"/>
      <c r="C70" s="64"/>
      <c r="D70" s="363"/>
      <c r="E70" s="363"/>
      <c r="F70" s="363"/>
      <c r="G70" s="363"/>
      <c r="H70" s="363"/>
      <c r="I70" s="45"/>
      <c r="J70" s="45"/>
      <c r="K70" s="45"/>
      <c r="L70" s="45"/>
      <c r="M70" s="45"/>
      <c r="N70" s="45"/>
      <c r="O70" s="45"/>
      <c r="P70" s="45"/>
      <c r="Q70" s="45"/>
      <c r="R70" s="45"/>
      <c r="S70" s="45"/>
      <c r="T70" s="45"/>
      <c r="U70" s="45"/>
      <c r="V70" s="45"/>
      <c r="W70" s="45"/>
      <c r="X70" s="45"/>
    </row>
    <row r="71" spans="2:25" ht="16.5" hidden="1">
      <c r="B71" s="67"/>
      <c r="C71" s="46"/>
      <c r="D71" s="45"/>
      <c r="E71" s="45"/>
      <c r="F71" s="45"/>
      <c r="H71" s="45"/>
      <c r="I71" s="45"/>
      <c r="J71" s="45"/>
      <c r="K71" s="45"/>
      <c r="L71" s="45"/>
      <c r="M71" s="45"/>
      <c r="N71" s="1283"/>
      <c r="O71" s="1283"/>
      <c r="P71" s="1283"/>
      <c r="Q71" s="1283"/>
      <c r="R71" s="1283"/>
      <c r="S71" s="1283"/>
      <c r="T71" s="1283"/>
      <c r="U71" s="45"/>
      <c r="V71" s="45"/>
      <c r="W71" s="45"/>
      <c r="X71" s="45"/>
      <c r="Y71" s="45"/>
    </row>
    <row r="72" spans="2:25" ht="16.5" hidden="1">
      <c r="B72" s="67"/>
      <c r="C72" s="46"/>
      <c r="D72" s="45"/>
      <c r="E72" s="45"/>
      <c r="F72" s="45"/>
      <c r="G72" s="45"/>
      <c r="H72" s="45"/>
      <c r="I72" s="45"/>
      <c r="J72" s="45"/>
      <c r="K72" s="45"/>
      <c r="L72" s="45"/>
      <c r="M72" s="45"/>
      <c r="N72" s="45"/>
      <c r="O72" s="45"/>
      <c r="P72" s="45"/>
      <c r="Q72" s="45"/>
      <c r="R72" s="45"/>
      <c r="S72" s="45"/>
      <c r="T72" s="45"/>
      <c r="U72" s="45"/>
      <c r="V72" s="45"/>
      <c r="W72" s="45"/>
      <c r="X72" s="45"/>
      <c r="Y72" s="45"/>
    </row>
    <row r="73" spans="2:25" ht="16.5" hidden="1">
      <c r="B73" s="67"/>
      <c r="C73" s="46"/>
      <c r="D73" s="45"/>
      <c r="E73" s="45"/>
      <c r="F73" s="45"/>
      <c r="G73" s="45"/>
      <c r="H73" s="45"/>
      <c r="I73" s="45"/>
      <c r="J73" s="45"/>
      <c r="K73" s="45"/>
      <c r="L73" s="45"/>
      <c r="M73" s="45"/>
      <c r="N73" s="45"/>
      <c r="O73" s="45"/>
      <c r="P73" s="45"/>
      <c r="Q73" s="45"/>
      <c r="R73" s="45"/>
      <c r="S73" s="45"/>
      <c r="T73" s="45"/>
      <c r="U73" s="45"/>
      <c r="V73" s="45"/>
      <c r="W73" s="45"/>
      <c r="X73" s="45"/>
      <c r="Y73" s="45"/>
    </row>
    <row r="74" spans="2:25" ht="15" hidden="1">
      <c r="B74" s="45"/>
      <c r="C74" s="46"/>
      <c r="D74" s="45"/>
      <c r="E74" s="45"/>
      <c r="F74" s="45"/>
      <c r="G74" s="45"/>
      <c r="H74" s="45"/>
      <c r="I74" s="45"/>
      <c r="J74" s="45"/>
      <c r="K74" s="45"/>
      <c r="L74" s="45"/>
      <c r="M74" s="45"/>
      <c r="N74" s="45"/>
      <c r="O74" s="45"/>
      <c r="P74" s="45"/>
      <c r="Q74" s="45"/>
      <c r="R74" s="45"/>
      <c r="S74" s="45"/>
      <c r="T74" s="45"/>
      <c r="U74" s="45"/>
      <c r="V74" s="45"/>
      <c r="W74" s="45"/>
      <c r="X74" s="45"/>
      <c r="Y74" s="45"/>
    </row>
    <row r="75" spans="2:25" ht="15" hidden="1">
      <c r="B75" s="45"/>
      <c r="C75" s="46"/>
      <c r="D75" s="45"/>
      <c r="E75" s="45"/>
      <c r="F75" s="45"/>
      <c r="G75" s="45"/>
      <c r="H75" s="45"/>
      <c r="I75" s="45"/>
      <c r="J75" s="45"/>
      <c r="K75" s="45"/>
      <c r="L75" s="45"/>
      <c r="M75" s="45"/>
      <c r="N75" s="45"/>
      <c r="O75" s="45"/>
      <c r="P75" s="45"/>
      <c r="Q75" s="45"/>
      <c r="R75" s="45"/>
      <c r="S75" s="45"/>
      <c r="T75" s="45"/>
      <c r="U75" s="45"/>
      <c r="V75" s="45"/>
      <c r="W75" s="45"/>
      <c r="X75" s="45"/>
      <c r="Y75" s="45"/>
    </row>
    <row r="76" spans="2:25" ht="15" hidden="1">
      <c r="B76" s="45"/>
      <c r="C76" s="46"/>
      <c r="D76" s="45"/>
      <c r="E76" s="45"/>
      <c r="F76" s="45"/>
      <c r="G76" s="45"/>
      <c r="H76" s="45"/>
      <c r="I76" s="45"/>
      <c r="J76" s="45"/>
      <c r="K76" s="45"/>
      <c r="L76" s="45"/>
      <c r="M76" s="45"/>
      <c r="N76" s="45"/>
      <c r="O76" s="45"/>
      <c r="P76" s="45"/>
      <c r="Q76" s="45"/>
      <c r="R76" s="45"/>
      <c r="S76" s="45"/>
      <c r="T76" s="45"/>
      <c r="U76" s="45"/>
      <c r="V76" s="45"/>
      <c r="W76" s="45"/>
      <c r="X76" s="45"/>
      <c r="Y76" s="45"/>
    </row>
    <row r="77" spans="2:25" ht="15" hidden="1">
      <c r="B77" s="45"/>
      <c r="C77" s="46"/>
      <c r="D77" s="45"/>
      <c r="E77" s="45"/>
      <c r="F77" s="45"/>
      <c r="G77" s="45"/>
      <c r="H77" s="45"/>
      <c r="I77" s="45"/>
      <c r="J77" s="45"/>
      <c r="K77" s="45"/>
      <c r="L77" s="45"/>
      <c r="M77" s="45"/>
      <c r="N77" s="45"/>
      <c r="O77" s="45"/>
      <c r="P77" s="45"/>
      <c r="Q77" s="45"/>
      <c r="R77" s="45"/>
      <c r="S77" s="45"/>
      <c r="T77" s="45"/>
      <c r="U77" s="45"/>
      <c r="V77" s="45"/>
      <c r="W77" s="45"/>
      <c r="X77" s="45"/>
      <c r="Y77" s="45"/>
    </row>
    <row r="78" spans="2:25" ht="15" hidden="1">
      <c r="B78" s="45"/>
      <c r="C78" s="46"/>
      <c r="D78" s="45"/>
      <c r="E78" s="45"/>
      <c r="F78" s="45"/>
      <c r="G78" s="45"/>
      <c r="H78" s="45"/>
      <c r="I78" s="45"/>
      <c r="J78" s="45"/>
      <c r="K78" s="45"/>
      <c r="L78" s="45"/>
      <c r="M78" s="45"/>
      <c r="N78" s="45"/>
      <c r="O78" s="45"/>
      <c r="P78" s="45"/>
      <c r="Q78" s="45"/>
      <c r="R78" s="45"/>
      <c r="S78" s="45"/>
      <c r="T78" s="45"/>
      <c r="U78" s="45"/>
      <c r="V78" s="45"/>
      <c r="W78" s="45"/>
      <c r="X78" s="45"/>
      <c r="Y78" s="45"/>
    </row>
    <row r="79" spans="2:25" ht="15" hidden="1">
      <c r="B79" s="45"/>
      <c r="C79" s="46"/>
      <c r="D79" s="45"/>
      <c r="E79" s="45"/>
      <c r="F79" s="45"/>
      <c r="G79" s="45"/>
      <c r="H79" s="45"/>
      <c r="I79" s="45"/>
      <c r="J79" s="45"/>
      <c r="K79" s="45"/>
      <c r="L79" s="45"/>
      <c r="M79" s="45"/>
      <c r="N79" s="45"/>
      <c r="O79" s="45"/>
      <c r="P79" s="45"/>
      <c r="Q79" s="45"/>
      <c r="R79" s="45"/>
      <c r="S79" s="45"/>
      <c r="T79" s="45"/>
      <c r="U79" s="45"/>
      <c r="V79" s="45"/>
      <c r="W79" s="45"/>
      <c r="X79" s="45"/>
      <c r="Y79" s="45"/>
    </row>
    <row r="80" spans="2:25" ht="15" hidden="1">
      <c r="B80" s="45"/>
      <c r="C80" s="46"/>
      <c r="D80" s="45"/>
      <c r="E80" s="45"/>
      <c r="F80" s="45"/>
      <c r="G80" s="45"/>
      <c r="H80" s="45"/>
      <c r="I80" s="45"/>
      <c r="J80" s="45"/>
      <c r="K80" s="45"/>
      <c r="L80" s="45"/>
      <c r="M80" s="45"/>
      <c r="N80" s="45"/>
      <c r="O80" s="45"/>
      <c r="P80" s="45"/>
      <c r="Q80" s="45"/>
      <c r="R80" s="45"/>
      <c r="S80" s="45"/>
      <c r="T80" s="45"/>
      <c r="U80" s="45"/>
      <c r="V80" s="45"/>
      <c r="W80" s="45"/>
      <c r="X80" s="45"/>
    </row>
    <row r="81" spans="2:24" ht="15" hidden="1">
      <c r="B81" s="45"/>
      <c r="C81" s="46"/>
      <c r="D81" s="45"/>
      <c r="E81" s="45"/>
      <c r="F81" s="45"/>
      <c r="G81" s="45"/>
      <c r="H81" s="45"/>
      <c r="I81" s="45"/>
      <c r="J81" s="45"/>
      <c r="K81" s="45"/>
      <c r="L81" s="45"/>
      <c r="M81" s="45"/>
      <c r="N81" s="45"/>
      <c r="O81" s="45"/>
      <c r="P81" s="45"/>
      <c r="Q81" s="45"/>
      <c r="R81" s="45"/>
      <c r="S81" s="45"/>
      <c r="T81" s="45"/>
      <c r="U81" s="45"/>
      <c r="V81" s="45"/>
      <c r="W81" s="45"/>
      <c r="X81" s="45"/>
    </row>
    <row r="82" spans="2:24" ht="15" hidden="1">
      <c r="B82" s="45"/>
      <c r="C82" s="46"/>
      <c r="D82" s="45"/>
      <c r="E82" s="45"/>
      <c r="F82" s="45"/>
      <c r="G82" s="45"/>
      <c r="H82" s="45"/>
      <c r="I82" s="45"/>
      <c r="J82" s="45"/>
      <c r="K82" s="45"/>
      <c r="L82" s="45"/>
      <c r="M82" s="45"/>
      <c r="N82" s="45"/>
      <c r="O82" s="45"/>
      <c r="P82" s="45"/>
      <c r="Q82" s="45"/>
      <c r="R82" s="45"/>
      <c r="S82" s="45"/>
      <c r="T82" s="45"/>
      <c r="U82" s="45"/>
      <c r="V82" s="45"/>
      <c r="W82" s="45"/>
      <c r="X82" s="45"/>
    </row>
    <row r="83" spans="2:24" ht="15" hidden="1">
      <c r="B83" s="45"/>
      <c r="C83" s="46"/>
      <c r="D83" s="45"/>
      <c r="E83" s="45"/>
      <c r="F83" s="45"/>
      <c r="G83" s="45"/>
      <c r="H83" s="45"/>
      <c r="I83" s="45"/>
      <c r="J83" s="45"/>
      <c r="K83" s="45"/>
      <c r="L83" s="45"/>
      <c r="M83" s="45"/>
      <c r="N83" s="45"/>
      <c r="O83" s="45"/>
      <c r="P83" s="45"/>
      <c r="Q83" s="45"/>
      <c r="R83" s="45"/>
      <c r="S83" s="45"/>
      <c r="T83" s="45"/>
      <c r="U83" s="45"/>
      <c r="V83" s="45"/>
      <c r="W83" s="45"/>
      <c r="X83" s="45"/>
    </row>
    <row r="84" spans="2:24" ht="15" hidden="1">
      <c r="B84" s="45"/>
      <c r="C84" s="46"/>
      <c r="D84" s="45"/>
      <c r="E84" s="45"/>
      <c r="F84" s="45"/>
      <c r="G84" s="45"/>
      <c r="H84" s="45"/>
      <c r="I84" s="45"/>
      <c r="J84" s="45"/>
      <c r="K84" s="45"/>
      <c r="L84" s="45"/>
      <c r="M84" s="45"/>
      <c r="N84" s="45"/>
      <c r="O84" s="45"/>
      <c r="P84" s="45"/>
      <c r="Q84" s="45"/>
      <c r="R84" s="45"/>
      <c r="S84" s="45"/>
      <c r="T84" s="45"/>
      <c r="U84" s="45"/>
      <c r="V84" s="45"/>
      <c r="W84" s="45"/>
      <c r="X84" s="45"/>
    </row>
    <row r="85" spans="2:24" ht="15" hidden="1">
      <c r="C85" s="365"/>
    </row>
    <row r="86" spans="2:24" ht="15" hidden="1">
      <c r="C86" s="365"/>
    </row>
    <row r="87" spans="2:24" ht="15" hidden="1">
      <c r="C87" s="365"/>
    </row>
    <row r="88" spans="2:24" ht="15" hidden="1">
      <c r="C88" s="365"/>
    </row>
    <row r="89" spans="2:24" ht="15" hidden="1">
      <c r="C89" s="365"/>
    </row>
    <row r="90" spans="2:24" ht="15" hidden="1">
      <c r="C90" s="365"/>
    </row>
    <row r="91" spans="2:24" ht="15" hidden="1">
      <c r="C91" s="365"/>
    </row>
    <row r="92" spans="2:24" ht="13.5" hidden="1" customHeight="1"/>
    <row r="93" spans="2:24" ht="15" hidden="1">
      <c r="C93" s="365"/>
    </row>
    <row r="94" spans="2:24" ht="15" hidden="1">
      <c r="C94" s="365"/>
    </row>
    <row r="95" spans="2:24" ht="15" hidden="1">
      <c r="C95" s="365"/>
    </row>
    <row r="96" spans="2:24" ht="15" hidden="1">
      <c r="C96" s="365"/>
    </row>
    <row r="97" spans="3:3" ht="15" hidden="1">
      <c r="C97" s="365"/>
    </row>
    <row r="98" spans="3:3" ht="15" hidden="1">
      <c r="C98" s="365"/>
    </row>
    <row r="99" spans="3:3" ht="15" hidden="1">
      <c r="C99" s="365"/>
    </row>
    <row r="100" spans="3:3" ht="15" hidden="1">
      <c r="C100" s="365"/>
    </row>
    <row r="101" spans="3:3" ht="15" hidden="1">
      <c r="C101" s="365"/>
    </row>
    <row r="102" spans="3:3" ht="15" hidden="1">
      <c r="C102" s="365"/>
    </row>
    <row r="103" spans="3:3" ht="15" hidden="1">
      <c r="C103" s="365"/>
    </row>
    <row r="104" spans="3:3" ht="15" hidden="1">
      <c r="C104" s="365"/>
    </row>
    <row r="105" spans="3:3" ht="15" hidden="1">
      <c r="C105" s="365"/>
    </row>
    <row r="106" spans="3:3" ht="15" hidden="1">
      <c r="C106" s="365"/>
    </row>
    <row r="107" spans="3:3" ht="15" hidden="1">
      <c r="C107" s="365"/>
    </row>
    <row r="108" spans="3:3" ht="15" hidden="1">
      <c r="C108" s="365"/>
    </row>
    <row r="109" spans="3:3" ht="15" hidden="1">
      <c r="C109" s="365"/>
    </row>
    <row r="110" spans="3:3" ht="15" hidden="1">
      <c r="C110" s="365"/>
    </row>
    <row r="111" spans="3:3" ht="15" hidden="1">
      <c r="C111" s="365"/>
    </row>
  </sheetData>
  <sheetProtection sheet="1" objects="1" selectLockedCells="1" selectUnlockedCells="1"/>
  <protectedRanges>
    <protectedRange sqref="B1:N64" name="Range1"/>
    <protectedRange sqref="N71:T71" name="Range1_1"/>
  </protectedRanges>
  <customSheetViews>
    <customSheetView guid="{C9DCC1B1-1130-43C1-807F-FB357D8E7C6B}" showGridLines="0" hiddenRows="1" hiddenColumns="1" state="hidden" topLeftCell="A40">
      <selection activeCell="D65" sqref="D65"/>
      <pageMargins left="0.7" right="0.45" top="0.5" bottom="0.5" header="0" footer="0"/>
      <printOptions horizontalCentered="1" verticalCentered="1"/>
      <pageSetup paperSize="9" scale="90" orientation="portrait" horizontalDpi="180" verticalDpi="180" r:id="rId1"/>
      <headerFooter alignWithMargins="0"/>
    </customSheetView>
    <customSheetView guid="{74B9DB0D-A27C-483C-9482-296E1DCC546B}" showGridLines="0" hiddenRows="1" hiddenColumns="1" state="hidden" topLeftCell="A40">
      <selection activeCell="D65" sqref="D65"/>
      <pageMargins left="0.7" right="0.45" top="0.5" bottom="0.5" header="0" footer="0"/>
      <printOptions horizontalCentered="1" verticalCentered="1"/>
      <pageSetup paperSize="9" scale="90" orientation="portrait" horizontalDpi="180" verticalDpi="180" r:id="rId2"/>
      <headerFooter alignWithMargins="0"/>
    </customSheetView>
  </customSheetViews>
  <mergeCells count="71">
    <mergeCell ref="D29:E29"/>
    <mergeCell ref="L11:N11"/>
    <mergeCell ref="E16:H16"/>
    <mergeCell ref="M13:N13"/>
    <mergeCell ref="I13:L13"/>
    <mergeCell ref="B12:N12"/>
    <mergeCell ref="K14:L14"/>
    <mergeCell ref="E11:G11"/>
    <mergeCell ref="E14:H14"/>
    <mergeCell ref="I14:J14"/>
    <mergeCell ref="B16:D16"/>
    <mergeCell ref="B15:D15"/>
    <mergeCell ref="E15:H15"/>
    <mergeCell ref="K15:L17"/>
    <mergeCell ref="M15:N17"/>
    <mergeCell ref="E17:H17"/>
    <mergeCell ref="B10:H10"/>
    <mergeCell ref="B14:D14"/>
    <mergeCell ref="B1:N1"/>
    <mergeCell ref="B2:N3"/>
    <mergeCell ref="B4:H4"/>
    <mergeCell ref="I4:N4"/>
    <mergeCell ref="B6:H6"/>
    <mergeCell ref="B11:D11"/>
    <mergeCell ref="I11:K11"/>
    <mergeCell ref="M14:N14"/>
    <mergeCell ref="I8:N8"/>
    <mergeCell ref="B13:D13"/>
    <mergeCell ref="E13:H13"/>
    <mergeCell ref="I9:N9"/>
    <mergeCell ref="I10:N10"/>
    <mergeCell ref="I6:N6"/>
    <mergeCell ref="B9:H9"/>
    <mergeCell ref="B7:H7"/>
    <mergeCell ref="I7:N7"/>
    <mergeCell ref="B8:H8"/>
    <mergeCell ref="N71:T71"/>
    <mergeCell ref="D46:E46"/>
    <mergeCell ref="C39:E39"/>
    <mergeCell ref="D59:E59"/>
    <mergeCell ref="C60:L60"/>
    <mergeCell ref="B64:C64"/>
    <mergeCell ref="D64:N64"/>
    <mergeCell ref="I55:L55"/>
    <mergeCell ref="I41:J41"/>
    <mergeCell ref="I15:J17"/>
    <mergeCell ref="B17:D17"/>
    <mergeCell ref="D47:E47"/>
    <mergeCell ref="C38:H38"/>
    <mergeCell ref="C30:H30"/>
    <mergeCell ref="D24:H24"/>
    <mergeCell ref="C34:H34"/>
    <mergeCell ref="B18:N18"/>
    <mergeCell ref="D23:H23"/>
    <mergeCell ref="C27:H27"/>
    <mergeCell ref="B19:N19"/>
    <mergeCell ref="C20:D20"/>
    <mergeCell ref="C37:H37"/>
    <mergeCell ref="D21:H21"/>
    <mergeCell ref="D22:H22"/>
    <mergeCell ref="C31:H31"/>
    <mergeCell ref="C35:H35"/>
    <mergeCell ref="C36:H36"/>
    <mergeCell ref="D25:H25"/>
    <mergeCell ref="B63:C63"/>
    <mergeCell ref="D63:N63"/>
    <mergeCell ref="K41:L41"/>
    <mergeCell ref="C40:G40"/>
    <mergeCell ref="C41:E41"/>
    <mergeCell ref="D52:E52"/>
    <mergeCell ref="D57:E57"/>
  </mergeCells>
  <phoneticPr fontId="1" type="noConversion"/>
  <printOptions horizontalCentered="1" verticalCentered="1"/>
  <pageMargins left="0.7" right="0.45" top="0.5" bottom="0.5" header="0" footer="0"/>
  <pageSetup paperSize="9" scale="90" orientation="portrait" horizontalDpi="180" verticalDpi="180" r:id="rId3"/>
  <headerFooter alignWithMargins="0"/>
  <drawing r:id="rId4"/>
</worksheet>
</file>

<file path=xl/worksheets/sheet7.xml><?xml version="1.0" encoding="utf-8"?>
<worksheet xmlns="http://schemas.openxmlformats.org/spreadsheetml/2006/main" xmlns:r="http://schemas.openxmlformats.org/officeDocument/2006/relationships">
  <sheetPr codeName="Sheet7"/>
  <dimension ref="B1:AD119"/>
  <sheetViews>
    <sheetView showGridLines="0" showRowColHeaders="0" workbookViewId="0">
      <selection activeCell="E15" sqref="E15:H15"/>
    </sheetView>
  </sheetViews>
  <sheetFormatPr defaultColWidth="0" defaultRowHeight="15" zeroHeight="1"/>
  <cols>
    <col min="1" max="1" width="1.42578125" style="43" customWidth="1"/>
    <col min="2" max="2" width="4.140625" style="43" customWidth="1"/>
    <col min="3" max="3" width="3.42578125" style="43" customWidth="1"/>
    <col min="4" max="4" width="11.140625" style="43" customWidth="1"/>
    <col min="5" max="5" width="24.28515625" style="43" customWidth="1"/>
    <col min="6" max="6" width="3.85546875" style="43" customWidth="1"/>
    <col min="7" max="7" width="11" style="43" customWidth="1"/>
    <col min="8" max="8" width="1.5703125" style="43" customWidth="1"/>
    <col min="9" max="9" width="3.5703125" style="43" customWidth="1"/>
    <col min="10" max="10" width="12" style="43" customWidth="1"/>
    <col min="11" max="11" width="3.42578125" style="43" customWidth="1"/>
    <col min="12" max="12" width="12.28515625" style="43" customWidth="1"/>
    <col min="13" max="13" width="3.28515625" style="43" customWidth="1"/>
    <col min="14" max="14" width="12" style="43" customWidth="1"/>
    <col min="15" max="15" width="1.85546875" style="43" customWidth="1"/>
    <col min="16" max="25" width="0" style="43" hidden="1" customWidth="1"/>
    <col min="26" max="26" width="0" style="44" hidden="1" customWidth="1"/>
    <col min="27" max="16384" width="0" style="43" hidden="1"/>
  </cols>
  <sheetData>
    <row r="1" spans="2:24" ht="6.75" customHeight="1" thickBot="1"/>
    <row r="2" spans="2:24" ht="18" customHeight="1" thickTop="1">
      <c r="B2" s="1369" t="s">
        <v>534</v>
      </c>
      <c r="C2" s="1402"/>
      <c r="D2" s="1402"/>
      <c r="E2" s="1402"/>
      <c r="F2" s="1402"/>
      <c r="G2" s="1402"/>
      <c r="H2" s="1402"/>
      <c r="I2" s="1402"/>
      <c r="J2" s="1402"/>
      <c r="K2" s="1402"/>
      <c r="L2" s="1402"/>
      <c r="M2" s="1402"/>
      <c r="N2" s="1403"/>
      <c r="O2" s="346"/>
      <c r="P2" s="346"/>
      <c r="Q2" s="346"/>
      <c r="R2" s="346"/>
      <c r="S2" s="346"/>
      <c r="T2" s="346"/>
      <c r="U2" s="346"/>
      <c r="V2" s="346"/>
      <c r="W2" s="346"/>
      <c r="X2" s="346"/>
    </row>
    <row r="3" spans="2:24" ht="14.25" customHeight="1">
      <c r="B3" s="1372" t="s">
        <v>536</v>
      </c>
      <c r="C3" s="1373"/>
      <c r="D3" s="1373"/>
      <c r="E3" s="1373"/>
      <c r="F3" s="1373"/>
      <c r="G3" s="1373"/>
      <c r="H3" s="1373"/>
      <c r="I3" s="1373"/>
      <c r="J3" s="1373"/>
      <c r="K3" s="1373"/>
      <c r="L3" s="1373"/>
      <c r="M3" s="1373"/>
      <c r="N3" s="1374"/>
      <c r="O3" s="347"/>
      <c r="P3" s="347"/>
      <c r="Q3" s="347"/>
      <c r="R3" s="347"/>
      <c r="S3" s="347"/>
      <c r="T3" s="347"/>
      <c r="U3" s="347"/>
      <c r="V3" s="347"/>
      <c r="W3" s="347"/>
      <c r="X3" s="347"/>
    </row>
    <row r="4" spans="2:24" ht="14.25" customHeight="1">
      <c r="B4" s="1393"/>
      <c r="C4" s="1394"/>
      <c r="D4" s="1394"/>
      <c r="E4" s="1394"/>
      <c r="F4" s="1394"/>
      <c r="G4" s="1394"/>
      <c r="H4" s="1394"/>
      <c r="I4" s="1394"/>
      <c r="J4" s="1394"/>
      <c r="K4" s="1394"/>
      <c r="L4" s="1394"/>
      <c r="M4" s="1394"/>
      <c r="N4" s="1396"/>
      <c r="O4" s="347"/>
      <c r="P4" s="347"/>
      <c r="Q4" s="347"/>
      <c r="R4" s="347"/>
      <c r="S4" s="347"/>
      <c r="T4" s="347"/>
      <c r="U4" s="347"/>
      <c r="V4" s="347"/>
      <c r="W4" s="347"/>
      <c r="X4" s="347"/>
    </row>
    <row r="5" spans="2:24" ht="13.5" customHeight="1">
      <c r="B5" s="1375" t="s">
        <v>253</v>
      </c>
      <c r="C5" s="1376"/>
      <c r="D5" s="1376"/>
      <c r="E5" s="1376"/>
      <c r="F5" s="1376"/>
      <c r="G5" s="1376"/>
      <c r="H5" s="1404"/>
      <c r="I5" s="1377" t="s">
        <v>254</v>
      </c>
      <c r="J5" s="1376"/>
      <c r="K5" s="1376"/>
      <c r="L5" s="1376"/>
      <c r="M5" s="1376"/>
      <c r="N5" s="1378"/>
      <c r="O5" s="348"/>
      <c r="P5" s="348"/>
      <c r="Q5" s="348"/>
      <c r="R5" s="348"/>
      <c r="S5" s="348"/>
      <c r="T5" s="348"/>
      <c r="U5" s="348"/>
      <c r="V5" s="348"/>
      <c r="W5" s="348"/>
      <c r="X5" s="348"/>
    </row>
    <row r="6" spans="2:24" ht="4.5" customHeight="1">
      <c r="B6" s="114"/>
      <c r="C6" s="76"/>
      <c r="D6" s="76"/>
      <c r="E6" s="76"/>
      <c r="F6" s="76"/>
      <c r="G6" s="76"/>
      <c r="H6" s="76"/>
      <c r="I6" s="115"/>
      <c r="J6" s="76"/>
      <c r="K6" s="76"/>
      <c r="L6" s="76"/>
      <c r="M6" s="76"/>
      <c r="N6" s="116"/>
      <c r="O6" s="349"/>
      <c r="P6" s="349"/>
      <c r="Q6" s="349"/>
      <c r="R6" s="349"/>
      <c r="S6" s="349"/>
      <c r="T6" s="349"/>
      <c r="U6" s="349"/>
      <c r="V6" s="349"/>
      <c r="W6" s="349"/>
      <c r="X6" s="349"/>
    </row>
    <row r="7" spans="2:24" ht="13.5" customHeight="1">
      <c r="B7" s="1405" t="str">
        <f>DATA!D41</f>
        <v>P.SUJATHA</v>
      </c>
      <c r="C7" s="1406"/>
      <c r="D7" s="1406"/>
      <c r="E7" s="1406"/>
      <c r="F7" s="1406"/>
      <c r="G7" s="1406"/>
      <c r="H7" s="1407"/>
      <c r="I7" s="1408" t="str">
        <f>DATA!E4</f>
        <v>S.KARUNAKAR</v>
      </c>
      <c r="J7" s="1409"/>
      <c r="K7" s="1409"/>
      <c r="L7" s="1409"/>
      <c r="M7" s="1409"/>
      <c r="N7" s="1410"/>
      <c r="O7" s="46"/>
      <c r="P7" s="46"/>
      <c r="Q7" s="46"/>
      <c r="R7" s="46"/>
      <c r="S7" s="46"/>
      <c r="T7" s="46"/>
      <c r="U7" s="46"/>
      <c r="V7" s="46"/>
      <c r="W7" s="46"/>
      <c r="X7" s="46"/>
    </row>
    <row r="8" spans="2:24" ht="13.5" customHeight="1">
      <c r="B8" s="1405" t="str">
        <f>DATA!D42</f>
        <v>Gaz.H,M</v>
      </c>
      <c r="C8" s="1406"/>
      <c r="D8" s="1406"/>
      <c r="E8" s="1406"/>
      <c r="F8" s="1406"/>
      <c r="G8" s="1406"/>
      <c r="H8" s="1407"/>
      <c r="I8" s="1408" t="str">
        <f>DATA!M4</f>
        <v>S.A.</v>
      </c>
      <c r="J8" s="1409"/>
      <c r="K8" s="1409"/>
      <c r="L8" s="1409"/>
      <c r="M8" s="1409"/>
      <c r="N8" s="1410"/>
      <c r="O8" s="46"/>
      <c r="P8" s="46"/>
      <c r="Q8" s="46"/>
      <c r="R8" s="46"/>
      <c r="S8" s="46"/>
      <c r="T8" s="46"/>
      <c r="U8" s="46"/>
      <c r="V8" s="46"/>
      <c r="W8" s="46"/>
      <c r="X8" s="46"/>
    </row>
    <row r="9" spans="2:24" ht="13.5" customHeight="1">
      <c r="B9" s="1405" t="str">
        <f>CONCATENATE("O/o ",DATA!J43)</f>
        <v>O/o M.P Domakonda</v>
      </c>
      <c r="C9" s="1406"/>
      <c r="D9" s="1406"/>
      <c r="E9" s="1406"/>
      <c r="F9" s="1406"/>
      <c r="G9" s="1406"/>
      <c r="H9" s="1407"/>
      <c r="I9" s="1408" t="str">
        <f>DATA!D6</f>
        <v>ZPGHS SHANKARAMPET A</v>
      </c>
      <c r="J9" s="1409"/>
      <c r="K9" s="1409"/>
      <c r="L9" s="1409"/>
      <c r="M9" s="1409"/>
      <c r="N9" s="1410"/>
      <c r="O9" s="46"/>
      <c r="P9" s="46"/>
      <c r="Q9" s="46"/>
      <c r="R9" s="46"/>
      <c r="S9" s="46"/>
      <c r="T9" s="46"/>
      <c r="U9" s="46"/>
      <c r="V9" s="46"/>
      <c r="W9" s="46"/>
      <c r="X9" s="46"/>
    </row>
    <row r="10" spans="2:24" ht="13.5" customHeight="1">
      <c r="B10" s="1405" t="str">
        <f>CONCATENATE("Mandal : ",DATA!M5)</f>
        <v>Mandal : SHANKARAMPET A., MEDAK</v>
      </c>
      <c r="C10" s="1406"/>
      <c r="D10" s="1406"/>
      <c r="E10" s="1406"/>
      <c r="F10" s="1406"/>
      <c r="G10" s="1406"/>
      <c r="H10" s="1407"/>
      <c r="I10" s="1408" t="str">
        <f>DATA!M5</f>
        <v>SHANKARAMPET A., MEDAK</v>
      </c>
      <c r="J10" s="1409"/>
      <c r="K10" s="1409"/>
      <c r="L10" s="1409"/>
      <c r="M10" s="1409"/>
      <c r="N10" s="1410"/>
      <c r="O10" s="46"/>
      <c r="P10" s="46"/>
      <c r="Q10" s="46"/>
      <c r="R10" s="46"/>
      <c r="S10" s="46"/>
      <c r="T10" s="46"/>
      <c r="U10" s="46"/>
      <c r="V10" s="46"/>
      <c r="W10" s="46"/>
      <c r="X10" s="46"/>
    </row>
    <row r="11" spans="2:24" ht="4.5" customHeight="1" thickBot="1">
      <c r="B11" s="1364"/>
      <c r="C11" s="1365"/>
      <c r="D11" s="1365"/>
      <c r="E11" s="1365"/>
      <c r="F11" s="1365"/>
      <c r="G11" s="1365"/>
      <c r="H11" s="1411"/>
      <c r="I11" s="1412"/>
      <c r="J11" s="1413"/>
      <c r="K11" s="1413"/>
      <c r="L11" s="1413"/>
      <c r="M11" s="1413"/>
      <c r="N11" s="1414"/>
      <c r="O11" s="46"/>
      <c r="P11" s="46"/>
      <c r="Q11" s="46"/>
      <c r="R11" s="46"/>
      <c r="S11" s="46"/>
      <c r="T11" s="46"/>
      <c r="U11" s="46"/>
      <c r="V11" s="46"/>
      <c r="W11" s="46"/>
      <c r="X11" s="46"/>
    </row>
    <row r="12" spans="2:24" ht="16.5" customHeight="1" thickBot="1">
      <c r="B12" s="1379" t="s">
        <v>255</v>
      </c>
      <c r="C12" s="1380"/>
      <c r="D12" s="1381"/>
      <c r="E12" s="1389" t="str">
        <f>DATA!D43</f>
        <v>HYDZO5861C</v>
      </c>
      <c r="F12" s="1380"/>
      <c r="G12" s="1380"/>
      <c r="H12" s="1381"/>
      <c r="I12" s="1382" t="s">
        <v>256</v>
      </c>
      <c r="J12" s="1383"/>
      <c r="K12" s="1384"/>
      <c r="L12" s="1389" t="str">
        <f>DATA!M16</f>
        <v>BQOPS3738N</v>
      </c>
      <c r="M12" s="1380"/>
      <c r="N12" s="1390"/>
      <c r="O12" s="348"/>
      <c r="P12" s="348"/>
      <c r="Q12" s="348"/>
      <c r="R12" s="348"/>
      <c r="S12" s="348"/>
      <c r="T12" s="348"/>
      <c r="U12" s="348"/>
      <c r="V12" s="348"/>
      <c r="W12" s="348"/>
      <c r="X12" s="348"/>
    </row>
    <row r="13" spans="2:24" ht="26.25" customHeight="1">
      <c r="B13" s="1415" t="s">
        <v>257</v>
      </c>
      <c r="C13" s="1416"/>
      <c r="D13" s="1416"/>
      <c r="E13" s="1416"/>
      <c r="F13" s="1416"/>
      <c r="G13" s="1416"/>
      <c r="H13" s="1416"/>
      <c r="I13" s="1416"/>
      <c r="J13" s="1416"/>
      <c r="K13" s="1416"/>
      <c r="L13" s="1416"/>
      <c r="M13" s="1416"/>
      <c r="N13" s="1417"/>
      <c r="O13" s="350"/>
      <c r="P13" s="350"/>
      <c r="Q13" s="350"/>
      <c r="R13" s="350"/>
      <c r="S13" s="350"/>
      <c r="T13" s="350"/>
      <c r="U13" s="350"/>
      <c r="V13" s="350"/>
      <c r="W13" s="350"/>
      <c r="X13" s="350"/>
    </row>
    <row r="14" spans="2:24" ht="14.25" customHeight="1">
      <c r="B14" s="1418" t="s">
        <v>258</v>
      </c>
      <c r="C14" s="1419"/>
      <c r="D14" s="1420"/>
      <c r="E14" s="1421" t="s">
        <v>259</v>
      </c>
      <c r="F14" s="1419"/>
      <c r="G14" s="1419"/>
      <c r="H14" s="1420"/>
      <c r="I14" s="1421" t="s">
        <v>260</v>
      </c>
      <c r="J14" s="1419"/>
      <c r="K14" s="1419"/>
      <c r="L14" s="1420"/>
      <c r="M14" s="1391" t="s">
        <v>261</v>
      </c>
      <c r="N14" s="1392"/>
      <c r="O14" s="348"/>
      <c r="P14" s="348"/>
      <c r="Q14" s="348"/>
      <c r="R14" s="348"/>
      <c r="S14" s="348"/>
      <c r="T14" s="348"/>
      <c r="U14" s="348"/>
      <c r="V14" s="348"/>
      <c r="W14" s="348"/>
      <c r="X14" s="348"/>
    </row>
    <row r="15" spans="2:24" ht="15" customHeight="1">
      <c r="B15" s="1418">
        <v>1</v>
      </c>
      <c r="C15" s="1419"/>
      <c r="D15" s="1420"/>
      <c r="E15" s="1422"/>
      <c r="F15" s="1423"/>
      <c r="G15" s="1423"/>
      <c r="H15" s="1424"/>
      <c r="I15" s="1421" t="s">
        <v>262</v>
      </c>
      <c r="J15" s="1420"/>
      <c r="K15" s="1421" t="s">
        <v>263</v>
      </c>
      <c r="L15" s="1420"/>
      <c r="M15" s="1385" t="s">
        <v>264</v>
      </c>
      <c r="N15" s="1386"/>
      <c r="O15" s="348"/>
      <c r="P15" s="348"/>
      <c r="Q15" s="348"/>
      <c r="R15" s="348"/>
      <c r="S15" s="348"/>
      <c r="T15" s="348"/>
      <c r="U15" s="348"/>
      <c r="V15" s="348"/>
      <c r="W15" s="348"/>
      <c r="X15" s="348"/>
    </row>
    <row r="16" spans="2:24" ht="15" customHeight="1">
      <c r="B16" s="1418">
        <v>2</v>
      </c>
      <c r="C16" s="1419"/>
      <c r="D16" s="1420"/>
      <c r="E16" s="1422"/>
      <c r="F16" s="1423"/>
      <c r="G16" s="1423"/>
      <c r="H16" s="1424"/>
      <c r="I16" s="1429" t="s">
        <v>779</v>
      </c>
      <c r="J16" s="1430"/>
      <c r="K16" s="1429" t="s">
        <v>790</v>
      </c>
      <c r="L16" s="1430"/>
      <c r="M16" s="1435" t="s">
        <v>822</v>
      </c>
      <c r="N16" s="1436"/>
      <c r="O16" s="351"/>
      <c r="P16" s="351"/>
      <c r="Q16" s="351"/>
      <c r="R16" s="351"/>
      <c r="S16" s="351"/>
      <c r="T16" s="351"/>
      <c r="U16" s="351"/>
      <c r="V16" s="351"/>
      <c r="W16" s="351"/>
      <c r="X16" s="351"/>
    </row>
    <row r="17" spans="2:30" ht="15" customHeight="1">
      <c r="B17" s="1418">
        <v>3</v>
      </c>
      <c r="C17" s="1419"/>
      <c r="D17" s="1420"/>
      <c r="E17" s="1422"/>
      <c r="F17" s="1423"/>
      <c r="G17" s="1423"/>
      <c r="H17" s="1424"/>
      <c r="I17" s="1431"/>
      <c r="J17" s="1432"/>
      <c r="K17" s="1431"/>
      <c r="L17" s="1432"/>
      <c r="M17" s="1358"/>
      <c r="N17" s="1400"/>
      <c r="O17" s="351"/>
      <c r="P17" s="351"/>
      <c r="Q17" s="351"/>
      <c r="R17" s="351"/>
      <c r="S17" s="351"/>
      <c r="T17" s="351"/>
      <c r="U17" s="351"/>
      <c r="V17" s="351"/>
      <c r="W17" s="351"/>
      <c r="X17" s="351"/>
    </row>
    <row r="18" spans="2:30" ht="15" customHeight="1">
      <c r="B18" s="1418">
        <v>4</v>
      </c>
      <c r="C18" s="1419"/>
      <c r="D18" s="1420"/>
      <c r="E18" s="1422"/>
      <c r="F18" s="1423"/>
      <c r="G18" s="1423"/>
      <c r="H18" s="1424"/>
      <c r="I18" s="1433"/>
      <c r="J18" s="1434"/>
      <c r="K18" s="1433"/>
      <c r="L18" s="1434"/>
      <c r="M18" s="1360"/>
      <c r="N18" s="1401"/>
      <c r="O18" s="351"/>
      <c r="P18" s="351"/>
      <c r="Q18" s="351"/>
      <c r="R18" s="351"/>
      <c r="S18" s="351"/>
      <c r="T18" s="351"/>
      <c r="U18" s="351"/>
      <c r="V18" s="351"/>
      <c r="W18" s="351"/>
      <c r="X18" s="351"/>
    </row>
    <row r="19" spans="2:30" ht="12.75" customHeight="1">
      <c r="B19" s="1426" t="s">
        <v>265</v>
      </c>
      <c r="C19" s="1427"/>
      <c r="D19" s="1427"/>
      <c r="E19" s="1427"/>
      <c r="F19" s="1427"/>
      <c r="G19" s="1427"/>
      <c r="H19" s="1427"/>
      <c r="I19" s="1427"/>
      <c r="J19" s="1427"/>
      <c r="K19" s="1427"/>
      <c r="L19" s="1427"/>
      <c r="M19" s="1427"/>
      <c r="N19" s="1428"/>
      <c r="O19" s="352"/>
      <c r="P19" s="352"/>
      <c r="Q19" s="352"/>
      <c r="R19" s="352"/>
      <c r="S19" s="352"/>
      <c r="T19" s="352"/>
      <c r="U19" s="352"/>
      <c r="V19" s="352"/>
      <c r="W19" s="352"/>
      <c r="X19" s="352"/>
      <c r="Y19" s="353"/>
      <c r="Z19" s="353"/>
    </row>
    <row r="20" spans="2:30" ht="3" customHeight="1">
      <c r="B20" s="1339"/>
      <c r="C20" s="1340"/>
      <c r="D20" s="1340"/>
      <c r="E20" s="1340"/>
      <c r="F20" s="1340"/>
      <c r="G20" s="1340"/>
      <c r="H20" s="1340"/>
      <c r="I20" s="1340"/>
      <c r="J20" s="1340"/>
      <c r="K20" s="1340"/>
      <c r="L20" s="1340"/>
      <c r="M20" s="1340"/>
      <c r="N20" s="1341"/>
      <c r="O20" s="47"/>
      <c r="P20" s="47"/>
      <c r="Q20" s="47"/>
      <c r="R20" s="47"/>
      <c r="S20" s="47"/>
      <c r="T20" s="47"/>
      <c r="U20" s="47"/>
      <c r="V20" s="47"/>
      <c r="W20" s="47"/>
      <c r="X20" s="47"/>
    </row>
    <row r="21" spans="2:30" ht="15.75" customHeight="1">
      <c r="B21" s="118">
        <v>1</v>
      </c>
      <c r="C21" s="1328" t="s">
        <v>266</v>
      </c>
      <c r="D21" s="1329"/>
      <c r="E21" s="121"/>
      <c r="F21" s="121"/>
      <c r="G21" s="121"/>
      <c r="H21" s="121"/>
      <c r="I21" s="122" t="s">
        <v>205</v>
      </c>
      <c r="J21" s="123">
        <f>'Annexure -II'!M7</f>
        <v>979346</v>
      </c>
      <c r="K21" s="124"/>
      <c r="L21" s="125"/>
      <c r="M21" s="124"/>
      <c r="N21" s="126"/>
      <c r="O21" s="354"/>
      <c r="P21" s="354"/>
      <c r="Q21" s="354"/>
      <c r="R21" s="354"/>
      <c r="S21" s="354"/>
      <c r="T21" s="354"/>
      <c r="U21" s="354"/>
      <c r="V21" s="354"/>
      <c r="W21" s="354"/>
      <c r="X21" s="354"/>
    </row>
    <row r="22" spans="2:30">
      <c r="B22" s="118"/>
      <c r="C22" s="127" t="s">
        <v>207</v>
      </c>
      <c r="D22" s="1335" t="s">
        <v>267</v>
      </c>
      <c r="E22" s="1335"/>
      <c r="F22" s="1335"/>
      <c r="G22" s="1335"/>
      <c r="H22" s="1425"/>
      <c r="I22" s="129" t="s">
        <v>205</v>
      </c>
      <c r="J22" s="130">
        <v>0</v>
      </c>
      <c r="K22" s="124"/>
      <c r="L22" s="125"/>
      <c r="M22" s="124"/>
      <c r="N22" s="126"/>
      <c r="O22" s="354"/>
      <c r="P22" s="354"/>
      <c r="Q22" s="354"/>
      <c r="R22" s="354"/>
      <c r="S22" s="354"/>
      <c r="T22" s="354"/>
      <c r="U22" s="354"/>
      <c r="V22" s="354"/>
      <c r="W22" s="354"/>
      <c r="X22" s="354"/>
    </row>
    <row r="23" spans="2:30">
      <c r="B23" s="118"/>
      <c r="C23" s="127" t="s">
        <v>209</v>
      </c>
      <c r="D23" s="1335" t="s">
        <v>268</v>
      </c>
      <c r="E23" s="1335"/>
      <c r="F23" s="1335"/>
      <c r="G23" s="1335"/>
      <c r="H23" s="1425"/>
      <c r="I23" s="129" t="s">
        <v>205</v>
      </c>
      <c r="J23" s="130">
        <v>0</v>
      </c>
      <c r="K23" s="124"/>
      <c r="L23" s="125"/>
      <c r="M23" s="124"/>
      <c r="N23" s="126"/>
      <c r="O23" s="354"/>
      <c r="P23" s="354"/>
      <c r="Q23" s="354"/>
      <c r="R23" s="354"/>
      <c r="S23" s="354"/>
      <c r="T23" s="354"/>
      <c r="U23" s="354"/>
      <c r="V23" s="354"/>
      <c r="W23" s="354"/>
      <c r="X23" s="354"/>
    </row>
    <row r="24" spans="2:30" ht="12.75" customHeight="1">
      <c r="B24" s="118"/>
      <c r="C24" s="127"/>
      <c r="D24" s="1335" t="s">
        <v>269</v>
      </c>
      <c r="E24" s="1335"/>
      <c r="F24" s="1335"/>
      <c r="G24" s="1335"/>
      <c r="H24" s="1425"/>
      <c r="I24" s="131"/>
      <c r="J24" s="132"/>
      <c r="K24" s="124"/>
      <c r="L24" s="125"/>
      <c r="M24" s="124"/>
      <c r="N24" s="126"/>
      <c r="O24" s="354"/>
      <c r="P24" s="354"/>
      <c r="Q24" s="354"/>
      <c r="R24" s="354"/>
      <c r="S24" s="354"/>
      <c r="T24" s="354"/>
      <c r="U24" s="354"/>
      <c r="V24" s="354"/>
      <c r="W24" s="354"/>
      <c r="X24" s="354"/>
    </row>
    <row r="25" spans="2:30">
      <c r="B25" s="118"/>
      <c r="C25" s="127" t="s">
        <v>210</v>
      </c>
      <c r="D25" s="1335" t="s">
        <v>270</v>
      </c>
      <c r="E25" s="1335"/>
      <c r="F25" s="1335"/>
      <c r="G25" s="1335"/>
      <c r="H25" s="1425"/>
      <c r="I25" s="122" t="s">
        <v>205</v>
      </c>
      <c r="J25" s="123">
        <v>0</v>
      </c>
      <c r="K25" s="124"/>
      <c r="L25" s="125"/>
      <c r="M25" s="124"/>
      <c r="N25" s="126"/>
      <c r="O25" s="354"/>
      <c r="P25" s="354"/>
      <c r="Q25" s="354"/>
      <c r="R25" s="354"/>
      <c r="S25" s="354"/>
      <c r="T25" s="354"/>
      <c r="U25" s="354"/>
      <c r="V25" s="354"/>
      <c r="W25" s="354"/>
      <c r="X25" s="354"/>
      <c r="AC25" s="65" t="s">
        <v>310</v>
      </c>
      <c r="AD25" s="56">
        <v>100000</v>
      </c>
    </row>
    <row r="26" spans="2:30" ht="12" customHeight="1">
      <c r="B26" s="118"/>
      <c r="C26" s="127"/>
      <c r="D26" s="1335" t="s">
        <v>271</v>
      </c>
      <c r="E26" s="1335"/>
      <c r="F26" s="1335"/>
      <c r="G26" s="1335"/>
      <c r="H26" s="1425"/>
      <c r="I26" s="133"/>
      <c r="J26" s="134"/>
      <c r="K26" s="124"/>
      <c r="L26" s="125"/>
      <c r="M26" s="124"/>
      <c r="N26" s="126"/>
      <c r="O26" s="354"/>
      <c r="P26" s="354"/>
      <c r="Q26" s="354"/>
      <c r="R26" s="354"/>
      <c r="S26" s="354"/>
      <c r="T26" s="354"/>
      <c r="U26" s="354"/>
      <c r="V26" s="354"/>
      <c r="W26" s="354"/>
      <c r="X26" s="354"/>
      <c r="AC26" s="65" t="s">
        <v>182</v>
      </c>
      <c r="AD26" s="56">
        <v>100000</v>
      </c>
    </row>
    <row r="27" spans="2:30">
      <c r="B27" s="118"/>
      <c r="C27" s="127" t="s">
        <v>221</v>
      </c>
      <c r="D27" s="135" t="s">
        <v>157</v>
      </c>
      <c r="E27" s="121"/>
      <c r="F27" s="121"/>
      <c r="G27" s="121"/>
      <c r="H27" s="121"/>
      <c r="I27" s="136" t="s">
        <v>205</v>
      </c>
      <c r="J27" s="137">
        <f>SUM(J21:J26)</f>
        <v>979346</v>
      </c>
      <c r="K27" s="124"/>
      <c r="L27" s="125"/>
      <c r="M27" s="124" t="s">
        <v>205</v>
      </c>
      <c r="N27" s="138">
        <f>J27</f>
        <v>979346</v>
      </c>
      <c r="O27" s="355"/>
      <c r="P27" s="355"/>
      <c r="Q27" s="355"/>
      <c r="R27" s="355"/>
      <c r="S27" s="355"/>
      <c r="T27" s="355"/>
      <c r="U27" s="355"/>
      <c r="V27" s="355"/>
      <c r="W27" s="355"/>
      <c r="X27" s="355"/>
      <c r="AC27" s="65" t="s">
        <v>311</v>
      </c>
      <c r="AD27" s="56">
        <v>100000</v>
      </c>
    </row>
    <row r="28" spans="2:30" ht="15.75" customHeight="1">
      <c r="B28" s="118">
        <v>2</v>
      </c>
      <c r="C28" s="1334" t="s">
        <v>272</v>
      </c>
      <c r="D28" s="1335"/>
      <c r="E28" s="1335"/>
      <c r="F28" s="1335"/>
      <c r="G28" s="1335"/>
      <c r="H28" s="1425"/>
      <c r="I28" s="136"/>
      <c r="J28" s="139"/>
      <c r="K28" s="140"/>
      <c r="L28" s="125"/>
      <c r="M28" s="124"/>
      <c r="N28" s="126"/>
      <c r="O28" s="354"/>
      <c r="P28" s="354"/>
      <c r="Q28" s="354"/>
      <c r="R28" s="354"/>
      <c r="S28" s="354"/>
      <c r="T28" s="354"/>
      <c r="U28" s="354"/>
      <c r="V28" s="354"/>
      <c r="W28" s="354"/>
      <c r="X28" s="354"/>
      <c r="AC28" s="66" t="s">
        <v>312</v>
      </c>
      <c r="AD28" s="56">
        <v>100000</v>
      </c>
    </row>
    <row r="29" spans="2:30" ht="13.5" customHeight="1">
      <c r="B29" s="118"/>
      <c r="C29" s="127" t="s">
        <v>207</v>
      </c>
      <c r="D29" s="128" t="s">
        <v>273</v>
      </c>
      <c r="E29" s="128"/>
      <c r="F29" s="77"/>
      <c r="G29" s="77"/>
      <c r="H29" s="141"/>
      <c r="I29" s="142" t="s">
        <v>205</v>
      </c>
      <c r="J29" s="143">
        <f>'Annexure -II'!M11</f>
        <v>78637</v>
      </c>
      <c r="K29" s="140"/>
      <c r="L29" s="125"/>
      <c r="M29" s="124"/>
      <c r="N29" s="126"/>
      <c r="O29" s="354"/>
      <c r="P29" s="354"/>
      <c r="Q29" s="354"/>
      <c r="R29" s="354"/>
      <c r="S29" s="354"/>
      <c r="T29" s="354"/>
      <c r="U29" s="354"/>
      <c r="V29" s="354"/>
      <c r="W29" s="354"/>
      <c r="X29" s="354"/>
      <c r="AC29" s="65" t="s">
        <v>185</v>
      </c>
      <c r="AD29" s="56">
        <v>100000</v>
      </c>
    </row>
    <row r="30" spans="2:30" ht="13.5" customHeight="1">
      <c r="B30" s="118"/>
      <c r="C30" s="127" t="s">
        <v>209</v>
      </c>
      <c r="D30" s="1335" t="s">
        <v>274</v>
      </c>
      <c r="E30" s="1335"/>
      <c r="F30" s="128"/>
      <c r="G30" s="77"/>
      <c r="H30" s="141"/>
      <c r="I30" s="142" t="s">
        <v>205</v>
      </c>
      <c r="J30" s="143">
        <f>'Annexure -II'!L14+'Annexure -II'!L15</f>
        <v>0</v>
      </c>
      <c r="K30" s="140"/>
      <c r="L30" s="125"/>
      <c r="M30" s="144" t="s">
        <v>205</v>
      </c>
      <c r="N30" s="145">
        <f>SUM(J29:J30)</f>
        <v>78637</v>
      </c>
      <c r="O30" s="354"/>
      <c r="P30" s="354"/>
      <c r="Q30" s="354"/>
      <c r="R30" s="354"/>
      <c r="S30" s="354"/>
      <c r="T30" s="354"/>
      <c r="U30" s="354"/>
      <c r="V30" s="354"/>
      <c r="W30" s="354"/>
      <c r="X30" s="354"/>
      <c r="AC30" s="65" t="s">
        <v>186</v>
      </c>
      <c r="AD30" s="56">
        <v>100000</v>
      </c>
    </row>
    <row r="31" spans="2:30" ht="15.75" customHeight="1">
      <c r="B31" s="118">
        <v>3</v>
      </c>
      <c r="C31" s="1328" t="s">
        <v>275</v>
      </c>
      <c r="D31" s="1329"/>
      <c r="E31" s="1329"/>
      <c r="F31" s="1329"/>
      <c r="G31" s="1329"/>
      <c r="H31" s="1336"/>
      <c r="I31" s="121"/>
      <c r="J31" s="139"/>
      <c r="K31" s="140"/>
      <c r="L31" s="125"/>
      <c r="M31" s="124" t="s">
        <v>205</v>
      </c>
      <c r="N31" s="138">
        <f>N27-N30</f>
        <v>900709</v>
      </c>
      <c r="O31" s="355"/>
      <c r="P31" s="355"/>
      <c r="Q31" s="355"/>
      <c r="R31" s="355"/>
      <c r="S31" s="355"/>
      <c r="T31" s="355"/>
      <c r="U31" s="355"/>
      <c r="V31" s="355"/>
      <c r="W31" s="355"/>
      <c r="X31" s="355"/>
      <c r="AC31" s="65" t="s">
        <v>187</v>
      </c>
      <c r="AD31" s="56">
        <v>100000</v>
      </c>
    </row>
    <row r="32" spans="2:30" ht="13.5" customHeight="1">
      <c r="B32" s="118">
        <v>4</v>
      </c>
      <c r="C32" s="1328" t="s">
        <v>220</v>
      </c>
      <c r="D32" s="1329"/>
      <c r="E32" s="1329"/>
      <c r="F32" s="1329"/>
      <c r="G32" s="1329"/>
      <c r="H32" s="1336"/>
      <c r="I32" s="121"/>
      <c r="J32" s="139"/>
      <c r="K32" s="140"/>
      <c r="L32" s="125"/>
      <c r="M32" s="124"/>
      <c r="N32" s="126"/>
      <c r="O32" s="354"/>
      <c r="P32" s="354"/>
      <c r="Q32" s="354"/>
      <c r="R32" s="354"/>
      <c r="S32" s="354"/>
      <c r="T32" s="354"/>
      <c r="U32" s="354"/>
      <c r="V32" s="354"/>
      <c r="W32" s="354"/>
      <c r="X32" s="354"/>
      <c r="AC32" s="65" t="s">
        <v>188</v>
      </c>
      <c r="AD32" s="56">
        <v>100000</v>
      </c>
    </row>
    <row r="33" spans="2:30" ht="9.75" customHeight="1">
      <c r="B33" s="118"/>
      <c r="C33" s="127" t="s">
        <v>207</v>
      </c>
      <c r="D33" s="128" t="s">
        <v>276</v>
      </c>
      <c r="E33" s="128"/>
      <c r="F33" s="77"/>
      <c r="G33" s="77"/>
      <c r="H33" s="146"/>
      <c r="I33" s="142" t="s">
        <v>205</v>
      </c>
      <c r="J33" s="130">
        <v>0</v>
      </c>
      <c r="K33" s="158" t="s">
        <v>205</v>
      </c>
      <c r="L33" s="130">
        <f>J33</f>
        <v>0</v>
      </c>
      <c r="M33" s="124"/>
      <c r="N33" s="126"/>
      <c r="O33" s="354"/>
      <c r="P33" s="354"/>
      <c r="Q33" s="354"/>
      <c r="R33" s="354"/>
      <c r="S33" s="354"/>
      <c r="T33" s="354"/>
      <c r="U33" s="354"/>
      <c r="V33" s="354"/>
      <c r="W33" s="354"/>
      <c r="X33" s="354"/>
      <c r="AC33" s="65" t="s">
        <v>189</v>
      </c>
      <c r="AD33" s="56">
        <v>100000</v>
      </c>
    </row>
    <row r="34" spans="2:30" ht="12.75" customHeight="1">
      <c r="B34" s="155"/>
      <c r="C34" s="739" t="s">
        <v>209</v>
      </c>
      <c r="D34" s="423" t="s">
        <v>769</v>
      </c>
      <c r="E34" s="165"/>
      <c r="F34" s="736"/>
      <c r="G34" s="736"/>
      <c r="H34" s="146"/>
      <c r="I34" s="149" t="s">
        <v>205</v>
      </c>
      <c r="J34" s="130">
        <f>'Annexure -II'!L16</f>
        <v>50000</v>
      </c>
      <c r="K34" s="158" t="s">
        <v>205</v>
      </c>
      <c r="L34" s="130">
        <f>J34</f>
        <v>50000</v>
      </c>
      <c r="M34" s="738"/>
      <c r="N34" s="126"/>
      <c r="O34" s="354"/>
      <c r="P34" s="354"/>
      <c r="Q34" s="354"/>
      <c r="R34" s="354"/>
      <c r="S34" s="354"/>
      <c r="T34" s="354"/>
      <c r="U34" s="354"/>
      <c r="V34" s="354"/>
      <c r="W34" s="354"/>
      <c r="X34" s="354"/>
      <c r="AC34" s="65" t="s">
        <v>313</v>
      </c>
      <c r="AD34" s="56">
        <v>100000</v>
      </c>
    </row>
    <row r="35" spans="2:30" ht="13.5" customHeight="1">
      <c r="B35" s="118"/>
      <c r="C35" s="127" t="s">
        <v>210</v>
      </c>
      <c r="D35" s="128" t="s">
        <v>567</v>
      </c>
      <c r="E35" s="128"/>
      <c r="F35" s="736"/>
      <c r="G35" s="736"/>
      <c r="H35" s="146"/>
      <c r="I35" s="142" t="s">
        <v>205</v>
      </c>
      <c r="J35" s="130">
        <f>'Annexure -II'!L17</f>
        <v>2400</v>
      </c>
      <c r="K35" s="158" t="s">
        <v>205</v>
      </c>
      <c r="L35" s="130">
        <f>J35</f>
        <v>2400</v>
      </c>
      <c r="M35" s="124"/>
      <c r="N35" s="126"/>
      <c r="O35" s="354"/>
      <c r="P35" s="354"/>
      <c r="Q35" s="354"/>
      <c r="R35" s="354"/>
      <c r="S35" s="354"/>
      <c r="T35" s="354"/>
      <c r="U35" s="354"/>
      <c r="V35" s="354"/>
      <c r="W35" s="354"/>
      <c r="X35" s="354"/>
      <c r="AC35" s="65" t="s">
        <v>190</v>
      </c>
      <c r="AD35" s="56">
        <v>100000</v>
      </c>
    </row>
    <row r="36" spans="2:30" ht="14.25" customHeight="1">
      <c r="B36" s="118">
        <v>5</v>
      </c>
      <c r="C36" s="1328" t="s">
        <v>278</v>
      </c>
      <c r="D36" s="1329"/>
      <c r="E36" s="1329"/>
      <c r="F36" s="1329"/>
      <c r="G36" s="1329"/>
      <c r="H36" s="1336"/>
      <c r="I36" s="136"/>
      <c r="J36" s="137"/>
      <c r="K36" s="124"/>
      <c r="L36" s="125"/>
      <c r="M36" s="144" t="s">
        <v>205</v>
      </c>
      <c r="N36" s="145">
        <f>SUM(L33:L35)</f>
        <v>52400</v>
      </c>
      <c r="O36" s="355"/>
      <c r="P36" s="355"/>
      <c r="Q36" s="355"/>
      <c r="R36" s="355"/>
      <c r="S36" s="355"/>
      <c r="T36" s="355"/>
      <c r="U36" s="355"/>
      <c r="V36" s="355"/>
      <c r="W36" s="355"/>
      <c r="X36" s="355"/>
      <c r="AC36" s="65" t="s">
        <v>193</v>
      </c>
      <c r="AD36" s="56">
        <v>10000</v>
      </c>
    </row>
    <row r="37" spans="2:30" ht="14.25" customHeight="1">
      <c r="B37" s="118">
        <v>6</v>
      </c>
      <c r="C37" s="1334" t="s">
        <v>279</v>
      </c>
      <c r="D37" s="1335"/>
      <c r="E37" s="1335"/>
      <c r="F37" s="1335"/>
      <c r="G37" s="1335"/>
      <c r="H37" s="1425"/>
      <c r="I37" s="136"/>
      <c r="J37" s="137"/>
      <c r="K37" s="124"/>
      <c r="L37" s="125"/>
      <c r="M37" s="147" t="s">
        <v>205</v>
      </c>
      <c r="N37" s="148">
        <f>N31-N36</f>
        <v>848309</v>
      </c>
      <c r="O37" s="354"/>
      <c r="P37" s="354"/>
      <c r="Q37" s="354"/>
      <c r="R37" s="354"/>
      <c r="S37" s="354"/>
      <c r="T37" s="354"/>
      <c r="U37" s="354"/>
      <c r="V37" s="354"/>
      <c r="W37" s="354"/>
      <c r="X37" s="354"/>
    </row>
    <row r="38" spans="2:30" ht="14.25" customHeight="1">
      <c r="B38" s="118">
        <v>7</v>
      </c>
      <c r="C38" s="1334" t="s">
        <v>280</v>
      </c>
      <c r="D38" s="1335"/>
      <c r="E38" s="1335"/>
      <c r="F38" s="1335"/>
      <c r="G38" s="1335"/>
      <c r="H38" s="1425"/>
      <c r="I38" s="136"/>
      <c r="J38" s="137"/>
      <c r="K38" s="124"/>
      <c r="L38" s="125"/>
      <c r="M38" s="149" t="s">
        <v>205</v>
      </c>
      <c r="N38" s="150">
        <f>'Annexure -II'!L19</f>
        <v>0</v>
      </c>
      <c r="O38" s="354"/>
      <c r="P38" s="354"/>
      <c r="Q38" s="354"/>
      <c r="R38" s="354"/>
      <c r="S38" s="354"/>
      <c r="T38" s="354"/>
      <c r="U38" s="354"/>
      <c r="V38" s="354"/>
      <c r="W38" s="354"/>
      <c r="X38" s="354"/>
    </row>
    <row r="39" spans="2:30" ht="14.25" customHeight="1">
      <c r="B39" s="118"/>
      <c r="C39" s="1334" t="s">
        <v>281</v>
      </c>
      <c r="D39" s="1335"/>
      <c r="E39" s="1335"/>
      <c r="F39" s="1335"/>
      <c r="G39" s="1335"/>
      <c r="H39" s="1425"/>
      <c r="I39" s="136"/>
      <c r="J39" s="137"/>
      <c r="K39" s="124"/>
      <c r="L39" s="125"/>
      <c r="M39" s="149" t="s">
        <v>205</v>
      </c>
      <c r="N39" s="150">
        <f>'Annexure -II'!L20</f>
        <v>0</v>
      </c>
      <c r="O39" s="354"/>
      <c r="P39" s="354"/>
      <c r="Q39" s="354"/>
      <c r="R39" s="354"/>
      <c r="S39" s="354"/>
      <c r="T39" s="354"/>
      <c r="U39" s="354"/>
      <c r="V39" s="354"/>
      <c r="W39" s="354"/>
      <c r="X39" s="354"/>
    </row>
    <row r="40" spans="2:30" ht="14.25" customHeight="1">
      <c r="B40" s="118"/>
      <c r="C40" s="849" t="s">
        <v>871</v>
      </c>
      <c r="D40" s="847"/>
      <c r="E40" s="847"/>
      <c r="F40" s="847"/>
      <c r="G40" s="847"/>
      <c r="H40" s="850"/>
      <c r="I40" s="136"/>
      <c r="J40" s="137"/>
      <c r="K40" s="848"/>
      <c r="L40" s="125"/>
      <c r="M40" s="149" t="s">
        <v>205</v>
      </c>
      <c r="N40" s="150">
        <f>'Annexure -II'!L21</f>
        <v>0</v>
      </c>
      <c r="O40" s="354"/>
      <c r="P40" s="354"/>
      <c r="Q40" s="354"/>
      <c r="R40" s="354"/>
      <c r="S40" s="354"/>
      <c r="T40" s="354"/>
      <c r="U40" s="354"/>
      <c r="V40" s="354"/>
      <c r="W40" s="354"/>
      <c r="X40" s="354"/>
    </row>
    <row r="41" spans="2:30" ht="14.25" customHeight="1">
      <c r="B41" s="118"/>
      <c r="C41" s="127" t="str">
        <f>'Annexure -II'!C22:I22</f>
        <v>Employer Contribution towards NPS  (Govt. Contribution)</v>
      </c>
      <c r="D41" s="121"/>
      <c r="E41" s="121"/>
      <c r="F41" s="121"/>
      <c r="G41" s="121"/>
      <c r="H41" s="146"/>
      <c r="I41" s="136"/>
      <c r="J41" s="137"/>
      <c r="K41" s="124"/>
      <c r="L41" s="125"/>
      <c r="M41" s="149" t="s">
        <v>205</v>
      </c>
      <c r="N41" s="150">
        <f>'Annexure -II'!L22</f>
        <v>0</v>
      </c>
      <c r="O41" s="354"/>
      <c r="P41" s="354"/>
      <c r="Q41" s="354"/>
      <c r="R41" s="354"/>
      <c r="S41" s="354"/>
      <c r="T41" s="354"/>
      <c r="U41" s="354"/>
      <c r="V41" s="354"/>
      <c r="W41" s="354"/>
      <c r="X41" s="354"/>
    </row>
    <row r="42" spans="2:30" ht="15.75" customHeight="1">
      <c r="B42" s="118"/>
      <c r="C42" s="1437" t="str">
        <f>'Annexure -II'!C23</f>
        <v>Interest on Savings Account (not fixed) U/s 80TTA</v>
      </c>
      <c r="D42" s="1438"/>
      <c r="E42" s="1438"/>
      <c r="F42" s="1438"/>
      <c r="G42" s="1438"/>
      <c r="H42" s="1439"/>
      <c r="I42" s="136"/>
      <c r="J42" s="137"/>
      <c r="K42" s="124"/>
      <c r="L42" s="125"/>
      <c r="M42" s="151" t="s">
        <v>205</v>
      </c>
      <c r="N42" s="152">
        <f>DATA!N37</f>
        <v>0</v>
      </c>
      <c r="O42" s="355"/>
      <c r="P42" s="355"/>
      <c r="Q42" s="355"/>
      <c r="R42" s="355"/>
      <c r="S42" s="355"/>
      <c r="T42" s="355"/>
      <c r="U42" s="355"/>
      <c r="V42" s="355"/>
      <c r="W42" s="355"/>
      <c r="X42" s="355"/>
    </row>
    <row r="43" spans="2:30" ht="15" customHeight="1">
      <c r="B43" s="118">
        <v>8</v>
      </c>
      <c r="C43" s="1328" t="s">
        <v>283</v>
      </c>
      <c r="D43" s="1329"/>
      <c r="E43" s="1329"/>
      <c r="F43" s="153"/>
      <c r="G43" s="153"/>
      <c r="H43" s="121"/>
      <c r="I43" s="136"/>
      <c r="J43" s="137"/>
      <c r="K43" s="124"/>
      <c r="L43" s="125"/>
      <c r="M43" s="124" t="s">
        <v>205</v>
      </c>
      <c r="N43" s="138">
        <f>SUM(N37:N42)</f>
        <v>848309</v>
      </c>
      <c r="O43" s="354"/>
      <c r="P43" s="354"/>
      <c r="Q43" s="354"/>
      <c r="R43" s="354"/>
      <c r="S43" s="354"/>
      <c r="T43" s="354"/>
      <c r="U43" s="354"/>
      <c r="V43" s="354"/>
      <c r="W43" s="354"/>
      <c r="X43" s="354"/>
    </row>
    <row r="44" spans="2:30" ht="14.25" customHeight="1">
      <c r="B44" s="118">
        <v>9</v>
      </c>
      <c r="C44" s="1328" t="s">
        <v>284</v>
      </c>
      <c r="D44" s="1329"/>
      <c r="E44" s="1329"/>
      <c r="F44" s="1329"/>
      <c r="G44" s="1329"/>
      <c r="H44" s="121"/>
      <c r="I44" s="136"/>
      <c r="J44" s="154"/>
      <c r="K44" s="124"/>
      <c r="L44" s="125"/>
      <c r="M44" s="124"/>
      <c r="N44" s="126"/>
      <c r="O44" s="356"/>
      <c r="P44" s="356"/>
      <c r="Q44" s="356"/>
      <c r="R44" s="356"/>
      <c r="S44" s="356"/>
      <c r="T44" s="356"/>
      <c r="U44" s="356"/>
      <c r="V44" s="356"/>
      <c r="W44" s="356"/>
      <c r="X44" s="356"/>
    </row>
    <row r="45" spans="2:30" ht="14.25" customHeight="1">
      <c r="B45" s="155" t="s">
        <v>285</v>
      </c>
      <c r="C45" s="1330" t="s">
        <v>517</v>
      </c>
      <c r="D45" s="1331"/>
      <c r="E45" s="1331"/>
      <c r="F45" s="120"/>
      <c r="G45" s="76" t="s">
        <v>286</v>
      </c>
      <c r="H45" s="128"/>
      <c r="I45" s="1326" t="s">
        <v>287</v>
      </c>
      <c r="J45" s="1327"/>
      <c r="K45" s="1326" t="s">
        <v>288</v>
      </c>
      <c r="L45" s="1327"/>
      <c r="M45" s="121"/>
      <c r="N45" s="126"/>
      <c r="O45" s="356"/>
      <c r="P45" s="356"/>
      <c r="Q45" s="356"/>
      <c r="R45" s="356"/>
      <c r="S45" s="356"/>
      <c r="T45" s="356"/>
      <c r="U45" s="356"/>
      <c r="V45" s="356"/>
      <c r="W45" s="356"/>
      <c r="X45" s="356"/>
    </row>
    <row r="46" spans="2:30" ht="13.5" customHeight="1">
      <c r="B46" s="118"/>
      <c r="C46" s="119" t="s">
        <v>207</v>
      </c>
      <c r="D46" s="120" t="s">
        <v>289</v>
      </c>
      <c r="E46" s="156"/>
      <c r="F46" s="156"/>
      <c r="G46" s="76" t="s">
        <v>290</v>
      </c>
      <c r="H46" s="128"/>
      <c r="I46" s="127"/>
      <c r="J46" s="141" t="s">
        <v>290</v>
      </c>
      <c r="K46" s="128"/>
      <c r="L46" s="141" t="s">
        <v>290</v>
      </c>
      <c r="M46" s="121"/>
      <c r="N46" s="126"/>
      <c r="O46" s="354"/>
      <c r="P46" s="354"/>
      <c r="Q46" s="354"/>
      <c r="R46" s="354"/>
      <c r="S46" s="354"/>
      <c r="T46" s="354"/>
      <c r="U46" s="354"/>
      <c r="V46" s="354"/>
      <c r="W46" s="354"/>
      <c r="X46" s="354"/>
      <c r="Z46" s="357">
        <v>150000</v>
      </c>
    </row>
    <row r="47" spans="2:30" ht="13.5" customHeight="1">
      <c r="B47" s="118"/>
      <c r="C47" s="424" t="s">
        <v>291</v>
      </c>
      <c r="D47" s="1332" t="s">
        <v>537</v>
      </c>
      <c r="E47" s="1332"/>
      <c r="F47" s="158" t="s">
        <v>205</v>
      </c>
      <c r="G47" s="143">
        <f>IF(DATA!AD44&lt;3,'Annexure -I'!P23,0)</f>
        <v>155411</v>
      </c>
      <c r="H47" s="158"/>
      <c r="I47" s="149" t="s">
        <v>205</v>
      </c>
      <c r="J47" s="130">
        <f>IF(G47&gt;150001,150000,G47)</f>
        <v>150000</v>
      </c>
      <c r="K47" s="158" t="s">
        <v>205</v>
      </c>
      <c r="L47" s="130">
        <f>J47</f>
        <v>150000</v>
      </c>
      <c r="M47" s="124"/>
      <c r="N47" s="126"/>
      <c r="O47" s="354"/>
      <c r="P47" s="354"/>
      <c r="Q47" s="354"/>
      <c r="R47" s="354"/>
      <c r="S47" s="354"/>
      <c r="T47" s="354"/>
      <c r="U47" s="354"/>
      <c r="V47" s="354"/>
      <c r="W47" s="354"/>
      <c r="X47" s="354"/>
      <c r="Z47" s="357">
        <v>150000</v>
      </c>
    </row>
    <row r="48" spans="2:30" ht="13.5" customHeight="1">
      <c r="B48" s="118"/>
      <c r="C48" s="424" t="s">
        <v>293</v>
      </c>
      <c r="D48" s="124" t="s">
        <v>294</v>
      </c>
      <c r="E48" s="124"/>
      <c r="F48" s="158" t="s">
        <v>205</v>
      </c>
      <c r="G48" s="143">
        <f>'Annexure -II'!L40</f>
        <v>4200</v>
      </c>
      <c r="H48" s="158"/>
      <c r="I48" s="149" t="s">
        <v>205</v>
      </c>
      <c r="J48" s="130">
        <f t="shared" ref="J48:J59" si="0">IF(G48&gt;150001,150000,G48)</f>
        <v>4200</v>
      </c>
      <c r="K48" s="158" t="s">
        <v>205</v>
      </c>
      <c r="L48" s="130">
        <f t="shared" ref="L48:L59" si="1">J48</f>
        <v>4200</v>
      </c>
      <c r="M48" s="124"/>
      <c r="N48" s="126"/>
      <c r="O48" s="354"/>
      <c r="P48" s="354"/>
      <c r="Q48" s="354"/>
      <c r="R48" s="354"/>
      <c r="S48" s="354"/>
      <c r="T48" s="354"/>
      <c r="U48" s="354"/>
      <c r="V48" s="354"/>
      <c r="W48" s="354"/>
      <c r="X48" s="354"/>
      <c r="Z48" s="357">
        <v>150000</v>
      </c>
    </row>
    <row r="49" spans="2:28" ht="13.5" customHeight="1">
      <c r="B49" s="118"/>
      <c r="C49" s="424" t="s">
        <v>295</v>
      </c>
      <c r="D49" s="124" t="s">
        <v>296</v>
      </c>
      <c r="E49" s="124"/>
      <c r="F49" s="158" t="s">
        <v>205</v>
      </c>
      <c r="G49" s="143">
        <f>'Annexure -II'!L41</f>
        <v>840</v>
      </c>
      <c r="H49" s="158"/>
      <c r="I49" s="149" t="s">
        <v>205</v>
      </c>
      <c r="J49" s="130">
        <f t="shared" si="0"/>
        <v>840</v>
      </c>
      <c r="K49" s="158" t="s">
        <v>205</v>
      </c>
      <c r="L49" s="130">
        <f t="shared" si="1"/>
        <v>840</v>
      </c>
      <c r="M49" s="124"/>
      <c r="N49" s="126"/>
      <c r="O49" s="354"/>
      <c r="P49" s="354"/>
      <c r="Q49" s="354"/>
      <c r="R49" s="354"/>
      <c r="S49" s="354"/>
      <c r="T49" s="354"/>
      <c r="U49" s="354"/>
      <c r="V49" s="354"/>
      <c r="W49" s="354"/>
      <c r="X49" s="354"/>
      <c r="Z49" s="357">
        <v>150000</v>
      </c>
    </row>
    <row r="50" spans="2:28" ht="13.5" customHeight="1">
      <c r="B50" s="118"/>
      <c r="C50" s="424" t="s">
        <v>297</v>
      </c>
      <c r="D50" s="1333" t="s">
        <v>298</v>
      </c>
      <c r="E50" s="1333"/>
      <c r="F50" s="158" t="s">
        <v>205</v>
      </c>
      <c r="G50" s="143">
        <f>'Annexure -II'!L42</f>
        <v>0</v>
      </c>
      <c r="H50" s="158"/>
      <c r="I50" s="149" t="s">
        <v>205</v>
      </c>
      <c r="J50" s="130">
        <f t="shared" si="0"/>
        <v>0</v>
      </c>
      <c r="K50" s="158" t="s">
        <v>205</v>
      </c>
      <c r="L50" s="130">
        <f t="shared" si="1"/>
        <v>0</v>
      </c>
      <c r="M50" s="124"/>
      <c r="N50" s="126"/>
      <c r="O50" s="354"/>
      <c r="P50" s="354"/>
      <c r="Q50" s="354"/>
      <c r="R50" s="354"/>
      <c r="S50" s="354"/>
      <c r="T50" s="354"/>
      <c r="U50" s="354"/>
      <c r="V50" s="354"/>
      <c r="W50" s="354"/>
      <c r="X50" s="354"/>
      <c r="Z50" s="357">
        <v>150000</v>
      </c>
    </row>
    <row r="51" spans="2:28" ht="13.5" customHeight="1">
      <c r="B51" s="118"/>
      <c r="C51" s="424" t="s">
        <v>299</v>
      </c>
      <c r="D51" s="1333" t="str">
        <f>DATA!C30</f>
        <v>Children Tuition Fee (2Children)</v>
      </c>
      <c r="E51" s="1333"/>
      <c r="F51" s="158" t="s">
        <v>205</v>
      </c>
      <c r="G51" s="143">
        <f>'Annexure -II'!L43</f>
        <v>0</v>
      </c>
      <c r="H51" s="158"/>
      <c r="I51" s="149" t="s">
        <v>205</v>
      </c>
      <c r="J51" s="130">
        <f t="shared" si="0"/>
        <v>0</v>
      </c>
      <c r="K51" s="158" t="s">
        <v>205</v>
      </c>
      <c r="L51" s="130">
        <f t="shared" si="1"/>
        <v>0</v>
      </c>
      <c r="M51" s="124"/>
      <c r="N51" s="126"/>
      <c r="O51" s="354"/>
      <c r="P51" s="354"/>
      <c r="Q51" s="354"/>
      <c r="R51" s="354"/>
      <c r="S51" s="354"/>
      <c r="T51" s="354"/>
      <c r="U51" s="354"/>
      <c r="V51" s="354"/>
      <c r="W51" s="354"/>
      <c r="X51" s="354"/>
      <c r="Z51" s="357">
        <v>150000</v>
      </c>
    </row>
    <row r="52" spans="2:28" ht="13.5" customHeight="1">
      <c r="B52" s="118"/>
      <c r="C52" s="424" t="s">
        <v>300</v>
      </c>
      <c r="D52" s="124" t="s">
        <v>194</v>
      </c>
      <c r="E52" s="124"/>
      <c r="F52" s="158" t="s">
        <v>205</v>
      </c>
      <c r="G52" s="143">
        <f>'Annexure -II'!L44</f>
        <v>59926.5</v>
      </c>
      <c r="H52" s="158"/>
      <c r="I52" s="149" t="s">
        <v>205</v>
      </c>
      <c r="J52" s="130">
        <f t="shared" si="0"/>
        <v>59926.5</v>
      </c>
      <c r="K52" s="158" t="s">
        <v>205</v>
      </c>
      <c r="L52" s="130">
        <f t="shared" si="1"/>
        <v>59926.5</v>
      </c>
      <c r="M52" s="124"/>
      <c r="N52" s="126"/>
      <c r="O52" s="354"/>
      <c r="P52" s="354"/>
      <c r="Q52" s="354"/>
      <c r="R52" s="354"/>
      <c r="S52" s="354"/>
      <c r="T52" s="354"/>
      <c r="U52" s="354"/>
      <c r="V52" s="354"/>
      <c r="W52" s="354"/>
      <c r="X52" s="354"/>
      <c r="Z52" s="357"/>
    </row>
    <row r="53" spans="2:28" ht="13.5" customHeight="1">
      <c r="B53" s="118"/>
      <c r="C53" s="424" t="s">
        <v>301</v>
      </c>
      <c r="D53" s="124" t="str">
        <f>DATA!C31</f>
        <v xml:space="preserve">5Years Fixed Deposits                           </v>
      </c>
      <c r="E53" s="124"/>
      <c r="F53" s="158" t="s">
        <v>205</v>
      </c>
      <c r="G53" s="143">
        <f>'Annexure -II'!L45</f>
        <v>0</v>
      </c>
      <c r="H53" s="158"/>
      <c r="I53" s="149" t="s">
        <v>205</v>
      </c>
      <c r="J53" s="130">
        <f t="shared" si="0"/>
        <v>0</v>
      </c>
      <c r="K53" s="158" t="s">
        <v>205</v>
      </c>
      <c r="L53" s="130">
        <f t="shared" si="1"/>
        <v>0</v>
      </c>
      <c r="M53" s="124"/>
      <c r="N53" s="126"/>
      <c r="O53" s="354"/>
      <c r="P53" s="354"/>
      <c r="Q53" s="354"/>
      <c r="R53" s="354"/>
      <c r="S53" s="354"/>
      <c r="T53" s="354"/>
      <c r="U53" s="354"/>
      <c r="V53" s="354"/>
      <c r="W53" s="354"/>
      <c r="X53" s="354"/>
      <c r="Z53" s="357">
        <v>150000</v>
      </c>
    </row>
    <row r="54" spans="2:28" ht="13.5" customHeight="1">
      <c r="B54" s="118"/>
      <c r="C54" s="425" t="s">
        <v>302</v>
      </c>
      <c r="D54" s="124" t="str">
        <f>DATA!C32</f>
        <v xml:space="preserve">National Savings Certificate                </v>
      </c>
      <c r="E54" s="124"/>
      <c r="F54" s="158" t="s">
        <v>205</v>
      </c>
      <c r="G54" s="143">
        <f>'Annexure -II'!L46</f>
        <v>0</v>
      </c>
      <c r="H54" s="158"/>
      <c r="I54" s="149" t="s">
        <v>205</v>
      </c>
      <c r="J54" s="130">
        <f t="shared" si="0"/>
        <v>0</v>
      </c>
      <c r="K54" s="158" t="s">
        <v>205</v>
      </c>
      <c r="L54" s="130">
        <f t="shared" si="1"/>
        <v>0</v>
      </c>
      <c r="M54" s="124"/>
      <c r="N54" s="126"/>
      <c r="O54" s="354"/>
      <c r="P54" s="354"/>
      <c r="Q54" s="354"/>
      <c r="R54" s="354"/>
      <c r="S54" s="354"/>
      <c r="T54" s="354"/>
      <c r="U54" s="354"/>
      <c r="V54" s="354"/>
      <c r="W54" s="354"/>
      <c r="X54" s="354"/>
      <c r="Z54" s="357">
        <v>150000</v>
      </c>
    </row>
    <row r="55" spans="2:28" ht="13.5" customHeight="1">
      <c r="B55" s="118"/>
      <c r="C55" s="424" t="s">
        <v>303</v>
      </c>
      <c r="D55" s="124" t="str">
        <f>DATA!C33</f>
        <v xml:space="preserve">PLI Annual Insurance Plan                   </v>
      </c>
      <c r="E55" s="124"/>
      <c r="F55" s="158" t="s">
        <v>205</v>
      </c>
      <c r="G55" s="143">
        <f>'Annexure -II'!L47</f>
        <v>0</v>
      </c>
      <c r="H55" s="158"/>
      <c r="I55" s="149" t="s">
        <v>205</v>
      </c>
      <c r="J55" s="130">
        <f t="shared" si="0"/>
        <v>0</v>
      </c>
      <c r="K55" s="158" t="s">
        <v>205</v>
      </c>
      <c r="L55" s="130">
        <f t="shared" si="1"/>
        <v>0</v>
      </c>
      <c r="M55" s="140"/>
      <c r="N55" s="126"/>
      <c r="O55" s="354"/>
      <c r="P55" s="354"/>
      <c r="Q55" s="354"/>
      <c r="R55" s="354"/>
      <c r="S55" s="354"/>
      <c r="T55" s="354"/>
      <c r="U55" s="354"/>
      <c r="V55" s="354"/>
      <c r="W55" s="354"/>
      <c r="X55" s="354"/>
      <c r="Z55" s="357">
        <v>150000</v>
      </c>
    </row>
    <row r="56" spans="2:28" ht="13.5" customHeight="1">
      <c r="B56" s="118"/>
      <c r="C56" s="424" t="s">
        <v>304</v>
      </c>
      <c r="D56" s="124" t="str">
        <f>DATA!C34</f>
        <v xml:space="preserve">LIC Annual Premiums Paid by Hand    </v>
      </c>
      <c r="E56" s="124"/>
      <c r="F56" s="159" t="s">
        <v>205</v>
      </c>
      <c r="G56" s="143">
        <f>'Annexure -II'!L48</f>
        <v>0</v>
      </c>
      <c r="H56" s="160"/>
      <c r="I56" s="161" t="s">
        <v>205</v>
      </c>
      <c r="J56" s="130">
        <f t="shared" si="0"/>
        <v>0</v>
      </c>
      <c r="K56" s="159" t="s">
        <v>205</v>
      </c>
      <c r="L56" s="130">
        <f t="shared" si="1"/>
        <v>0</v>
      </c>
      <c r="M56" s="140"/>
      <c r="N56" s="126"/>
      <c r="O56" s="354"/>
      <c r="P56" s="354"/>
      <c r="Q56" s="354"/>
      <c r="R56" s="354"/>
      <c r="S56" s="354"/>
      <c r="T56" s="354"/>
      <c r="U56" s="354"/>
      <c r="V56" s="354"/>
      <c r="W56" s="354"/>
      <c r="X56" s="354"/>
      <c r="Z56" s="357">
        <v>150000</v>
      </c>
    </row>
    <row r="57" spans="2:28" ht="13.5" customHeight="1">
      <c r="B57" s="118"/>
      <c r="C57" s="424" t="s">
        <v>317</v>
      </c>
      <c r="D57" s="1332" t="str">
        <f>DATA!C35</f>
        <v xml:space="preserve">Investment in Sukanya Samridhi        </v>
      </c>
      <c r="E57" s="1332"/>
      <c r="F57" s="159" t="s">
        <v>205</v>
      </c>
      <c r="G57" s="143">
        <f>'Annexure -II'!L49</f>
        <v>0</v>
      </c>
      <c r="H57" s="160"/>
      <c r="I57" s="140" t="s">
        <v>205</v>
      </c>
      <c r="J57" s="130">
        <f t="shared" si="0"/>
        <v>0</v>
      </c>
      <c r="K57" s="140" t="s">
        <v>205</v>
      </c>
      <c r="L57" s="130">
        <f t="shared" si="1"/>
        <v>0</v>
      </c>
      <c r="M57" s="140"/>
      <c r="N57" s="126"/>
      <c r="O57" s="354"/>
      <c r="P57" s="354"/>
      <c r="Q57" s="354"/>
      <c r="R57" s="354"/>
      <c r="S57" s="354"/>
      <c r="T57" s="354"/>
      <c r="U57" s="354"/>
      <c r="V57" s="354"/>
      <c r="W57" s="354"/>
      <c r="X57" s="354"/>
      <c r="Y57" s="50">
        <f>SUM(G47:G59)</f>
        <v>220377.5</v>
      </c>
      <c r="Z57" s="357">
        <v>20000</v>
      </c>
    </row>
    <row r="58" spans="2:28" ht="13.5" customHeight="1">
      <c r="B58" s="118"/>
      <c r="C58" s="424" t="s">
        <v>513</v>
      </c>
      <c r="D58" s="124" t="str">
        <f>DATA!C36</f>
        <v xml:space="preserve">Public Provident Fund                           </v>
      </c>
      <c r="E58" s="124"/>
      <c r="F58" s="124" t="s">
        <v>205</v>
      </c>
      <c r="G58" s="143">
        <f>'Annexure -II'!L50</f>
        <v>0</v>
      </c>
      <c r="H58" s="162"/>
      <c r="I58" s="140" t="s">
        <v>205</v>
      </c>
      <c r="J58" s="130">
        <f t="shared" si="0"/>
        <v>0</v>
      </c>
      <c r="K58" s="140" t="s">
        <v>205</v>
      </c>
      <c r="L58" s="130">
        <f t="shared" si="1"/>
        <v>0</v>
      </c>
      <c r="M58" s="140"/>
      <c r="N58" s="126"/>
      <c r="O58" s="354"/>
      <c r="P58" s="354"/>
      <c r="Q58" s="354"/>
      <c r="R58" s="354"/>
      <c r="S58" s="354"/>
      <c r="T58" s="354"/>
      <c r="U58" s="354"/>
      <c r="V58" s="354"/>
      <c r="W58" s="354"/>
      <c r="X58" s="354"/>
      <c r="Y58" s="50"/>
      <c r="Z58" s="357"/>
    </row>
    <row r="59" spans="2:28">
      <c r="B59" s="118"/>
      <c r="C59" s="424" t="s">
        <v>636</v>
      </c>
      <c r="D59" s="124" t="s">
        <v>535</v>
      </c>
      <c r="E59" s="124"/>
      <c r="F59" s="124" t="s">
        <v>205</v>
      </c>
      <c r="G59" s="143">
        <f>'Annexure -II'!L51</f>
        <v>0</v>
      </c>
      <c r="H59" s="124"/>
      <c r="I59" s="140" t="s">
        <v>205</v>
      </c>
      <c r="J59" s="130">
        <f t="shared" si="0"/>
        <v>0</v>
      </c>
      <c r="K59" s="140" t="s">
        <v>205</v>
      </c>
      <c r="L59" s="130">
        <f t="shared" si="1"/>
        <v>0</v>
      </c>
      <c r="M59" s="140"/>
      <c r="N59" s="126"/>
      <c r="O59" s="355"/>
      <c r="P59" s="355"/>
      <c r="Q59" s="355"/>
      <c r="R59" s="355"/>
      <c r="S59" s="355"/>
      <c r="T59" s="355"/>
      <c r="U59" s="355"/>
      <c r="V59" s="355"/>
      <c r="W59" s="355"/>
      <c r="X59" s="355"/>
      <c r="Y59" s="358">
        <v>150000</v>
      </c>
      <c r="Z59" s="359">
        <f>SUM(L47:L59)</f>
        <v>214966.5</v>
      </c>
    </row>
    <row r="60" spans="2:28" ht="14.25" customHeight="1">
      <c r="B60" s="118"/>
      <c r="C60" s="140"/>
      <c r="D60" s="124"/>
      <c r="E60" s="124"/>
      <c r="F60" s="124"/>
      <c r="G60" s="139"/>
      <c r="H60" s="124"/>
      <c r="I60" s="1353" t="s">
        <v>305</v>
      </c>
      <c r="J60" s="1354"/>
      <c r="K60" s="1354"/>
      <c r="L60" s="1355"/>
      <c r="M60" s="163" t="s">
        <v>205</v>
      </c>
      <c r="N60" s="138">
        <f>SUM(L47:L59)</f>
        <v>214966.5</v>
      </c>
      <c r="O60" s="354"/>
      <c r="P60" s="354"/>
      <c r="Q60" s="354"/>
      <c r="R60" s="354"/>
      <c r="S60" s="354"/>
      <c r="T60" s="354"/>
      <c r="U60" s="354"/>
      <c r="V60" s="354"/>
      <c r="W60" s="354"/>
      <c r="X60" s="354"/>
    </row>
    <row r="61" spans="2:28" ht="15" customHeight="1">
      <c r="B61" s="118"/>
      <c r="C61" s="164" t="s">
        <v>209</v>
      </c>
      <c r="D61" s="165" t="s">
        <v>306</v>
      </c>
      <c r="E61" s="124"/>
      <c r="F61" s="124"/>
      <c r="G61" s="139"/>
      <c r="H61" s="124"/>
      <c r="I61" s="140"/>
      <c r="J61" s="166"/>
      <c r="K61" s="124"/>
      <c r="L61" s="166"/>
      <c r="M61" s="124"/>
      <c r="N61" s="126"/>
      <c r="O61" s="355"/>
      <c r="P61" s="355"/>
      <c r="Q61" s="355"/>
      <c r="R61" s="355"/>
      <c r="S61" s="355"/>
      <c r="T61" s="355"/>
      <c r="U61" s="355"/>
      <c r="V61" s="355"/>
      <c r="W61" s="355"/>
      <c r="X61" s="355"/>
      <c r="Z61" s="357">
        <v>10000</v>
      </c>
      <c r="AB61" s="360">
        <f>N60+N62+N64</f>
        <v>214966.5</v>
      </c>
    </row>
    <row r="62" spans="2:28" ht="14.25" customHeight="1">
      <c r="B62" s="118"/>
      <c r="C62" s="167" t="s">
        <v>291</v>
      </c>
      <c r="D62" s="1333"/>
      <c r="E62" s="1333"/>
      <c r="F62" s="158" t="s">
        <v>205</v>
      </c>
      <c r="G62" s="143"/>
      <c r="H62" s="158"/>
      <c r="I62" s="149" t="s">
        <v>205</v>
      </c>
      <c r="J62" s="130">
        <v>0</v>
      </c>
      <c r="K62" s="158" t="s">
        <v>205</v>
      </c>
      <c r="L62" s="130">
        <v>0</v>
      </c>
      <c r="M62" s="168" t="s">
        <v>205</v>
      </c>
      <c r="N62" s="169">
        <v>0</v>
      </c>
      <c r="O62" s="354"/>
      <c r="P62" s="354"/>
      <c r="Q62" s="354"/>
      <c r="R62" s="354"/>
      <c r="S62" s="354"/>
      <c r="T62" s="354"/>
      <c r="U62" s="354"/>
      <c r="V62" s="354"/>
      <c r="W62" s="354"/>
      <c r="X62" s="354"/>
      <c r="AB62" s="361"/>
    </row>
    <row r="63" spans="2:28" ht="15" customHeight="1">
      <c r="B63" s="118"/>
      <c r="C63" s="164" t="s">
        <v>210</v>
      </c>
      <c r="D63" s="165" t="s">
        <v>514</v>
      </c>
      <c r="E63" s="124"/>
      <c r="F63" s="124"/>
      <c r="G63" s="139"/>
      <c r="H63" s="124"/>
      <c r="I63" s="140"/>
      <c r="J63" s="137"/>
      <c r="K63" s="124"/>
      <c r="L63" s="137"/>
      <c r="M63" s="124"/>
      <c r="N63" s="126"/>
      <c r="O63" s="355"/>
      <c r="P63" s="355"/>
      <c r="Q63" s="355"/>
      <c r="R63" s="355"/>
      <c r="S63" s="355"/>
      <c r="T63" s="355"/>
      <c r="U63" s="355"/>
      <c r="V63" s="355"/>
      <c r="W63" s="355"/>
      <c r="X63" s="355"/>
      <c r="Z63" s="357">
        <v>100000</v>
      </c>
      <c r="AB63" s="45"/>
    </row>
    <row r="64" spans="2:28" ht="14.25" customHeight="1">
      <c r="B64" s="118"/>
      <c r="C64" s="167" t="s">
        <v>291</v>
      </c>
      <c r="D64" s="1333" t="s">
        <v>307</v>
      </c>
      <c r="E64" s="1333"/>
      <c r="F64" s="158" t="s">
        <v>205</v>
      </c>
      <c r="G64" s="143">
        <f>IF(DATA!$AD$44=3,'Annexure -II'!L39,0)</f>
        <v>0</v>
      </c>
      <c r="H64" s="158"/>
      <c r="I64" s="149" t="s">
        <v>205</v>
      </c>
      <c r="J64" s="130">
        <f>IF(G64&gt;150001,150000,G64)</f>
        <v>0</v>
      </c>
      <c r="K64" s="158" t="s">
        <v>205</v>
      </c>
      <c r="L64" s="130">
        <f>J64</f>
        <v>0</v>
      </c>
      <c r="M64" s="170" t="s">
        <v>205</v>
      </c>
      <c r="N64" s="171">
        <f>L64</f>
        <v>0</v>
      </c>
      <c r="O64" s="355"/>
      <c r="P64" s="355"/>
      <c r="Q64" s="355"/>
      <c r="R64" s="355"/>
      <c r="S64" s="355"/>
      <c r="T64" s="355"/>
      <c r="U64" s="355"/>
      <c r="V64" s="355"/>
      <c r="W64" s="355"/>
      <c r="X64" s="355"/>
      <c r="Y64" s="45">
        <f>Z55+N58+N60</f>
        <v>364966.5</v>
      </c>
      <c r="Z64" s="58">
        <v>150000</v>
      </c>
      <c r="AB64" s="362">
        <f>IF(AB57&lt;Y55,AB57,AB58)</f>
        <v>0</v>
      </c>
    </row>
    <row r="65" spans="2:28">
      <c r="B65" s="118"/>
      <c r="C65" s="1346" t="s">
        <v>568</v>
      </c>
      <c r="D65" s="1347"/>
      <c r="E65" s="1347"/>
      <c r="F65" s="1347"/>
      <c r="G65" s="1347"/>
      <c r="H65" s="1347"/>
      <c r="I65" s="1347"/>
      <c r="J65" s="1347"/>
      <c r="K65" s="1347"/>
      <c r="L65" s="1348"/>
      <c r="M65" s="172" t="s">
        <v>205</v>
      </c>
      <c r="N65" s="173">
        <f>IF(N60+N64&gt;=150000,150000,N60+N64)</f>
        <v>150000</v>
      </c>
      <c r="O65" s="355"/>
      <c r="P65" s="355"/>
      <c r="Q65" s="355"/>
      <c r="R65" s="355"/>
      <c r="S65" s="355"/>
      <c r="T65" s="355"/>
      <c r="U65" s="355"/>
      <c r="V65" s="355"/>
      <c r="W65" s="355"/>
      <c r="X65" s="355"/>
      <c r="Y65" s="45"/>
      <c r="Z65" s="58">
        <v>25000</v>
      </c>
      <c r="AB65" s="362"/>
    </row>
    <row r="66" spans="2:28">
      <c r="B66" s="155"/>
      <c r="C66" s="164" t="s">
        <v>221</v>
      </c>
      <c r="D66" s="423" t="s">
        <v>538</v>
      </c>
      <c r="E66" s="165"/>
      <c r="F66" s="158" t="s">
        <v>205</v>
      </c>
      <c r="G66" s="143">
        <f>'Annexure -II'!L53</f>
        <v>0</v>
      </c>
      <c r="H66" s="124"/>
      <c r="I66" s="149" t="s">
        <v>205</v>
      </c>
      <c r="J66" s="130">
        <f>IF(G66&gt;=50000,50000,G66)</f>
        <v>0</v>
      </c>
      <c r="K66" s="158" t="s">
        <v>205</v>
      </c>
      <c r="L66" s="130">
        <f>J66</f>
        <v>0</v>
      </c>
      <c r="M66" s="168" t="s">
        <v>205</v>
      </c>
      <c r="N66" s="169">
        <f>L66</f>
        <v>0</v>
      </c>
      <c r="O66" s="355"/>
      <c r="P66" s="355"/>
      <c r="Q66" s="355"/>
      <c r="R66" s="355"/>
      <c r="S66" s="355"/>
      <c r="T66" s="355"/>
      <c r="U66" s="355"/>
      <c r="V66" s="355"/>
      <c r="W66" s="355"/>
      <c r="X66" s="355"/>
      <c r="Y66" s="45"/>
      <c r="Z66" s="58"/>
      <c r="AB66" s="362"/>
    </row>
    <row r="67" spans="2:28">
      <c r="B67" s="390"/>
      <c r="C67" s="165" t="s">
        <v>222</v>
      </c>
      <c r="D67" s="423" t="s">
        <v>516</v>
      </c>
      <c r="E67" s="165"/>
      <c r="F67" s="158" t="s">
        <v>205</v>
      </c>
      <c r="G67" s="143">
        <f>N42</f>
        <v>0</v>
      </c>
      <c r="H67" s="124"/>
      <c r="I67" s="149" t="s">
        <v>205</v>
      </c>
      <c r="J67" s="130">
        <f>'Annexure -II'!M54</f>
        <v>0</v>
      </c>
      <c r="K67" s="158" t="s">
        <v>205</v>
      </c>
      <c r="L67" s="130">
        <f>J67</f>
        <v>0</v>
      </c>
      <c r="M67" s="168" t="s">
        <v>205</v>
      </c>
      <c r="N67" s="169">
        <f>L67</f>
        <v>0</v>
      </c>
      <c r="O67" s="355"/>
      <c r="P67" s="355"/>
      <c r="Q67" s="355"/>
      <c r="R67" s="355"/>
      <c r="S67" s="355"/>
      <c r="T67" s="355"/>
      <c r="U67" s="355"/>
      <c r="V67" s="355"/>
      <c r="W67" s="355"/>
      <c r="X67" s="355"/>
      <c r="Y67" s="45"/>
      <c r="Z67" s="58"/>
      <c r="AB67" s="362"/>
    </row>
    <row r="68" spans="2:28" ht="14.25" customHeight="1">
      <c r="B68" s="118"/>
      <c r="C68" s="1346" t="s">
        <v>546</v>
      </c>
      <c r="D68" s="1347"/>
      <c r="E68" s="1347"/>
      <c r="F68" s="1347"/>
      <c r="G68" s="1347"/>
      <c r="H68" s="1347"/>
      <c r="I68" s="1347"/>
      <c r="J68" s="1347"/>
      <c r="K68" s="1347"/>
      <c r="L68" s="1348"/>
      <c r="M68" s="172" t="s">
        <v>205</v>
      </c>
      <c r="N68" s="173">
        <f>SUM(N65:N67)</f>
        <v>150000</v>
      </c>
      <c r="O68" s="355"/>
      <c r="P68" s="355"/>
      <c r="Q68" s="355"/>
      <c r="R68" s="355"/>
      <c r="S68" s="355"/>
      <c r="T68" s="355"/>
      <c r="U68" s="355"/>
      <c r="V68" s="355"/>
      <c r="W68" s="355"/>
      <c r="X68" s="355"/>
      <c r="Y68" s="45">
        <f>Z59+N62+N64</f>
        <v>214966.5</v>
      </c>
      <c r="Z68" s="58">
        <v>150000</v>
      </c>
      <c r="AB68" s="362">
        <f>IF(AB61&lt;Y59,AB61,AB62)</f>
        <v>0</v>
      </c>
    </row>
    <row r="69" spans="2:28" ht="14.25" customHeight="1">
      <c r="B69" s="1322" t="s">
        <v>309</v>
      </c>
      <c r="C69" s="1323"/>
      <c r="D69" s="1324" t="s">
        <v>518</v>
      </c>
      <c r="E69" s="1324"/>
      <c r="F69" s="1324"/>
      <c r="G69" s="1324"/>
      <c r="H69" s="1324"/>
      <c r="I69" s="1324"/>
      <c r="J69" s="1324"/>
      <c r="K69" s="1324"/>
      <c r="L69" s="1324"/>
      <c r="M69" s="1324"/>
      <c r="N69" s="1325"/>
      <c r="O69" s="356"/>
      <c r="P69" s="356"/>
      <c r="Q69" s="356"/>
      <c r="R69" s="356"/>
      <c r="S69" s="356"/>
      <c r="T69" s="356"/>
      <c r="U69" s="356"/>
      <c r="V69" s="356"/>
      <c r="W69" s="356"/>
      <c r="X69" s="356"/>
      <c r="AB69" s="45"/>
    </row>
    <row r="70" spans="2:28" ht="14.25" customHeight="1" thickBot="1">
      <c r="B70" s="1349"/>
      <c r="C70" s="1350"/>
      <c r="D70" s="1351" t="s">
        <v>519</v>
      </c>
      <c r="E70" s="1351"/>
      <c r="F70" s="1351"/>
      <c r="G70" s="1351"/>
      <c r="H70" s="1351"/>
      <c r="I70" s="1351"/>
      <c r="J70" s="1351"/>
      <c r="K70" s="1351"/>
      <c r="L70" s="1351"/>
      <c r="M70" s="1351"/>
      <c r="N70" s="1352"/>
      <c r="O70" s="356"/>
      <c r="P70" s="356"/>
      <c r="Q70" s="356"/>
      <c r="R70" s="356"/>
      <c r="S70" s="356"/>
      <c r="T70" s="356"/>
      <c r="U70" s="356"/>
      <c r="V70" s="356"/>
      <c r="W70" s="356"/>
      <c r="X70" s="356"/>
      <c r="AB70" s="359">
        <f>IF(Y68&lt;Z68,Y68,IF(Y68&gt;Z68,Z68))</f>
        <v>150000</v>
      </c>
    </row>
    <row r="71" spans="2:28" ht="17.25" thickTop="1">
      <c r="B71" s="1440" t="s">
        <v>861</v>
      </c>
      <c r="C71" s="1440"/>
      <c r="D71" s="1440"/>
      <c r="E71" s="1440"/>
      <c r="F71" s="1440"/>
      <c r="G71" s="1440"/>
      <c r="H71" s="1440"/>
      <c r="I71" s="1440"/>
      <c r="J71" s="1440"/>
      <c r="K71" s="1440"/>
      <c r="L71" s="1440"/>
      <c r="M71" s="1440"/>
      <c r="N71" s="1440"/>
      <c r="O71" s="53"/>
      <c r="P71" s="53"/>
      <c r="Q71" s="53"/>
      <c r="R71" s="53"/>
      <c r="S71" s="53"/>
      <c r="T71" s="53"/>
      <c r="U71" s="53"/>
      <c r="V71" s="53"/>
      <c r="W71" s="53"/>
      <c r="X71" s="53"/>
    </row>
    <row r="72" spans="2:28" ht="16.5" hidden="1">
      <c r="B72" s="64"/>
      <c r="C72" s="64"/>
      <c r="D72" s="53"/>
      <c r="E72" s="53"/>
      <c r="F72" s="53"/>
      <c r="G72" s="53"/>
      <c r="H72" s="53"/>
      <c r="I72" s="53"/>
      <c r="J72" s="53"/>
      <c r="K72" s="53"/>
      <c r="L72" s="53"/>
      <c r="M72" s="53"/>
      <c r="N72" s="53"/>
      <c r="O72" s="53"/>
      <c r="P72" s="53"/>
      <c r="Q72" s="53"/>
      <c r="R72" s="53"/>
      <c r="S72" s="53"/>
      <c r="T72" s="53"/>
      <c r="U72" s="53"/>
      <c r="V72" s="53"/>
      <c r="W72" s="53"/>
      <c r="X72" s="53"/>
    </row>
    <row r="73" spans="2:28" ht="16.5" hidden="1">
      <c r="B73" s="64"/>
      <c r="C73" s="64"/>
      <c r="D73" s="58"/>
      <c r="E73" s="363"/>
      <c r="F73" s="363"/>
      <c r="G73" s="363"/>
      <c r="H73" s="363"/>
      <c r="I73" s="45"/>
      <c r="J73" s="45"/>
      <c r="K73" s="45"/>
      <c r="L73" s="45"/>
      <c r="M73" s="45"/>
      <c r="N73" s="45"/>
      <c r="O73" s="45"/>
      <c r="P73" s="45"/>
      <c r="Q73" s="45"/>
      <c r="R73" s="45"/>
      <c r="S73" s="45"/>
      <c r="T73" s="45"/>
      <c r="U73" s="45"/>
      <c r="V73" s="45"/>
      <c r="W73" s="45"/>
      <c r="X73" s="45"/>
    </row>
    <row r="74" spans="2:28" ht="16.5" hidden="1">
      <c r="B74" s="64"/>
      <c r="C74" s="54"/>
      <c r="D74" s="54"/>
      <c r="E74" s="54"/>
      <c r="F74" s="54"/>
      <c r="G74" s="54"/>
      <c r="H74" s="54"/>
      <c r="I74" s="45"/>
      <c r="J74" s="45"/>
      <c r="K74" s="45"/>
      <c r="L74" s="45"/>
      <c r="M74" s="45"/>
      <c r="N74" s="45"/>
      <c r="O74" s="45"/>
      <c r="P74" s="45"/>
      <c r="Q74" s="45"/>
      <c r="R74" s="45"/>
      <c r="S74" s="45"/>
      <c r="T74" s="45"/>
      <c r="U74" s="45"/>
      <c r="V74" s="45"/>
      <c r="W74" s="45"/>
      <c r="X74" s="45"/>
    </row>
    <row r="75" spans="2:28" ht="16.5" hidden="1">
      <c r="B75" s="364"/>
      <c r="C75" s="64"/>
      <c r="D75" s="363"/>
      <c r="E75" s="363"/>
      <c r="F75" s="363"/>
      <c r="G75" s="363"/>
      <c r="H75" s="363"/>
      <c r="I75" s="45"/>
      <c r="J75" s="45"/>
      <c r="K75" s="45"/>
      <c r="L75" s="45"/>
      <c r="M75" s="45"/>
      <c r="N75" s="45"/>
      <c r="O75" s="45"/>
      <c r="P75" s="45"/>
      <c r="Q75" s="45"/>
      <c r="R75" s="45"/>
      <c r="S75" s="45"/>
      <c r="T75" s="45"/>
      <c r="U75" s="45"/>
      <c r="V75" s="45"/>
      <c r="W75" s="45"/>
      <c r="X75" s="45"/>
    </row>
    <row r="76" spans="2:28" ht="16.5" hidden="1">
      <c r="B76" s="67"/>
      <c r="C76" s="64"/>
      <c r="D76" s="363"/>
      <c r="E76" s="363"/>
      <c r="F76" s="363"/>
      <c r="G76" s="363"/>
      <c r="H76" s="363"/>
      <c r="I76" s="45"/>
      <c r="J76" s="45"/>
      <c r="K76" s="45"/>
      <c r="L76" s="45"/>
      <c r="M76" s="45"/>
      <c r="N76" s="45"/>
      <c r="O76" s="45"/>
      <c r="P76" s="45"/>
      <c r="Q76" s="45"/>
      <c r="R76" s="45"/>
      <c r="S76" s="45"/>
      <c r="T76" s="45"/>
      <c r="U76" s="45"/>
      <c r="V76" s="45"/>
      <c r="W76" s="45"/>
      <c r="X76" s="45"/>
    </row>
    <row r="77" spans="2:28" ht="16.5" hidden="1">
      <c r="B77" s="67"/>
      <c r="C77" s="46"/>
      <c r="D77" s="45"/>
      <c r="E77" s="45"/>
      <c r="F77" s="45"/>
      <c r="H77" s="45"/>
      <c r="I77" s="45"/>
      <c r="J77" s="45"/>
      <c r="K77" s="45"/>
      <c r="L77" s="45"/>
      <c r="M77" s="45"/>
      <c r="N77" s="388"/>
      <c r="O77" s="388"/>
      <c r="P77" s="388"/>
      <c r="Q77" s="388"/>
      <c r="R77" s="388"/>
      <c r="S77" s="388"/>
      <c r="T77" s="388"/>
      <c r="U77" s="45"/>
      <c r="V77" s="45"/>
      <c r="W77" s="45"/>
      <c r="X77" s="45"/>
      <c r="Y77" s="45"/>
    </row>
    <row r="78" spans="2:28" ht="16.5" hidden="1">
      <c r="B78" s="67"/>
      <c r="C78" s="46"/>
      <c r="D78" s="45"/>
      <c r="E78" s="45"/>
      <c r="F78" s="45"/>
      <c r="G78" s="45"/>
      <c r="H78" s="45"/>
      <c r="I78" s="45"/>
      <c r="J78" s="45"/>
      <c r="K78" s="45"/>
      <c r="L78" s="45"/>
      <c r="M78" s="45"/>
      <c r="N78" s="45"/>
      <c r="O78" s="45"/>
      <c r="P78" s="45"/>
      <c r="Q78" s="45"/>
      <c r="R78" s="45"/>
      <c r="S78" s="45"/>
      <c r="T78" s="45"/>
      <c r="U78" s="45"/>
      <c r="V78" s="45"/>
      <c r="W78" s="45"/>
      <c r="X78" s="45"/>
      <c r="Y78" s="45"/>
    </row>
    <row r="79" spans="2:28" ht="16.5" hidden="1">
      <c r="B79" s="67"/>
      <c r="C79" s="46"/>
      <c r="D79" s="45"/>
      <c r="E79" s="45"/>
      <c r="F79" s="45"/>
      <c r="G79" s="45"/>
      <c r="H79" s="45"/>
      <c r="I79" s="45"/>
      <c r="J79" s="45"/>
      <c r="K79" s="45"/>
      <c r="L79" s="45"/>
      <c r="M79" s="45"/>
      <c r="N79" s="45"/>
      <c r="O79" s="45"/>
      <c r="P79" s="45"/>
      <c r="Q79" s="45"/>
      <c r="R79" s="45"/>
      <c r="S79" s="45"/>
      <c r="T79" s="45"/>
      <c r="U79" s="45"/>
      <c r="V79" s="45"/>
      <c r="W79" s="45"/>
      <c r="X79" s="45"/>
      <c r="Y79" s="45"/>
    </row>
    <row r="80" spans="2:28" hidden="1">
      <c r="B80" s="45"/>
      <c r="C80" s="46"/>
      <c r="D80" s="45"/>
      <c r="E80" s="45"/>
      <c r="F80" s="45"/>
      <c r="G80" s="45"/>
      <c r="H80" s="45"/>
      <c r="I80" s="45"/>
      <c r="J80" s="45"/>
      <c r="K80" s="45"/>
      <c r="L80" s="45"/>
      <c r="M80" s="45"/>
      <c r="N80" s="45"/>
      <c r="O80" s="45"/>
      <c r="P80" s="45"/>
      <c r="Q80" s="45"/>
      <c r="R80" s="45"/>
      <c r="S80" s="45"/>
      <c r="T80" s="45"/>
      <c r="U80" s="45"/>
      <c r="V80" s="45"/>
      <c r="W80" s="45"/>
      <c r="X80" s="45"/>
      <c r="Y80" s="45"/>
    </row>
    <row r="81" spans="2:25" hidden="1">
      <c r="B81" s="45"/>
      <c r="C81" s="46"/>
      <c r="D81" s="45"/>
      <c r="E81" s="45"/>
      <c r="F81" s="45"/>
      <c r="G81" s="45"/>
      <c r="H81" s="45"/>
      <c r="I81" s="45"/>
      <c r="J81" s="45"/>
      <c r="K81" s="45"/>
      <c r="L81" s="45"/>
      <c r="M81" s="45"/>
      <c r="N81" s="45"/>
      <c r="O81" s="45"/>
      <c r="P81" s="45"/>
      <c r="Q81" s="45"/>
      <c r="R81" s="45"/>
      <c r="S81" s="45"/>
      <c r="T81" s="45"/>
      <c r="U81" s="45"/>
      <c r="V81" s="45"/>
      <c r="W81" s="45"/>
      <c r="X81" s="45"/>
      <c r="Y81" s="45"/>
    </row>
    <row r="82" spans="2:25" hidden="1">
      <c r="B82" s="45"/>
      <c r="C82" s="46"/>
      <c r="D82" s="45"/>
      <c r="E82" s="45"/>
      <c r="F82" s="45"/>
      <c r="G82" s="45"/>
      <c r="H82" s="45"/>
      <c r="I82" s="45"/>
      <c r="J82" s="45"/>
      <c r="K82" s="45"/>
      <c r="L82" s="45"/>
      <c r="M82" s="45"/>
      <c r="N82" s="45"/>
      <c r="O82" s="45"/>
      <c r="P82" s="45"/>
      <c r="Q82" s="45"/>
      <c r="R82" s="45"/>
      <c r="S82" s="45"/>
      <c r="T82" s="45"/>
      <c r="U82" s="45"/>
      <c r="V82" s="45"/>
      <c r="W82" s="45"/>
      <c r="X82" s="45"/>
      <c r="Y82" s="45"/>
    </row>
    <row r="83" spans="2:25" hidden="1">
      <c r="B83" s="45"/>
      <c r="C83" s="46"/>
      <c r="D83" s="45"/>
      <c r="E83" s="45"/>
      <c r="F83" s="45"/>
      <c r="G83" s="45"/>
      <c r="H83" s="45"/>
      <c r="I83" s="45"/>
      <c r="J83" s="45"/>
      <c r="K83" s="45"/>
      <c r="L83" s="45"/>
      <c r="M83" s="45"/>
      <c r="N83" s="45"/>
      <c r="O83" s="45"/>
      <c r="P83" s="45"/>
      <c r="Q83" s="45"/>
      <c r="R83" s="45"/>
      <c r="S83" s="45"/>
      <c r="T83" s="45"/>
      <c r="U83" s="45"/>
      <c r="V83" s="45"/>
      <c r="W83" s="45"/>
      <c r="X83" s="45"/>
      <c r="Y83" s="45"/>
    </row>
    <row r="84" spans="2:25" hidden="1">
      <c r="B84" s="45"/>
      <c r="C84" s="46"/>
      <c r="D84" s="45"/>
      <c r="E84" s="45"/>
      <c r="F84" s="45"/>
      <c r="G84" s="45"/>
      <c r="H84" s="45"/>
      <c r="I84" s="45"/>
      <c r="J84" s="45"/>
      <c r="K84" s="45"/>
      <c r="L84" s="45"/>
      <c r="M84" s="45"/>
      <c r="N84" s="45"/>
      <c r="O84" s="45"/>
      <c r="P84" s="45"/>
      <c r="Q84" s="45"/>
      <c r="R84" s="45"/>
      <c r="S84" s="45"/>
      <c r="T84" s="45"/>
      <c r="U84" s="45"/>
      <c r="V84" s="45"/>
      <c r="W84" s="45"/>
      <c r="X84" s="45"/>
      <c r="Y84" s="45"/>
    </row>
    <row r="85" spans="2:25" hidden="1">
      <c r="B85" s="45"/>
      <c r="C85" s="46"/>
      <c r="D85" s="45"/>
      <c r="E85" s="45"/>
      <c r="F85" s="45"/>
      <c r="G85" s="45"/>
      <c r="H85" s="45"/>
      <c r="I85" s="45"/>
      <c r="J85" s="45"/>
      <c r="K85" s="45"/>
      <c r="L85" s="45"/>
      <c r="M85" s="45"/>
      <c r="N85" s="45"/>
      <c r="O85" s="45"/>
      <c r="P85" s="45"/>
      <c r="Q85" s="45"/>
      <c r="R85" s="45"/>
      <c r="S85" s="45"/>
      <c r="T85" s="45"/>
      <c r="U85" s="45"/>
      <c r="V85" s="45"/>
      <c r="W85" s="45"/>
      <c r="X85" s="45"/>
      <c r="Y85" s="45"/>
    </row>
    <row r="86" spans="2:25" hidden="1">
      <c r="B86" s="45"/>
      <c r="C86" s="46"/>
      <c r="D86" s="45"/>
      <c r="E86" s="45"/>
      <c r="F86" s="45"/>
      <c r="G86" s="45"/>
      <c r="H86" s="45"/>
      <c r="I86" s="45"/>
      <c r="J86" s="45"/>
      <c r="K86" s="45"/>
      <c r="L86" s="45"/>
      <c r="M86" s="45"/>
      <c r="N86" s="45"/>
      <c r="O86" s="45"/>
      <c r="P86" s="45"/>
      <c r="Q86" s="45"/>
      <c r="R86" s="45"/>
      <c r="S86" s="45"/>
      <c r="T86" s="45"/>
      <c r="U86" s="45"/>
      <c r="V86" s="45"/>
      <c r="W86" s="45"/>
      <c r="X86" s="45"/>
    </row>
    <row r="87" spans="2:25" hidden="1">
      <c r="B87" s="45"/>
      <c r="C87" s="46"/>
      <c r="D87" s="45"/>
      <c r="E87" s="45"/>
      <c r="F87" s="45"/>
      <c r="G87" s="45"/>
      <c r="H87" s="45"/>
      <c r="I87" s="45"/>
      <c r="J87" s="45"/>
      <c r="K87" s="45"/>
      <c r="L87" s="45"/>
      <c r="M87" s="45"/>
      <c r="N87" s="45"/>
      <c r="O87" s="45"/>
      <c r="P87" s="45"/>
      <c r="Q87" s="45"/>
      <c r="R87" s="45"/>
      <c r="S87" s="45"/>
      <c r="T87" s="45"/>
      <c r="U87" s="45"/>
      <c r="V87" s="45"/>
      <c r="W87" s="45"/>
      <c r="X87" s="45"/>
    </row>
    <row r="88" spans="2:25" hidden="1">
      <c r="B88" s="45"/>
      <c r="C88" s="46"/>
      <c r="D88" s="45"/>
      <c r="E88" s="45"/>
      <c r="F88" s="45"/>
      <c r="G88" s="45"/>
      <c r="H88" s="45"/>
      <c r="I88" s="45"/>
      <c r="J88" s="45"/>
      <c r="K88" s="45"/>
      <c r="L88" s="45"/>
      <c r="M88" s="45"/>
      <c r="N88" s="45"/>
      <c r="O88" s="45"/>
      <c r="P88" s="45"/>
      <c r="Q88" s="45"/>
      <c r="R88" s="45"/>
      <c r="S88" s="45"/>
      <c r="T88" s="45"/>
      <c r="U88" s="45"/>
      <c r="V88" s="45"/>
      <c r="W88" s="45"/>
      <c r="X88" s="45"/>
    </row>
    <row r="89" spans="2:25" hidden="1">
      <c r="B89" s="45"/>
      <c r="C89" s="46"/>
      <c r="D89" s="45"/>
      <c r="E89" s="45"/>
      <c r="F89" s="45"/>
      <c r="G89" s="45"/>
      <c r="H89" s="45"/>
      <c r="I89" s="45"/>
      <c r="J89" s="45"/>
      <c r="K89" s="45"/>
      <c r="L89" s="45"/>
      <c r="M89" s="45"/>
      <c r="N89" s="45"/>
      <c r="O89" s="45"/>
      <c r="P89" s="45"/>
      <c r="Q89" s="45"/>
      <c r="R89" s="45"/>
      <c r="S89" s="45"/>
      <c r="T89" s="45"/>
      <c r="U89" s="45"/>
      <c r="V89" s="45"/>
      <c r="W89" s="45"/>
      <c r="X89" s="45"/>
    </row>
    <row r="90" spans="2:25" hidden="1">
      <c r="B90" s="45"/>
      <c r="C90" s="46"/>
      <c r="D90" s="45"/>
      <c r="E90" s="45"/>
      <c r="F90" s="45"/>
      <c r="G90" s="45"/>
      <c r="H90" s="45"/>
      <c r="I90" s="45"/>
      <c r="J90" s="45"/>
      <c r="K90" s="45"/>
      <c r="L90" s="45"/>
      <c r="M90" s="45"/>
      <c r="N90" s="45"/>
      <c r="O90" s="45"/>
      <c r="P90" s="45"/>
      <c r="Q90" s="45"/>
      <c r="R90" s="45"/>
      <c r="S90" s="45"/>
      <c r="T90" s="45"/>
      <c r="U90" s="45"/>
      <c r="V90" s="45"/>
      <c r="W90" s="45"/>
      <c r="X90" s="45"/>
    </row>
    <row r="91" spans="2:25" hidden="1">
      <c r="C91" s="365"/>
    </row>
    <row r="92" spans="2:25" hidden="1">
      <c r="C92" s="365"/>
    </row>
    <row r="93" spans="2:25" hidden="1">
      <c r="C93" s="365"/>
    </row>
    <row r="94" spans="2:25" hidden="1">
      <c r="C94" s="365"/>
    </row>
    <row r="95" spans="2:25" hidden="1">
      <c r="C95" s="365"/>
    </row>
    <row r="96" spans="2:25" hidden="1">
      <c r="C96" s="365"/>
    </row>
    <row r="97" spans="3:3" hidden="1">
      <c r="C97" s="365"/>
    </row>
    <row r="98" spans="3:3" hidden="1"/>
    <row r="99" spans="3:3" hidden="1">
      <c r="C99" s="365"/>
    </row>
    <row r="100" spans="3:3" hidden="1">
      <c r="C100" s="365"/>
    </row>
    <row r="101" spans="3:3" hidden="1">
      <c r="C101" s="365"/>
    </row>
    <row r="102" spans="3:3" hidden="1">
      <c r="C102" s="365"/>
    </row>
    <row r="103" spans="3:3" hidden="1">
      <c r="C103" s="365"/>
    </row>
    <row r="104" spans="3:3" hidden="1">
      <c r="C104" s="365"/>
    </row>
    <row r="105" spans="3:3" hidden="1">
      <c r="C105" s="365"/>
    </row>
    <row r="106" spans="3:3" hidden="1">
      <c r="C106" s="365"/>
    </row>
    <row r="107" spans="3:3" hidden="1">
      <c r="C107" s="365"/>
    </row>
    <row r="108" spans="3:3" hidden="1">
      <c r="C108" s="365"/>
    </row>
    <row r="109" spans="3:3" hidden="1">
      <c r="C109" s="365"/>
    </row>
    <row r="110" spans="3:3" hidden="1">
      <c r="C110" s="365"/>
    </row>
    <row r="111" spans="3:3" hidden="1">
      <c r="C111" s="365"/>
    </row>
    <row r="112" spans="3:3" hidden="1">
      <c r="C112" s="365"/>
    </row>
    <row r="113" spans="3:3" hidden="1">
      <c r="C113" s="365"/>
    </row>
    <row r="114" spans="3:3" hidden="1">
      <c r="C114" s="365"/>
    </row>
    <row r="115" spans="3:3" hidden="1">
      <c r="C115" s="365"/>
    </row>
    <row r="116" spans="3:3" hidden="1">
      <c r="C116" s="365"/>
    </row>
    <row r="117" spans="3:3" hidden="1">
      <c r="C117" s="365"/>
    </row>
    <row r="118" spans="3:3"/>
    <row r="119" spans="3:3" hidden="1"/>
  </sheetData>
  <sheetProtection password="CF7B" sheet="1" objects="1" scenarios="1" selectLockedCells="1"/>
  <customSheetViews>
    <customSheetView guid="{C9DCC1B1-1130-43C1-807F-FB357D8E7C6B}" showPageBreaks="1" showGridLines="0" showRowCol="0" printArea="1" hiddenRows="1" hiddenColumns="1">
      <selection activeCell="E15" sqref="E15:H15"/>
      <pageMargins left="0.59055118110236227" right="0" top="0.39370078740157483" bottom="0.39370078740157483" header="0" footer="0"/>
      <pageSetup paperSize="9" scale="82" orientation="portrait" r:id="rId1"/>
    </customSheetView>
    <customSheetView guid="{74B9DB0D-A27C-483C-9482-296E1DCC546B}" showGridLines="0" showRowCol="0" hiddenRows="1" hiddenColumns="1">
      <selection activeCell="E15" sqref="E15:H15"/>
      <pageMargins left="0.59055118110236227" right="0" top="0.39370078740157483" bottom="0.39370078740157483" header="0" footer="0"/>
      <pageSetup paperSize="9" scale="82" orientation="portrait" r:id="rId2"/>
    </customSheetView>
  </customSheetViews>
  <mergeCells count="73">
    <mergeCell ref="B70:C70"/>
    <mergeCell ref="D70:N70"/>
    <mergeCell ref="C42:H42"/>
    <mergeCell ref="D47:E47"/>
    <mergeCell ref="B71:N71"/>
    <mergeCell ref="D57:E57"/>
    <mergeCell ref="I60:L60"/>
    <mergeCell ref="D62:E62"/>
    <mergeCell ref="D64:E64"/>
    <mergeCell ref="C68:L68"/>
    <mergeCell ref="C32:H32"/>
    <mergeCell ref="B69:C69"/>
    <mergeCell ref="D69:N69"/>
    <mergeCell ref="C44:G44"/>
    <mergeCell ref="C45:E45"/>
    <mergeCell ref="I45:J45"/>
    <mergeCell ref="K45:L45"/>
    <mergeCell ref="D50:E50"/>
    <mergeCell ref="D51:E51"/>
    <mergeCell ref="C65:L65"/>
    <mergeCell ref="C36:H36"/>
    <mergeCell ref="C37:H37"/>
    <mergeCell ref="C38:H38"/>
    <mergeCell ref="C39:H39"/>
    <mergeCell ref="C43:E43"/>
    <mergeCell ref="D25:H25"/>
    <mergeCell ref="D26:H26"/>
    <mergeCell ref="C28:H28"/>
    <mergeCell ref="D30:E30"/>
    <mergeCell ref="C31:H31"/>
    <mergeCell ref="B16:D16"/>
    <mergeCell ref="E16:H16"/>
    <mergeCell ref="B19:N19"/>
    <mergeCell ref="B20:N20"/>
    <mergeCell ref="C21:D21"/>
    <mergeCell ref="I16:J18"/>
    <mergeCell ref="K16:L18"/>
    <mergeCell ref="M16:N18"/>
    <mergeCell ref="B17:D17"/>
    <mergeCell ref="D22:H22"/>
    <mergeCell ref="D23:H23"/>
    <mergeCell ref="D24:H24"/>
    <mergeCell ref="E17:H17"/>
    <mergeCell ref="B18:D18"/>
    <mergeCell ref="E18:H18"/>
    <mergeCell ref="B15:D15"/>
    <mergeCell ref="E15:H15"/>
    <mergeCell ref="I15:J15"/>
    <mergeCell ref="K15:L15"/>
    <mergeCell ref="M15:N15"/>
    <mergeCell ref="B13:N13"/>
    <mergeCell ref="B14:D14"/>
    <mergeCell ref="E14:H14"/>
    <mergeCell ref="I14:L14"/>
    <mergeCell ref="M14:N14"/>
    <mergeCell ref="B11:H11"/>
    <mergeCell ref="I11:N11"/>
    <mergeCell ref="B12:D12"/>
    <mergeCell ref="I12:K12"/>
    <mergeCell ref="L12:N12"/>
    <mergeCell ref="E12:H12"/>
    <mergeCell ref="B8:H8"/>
    <mergeCell ref="I8:N8"/>
    <mergeCell ref="B9:H9"/>
    <mergeCell ref="I9:N9"/>
    <mergeCell ref="B10:H10"/>
    <mergeCell ref="I10:N10"/>
    <mergeCell ref="B2:N2"/>
    <mergeCell ref="B3:N4"/>
    <mergeCell ref="B5:H5"/>
    <mergeCell ref="I5:N5"/>
    <mergeCell ref="B7:H7"/>
    <mergeCell ref="I7:N7"/>
  </mergeCells>
  <pageMargins left="0.59055118110236227" right="0" top="0.39370078740157483" bottom="0.39370078740157483" header="0" footer="0"/>
  <pageSetup paperSize="9" scale="82" orientation="portrait" r:id="rId3"/>
</worksheet>
</file>

<file path=xl/worksheets/sheet8.xml><?xml version="1.0" encoding="utf-8"?>
<worksheet xmlns="http://schemas.openxmlformats.org/spreadsheetml/2006/main" xmlns:r="http://schemas.openxmlformats.org/officeDocument/2006/relationships">
  <sheetPr codeName="Sheet8"/>
  <dimension ref="A1:HA233"/>
  <sheetViews>
    <sheetView showGridLines="0" showRowColHeaders="0" workbookViewId="0">
      <selection activeCell="L41" sqref="L41:M41"/>
    </sheetView>
  </sheetViews>
  <sheetFormatPr defaultColWidth="0" defaultRowHeight="0" customHeight="1" zeroHeight="1"/>
  <cols>
    <col min="1" max="1" width="1.42578125" style="43" customWidth="1"/>
    <col min="2" max="2" width="3.5703125" style="43" customWidth="1"/>
    <col min="3" max="3" width="5" style="43" customWidth="1"/>
    <col min="4" max="4" width="9.7109375" style="43" customWidth="1"/>
    <col min="5" max="5" width="9.28515625" style="43" customWidth="1"/>
    <col min="6" max="6" width="10.85546875" style="43" customWidth="1"/>
    <col min="7" max="7" width="15.28515625" style="43" customWidth="1"/>
    <col min="8" max="8" width="3.42578125" style="43" customWidth="1"/>
    <col min="9" max="9" width="9.28515625" style="43" customWidth="1"/>
    <col min="10" max="10" width="10" style="43" customWidth="1"/>
    <col min="11" max="11" width="9.85546875" style="43" customWidth="1"/>
    <col min="12" max="12" width="2.85546875" style="43" customWidth="1"/>
    <col min="13" max="13" width="12.42578125" style="43" customWidth="1"/>
    <col min="14" max="14" width="1.140625" style="43" customWidth="1"/>
    <col min="15" max="28" width="8.5703125" style="43" hidden="1" customWidth="1"/>
    <col min="29" max="30" width="9.140625" style="43" hidden="1" customWidth="1"/>
    <col min="31" max="31" width="36.28515625" style="43" hidden="1" customWidth="1"/>
    <col min="32" max="32" width="6.85546875" style="43" hidden="1" customWidth="1"/>
    <col min="33" max="33" width="11.28515625" style="43" hidden="1" customWidth="1"/>
    <col min="34" max="113" width="9.140625" style="43" hidden="1" customWidth="1"/>
    <col min="114" max="114" width="9.42578125" style="43" hidden="1" customWidth="1"/>
    <col min="115" max="16384" width="9.140625" style="43" hidden="1"/>
  </cols>
  <sheetData>
    <row r="1" spans="2:36" ht="7.5" customHeight="1" thickBot="1">
      <c r="O1" s="45"/>
      <c r="P1" s="45"/>
      <c r="Q1" s="45"/>
      <c r="R1" s="45"/>
      <c r="S1" s="45"/>
      <c r="T1" s="45"/>
      <c r="U1" s="45"/>
      <c r="V1" s="45"/>
      <c r="W1" s="45"/>
      <c r="X1" s="45"/>
      <c r="Y1" s="45"/>
      <c r="Z1" s="45"/>
      <c r="AA1" s="45"/>
      <c r="AB1" s="45"/>
    </row>
    <row r="2" spans="2:36" ht="14.25" customHeight="1" thickTop="1">
      <c r="B2" s="175" t="s">
        <v>318</v>
      </c>
      <c r="C2" s="1452" t="s">
        <v>319</v>
      </c>
      <c r="D2" s="1452"/>
      <c r="E2" s="1452"/>
      <c r="F2" s="1452"/>
      <c r="G2" s="1452"/>
      <c r="H2" s="1445" t="s">
        <v>286</v>
      </c>
      <c r="I2" s="1445"/>
      <c r="J2" s="176" t="s">
        <v>287</v>
      </c>
      <c r="K2" s="176" t="s">
        <v>288</v>
      </c>
      <c r="L2" s="177"/>
      <c r="M2" s="178"/>
      <c r="N2" s="51"/>
      <c r="O2" s="51"/>
      <c r="P2" s="51"/>
      <c r="Q2" s="51"/>
      <c r="R2" s="51"/>
      <c r="S2" s="51"/>
      <c r="T2" s="51"/>
      <c r="U2" s="51"/>
      <c r="V2" s="51"/>
      <c r="W2" s="51"/>
      <c r="X2" s="51"/>
      <c r="Y2" s="51"/>
      <c r="Z2" s="51"/>
      <c r="AA2" s="51"/>
      <c r="AB2" s="45"/>
    </row>
    <row r="3" spans="2:36" ht="14.25" customHeight="1">
      <c r="B3" s="179"/>
      <c r="C3" s="1446" t="s">
        <v>320</v>
      </c>
      <c r="D3" s="1446"/>
      <c r="E3" s="1446"/>
      <c r="F3" s="1446"/>
      <c r="G3" s="1446"/>
      <c r="H3" s="1447" t="s">
        <v>290</v>
      </c>
      <c r="I3" s="1447"/>
      <c r="J3" s="180" t="s">
        <v>290</v>
      </c>
      <c r="K3" s="180" t="s">
        <v>290</v>
      </c>
      <c r="L3" s="98"/>
      <c r="M3" s="181"/>
      <c r="N3" s="51"/>
      <c r="O3" s="51"/>
      <c r="P3" s="51"/>
      <c r="Q3" s="51"/>
      <c r="R3" s="51"/>
      <c r="S3" s="51"/>
      <c r="T3" s="51"/>
      <c r="U3" s="51"/>
      <c r="V3" s="51"/>
      <c r="W3" s="51"/>
      <c r="X3" s="51"/>
      <c r="Y3" s="51"/>
      <c r="Z3" s="51"/>
      <c r="AA3" s="51"/>
      <c r="AC3" s="182"/>
      <c r="AD3" s="45"/>
    </row>
    <row r="4" spans="2:36" ht="14.25" customHeight="1">
      <c r="B4" s="183"/>
      <c r="C4" s="1448" t="s">
        <v>539</v>
      </c>
      <c r="D4" s="1449"/>
      <c r="E4" s="1449"/>
      <c r="F4" s="1449"/>
      <c r="G4" s="1449"/>
      <c r="H4" s="184" t="s">
        <v>205</v>
      </c>
      <c r="I4" s="185">
        <f>'Annexure -II'!L35</f>
        <v>120</v>
      </c>
      <c r="J4" s="186">
        <f>IF(I4&lt;=AD21,I4,IF(I4&gt;=AD21,AD21))</f>
        <v>120</v>
      </c>
      <c r="K4" s="187">
        <f t="shared" ref="K4:K13" si="0">J4</f>
        <v>120</v>
      </c>
      <c r="L4" s="98"/>
      <c r="M4" s="181"/>
      <c r="N4" s="51"/>
      <c r="O4" s="51"/>
      <c r="P4" s="51"/>
      <c r="Q4" s="51"/>
      <c r="R4" s="51"/>
      <c r="S4" s="51"/>
      <c r="T4" s="51"/>
      <c r="U4" s="51"/>
      <c r="V4" s="51"/>
      <c r="W4" s="51"/>
      <c r="X4" s="51"/>
      <c r="Y4" s="51"/>
      <c r="Z4" s="51"/>
      <c r="AA4" s="51"/>
      <c r="AB4" s="45"/>
      <c r="AD4" s="70"/>
      <c r="AE4" s="65"/>
      <c r="AF4" s="65"/>
      <c r="AG4" s="66"/>
      <c r="AJ4" s="188"/>
    </row>
    <row r="5" spans="2:36" ht="14.25" customHeight="1">
      <c r="B5" s="183"/>
      <c r="C5" s="1450" t="str">
        <f>'Annexure -II'!D26</f>
        <v>Medical Insurance Premium for Self, Spouse &amp; Children U/s 80D</v>
      </c>
      <c r="D5" s="1451"/>
      <c r="E5" s="1451"/>
      <c r="F5" s="1451"/>
      <c r="G5" s="1451"/>
      <c r="H5" s="184" t="s">
        <v>205</v>
      </c>
      <c r="I5" s="763">
        <f>'Annexure -II'!L26</f>
        <v>0</v>
      </c>
      <c r="J5" s="185">
        <f>'Annexure -II'!L26</f>
        <v>0</v>
      </c>
      <c r="K5" s="187">
        <f t="shared" si="0"/>
        <v>0</v>
      </c>
      <c r="L5" s="98"/>
      <c r="M5" s="181"/>
      <c r="N5" s="51"/>
      <c r="O5" s="51"/>
      <c r="P5" s="51"/>
      <c r="Q5" s="51"/>
      <c r="R5" s="51"/>
      <c r="S5" s="51"/>
      <c r="T5" s="51"/>
      <c r="U5" s="51"/>
      <c r="V5" s="51"/>
      <c r="W5" s="51"/>
      <c r="X5" s="51"/>
      <c r="Y5" s="51"/>
      <c r="Z5" s="51"/>
      <c r="AA5" s="51"/>
      <c r="AB5" s="45"/>
      <c r="AD5" s="70"/>
      <c r="AE5" s="65"/>
      <c r="AF5" s="65"/>
      <c r="AG5" s="66"/>
      <c r="AI5" s="56"/>
    </row>
    <row r="6" spans="2:36" ht="14.25" customHeight="1">
      <c r="B6" s="183"/>
      <c r="C6" s="1448" t="str">
        <f>'Annexure -II'!D27</f>
        <v>Senior Citizen Parents Medical Insurance U/s 80D</v>
      </c>
      <c r="D6" s="1449"/>
      <c r="E6" s="1449"/>
      <c r="F6" s="1449"/>
      <c r="G6" s="1449"/>
      <c r="H6" s="184" t="s">
        <v>205</v>
      </c>
      <c r="I6" s="763">
        <v>0</v>
      </c>
      <c r="J6" s="185">
        <f>'Annexure -II'!L27</f>
        <v>0</v>
      </c>
      <c r="K6" s="187">
        <f t="shared" si="0"/>
        <v>0</v>
      </c>
      <c r="L6" s="98"/>
      <c r="M6" s="181"/>
      <c r="N6" s="51"/>
      <c r="O6" s="51"/>
      <c r="P6" s="51"/>
      <c r="Q6" s="51"/>
      <c r="R6" s="51"/>
      <c r="S6" s="51"/>
      <c r="T6" s="51"/>
      <c r="U6" s="51"/>
      <c r="V6" s="51"/>
      <c r="W6" s="51"/>
      <c r="X6" s="51"/>
      <c r="Y6" s="51"/>
      <c r="Z6" s="51"/>
      <c r="AA6" s="51"/>
      <c r="AB6" s="45"/>
      <c r="AD6" s="70"/>
      <c r="AE6" s="65"/>
      <c r="AF6" s="65"/>
      <c r="AG6" s="66"/>
      <c r="AI6" s="56"/>
    </row>
    <row r="7" spans="2:36" ht="14.25" customHeight="1">
      <c r="B7" s="183"/>
      <c r="C7" s="1448" t="str">
        <f>'Annexure -II'!D28</f>
        <v>Payment made for preventive health check up of Assessee, spouse, children &amp; parents</v>
      </c>
      <c r="D7" s="1449"/>
      <c r="E7" s="1449"/>
      <c r="F7" s="1449"/>
      <c r="G7" s="1449"/>
      <c r="H7" s="184" t="s">
        <v>205</v>
      </c>
      <c r="I7" s="763">
        <f>DATA!N35</f>
        <v>0</v>
      </c>
      <c r="J7" s="185">
        <f>'Annexure -II'!L28</f>
        <v>0</v>
      </c>
      <c r="K7" s="187">
        <f t="shared" si="0"/>
        <v>0</v>
      </c>
      <c r="L7" s="98"/>
      <c r="M7" s="181"/>
      <c r="N7" s="51"/>
      <c r="O7" s="51"/>
      <c r="P7" s="51"/>
      <c r="Q7" s="51"/>
      <c r="R7" s="51"/>
      <c r="S7" s="51"/>
      <c r="T7" s="51"/>
      <c r="U7" s="51"/>
      <c r="V7" s="51"/>
      <c r="W7" s="51"/>
      <c r="X7" s="51"/>
      <c r="Y7" s="51"/>
      <c r="Z7" s="51"/>
      <c r="AA7" s="51"/>
      <c r="AB7" s="45"/>
      <c r="AD7" s="70"/>
      <c r="AE7" s="65"/>
      <c r="AF7" s="65"/>
      <c r="AG7" s="66"/>
      <c r="AI7" s="56"/>
    </row>
    <row r="8" spans="2:36" ht="14.25" customHeight="1">
      <c r="B8" s="183"/>
      <c r="C8" s="1448" t="str">
        <f>'Annexure -II'!D30</f>
        <v>Interest on Educational Loan U/s 80E</v>
      </c>
      <c r="D8" s="1449"/>
      <c r="E8" s="1449"/>
      <c r="F8" s="1449"/>
      <c r="G8" s="1449"/>
      <c r="H8" s="184" t="s">
        <v>205</v>
      </c>
      <c r="I8" s="763">
        <f>DATA!N30</f>
        <v>0</v>
      </c>
      <c r="J8" s="185">
        <f>'Annexure -II'!L30</f>
        <v>0</v>
      </c>
      <c r="K8" s="187">
        <f t="shared" si="0"/>
        <v>0</v>
      </c>
      <c r="L8" s="98"/>
      <c r="M8" s="181"/>
      <c r="N8" s="51"/>
      <c r="O8" s="51"/>
      <c r="P8" s="51"/>
      <c r="Q8" s="51"/>
      <c r="R8" s="51"/>
      <c r="S8" s="51"/>
      <c r="T8" s="51"/>
      <c r="U8" s="51"/>
      <c r="V8" s="51"/>
      <c r="W8" s="51"/>
      <c r="X8" s="51"/>
      <c r="Y8" s="51"/>
      <c r="Z8" s="51"/>
      <c r="AA8" s="51"/>
      <c r="AB8" s="45"/>
      <c r="AD8" s="70"/>
      <c r="AE8" s="65"/>
      <c r="AF8" s="65"/>
      <c r="AG8" s="66"/>
      <c r="AI8" s="56"/>
    </row>
    <row r="9" spans="2:36" ht="14.25" customHeight="1">
      <c r="B9" s="183"/>
      <c r="C9" s="1448" t="str">
        <f>'Annexure -II'!D31</f>
        <v>Interest on Housing Loan Advance U/c 24</v>
      </c>
      <c r="D9" s="1449"/>
      <c r="E9" s="1449"/>
      <c r="F9" s="1449"/>
      <c r="G9" s="1449"/>
      <c r="H9" s="184" t="s">
        <v>205</v>
      </c>
      <c r="I9" s="763">
        <f>IF(DATA!AA18=1,0,DATA!K21)</f>
        <v>158610</v>
      </c>
      <c r="J9" s="185">
        <f>'Annexure -II'!L31</f>
        <v>158610</v>
      </c>
      <c r="K9" s="187">
        <f t="shared" si="0"/>
        <v>158610</v>
      </c>
      <c r="L9" s="98"/>
      <c r="M9" s="181"/>
      <c r="N9" s="51"/>
      <c r="O9" s="51"/>
      <c r="P9" s="51"/>
      <c r="Q9" s="51"/>
      <c r="R9" s="51"/>
      <c r="S9" s="51"/>
      <c r="T9" s="51"/>
      <c r="U9" s="51"/>
      <c r="V9" s="51"/>
      <c r="W9" s="51"/>
      <c r="X9" s="51"/>
      <c r="Y9" s="51"/>
      <c r="Z9" s="51"/>
      <c r="AA9" s="51"/>
      <c r="AB9" s="45"/>
      <c r="AD9" s="70"/>
      <c r="AE9" s="65"/>
      <c r="AF9" s="65"/>
      <c r="AG9" s="66"/>
      <c r="AI9" s="56"/>
    </row>
    <row r="10" spans="2:36" ht="14.25" customHeight="1">
      <c r="B10" s="183"/>
      <c r="C10" s="1448" t="str">
        <f>'Annexure -II'!D32</f>
        <v xml:space="preserve">Interest on Housing Loan U/s 80EEA </v>
      </c>
      <c r="D10" s="1449"/>
      <c r="E10" s="1449"/>
      <c r="F10" s="1449"/>
      <c r="G10" s="1449"/>
      <c r="H10" s="184" t="s">
        <v>205</v>
      </c>
      <c r="I10" s="763">
        <f>DATA!K23</f>
        <v>0</v>
      </c>
      <c r="J10" s="185">
        <f>'Annexure -II'!L32</f>
        <v>0</v>
      </c>
      <c r="K10" s="187">
        <f>J10</f>
        <v>0</v>
      </c>
      <c r="L10" s="98"/>
      <c r="M10" s="181"/>
      <c r="N10" s="51"/>
      <c r="O10" s="51"/>
      <c r="P10" s="51"/>
      <c r="Q10" s="51"/>
      <c r="R10" s="51"/>
      <c r="S10" s="51"/>
      <c r="T10" s="51"/>
      <c r="U10" s="51"/>
      <c r="V10" s="51"/>
      <c r="W10" s="51"/>
      <c r="X10" s="51"/>
      <c r="Y10" s="51"/>
      <c r="Z10" s="51"/>
      <c r="AA10" s="51"/>
      <c r="AB10" s="45"/>
      <c r="AD10" s="70"/>
      <c r="AE10" s="65"/>
      <c r="AF10" s="65"/>
      <c r="AG10" s="66"/>
      <c r="AI10" s="56"/>
    </row>
    <row r="11" spans="2:36" ht="14.25" customHeight="1">
      <c r="B11" s="183"/>
      <c r="C11" s="1453" t="s">
        <v>526</v>
      </c>
      <c r="D11" s="1454"/>
      <c r="E11" s="1454"/>
      <c r="F11" s="1454"/>
      <c r="G11" s="1454"/>
      <c r="H11" s="452" t="s">
        <v>205</v>
      </c>
      <c r="I11" s="772">
        <f>IF(DATA!AD44=3,'Annexure -I'!P23,0)</f>
        <v>0</v>
      </c>
      <c r="J11" s="453">
        <f>I11</f>
        <v>0</v>
      </c>
      <c r="K11" s="454">
        <f>J11</f>
        <v>0</v>
      </c>
      <c r="L11" s="98"/>
      <c r="M11" s="181"/>
      <c r="N11" s="51"/>
      <c r="O11" s="51"/>
      <c r="P11" s="51"/>
      <c r="Q11" s="51"/>
      <c r="R11" s="51"/>
      <c r="S11" s="51"/>
      <c r="T11" s="51"/>
      <c r="U11" s="51"/>
      <c r="V11" s="51"/>
      <c r="W11" s="51"/>
      <c r="X11" s="51"/>
      <c r="Y11" s="51"/>
      <c r="Z11" s="51"/>
      <c r="AA11" s="51"/>
      <c r="AB11" s="45"/>
      <c r="AD11" s="70"/>
      <c r="AE11" s="65"/>
      <c r="AF11" s="65"/>
      <c r="AG11" s="66"/>
      <c r="AI11" s="56"/>
    </row>
    <row r="12" spans="2:36" ht="14.25" customHeight="1">
      <c r="B12" s="183"/>
      <c r="C12" s="1448" t="str">
        <f>'Annexure -II'!D33</f>
        <v xml:space="preserve">No Handicapped Dependent </v>
      </c>
      <c r="D12" s="1449"/>
      <c r="E12" s="1449"/>
      <c r="F12" s="1449"/>
      <c r="G12" s="1449"/>
      <c r="H12" s="184" t="s">
        <v>205</v>
      </c>
      <c r="I12" s="773">
        <f>DATA!S84</f>
        <v>0</v>
      </c>
      <c r="J12" s="185">
        <f>DATA!T84</f>
        <v>0</v>
      </c>
      <c r="K12" s="187">
        <f t="shared" si="0"/>
        <v>0</v>
      </c>
      <c r="L12" s="98"/>
      <c r="M12" s="181"/>
      <c r="N12" s="51"/>
      <c r="O12" s="51"/>
      <c r="P12" s="51"/>
      <c r="Q12" s="51"/>
      <c r="R12" s="51"/>
      <c r="S12" s="51"/>
      <c r="T12" s="51"/>
      <c r="U12" s="51"/>
      <c r="V12" s="51"/>
      <c r="W12" s="51"/>
      <c r="X12" s="51"/>
      <c r="Y12" s="51"/>
      <c r="Z12" s="51"/>
      <c r="AA12" s="51"/>
      <c r="AB12" s="45"/>
      <c r="AD12" s="70"/>
      <c r="AE12" s="65"/>
      <c r="AF12" s="65"/>
      <c r="AG12" s="66"/>
      <c r="AI12" s="56"/>
    </row>
    <row r="13" spans="2:36" ht="14.25" customHeight="1">
      <c r="B13" s="183"/>
      <c r="C13" s="1448" t="str">
        <f>'Annexure -II'!D34</f>
        <v/>
      </c>
      <c r="D13" s="1449"/>
      <c r="E13" s="1449"/>
      <c r="F13" s="1449"/>
      <c r="G13" s="1449"/>
      <c r="H13" s="184" t="s">
        <v>205</v>
      </c>
      <c r="I13" s="763">
        <f>DATA!N32</f>
        <v>0</v>
      </c>
      <c r="J13" s="185">
        <f>'Annexure -II'!L34</f>
        <v>0</v>
      </c>
      <c r="K13" s="187">
        <f t="shared" si="0"/>
        <v>0</v>
      </c>
      <c r="L13" s="98"/>
      <c r="M13" s="181"/>
      <c r="N13" s="51"/>
      <c r="O13" s="51"/>
      <c r="P13" s="51"/>
      <c r="Q13" s="51"/>
      <c r="R13" s="51"/>
      <c r="S13" s="51"/>
      <c r="T13" s="51"/>
      <c r="U13" s="51"/>
      <c r="V13" s="51"/>
      <c r="W13" s="51"/>
      <c r="X13" s="51"/>
      <c r="Y13" s="51"/>
      <c r="Z13" s="51"/>
      <c r="AA13" s="51"/>
      <c r="AB13" s="45"/>
      <c r="AD13" s="70"/>
      <c r="AE13" s="65"/>
      <c r="AF13" s="65"/>
      <c r="AG13" s="66"/>
      <c r="AI13" s="56"/>
    </row>
    <row r="14" spans="2:36" ht="15.75" customHeight="1">
      <c r="B14" s="179"/>
      <c r="C14" s="98"/>
      <c r="D14" s="98"/>
      <c r="E14" s="98"/>
      <c r="F14" s="98"/>
      <c r="G14" s="765" t="s">
        <v>321</v>
      </c>
      <c r="H14" s="765"/>
      <c r="I14" s="765"/>
      <c r="J14" s="189"/>
      <c r="K14" s="190"/>
      <c r="L14" s="191" t="s">
        <v>205</v>
      </c>
      <c r="M14" s="192">
        <f>SUM(K4:K13)</f>
        <v>158730</v>
      </c>
      <c r="N14" s="62"/>
      <c r="O14" s="62"/>
      <c r="P14" s="62"/>
      <c r="Q14" s="62"/>
      <c r="R14" s="62"/>
      <c r="S14" s="62"/>
      <c r="T14" s="62"/>
      <c r="U14" s="62"/>
      <c r="V14" s="62"/>
      <c r="W14" s="62"/>
      <c r="X14" s="62"/>
      <c r="Y14" s="62"/>
      <c r="Z14" s="62"/>
      <c r="AA14" s="62"/>
      <c r="AB14" s="68"/>
      <c r="AD14" s="70"/>
      <c r="AE14" s="65"/>
      <c r="AF14" s="65"/>
      <c r="AG14" s="66"/>
      <c r="AI14" s="56"/>
    </row>
    <row r="15" spans="2:36" ht="15.75">
      <c r="B15" s="179">
        <v>10</v>
      </c>
      <c r="C15" s="1282" t="s">
        <v>504</v>
      </c>
      <c r="D15" s="1283"/>
      <c r="E15" s="1283"/>
      <c r="F15" s="1283"/>
      <c r="G15" s="1283"/>
      <c r="H15" s="1283"/>
      <c r="I15" s="1465"/>
      <c r="J15" s="193"/>
      <c r="K15" s="194"/>
      <c r="L15" s="195" t="s">
        <v>205</v>
      </c>
      <c r="M15" s="196">
        <f>SUM('Form 16 Page-1'!N68+'Form 16 Page2'!M14)</f>
        <v>308730</v>
      </c>
      <c r="N15" s="197"/>
      <c r="O15" s="197"/>
      <c r="P15" s="197"/>
      <c r="Q15" s="197"/>
      <c r="R15" s="197"/>
      <c r="S15" s="197"/>
      <c r="T15" s="197"/>
      <c r="U15" s="197"/>
      <c r="V15" s="197"/>
      <c r="W15" s="197"/>
      <c r="X15" s="197"/>
      <c r="Y15" s="197"/>
      <c r="Z15" s="197"/>
      <c r="AA15" s="197"/>
      <c r="AB15" s="60"/>
      <c r="AD15" s="70"/>
      <c r="AE15" s="65"/>
      <c r="AF15" s="65"/>
      <c r="AG15" s="66"/>
    </row>
    <row r="16" spans="2:36" ht="4.5" customHeight="1">
      <c r="B16" s="179"/>
      <c r="C16" s="98"/>
      <c r="D16" s="98"/>
      <c r="E16" s="98"/>
      <c r="F16" s="98"/>
      <c r="G16" s="98"/>
      <c r="H16" s="98"/>
      <c r="I16" s="98"/>
      <c r="J16" s="193"/>
      <c r="K16" s="194"/>
      <c r="L16" s="763"/>
      <c r="M16" s="198"/>
      <c r="N16" s="51"/>
      <c r="O16" s="51"/>
      <c r="P16" s="51"/>
      <c r="Q16" s="51"/>
      <c r="R16" s="51"/>
      <c r="S16" s="51"/>
      <c r="T16" s="51"/>
      <c r="U16" s="51"/>
      <c r="V16" s="51"/>
      <c r="W16" s="51"/>
      <c r="X16" s="51"/>
      <c r="Y16" s="51"/>
      <c r="Z16" s="51"/>
      <c r="AA16" s="51"/>
      <c r="AB16" s="45"/>
      <c r="AD16" s="70"/>
      <c r="AE16" s="65"/>
      <c r="AF16" s="65"/>
      <c r="AG16" s="66"/>
    </row>
    <row r="17" spans="2:37" ht="15.75">
      <c r="B17" s="179">
        <v>11</v>
      </c>
      <c r="C17" s="1279" t="s">
        <v>322</v>
      </c>
      <c r="D17" s="1279"/>
      <c r="E17" s="1279"/>
      <c r="F17" s="1279"/>
      <c r="G17" s="1279"/>
      <c r="H17" s="1279"/>
      <c r="I17" s="1279"/>
      <c r="J17" s="193"/>
      <c r="K17" s="194"/>
      <c r="L17" s="763" t="s">
        <v>205</v>
      </c>
      <c r="M17" s="199">
        <f>ROUND(('Form 16 Page-1'!N43-'Form 16 Page2'!M15),-1)</f>
        <v>539580</v>
      </c>
      <c r="N17" s="200"/>
      <c r="O17" s="200"/>
      <c r="P17" s="200"/>
      <c r="Q17" s="200"/>
      <c r="R17" s="200"/>
      <c r="S17" s="200"/>
      <c r="T17" s="200"/>
      <c r="U17" s="200"/>
      <c r="V17" s="200"/>
      <c r="W17" s="200"/>
      <c r="X17" s="200"/>
      <c r="Y17" s="200"/>
      <c r="Z17" s="200"/>
      <c r="AA17" s="200"/>
      <c r="AB17" s="69"/>
      <c r="AD17" s="70"/>
      <c r="AE17" s="65"/>
      <c r="AF17" s="65"/>
      <c r="AG17" s="66"/>
    </row>
    <row r="18" spans="2:37" ht="15.75" customHeight="1">
      <c r="B18" s="179">
        <v>12</v>
      </c>
      <c r="C18" s="1279" t="s">
        <v>323</v>
      </c>
      <c r="D18" s="1279"/>
      <c r="E18" s="1279"/>
      <c r="F18" s="1279"/>
      <c r="G18" s="1279"/>
      <c r="H18" s="1279"/>
      <c r="I18" s="1458"/>
      <c r="J18" s="193"/>
      <c r="K18" s="194"/>
      <c r="L18" s="201" t="s">
        <v>205</v>
      </c>
      <c r="M18" s="202">
        <f>'Annexure -II'!M58+'Annexure -II'!M59+'Annexure -II'!M60-'Annexure -II'!M61</f>
        <v>20416</v>
      </c>
      <c r="N18" s="51"/>
      <c r="O18" s="51"/>
      <c r="P18" s="51"/>
      <c r="Q18" s="51"/>
      <c r="R18" s="51"/>
      <c r="S18" s="51"/>
      <c r="T18" s="51"/>
      <c r="U18" s="51"/>
      <c r="V18" s="51"/>
      <c r="W18" s="51"/>
      <c r="X18" s="51"/>
      <c r="Y18" s="51"/>
      <c r="Z18" s="51"/>
      <c r="AA18" s="51"/>
      <c r="AB18" s="45"/>
      <c r="AD18" s="70"/>
      <c r="AE18" s="65"/>
      <c r="AF18" s="65"/>
      <c r="AG18" s="66"/>
      <c r="AJ18" s="50"/>
    </row>
    <row r="19" spans="2:37" ht="15.75" customHeight="1">
      <c r="B19" s="179"/>
      <c r="C19" s="761" t="s">
        <v>840</v>
      </c>
      <c r="D19" s="762"/>
      <c r="E19" s="762"/>
      <c r="F19" s="762"/>
      <c r="G19" s="762"/>
      <c r="H19" s="762"/>
      <c r="I19" s="762"/>
      <c r="J19" s="193"/>
      <c r="K19" s="194"/>
      <c r="L19" s="201"/>
      <c r="M19" s="202"/>
      <c r="N19" s="51"/>
      <c r="O19" s="51"/>
      <c r="P19" s="51"/>
      <c r="Q19" s="51"/>
      <c r="R19" s="51"/>
      <c r="S19" s="51"/>
      <c r="T19" s="51"/>
      <c r="U19" s="51"/>
      <c r="V19" s="51"/>
      <c r="W19" s="51"/>
      <c r="X19" s="51"/>
      <c r="Y19" s="51"/>
      <c r="Z19" s="51"/>
      <c r="AA19" s="51"/>
      <c r="AB19" s="45"/>
      <c r="AD19" s="70"/>
      <c r="AE19" s="65"/>
      <c r="AF19" s="65"/>
      <c r="AG19" s="66"/>
      <c r="AJ19" s="50"/>
    </row>
    <row r="20" spans="2:37" ht="15.95" customHeight="1">
      <c r="B20" s="179">
        <v>13</v>
      </c>
      <c r="C20" s="1276" t="s">
        <v>770</v>
      </c>
      <c r="D20" s="1276"/>
      <c r="E20" s="1276"/>
      <c r="F20" s="1276"/>
      <c r="G20" s="1276"/>
      <c r="H20" s="1276"/>
      <c r="I20" s="1276"/>
      <c r="J20" s="193"/>
      <c r="K20" s="194"/>
      <c r="L20" s="201" t="s">
        <v>205</v>
      </c>
      <c r="M20" s="202">
        <f>ROUND(M18*4%,0)</f>
        <v>817</v>
      </c>
      <c r="N20" s="49"/>
      <c r="O20" s="49"/>
      <c r="P20" s="49"/>
      <c r="Q20" s="49"/>
      <c r="R20" s="49"/>
      <c r="S20" s="49"/>
      <c r="T20" s="49"/>
      <c r="U20" s="49"/>
      <c r="V20" s="49"/>
      <c r="W20" s="49"/>
      <c r="X20" s="49"/>
      <c r="Y20" s="49"/>
      <c r="Z20" s="49"/>
      <c r="AA20" s="49"/>
      <c r="AB20" s="59"/>
      <c r="AD20" s="70"/>
      <c r="AE20" s="65"/>
      <c r="AF20" s="65"/>
      <c r="AG20" s="66"/>
      <c r="AJ20" s="50"/>
    </row>
    <row r="21" spans="2:37" ht="15.95" customHeight="1">
      <c r="B21" s="179">
        <v>14</v>
      </c>
      <c r="C21" s="1279" t="s">
        <v>758</v>
      </c>
      <c r="D21" s="1279"/>
      <c r="E21" s="1279"/>
      <c r="F21" s="1279"/>
      <c r="G21" s="1279"/>
      <c r="H21" s="1279"/>
      <c r="I21" s="1279"/>
      <c r="J21" s="193"/>
      <c r="K21" s="194"/>
      <c r="L21" s="201" t="s">
        <v>205</v>
      </c>
      <c r="M21" s="104">
        <f>SUM(M18:M20)</f>
        <v>21233</v>
      </c>
      <c r="N21" s="49"/>
      <c r="O21" s="49"/>
      <c r="P21" s="49"/>
      <c r="Q21" s="49"/>
      <c r="R21" s="49"/>
      <c r="S21" s="49"/>
      <c r="T21" s="49"/>
      <c r="U21" s="49"/>
      <c r="V21" s="49"/>
      <c r="W21" s="49"/>
      <c r="X21" s="49"/>
      <c r="Y21" s="49"/>
      <c r="Z21" s="49"/>
      <c r="AA21" s="49"/>
      <c r="AB21" s="59"/>
      <c r="AD21" s="70">
        <v>100000</v>
      </c>
      <c r="AE21" s="65"/>
      <c r="AF21" s="65"/>
      <c r="AG21" s="66"/>
      <c r="AJ21" s="50"/>
    </row>
    <row r="22" spans="2:37" ht="15.75">
      <c r="B22" s="179">
        <v>15</v>
      </c>
      <c r="C22" s="1276" t="s">
        <v>324</v>
      </c>
      <c r="D22" s="1276"/>
      <c r="E22" s="1276"/>
      <c r="F22" s="1276"/>
      <c r="G22" s="1276"/>
      <c r="H22" s="1276"/>
      <c r="I22" s="1276"/>
      <c r="J22" s="193"/>
      <c r="K22" s="194"/>
      <c r="L22" s="201" t="s">
        <v>205</v>
      </c>
      <c r="M22" s="202">
        <f>'Annexure -II'!M63</f>
        <v>0</v>
      </c>
      <c r="N22" s="197"/>
      <c r="O22" s="197"/>
      <c r="P22" s="197"/>
      <c r="Q22" s="197"/>
      <c r="R22" s="197"/>
      <c r="S22" s="197"/>
      <c r="T22" s="197"/>
      <c r="U22" s="197"/>
      <c r="V22" s="197"/>
      <c r="W22" s="197"/>
      <c r="X22" s="197"/>
      <c r="Y22" s="197"/>
      <c r="Z22" s="197"/>
      <c r="AA22" s="197"/>
      <c r="AB22" s="58"/>
      <c r="AE22" s="65"/>
      <c r="AF22" s="65"/>
      <c r="AG22" s="66"/>
      <c r="AJ22" s="50"/>
    </row>
    <row r="23" spans="2:37" ht="15.95" customHeight="1">
      <c r="B23" s="179">
        <v>16</v>
      </c>
      <c r="C23" s="1279" t="s">
        <v>759</v>
      </c>
      <c r="D23" s="1279"/>
      <c r="E23" s="1279"/>
      <c r="F23" s="1279"/>
      <c r="G23" s="1279"/>
      <c r="H23" s="1279"/>
      <c r="I23" s="1279"/>
      <c r="J23" s="193"/>
      <c r="K23" s="194"/>
      <c r="L23" s="201" t="s">
        <v>205</v>
      </c>
      <c r="M23" s="104">
        <f>M21-M22</f>
        <v>21233</v>
      </c>
      <c r="N23" s="51"/>
      <c r="O23" s="51"/>
      <c r="P23" s="51"/>
      <c r="Q23" s="51"/>
      <c r="R23" s="51"/>
      <c r="S23" s="51"/>
      <c r="T23" s="51"/>
      <c r="U23" s="51"/>
      <c r="V23" s="51"/>
      <c r="W23" s="51"/>
      <c r="X23" s="51"/>
      <c r="Y23" s="51"/>
      <c r="Z23" s="51"/>
      <c r="AA23" s="51"/>
      <c r="AB23" s="45"/>
      <c r="AE23" s="65"/>
      <c r="AF23" s="65"/>
      <c r="AJ23" s="50"/>
    </row>
    <row r="24" spans="2:37" ht="15.75">
      <c r="B24" s="179">
        <v>17</v>
      </c>
      <c r="C24" s="1283" t="s">
        <v>325</v>
      </c>
      <c r="D24" s="1276"/>
      <c r="E24" s="1276"/>
      <c r="F24" s="1276"/>
      <c r="G24" s="1276"/>
      <c r="H24" s="1276"/>
      <c r="I24" s="1276"/>
      <c r="J24" s="193"/>
      <c r="K24" s="194"/>
      <c r="L24" s="201" t="s">
        <v>205</v>
      </c>
      <c r="M24" s="202">
        <f>'Annexure -II'!H70</f>
        <v>0</v>
      </c>
      <c r="N24" s="197"/>
      <c r="O24" s="197"/>
      <c r="P24" s="197"/>
      <c r="Q24" s="197"/>
      <c r="R24" s="197"/>
      <c r="S24" s="197"/>
      <c r="T24" s="197"/>
      <c r="U24" s="197"/>
      <c r="V24" s="197"/>
      <c r="W24" s="197"/>
      <c r="X24" s="197"/>
      <c r="Y24" s="197"/>
      <c r="Z24" s="197"/>
      <c r="AA24" s="197"/>
      <c r="AB24" s="58"/>
      <c r="AJ24" s="50"/>
    </row>
    <row r="25" spans="2:37" ht="15.95" customHeight="1">
      <c r="B25" s="179"/>
      <c r="C25" s="761"/>
      <c r="D25" s="1286" t="s">
        <v>326</v>
      </c>
      <c r="E25" s="1286"/>
      <c r="F25" s="1286"/>
      <c r="G25" s="1286"/>
      <c r="H25" s="1286"/>
      <c r="I25" s="1286"/>
      <c r="J25" s="193"/>
      <c r="K25" s="194"/>
      <c r="L25" s="201" t="s">
        <v>205</v>
      </c>
      <c r="M25" s="202"/>
      <c r="N25" s="51"/>
      <c r="O25" s="51"/>
      <c r="P25" s="51"/>
      <c r="Q25" s="51"/>
      <c r="R25" s="51"/>
      <c r="S25" s="51"/>
      <c r="T25" s="51"/>
      <c r="U25" s="51"/>
      <c r="V25" s="51"/>
      <c r="W25" s="51"/>
      <c r="X25" s="51"/>
      <c r="Y25" s="51"/>
      <c r="Z25" s="51"/>
      <c r="AA25" s="51"/>
      <c r="AB25" s="45"/>
      <c r="AJ25" s="50"/>
    </row>
    <row r="26" spans="2:37" ht="15.95" customHeight="1">
      <c r="B26" s="179"/>
      <c r="C26" s="761"/>
      <c r="D26" s="1276" t="s">
        <v>327</v>
      </c>
      <c r="E26" s="1276"/>
      <c r="F26" s="1276"/>
      <c r="G26" s="1276"/>
      <c r="H26" s="1276"/>
      <c r="I26" s="1276"/>
      <c r="J26" s="193"/>
      <c r="K26" s="194"/>
      <c r="L26" s="201" t="s">
        <v>205</v>
      </c>
      <c r="M26" s="317"/>
      <c r="N26" s="51"/>
      <c r="O26" s="51"/>
      <c r="P26" s="51"/>
      <c r="Q26" s="51"/>
      <c r="R26" s="51"/>
      <c r="S26" s="51"/>
      <c r="T26" s="51"/>
      <c r="U26" s="51"/>
      <c r="V26" s="51"/>
      <c r="W26" s="51"/>
      <c r="X26" s="51"/>
      <c r="Y26" s="51"/>
      <c r="Z26" s="51"/>
      <c r="AA26" s="51"/>
      <c r="AB26" s="45"/>
      <c r="AJ26" s="50"/>
    </row>
    <row r="27" spans="2:37" ht="15.95" customHeight="1">
      <c r="B27" s="203">
        <v>18</v>
      </c>
      <c r="C27" s="1459" t="s">
        <v>760</v>
      </c>
      <c r="D27" s="1459"/>
      <c r="E27" s="1459"/>
      <c r="F27" s="1459"/>
      <c r="G27" s="1459"/>
      <c r="H27" s="204"/>
      <c r="I27" s="764"/>
      <c r="J27" s="205"/>
      <c r="K27" s="206"/>
      <c r="L27" s="766" t="s">
        <v>205</v>
      </c>
      <c r="M27" s="138">
        <f>(M23-(M24))</f>
        <v>21233</v>
      </c>
      <c r="N27" s="51"/>
      <c r="O27" s="51"/>
      <c r="P27" s="51"/>
      <c r="Q27" s="51"/>
      <c r="R27" s="51"/>
      <c r="S27" s="51"/>
      <c r="T27" s="51"/>
      <c r="U27" s="51"/>
      <c r="V27" s="51"/>
      <c r="W27" s="51"/>
      <c r="X27" s="51"/>
      <c r="Y27" s="51"/>
      <c r="Z27" s="51"/>
      <c r="AA27" s="51"/>
      <c r="AB27" s="45"/>
      <c r="AJ27" s="50"/>
    </row>
    <row r="28" spans="2:37" ht="9" customHeight="1">
      <c r="B28" s="207"/>
      <c r="C28" s="208"/>
      <c r="D28" s="208"/>
      <c r="E28" s="208"/>
      <c r="F28" s="208"/>
      <c r="G28" s="208"/>
      <c r="H28" s="208"/>
      <c r="I28" s="208"/>
      <c r="J28" s="209"/>
      <c r="K28" s="210"/>
      <c r="L28" s="208"/>
      <c r="M28" s="211"/>
      <c r="N28" s="197"/>
      <c r="O28" s="197"/>
      <c r="P28" s="197"/>
      <c r="Q28" s="197"/>
      <c r="R28" s="197"/>
      <c r="S28" s="197"/>
      <c r="T28" s="197"/>
      <c r="U28" s="197"/>
      <c r="V28" s="197"/>
      <c r="W28" s="197"/>
      <c r="X28" s="197"/>
      <c r="Y28" s="197"/>
      <c r="Z28" s="197"/>
      <c r="AA28" s="197"/>
      <c r="AB28" s="60"/>
      <c r="AJ28" s="50"/>
    </row>
    <row r="29" spans="2:37" ht="5.25" customHeight="1">
      <c r="B29" s="212"/>
      <c r="C29" s="98"/>
      <c r="D29" s="98"/>
      <c r="E29" s="98"/>
      <c r="F29" s="98"/>
      <c r="G29" s="98"/>
      <c r="H29" s="98"/>
      <c r="I29" s="98"/>
      <c r="J29" s="98"/>
      <c r="K29" s="98"/>
      <c r="L29" s="98"/>
      <c r="M29" s="213"/>
      <c r="N29" s="51"/>
      <c r="O29" s="51"/>
      <c r="P29" s="51"/>
      <c r="Q29" s="51"/>
      <c r="R29" s="51"/>
      <c r="S29" s="51"/>
      <c r="T29" s="51"/>
      <c r="U29" s="51"/>
      <c r="V29" s="51"/>
      <c r="W29" s="51"/>
      <c r="X29" s="51"/>
      <c r="Y29" s="51"/>
      <c r="Z29" s="51"/>
      <c r="AA29" s="51"/>
      <c r="AB29" s="45"/>
      <c r="AJ29" s="50"/>
    </row>
    <row r="30" spans="2:37" ht="3" customHeight="1">
      <c r="B30" s="1460" t="s">
        <v>328</v>
      </c>
      <c r="C30" s="1461"/>
      <c r="D30" s="1461"/>
      <c r="E30" s="1461"/>
      <c r="F30" s="1461"/>
      <c r="G30" s="1461"/>
      <c r="H30" s="1461"/>
      <c r="I30" s="1461"/>
      <c r="J30" s="1461"/>
      <c r="K30" s="1461"/>
      <c r="L30" s="1461"/>
      <c r="M30" s="1462"/>
      <c r="N30" s="51"/>
      <c r="O30" s="51"/>
      <c r="P30" s="51"/>
      <c r="Q30" s="51"/>
      <c r="R30" s="51"/>
      <c r="S30" s="51"/>
      <c r="T30" s="51"/>
      <c r="U30" s="51"/>
      <c r="V30" s="51"/>
      <c r="W30" s="51"/>
      <c r="X30" s="51"/>
      <c r="Y30" s="51"/>
      <c r="Z30" s="51"/>
      <c r="AA30" s="51"/>
      <c r="AB30" s="45"/>
      <c r="AC30" s="45"/>
      <c r="AJ30" s="50"/>
    </row>
    <row r="31" spans="2:37" ht="15.75" customHeight="1">
      <c r="B31" s="1364" t="s">
        <v>329</v>
      </c>
      <c r="C31" s="1365"/>
      <c r="D31" s="1365"/>
      <c r="E31" s="1365"/>
      <c r="F31" s="1365"/>
      <c r="G31" s="1365"/>
      <c r="H31" s="1365"/>
      <c r="I31" s="1365"/>
      <c r="J31" s="1365"/>
      <c r="K31" s="1365"/>
      <c r="L31" s="1365"/>
      <c r="M31" s="1388"/>
      <c r="N31" s="214"/>
      <c r="O31" s="214"/>
      <c r="P31" s="214"/>
      <c r="Q31" s="214"/>
      <c r="R31" s="214"/>
      <c r="S31" s="214"/>
      <c r="T31" s="214"/>
      <c r="U31" s="214"/>
      <c r="V31" s="214"/>
      <c r="W31" s="214"/>
      <c r="X31" s="214"/>
      <c r="Y31" s="214"/>
      <c r="Z31" s="214"/>
      <c r="AA31" s="214"/>
      <c r="AB31" s="71"/>
      <c r="AC31" s="54"/>
      <c r="AD31" s="54"/>
      <c r="AE31" s="54"/>
      <c r="AF31" s="54"/>
      <c r="AG31" s="54"/>
      <c r="AH31" s="54"/>
      <c r="AJ31" s="50"/>
      <c r="AK31" s="54"/>
    </row>
    <row r="32" spans="2:37" ht="3" customHeight="1">
      <c r="B32" s="212"/>
      <c r="C32" s="98"/>
      <c r="D32" s="98"/>
      <c r="E32" s="98"/>
      <c r="F32" s="98"/>
      <c r="G32" s="98"/>
      <c r="H32" s="98"/>
      <c r="I32" s="98"/>
      <c r="J32" s="98"/>
      <c r="K32" s="98"/>
      <c r="L32" s="98"/>
      <c r="M32" s="213"/>
      <c r="N32" s="47"/>
      <c r="O32" s="47"/>
      <c r="P32" s="47"/>
      <c r="Q32" s="47"/>
      <c r="R32" s="47"/>
      <c r="S32" s="47"/>
      <c r="T32" s="47"/>
      <c r="U32" s="47"/>
      <c r="V32" s="47"/>
      <c r="W32" s="47"/>
      <c r="X32" s="47"/>
      <c r="Y32" s="47"/>
      <c r="Z32" s="47"/>
      <c r="AA32" s="47"/>
      <c r="AB32" s="46"/>
      <c r="AC32" s="51"/>
      <c r="AD32" s="51"/>
      <c r="AE32" s="51"/>
      <c r="AF32" s="51"/>
      <c r="AG32" s="51"/>
      <c r="AH32" s="51"/>
      <c r="AJ32" s="50"/>
      <c r="AK32" s="51"/>
    </row>
    <row r="33" spans="2:36" ht="13.5" customHeight="1">
      <c r="B33" s="814" t="s">
        <v>330</v>
      </c>
      <c r="C33" s="1457" t="s">
        <v>331</v>
      </c>
      <c r="D33" s="1457"/>
      <c r="E33" s="813" t="s">
        <v>332</v>
      </c>
      <c r="F33" s="812" t="s">
        <v>333</v>
      </c>
      <c r="G33" s="812" t="s">
        <v>334</v>
      </c>
      <c r="H33" s="1457" t="s">
        <v>335</v>
      </c>
      <c r="I33" s="1457"/>
      <c r="J33" s="812" t="s">
        <v>336</v>
      </c>
      <c r="K33" s="812" t="s">
        <v>337</v>
      </c>
      <c r="L33" s="1463" t="s">
        <v>338</v>
      </c>
      <c r="M33" s="1464"/>
      <c r="N33" s="51"/>
      <c r="O33" s="51"/>
      <c r="P33" s="51"/>
      <c r="Q33" s="51"/>
      <c r="R33" s="51"/>
      <c r="S33" s="51"/>
      <c r="T33" s="51"/>
      <c r="U33" s="51"/>
      <c r="V33" s="51"/>
      <c r="W33" s="51"/>
      <c r="X33" s="51"/>
      <c r="Y33" s="51"/>
      <c r="Z33" s="51"/>
      <c r="AA33" s="51"/>
      <c r="AB33" s="45"/>
      <c r="AC33" s="45"/>
      <c r="AJ33" s="50"/>
    </row>
    <row r="34" spans="2:36" ht="15.95" customHeight="1">
      <c r="B34" s="780" t="s">
        <v>339</v>
      </c>
      <c r="C34" s="1457" t="s">
        <v>205</v>
      </c>
      <c r="D34" s="1457"/>
      <c r="E34" s="813" t="s">
        <v>205</v>
      </c>
      <c r="F34" s="812" t="s">
        <v>340</v>
      </c>
      <c r="G34" s="812" t="s">
        <v>341</v>
      </c>
      <c r="H34" s="1457" t="s">
        <v>342</v>
      </c>
      <c r="I34" s="1457"/>
      <c r="J34" s="812" t="s">
        <v>343</v>
      </c>
      <c r="K34" s="812" t="s">
        <v>344</v>
      </c>
      <c r="L34" s="1455" t="s">
        <v>345</v>
      </c>
      <c r="M34" s="1456"/>
      <c r="N34" s="72"/>
      <c r="O34" s="72"/>
      <c r="P34" s="72"/>
      <c r="Q34" s="72"/>
      <c r="R34" s="72"/>
      <c r="S34" s="72"/>
      <c r="T34" s="72"/>
      <c r="U34" s="72"/>
      <c r="V34" s="72"/>
      <c r="W34" s="72"/>
      <c r="X34" s="72"/>
      <c r="Y34" s="72"/>
      <c r="Z34" s="72"/>
      <c r="AA34" s="72"/>
      <c r="AB34" s="72"/>
      <c r="AJ34" s="50"/>
    </row>
    <row r="35" spans="2:36" ht="15.95" customHeight="1">
      <c r="B35" s="815"/>
      <c r="C35" s="1457"/>
      <c r="D35" s="1457"/>
      <c r="E35" s="812"/>
      <c r="F35" s="812" t="s">
        <v>205</v>
      </c>
      <c r="G35" s="812" t="s">
        <v>205</v>
      </c>
      <c r="H35" s="1457"/>
      <c r="I35" s="1457"/>
      <c r="J35" s="812" t="s">
        <v>346</v>
      </c>
      <c r="K35" s="812" t="s">
        <v>341</v>
      </c>
      <c r="L35" s="1466" t="s">
        <v>347</v>
      </c>
      <c r="M35" s="1467"/>
      <c r="N35" s="72"/>
      <c r="O35" s="72"/>
      <c r="P35" s="72"/>
      <c r="Q35" s="72"/>
      <c r="R35" s="72"/>
      <c r="S35" s="72"/>
      <c r="T35" s="72"/>
      <c r="U35" s="72"/>
      <c r="V35" s="72"/>
      <c r="W35" s="72"/>
      <c r="X35" s="72"/>
      <c r="Y35" s="72"/>
      <c r="Z35" s="72"/>
      <c r="AA35" s="72"/>
      <c r="AB35" s="72"/>
      <c r="AD35" s="70"/>
      <c r="AE35" s="65"/>
      <c r="AF35" s="65"/>
      <c r="AG35" s="66"/>
      <c r="AJ35" s="50"/>
    </row>
    <row r="36" spans="2:36" ht="15.95" customHeight="1">
      <c r="B36" s="775">
        <v>1</v>
      </c>
      <c r="C36" s="1441"/>
      <c r="D36" s="1441"/>
      <c r="E36" s="771"/>
      <c r="F36" s="771"/>
      <c r="G36" s="771"/>
      <c r="H36" s="1442"/>
      <c r="I36" s="1442"/>
      <c r="J36" s="771"/>
      <c r="K36" s="771"/>
      <c r="L36" s="1442"/>
      <c r="M36" s="1443"/>
      <c r="N36" s="72"/>
      <c r="O36" s="72"/>
      <c r="P36" s="72"/>
      <c r="Q36" s="72"/>
      <c r="R36" s="72"/>
      <c r="S36" s="72"/>
      <c r="T36" s="72"/>
      <c r="U36" s="72"/>
      <c r="V36" s="72"/>
      <c r="W36" s="72"/>
      <c r="X36" s="72"/>
      <c r="Y36" s="72"/>
      <c r="Z36" s="72"/>
      <c r="AA36" s="72"/>
      <c r="AB36" s="72"/>
      <c r="AD36" s="70"/>
      <c r="AE36" s="65"/>
      <c r="AF36" s="65"/>
      <c r="AG36" s="66"/>
      <c r="AJ36" s="56"/>
    </row>
    <row r="37" spans="2:36" ht="15.75" customHeight="1">
      <c r="B37" s="780">
        <v>2</v>
      </c>
      <c r="C37" s="1441"/>
      <c r="D37" s="1441"/>
      <c r="E37" s="781"/>
      <c r="F37" s="769"/>
      <c r="G37" s="769"/>
      <c r="H37" s="1441"/>
      <c r="I37" s="1441"/>
      <c r="J37" s="769"/>
      <c r="K37" s="769"/>
      <c r="L37" s="1441"/>
      <c r="M37" s="1444"/>
      <c r="N37" s="72"/>
      <c r="O37" s="72"/>
      <c r="P37" s="72"/>
      <c r="Q37" s="72"/>
      <c r="R37" s="72"/>
      <c r="S37" s="72"/>
      <c r="T37" s="72"/>
      <c r="U37" s="72"/>
      <c r="V37" s="72"/>
      <c r="W37" s="72"/>
      <c r="X37" s="72"/>
      <c r="Y37" s="72"/>
      <c r="Z37" s="72"/>
      <c r="AA37" s="72"/>
      <c r="AB37" s="72"/>
      <c r="AD37" s="70"/>
      <c r="AE37" s="65"/>
      <c r="AF37" s="65"/>
      <c r="AG37" s="66"/>
      <c r="AJ37" s="56"/>
    </row>
    <row r="38" spans="2:36" ht="15.75" customHeight="1">
      <c r="B38" s="774">
        <v>3</v>
      </c>
      <c r="C38" s="1441"/>
      <c r="D38" s="1441"/>
      <c r="E38" s="769"/>
      <c r="F38" s="769"/>
      <c r="G38" s="769"/>
      <c r="H38" s="1441"/>
      <c r="I38" s="1441"/>
      <c r="J38" s="769"/>
      <c r="K38" s="769"/>
      <c r="L38" s="1441"/>
      <c r="M38" s="1444"/>
      <c r="N38" s="72"/>
      <c r="O38" s="72"/>
      <c r="P38" s="72"/>
      <c r="Q38" s="72"/>
      <c r="R38" s="72"/>
      <c r="S38" s="72"/>
      <c r="T38" s="72"/>
      <c r="U38" s="72"/>
      <c r="V38" s="72"/>
      <c r="W38" s="72"/>
      <c r="X38" s="72"/>
      <c r="Y38" s="72"/>
      <c r="Z38" s="72"/>
      <c r="AA38" s="72"/>
      <c r="AB38" s="72"/>
      <c r="AD38" s="70"/>
      <c r="AE38" s="65"/>
      <c r="AF38" s="65"/>
      <c r="AG38" s="66"/>
      <c r="AJ38" s="56"/>
    </row>
    <row r="39" spans="2:36" ht="15.75" customHeight="1">
      <c r="B39" s="774">
        <v>4</v>
      </c>
      <c r="C39" s="1441"/>
      <c r="D39" s="1441"/>
      <c r="E39" s="769"/>
      <c r="F39" s="769"/>
      <c r="G39" s="769"/>
      <c r="H39" s="1441"/>
      <c r="I39" s="1441"/>
      <c r="J39" s="769"/>
      <c r="K39" s="769"/>
      <c r="L39" s="1441"/>
      <c r="M39" s="1444"/>
      <c r="N39" s="72"/>
      <c r="O39" s="72"/>
      <c r="P39" s="72"/>
      <c r="Q39" s="72"/>
      <c r="R39" s="72"/>
      <c r="S39" s="72"/>
      <c r="T39" s="72"/>
      <c r="U39" s="72"/>
      <c r="V39" s="72"/>
      <c r="W39" s="72"/>
      <c r="X39" s="72"/>
      <c r="Y39" s="72"/>
      <c r="Z39" s="72"/>
      <c r="AA39" s="72"/>
      <c r="AB39" s="72"/>
      <c r="AD39" s="70"/>
      <c r="AE39" s="65"/>
      <c r="AF39" s="65"/>
      <c r="AG39" s="66"/>
      <c r="AJ39" s="56"/>
    </row>
    <row r="40" spans="2:36" ht="15.75" customHeight="1">
      <c r="B40" s="774">
        <v>5</v>
      </c>
      <c r="C40" s="1441"/>
      <c r="D40" s="1441"/>
      <c r="E40" s="769"/>
      <c r="F40" s="769"/>
      <c r="G40" s="769"/>
      <c r="H40" s="1441"/>
      <c r="I40" s="1441"/>
      <c r="J40" s="769"/>
      <c r="K40" s="769"/>
      <c r="L40" s="1441"/>
      <c r="M40" s="1444"/>
      <c r="N40" s="72"/>
      <c r="O40" s="72"/>
      <c r="P40" s="72"/>
      <c r="Q40" s="72"/>
      <c r="R40" s="72"/>
      <c r="S40" s="72"/>
      <c r="T40" s="72"/>
      <c r="U40" s="72"/>
      <c r="V40" s="72"/>
      <c r="W40" s="72"/>
      <c r="X40" s="72"/>
      <c r="Y40" s="72"/>
      <c r="Z40" s="72"/>
      <c r="AA40" s="72"/>
      <c r="AB40" s="72"/>
      <c r="AD40" s="70"/>
      <c r="AE40" s="65"/>
      <c r="AF40" s="65"/>
      <c r="AG40" s="66"/>
      <c r="AJ40" s="56"/>
    </row>
    <row r="41" spans="2:36" ht="15.75" customHeight="1">
      <c r="B41" s="774">
        <v>6</v>
      </c>
      <c r="C41" s="1441"/>
      <c r="D41" s="1441"/>
      <c r="E41" s="769"/>
      <c r="F41" s="769"/>
      <c r="G41" s="769"/>
      <c r="H41" s="1441"/>
      <c r="I41" s="1441"/>
      <c r="J41" s="769"/>
      <c r="K41" s="769"/>
      <c r="L41" s="1441"/>
      <c r="M41" s="1444"/>
      <c r="N41" s="72"/>
      <c r="O41" s="72"/>
      <c r="P41" s="72"/>
      <c r="Q41" s="72"/>
      <c r="R41" s="72"/>
      <c r="S41" s="72"/>
      <c r="T41" s="72"/>
      <c r="U41" s="72"/>
      <c r="V41" s="72"/>
      <c r="W41" s="72"/>
      <c r="X41" s="72"/>
      <c r="Y41" s="72"/>
      <c r="Z41" s="72"/>
      <c r="AA41" s="72"/>
      <c r="AB41" s="72"/>
      <c r="AD41" s="70"/>
      <c r="AE41" s="65"/>
      <c r="AF41" s="65"/>
      <c r="AG41" s="66"/>
      <c r="AJ41" s="56"/>
    </row>
    <row r="42" spans="2:36" ht="15.75" customHeight="1">
      <c r="B42" s="774">
        <v>7</v>
      </c>
      <c r="C42" s="1441"/>
      <c r="D42" s="1441"/>
      <c r="E42" s="769"/>
      <c r="F42" s="769"/>
      <c r="G42" s="769"/>
      <c r="H42" s="1441"/>
      <c r="I42" s="1441"/>
      <c r="J42" s="769"/>
      <c r="K42" s="769"/>
      <c r="L42" s="1441"/>
      <c r="M42" s="1444"/>
      <c r="N42" s="47"/>
      <c r="O42" s="47"/>
      <c r="P42" s="47"/>
      <c r="Q42" s="47"/>
      <c r="R42" s="47"/>
      <c r="S42" s="47"/>
      <c r="T42" s="47"/>
      <c r="U42" s="47"/>
      <c r="V42" s="47"/>
      <c r="W42" s="47"/>
      <c r="X42" s="47"/>
      <c r="Y42" s="47"/>
      <c r="Z42" s="47"/>
      <c r="AA42" s="47"/>
      <c r="AB42" s="46"/>
      <c r="AD42" s="70"/>
      <c r="AE42" s="65"/>
      <c r="AF42" s="65"/>
      <c r="AG42" s="66"/>
      <c r="AJ42" s="56"/>
    </row>
    <row r="43" spans="2:36" ht="15.75" customHeight="1">
      <c r="B43" s="774">
        <v>8</v>
      </c>
      <c r="C43" s="1441"/>
      <c r="D43" s="1441"/>
      <c r="E43" s="769"/>
      <c r="F43" s="769"/>
      <c r="G43" s="769"/>
      <c r="H43" s="1441"/>
      <c r="I43" s="1441"/>
      <c r="J43" s="769"/>
      <c r="K43" s="769"/>
      <c r="L43" s="1441"/>
      <c r="M43" s="1444"/>
      <c r="N43" s="47"/>
      <c r="O43" s="47"/>
      <c r="P43" s="47"/>
      <c r="Q43" s="47"/>
      <c r="R43" s="47"/>
      <c r="S43" s="47"/>
      <c r="T43" s="47"/>
      <c r="U43" s="47"/>
      <c r="V43" s="47"/>
      <c r="W43" s="47"/>
      <c r="X43" s="47"/>
      <c r="Y43" s="47"/>
      <c r="Z43" s="47"/>
      <c r="AA43" s="47"/>
      <c r="AB43" s="46"/>
      <c r="AD43" s="70"/>
      <c r="AE43" s="65"/>
      <c r="AF43" s="65"/>
      <c r="AG43" s="66"/>
      <c r="AJ43" s="56"/>
    </row>
    <row r="44" spans="2:36" ht="15.75" customHeight="1">
      <c r="B44" s="774">
        <v>9</v>
      </c>
      <c r="C44" s="1441"/>
      <c r="D44" s="1441"/>
      <c r="E44" s="769"/>
      <c r="F44" s="769"/>
      <c r="G44" s="769"/>
      <c r="H44" s="1441"/>
      <c r="I44" s="1441"/>
      <c r="J44" s="769"/>
      <c r="K44" s="769"/>
      <c r="L44" s="1441"/>
      <c r="M44" s="1444"/>
      <c r="N44" s="47"/>
      <c r="O44" s="47"/>
      <c r="P44" s="47"/>
      <c r="Q44" s="47"/>
      <c r="R44" s="47"/>
      <c r="S44" s="47"/>
      <c r="T44" s="47"/>
      <c r="U44" s="47"/>
      <c r="V44" s="47"/>
      <c r="W44" s="47"/>
      <c r="X44" s="47"/>
      <c r="Y44" s="47"/>
      <c r="Z44" s="47"/>
      <c r="AA44" s="47"/>
      <c r="AB44" s="46"/>
      <c r="AD44" s="70"/>
      <c r="AE44" s="65"/>
      <c r="AF44" s="65"/>
      <c r="AG44" s="66"/>
      <c r="AJ44" s="56"/>
    </row>
    <row r="45" spans="2:36" ht="15.75" customHeight="1">
      <c r="B45" s="774">
        <v>10</v>
      </c>
      <c r="C45" s="1441"/>
      <c r="D45" s="1441"/>
      <c r="E45" s="769"/>
      <c r="F45" s="769"/>
      <c r="G45" s="769"/>
      <c r="H45" s="1441"/>
      <c r="I45" s="1441"/>
      <c r="J45" s="769"/>
      <c r="K45" s="769"/>
      <c r="L45" s="1441"/>
      <c r="M45" s="1444"/>
      <c r="N45" s="47"/>
      <c r="O45" s="47"/>
      <c r="P45" s="47"/>
      <c r="Q45" s="47"/>
      <c r="R45" s="47"/>
      <c r="S45" s="47"/>
      <c r="T45" s="47"/>
      <c r="U45" s="47"/>
      <c r="V45" s="47"/>
      <c r="W45" s="47"/>
      <c r="X45" s="47"/>
      <c r="Y45" s="47"/>
      <c r="Z45" s="47"/>
      <c r="AA45" s="47"/>
      <c r="AB45" s="46"/>
      <c r="AD45" s="70"/>
      <c r="AE45" s="65"/>
      <c r="AF45" s="65"/>
      <c r="AG45" s="66"/>
      <c r="AJ45" s="56"/>
    </row>
    <row r="46" spans="2:36" ht="15.75" customHeight="1">
      <c r="B46" s="774">
        <v>11</v>
      </c>
      <c r="C46" s="1441"/>
      <c r="D46" s="1441"/>
      <c r="E46" s="769"/>
      <c r="F46" s="769"/>
      <c r="G46" s="769"/>
      <c r="H46" s="1441"/>
      <c r="I46" s="1441"/>
      <c r="J46" s="769"/>
      <c r="K46" s="769"/>
      <c r="L46" s="1441"/>
      <c r="M46" s="1444"/>
      <c r="N46" s="47"/>
      <c r="O46" s="47"/>
      <c r="P46" s="47"/>
      <c r="Q46" s="47"/>
      <c r="R46" s="47"/>
      <c r="S46" s="47"/>
      <c r="T46" s="47"/>
      <c r="U46" s="47"/>
      <c r="V46" s="47"/>
      <c r="W46" s="47"/>
      <c r="X46" s="47"/>
      <c r="Y46" s="47"/>
      <c r="Z46" s="47"/>
      <c r="AA46" s="47"/>
      <c r="AB46" s="46"/>
      <c r="AD46" s="70"/>
      <c r="AE46" s="65"/>
      <c r="AF46" s="65"/>
      <c r="AG46" s="66"/>
      <c r="AJ46" s="56"/>
    </row>
    <row r="47" spans="2:36" ht="15.75" customHeight="1">
      <c r="B47" s="776">
        <v>12</v>
      </c>
      <c r="C47" s="1471"/>
      <c r="D47" s="1471"/>
      <c r="E47" s="770"/>
      <c r="F47" s="770"/>
      <c r="G47" s="770"/>
      <c r="H47" s="1471"/>
      <c r="I47" s="1471"/>
      <c r="J47" s="770"/>
      <c r="K47" s="770"/>
      <c r="L47" s="1471"/>
      <c r="M47" s="1472"/>
      <c r="N47" s="47"/>
      <c r="O47" s="47"/>
      <c r="P47" s="47"/>
      <c r="Q47" s="47"/>
      <c r="R47" s="47"/>
      <c r="S47" s="47"/>
      <c r="T47" s="47"/>
      <c r="U47" s="47"/>
      <c r="V47" s="47"/>
      <c r="W47" s="47"/>
      <c r="X47" s="47"/>
      <c r="Y47" s="47"/>
      <c r="Z47" s="47"/>
      <c r="AA47" s="47"/>
      <c r="AB47" s="46"/>
      <c r="AD47" s="70"/>
      <c r="AE47" s="65"/>
      <c r="AF47" s="65"/>
      <c r="AG47" s="66"/>
      <c r="AJ47" s="56"/>
    </row>
    <row r="48" spans="2:36" ht="15.75" customHeight="1">
      <c r="B48" s="212"/>
      <c r="C48" s="98"/>
      <c r="D48" s="98"/>
      <c r="E48" s="98"/>
      <c r="F48" s="98"/>
      <c r="G48" s="98"/>
      <c r="H48" s="1473"/>
      <c r="I48" s="1473"/>
      <c r="J48" s="98"/>
      <c r="K48" s="98"/>
      <c r="L48" s="98"/>
      <c r="M48" s="213"/>
      <c r="N48" s="47"/>
      <c r="O48" s="47"/>
      <c r="P48" s="47"/>
      <c r="Q48" s="47"/>
      <c r="R48" s="47"/>
      <c r="S48" s="47"/>
      <c r="T48" s="47"/>
      <c r="U48" s="47"/>
      <c r="V48" s="47"/>
      <c r="W48" s="47"/>
      <c r="X48" s="47"/>
      <c r="Y48" s="47"/>
      <c r="Z48" s="47"/>
      <c r="AA48" s="47"/>
      <c r="AB48" s="46"/>
      <c r="AD48" s="70"/>
      <c r="AE48" s="65" t="str">
        <f>DATA!D41</f>
        <v>P.SUJATHA</v>
      </c>
      <c r="AF48" s="65"/>
      <c r="AG48" s="66"/>
    </row>
    <row r="49" spans="2:38" ht="6" customHeight="1">
      <c r="B49" s="1474" t="str">
        <f>AE53</f>
        <v xml:space="preserve">          I P.SUJATHA working as Gaz.H,M do  hereby  certify  that  the  sum  of Rs. 21233/- Rupees in words (Twenty one Thousand Two Hundred and Thirty three rupees only) deducted   at  source   and  paid  to  the credit  of the central Government.   I  further certify  that  the  Informtion givin above is true and  correct based on the books of account, documents and other available records.</v>
      </c>
      <c r="C49" s="1475"/>
      <c r="D49" s="1475"/>
      <c r="E49" s="1475"/>
      <c r="F49" s="1475"/>
      <c r="G49" s="1475"/>
      <c r="H49" s="1475"/>
      <c r="I49" s="1475"/>
      <c r="J49" s="1475"/>
      <c r="K49" s="1475"/>
      <c r="L49" s="1475"/>
      <c r="M49" s="1476"/>
      <c r="N49" s="51"/>
      <c r="O49" s="51"/>
      <c r="P49" s="51"/>
      <c r="Q49" s="51"/>
      <c r="R49" s="51"/>
      <c r="S49" s="51"/>
      <c r="T49" s="51"/>
      <c r="U49" s="51"/>
      <c r="V49" s="51"/>
      <c r="W49" s="51"/>
      <c r="X49" s="51"/>
      <c r="Y49" s="51"/>
      <c r="Z49" s="51"/>
      <c r="AA49" s="51"/>
      <c r="AB49" s="45"/>
      <c r="AD49" s="70"/>
      <c r="AE49" s="65" t="str">
        <f>DATA!D42</f>
        <v>Gaz.H,M</v>
      </c>
      <c r="AF49" s="65"/>
      <c r="AG49" s="66"/>
    </row>
    <row r="50" spans="2:38" ht="13.5" customHeight="1">
      <c r="B50" s="1474"/>
      <c r="C50" s="1475"/>
      <c r="D50" s="1475"/>
      <c r="E50" s="1475"/>
      <c r="F50" s="1475"/>
      <c r="G50" s="1475"/>
      <c r="H50" s="1475"/>
      <c r="I50" s="1475"/>
      <c r="J50" s="1475"/>
      <c r="K50" s="1475"/>
      <c r="L50" s="1475"/>
      <c r="M50" s="1476"/>
      <c r="N50" s="45"/>
      <c r="O50" s="45"/>
      <c r="P50" s="45"/>
      <c r="Q50" s="45"/>
      <c r="R50" s="45"/>
      <c r="S50" s="45"/>
      <c r="T50" s="45"/>
      <c r="U50" s="45"/>
      <c r="V50" s="45"/>
      <c r="W50" s="45"/>
      <c r="X50" s="45"/>
      <c r="Y50" s="45"/>
      <c r="Z50" s="45"/>
      <c r="AA50" s="45"/>
      <c r="AB50" s="52"/>
      <c r="AC50" s="54"/>
      <c r="AD50" s="67"/>
      <c r="AE50" s="73" t="str">
        <f>CONCATENATE(AB53,"",AC53)</f>
        <v>21233/-</v>
      </c>
      <c r="AF50" s="54"/>
      <c r="AG50" s="54"/>
      <c r="AH50" s="54"/>
      <c r="AI50" s="54"/>
      <c r="AJ50" s="54"/>
      <c r="AK50" s="74"/>
      <c r="AL50" s="45"/>
    </row>
    <row r="51" spans="2:38" ht="13.5" customHeight="1">
      <c r="B51" s="1474"/>
      <c r="C51" s="1475"/>
      <c r="D51" s="1475"/>
      <c r="E51" s="1475"/>
      <c r="F51" s="1475"/>
      <c r="G51" s="1475"/>
      <c r="H51" s="1475"/>
      <c r="I51" s="1475"/>
      <c r="J51" s="1475"/>
      <c r="K51" s="1475"/>
      <c r="L51" s="1475"/>
      <c r="M51" s="1476"/>
      <c r="N51" s="52"/>
      <c r="O51" s="52"/>
      <c r="P51" s="52"/>
      <c r="Q51" s="52"/>
      <c r="R51" s="52"/>
      <c r="S51" s="52"/>
      <c r="T51" s="52"/>
      <c r="U51" s="52"/>
      <c r="V51" s="52"/>
      <c r="W51" s="52"/>
      <c r="X51" s="52"/>
      <c r="Y51" s="52"/>
      <c r="Z51" s="52"/>
      <c r="AA51" s="52"/>
      <c r="AB51" s="63"/>
      <c r="AC51" s="54"/>
      <c r="AD51" s="54"/>
      <c r="AE51" s="54"/>
      <c r="AF51" s="54"/>
      <c r="AG51" s="54"/>
      <c r="AH51" s="54"/>
      <c r="AI51" s="54"/>
      <c r="AJ51" s="54"/>
      <c r="AK51" s="54"/>
      <c r="AL51" s="45"/>
    </row>
    <row r="52" spans="2:38" ht="13.5" customHeight="1">
      <c r="B52" s="1474"/>
      <c r="C52" s="1475"/>
      <c r="D52" s="1475"/>
      <c r="E52" s="1475"/>
      <c r="F52" s="1475"/>
      <c r="G52" s="1475"/>
      <c r="H52" s="1475"/>
      <c r="I52" s="1475"/>
      <c r="J52" s="1475"/>
      <c r="K52" s="1475"/>
      <c r="L52" s="1475"/>
      <c r="M52" s="1476"/>
      <c r="N52" s="215"/>
      <c r="O52" s="215"/>
      <c r="P52" s="215"/>
      <c r="Q52" s="215"/>
      <c r="R52" s="215"/>
      <c r="S52" s="215"/>
      <c r="T52" s="215"/>
      <c r="U52" s="215"/>
      <c r="V52" s="215"/>
      <c r="W52" s="215"/>
      <c r="X52" s="215"/>
      <c r="Y52" s="215"/>
      <c r="Z52" s="215"/>
      <c r="AA52" s="215"/>
      <c r="AB52" s="46" t="s">
        <v>205</v>
      </c>
      <c r="AC52" s="44"/>
      <c r="AD52" s="44"/>
      <c r="AE52" s="44"/>
      <c r="AF52" s="44"/>
      <c r="AG52" s="44"/>
      <c r="AH52" s="44"/>
      <c r="AI52" s="44"/>
      <c r="AJ52" s="44"/>
      <c r="AK52" s="58"/>
      <c r="AL52" s="45"/>
    </row>
    <row r="53" spans="2:38" ht="13.5" customHeight="1">
      <c r="B53" s="1474"/>
      <c r="C53" s="1475"/>
      <c r="D53" s="1475"/>
      <c r="E53" s="1475"/>
      <c r="F53" s="1475"/>
      <c r="G53" s="1475"/>
      <c r="H53" s="1475"/>
      <c r="I53" s="1475"/>
      <c r="J53" s="1475"/>
      <c r="K53" s="1475"/>
      <c r="L53" s="1475"/>
      <c r="M53" s="1476"/>
      <c r="N53" s="52"/>
      <c r="O53" s="52"/>
      <c r="P53" s="52"/>
      <c r="Q53" s="52"/>
      <c r="R53" s="52"/>
      <c r="S53" s="52"/>
      <c r="T53" s="52"/>
      <c r="U53" s="52"/>
      <c r="V53" s="52"/>
      <c r="W53" s="52"/>
      <c r="X53" s="52"/>
      <c r="Y53" s="52"/>
      <c r="Z53" s="52"/>
      <c r="AA53" s="52"/>
      <c r="AB53" s="366">
        <f>M23</f>
        <v>21233</v>
      </c>
      <c r="AC53" s="54" t="s">
        <v>348</v>
      </c>
      <c r="AD53" s="54" t="str">
        <f>CONCATENATE(AB52," ",C51)</f>
        <v xml:space="preserve">Rs. </v>
      </c>
      <c r="AE53" s="54" t="str">
        <f>CONCATENATE("          I ",AE48," working as ",AE49," do  hereby  certify  that  the  sum  of Rs. ",AE50," Rupees in words ",AD55," deducted   at  source   and  paid  to  the credit  of the central Government.   I  further certify  that  the  Informtion givin above is true and  correct based on the books of account, documents and other available records.")</f>
        <v xml:space="preserve">          I P.SUJATHA working as Gaz.H,M do  hereby  certify  that  the  sum  of Rs. 21233/- Rupees in words (Twenty one Thousand Two Hundred and Thirty three rupees only) deducted   at  source   and  paid  to  the credit  of the central Government.   I  further certify  that  the  Informtion givin above is true and  correct based on the books of account, documents and other available records.</v>
      </c>
      <c r="AF53" s="54"/>
      <c r="AG53" s="54"/>
      <c r="AH53" s="54"/>
      <c r="AI53" s="54"/>
      <c r="AJ53" s="54"/>
      <c r="AK53" s="54"/>
      <c r="AL53" s="45"/>
    </row>
    <row r="54" spans="2:38" ht="13.5" customHeight="1">
      <c r="B54" s="212"/>
      <c r="C54" s="98"/>
      <c r="D54" s="98"/>
      <c r="E54" s="98"/>
      <c r="F54" s="98"/>
      <c r="G54" s="98"/>
      <c r="H54" s="98"/>
      <c r="I54" s="98"/>
      <c r="J54" s="98"/>
      <c r="K54" s="98"/>
      <c r="L54" s="98"/>
      <c r="M54" s="213"/>
      <c r="N54" s="52"/>
      <c r="O54" s="52"/>
      <c r="P54" s="52"/>
      <c r="Q54" s="52"/>
      <c r="R54" s="52"/>
      <c r="S54" s="52"/>
      <c r="T54" s="52"/>
      <c r="U54" s="52"/>
      <c r="V54" s="52"/>
      <c r="W54" s="52"/>
      <c r="X54" s="52"/>
      <c r="Y54" s="52"/>
      <c r="Z54" s="52"/>
      <c r="AA54" s="52"/>
      <c r="AB54" s="63"/>
      <c r="AC54" s="54"/>
      <c r="AD54" s="54"/>
      <c r="AE54" s="54"/>
      <c r="AF54" s="54"/>
      <c r="AG54" s="54"/>
      <c r="AH54" s="54"/>
      <c r="AI54" s="54"/>
      <c r="AJ54" s="54"/>
      <c r="AK54" s="54"/>
      <c r="AL54" s="45"/>
    </row>
    <row r="55" spans="2:38" ht="15.95" customHeight="1">
      <c r="B55" s="216"/>
      <c r="C55" s="763"/>
      <c r="D55" s="763"/>
      <c r="E55" s="763"/>
      <c r="F55" s="763"/>
      <c r="G55" s="763" t="s">
        <v>349</v>
      </c>
      <c r="H55" s="763"/>
      <c r="I55" s="763"/>
      <c r="J55" s="763"/>
      <c r="K55" s="763"/>
      <c r="L55" s="763"/>
      <c r="M55" s="217"/>
      <c r="N55" s="51"/>
      <c r="O55" s="51"/>
      <c r="P55" s="51"/>
      <c r="Q55" s="51"/>
      <c r="R55" s="51"/>
      <c r="S55" s="51"/>
      <c r="T55" s="51"/>
      <c r="U55" s="51"/>
      <c r="V55" s="51"/>
      <c r="W55" s="51"/>
      <c r="X55" s="51"/>
      <c r="Y55" s="51"/>
      <c r="Z55" s="51"/>
      <c r="AA55" s="51"/>
      <c r="AB55" s="45"/>
      <c r="AC55" s="45"/>
      <c r="AD55" s="45" t="str">
        <f>R229</f>
        <v>(Twenty one Thousand Two Hundred and Thirty three rupees only)</v>
      </c>
      <c r="AE55" s="45"/>
      <c r="AF55" s="45"/>
      <c r="AG55" s="45"/>
      <c r="AH55" s="45"/>
      <c r="AI55" s="45"/>
      <c r="AJ55" s="45"/>
      <c r="AK55" s="45"/>
      <c r="AL55" s="45"/>
    </row>
    <row r="56" spans="2:38" ht="15.95" customHeight="1">
      <c r="B56" s="216"/>
      <c r="C56" s="763"/>
      <c r="D56" s="763"/>
      <c r="E56" s="763"/>
      <c r="F56" s="763"/>
      <c r="G56" s="763"/>
      <c r="H56" s="763"/>
      <c r="I56" s="763"/>
      <c r="J56" s="763"/>
      <c r="K56" s="763"/>
      <c r="L56" s="763"/>
      <c r="M56" s="217"/>
      <c r="N56" s="51"/>
      <c r="O56" s="51"/>
      <c r="P56" s="51"/>
      <c r="Q56" s="51"/>
      <c r="R56" s="51"/>
      <c r="S56" s="51"/>
      <c r="T56" s="51"/>
      <c r="U56" s="51"/>
      <c r="V56" s="51"/>
      <c r="W56" s="51"/>
      <c r="X56" s="51"/>
      <c r="Y56" s="51"/>
      <c r="Z56" s="51"/>
      <c r="AA56" s="51"/>
      <c r="AB56" s="45"/>
      <c r="AC56" s="54"/>
      <c r="AD56" s="54"/>
      <c r="AE56" s="54"/>
      <c r="AF56" s="54"/>
      <c r="AG56" s="54"/>
      <c r="AH56" s="54"/>
      <c r="AI56" s="45"/>
      <c r="AJ56" s="45"/>
      <c r="AK56" s="45"/>
      <c r="AL56" s="45"/>
    </row>
    <row r="57" spans="2:38" ht="13.5" customHeight="1">
      <c r="B57" s="1477" t="s">
        <v>350</v>
      </c>
      <c r="C57" s="1276"/>
      <c r="D57" s="763" t="str">
        <f>DATA!M5</f>
        <v>SHANKARAMPET A., MEDAK</v>
      </c>
      <c r="E57" s="763"/>
      <c r="F57" s="763"/>
      <c r="G57" s="763" t="s">
        <v>351</v>
      </c>
      <c r="H57" s="763"/>
      <c r="I57" s="763"/>
      <c r="J57" s="763"/>
      <c r="K57" s="763"/>
      <c r="L57" s="763"/>
      <c r="M57" s="217"/>
      <c r="N57" s="51"/>
      <c r="O57" s="51"/>
      <c r="P57" s="51"/>
      <c r="Q57" s="51"/>
      <c r="R57" s="51"/>
      <c r="S57" s="51"/>
      <c r="T57" s="51"/>
      <c r="U57" s="51"/>
      <c r="V57" s="51"/>
      <c r="W57" s="51"/>
      <c r="X57" s="51"/>
      <c r="Y57" s="51"/>
      <c r="Z57" s="51"/>
      <c r="AA57" s="51"/>
      <c r="AB57" s="45"/>
      <c r="AC57" s="54"/>
      <c r="AD57" s="54"/>
      <c r="AE57" s="54"/>
      <c r="AF57" s="54"/>
      <c r="AG57" s="54"/>
      <c r="AH57" s="54"/>
      <c r="AI57" s="45"/>
      <c r="AJ57" s="45"/>
      <c r="AK57" s="45"/>
      <c r="AL57" s="45"/>
    </row>
    <row r="58" spans="2:38" ht="13.5" customHeight="1">
      <c r="B58" s="1477" t="s">
        <v>352</v>
      </c>
      <c r="C58" s="1276"/>
      <c r="D58" s="1478">
        <f ca="1">TODAY()</f>
        <v>43884</v>
      </c>
      <c r="E58" s="1478"/>
      <c r="F58" s="761"/>
      <c r="G58" s="761" t="s">
        <v>353</v>
      </c>
      <c r="H58" s="1276" t="str">
        <f>DATA!D41</f>
        <v>P.SUJATHA</v>
      </c>
      <c r="I58" s="1276"/>
      <c r="J58" s="1276"/>
      <c r="K58" s="1276"/>
      <c r="L58" s="763"/>
      <c r="M58" s="218"/>
      <c r="N58" s="51"/>
      <c r="O58" s="51"/>
      <c r="P58" s="51"/>
      <c r="Q58" s="51"/>
      <c r="R58" s="51"/>
      <c r="S58" s="51"/>
      <c r="T58" s="51"/>
      <c r="U58" s="51"/>
      <c r="V58" s="51"/>
      <c r="W58" s="51"/>
      <c r="X58" s="51"/>
      <c r="Y58" s="51"/>
      <c r="Z58" s="51"/>
      <c r="AA58" s="51"/>
      <c r="AB58" s="45"/>
      <c r="AC58" s="54"/>
      <c r="AD58" s="54"/>
      <c r="AE58" s="54"/>
      <c r="AF58" s="54"/>
      <c r="AG58" s="54"/>
      <c r="AH58" s="54"/>
      <c r="AI58" s="45"/>
      <c r="AJ58" s="45"/>
      <c r="AK58" s="45"/>
      <c r="AL58" s="45"/>
    </row>
    <row r="59" spans="2:38" ht="13.5" customHeight="1">
      <c r="B59" s="767"/>
      <c r="C59" s="761"/>
      <c r="D59" s="768"/>
      <c r="E59" s="768"/>
      <c r="F59" s="761"/>
      <c r="G59" s="763" t="s">
        <v>354</v>
      </c>
      <c r="H59" s="1276" t="str">
        <f>DATA!D42</f>
        <v>Gaz.H,M</v>
      </c>
      <c r="I59" s="1276"/>
      <c r="J59" s="1276"/>
      <c r="K59" s="1276"/>
      <c r="L59" s="763"/>
      <c r="M59" s="218"/>
      <c r="N59" s="53"/>
      <c r="O59" s="53"/>
      <c r="P59" s="53"/>
      <c r="Q59" s="53"/>
      <c r="R59" s="53"/>
      <c r="S59" s="53"/>
      <c r="T59" s="53"/>
      <c r="U59" s="53"/>
      <c r="V59" s="53"/>
      <c r="W59" s="53"/>
      <c r="X59" s="53"/>
      <c r="Y59" s="53"/>
      <c r="Z59" s="53"/>
      <c r="AA59" s="53"/>
      <c r="AB59" s="52"/>
      <c r="AC59" s="63"/>
      <c r="AD59" s="63"/>
      <c r="AE59" s="63"/>
      <c r="AF59" s="63"/>
      <c r="AG59" s="63"/>
      <c r="AH59" s="63"/>
      <c r="AI59" s="63"/>
      <c r="AJ59" s="63"/>
      <c r="AK59" s="45"/>
      <c r="AL59" s="45"/>
    </row>
    <row r="60" spans="2:38" ht="12" customHeight="1">
      <c r="B60" s="216"/>
      <c r="C60" s="763"/>
      <c r="D60" s="763"/>
      <c r="E60" s="763"/>
      <c r="F60" s="219"/>
      <c r="G60" s="763"/>
      <c r="H60" s="763"/>
      <c r="I60" s="763"/>
      <c r="J60" s="763"/>
      <c r="K60" s="763"/>
      <c r="L60" s="763"/>
      <c r="M60" s="218"/>
      <c r="N60" s="53"/>
      <c r="O60" s="53"/>
      <c r="P60" s="53"/>
      <c r="Q60" s="53"/>
      <c r="R60" s="53"/>
      <c r="S60" s="53"/>
      <c r="T60" s="53"/>
      <c r="U60" s="53"/>
      <c r="V60" s="53"/>
      <c r="W60" s="53"/>
      <c r="X60" s="53"/>
      <c r="Y60" s="53"/>
      <c r="Z60" s="53"/>
      <c r="AA60" s="53"/>
      <c r="AB60" s="52"/>
      <c r="AC60" s="63"/>
      <c r="AD60" s="63"/>
      <c r="AE60" s="63"/>
      <c r="AF60" s="63"/>
      <c r="AG60" s="63"/>
      <c r="AH60" s="63"/>
      <c r="AI60" s="63"/>
      <c r="AJ60" s="63"/>
      <c r="AK60" s="45"/>
      <c r="AL60" s="45"/>
    </row>
    <row r="61" spans="2:38" ht="12" customHeight="1" thickBot="1">
      <c r="B61" s="777"/>
      <c r="C61" s="778"/>
      <c r="D61" s="778"/>
      <c r="E61" s="778"/>
      <c r="F61" s="778"/>
      <c r="G61" s="778"/>
      <c r="H61" s="778"/>
      <c r="I61" s="778"/>
      <c r="J61" s="778"/>
      <c r="K61" s="778"/>
      <c r="L61" s="778"/>
      <c r="M61" s="779"/>
      <c r="N61" s="53"/>
      <c r="O61" s="53"/>
      <c r="P61" s="53"/>
      <c r="Q61" s="53"/>
      <c r="R61" s="53"/>
      <c r="S61" s="53"/>
      <c r="T61" s="53"/>
      <c r="U61" s="53"/>
      <c r="V61" s="53"/>
      <c r="W61" s="53"/>
      <c r="X61" s="53"/>
      <c r="Y61" s="53"/>
      <c r="Z61" s="53"/>
      <c r="AA61" s="53"/>
      <c r="AB61" s="52"/>
      <c r="AC61" s="63"/>
      <c r="AD61" s="63"/>
      <c r="AE61" s="63"/>
      <c r="AF61" s="63"/>
      <c r="AG61" s="63"/>
      <c r="AH61" s="63"/>
      <c r="AI61" s="63"/>
      <c r="AJ61" s="63"/>
      <c r="AK61" s="45"/>
      <c r="AL61" s="45"/>
    </row>
    <row r="62" spans="2:38" ht="15" customHeight="1" thickTop="1" thickBot="1">
      <c r="B62" s="1468" t="s">
        <v>860</v>
      </c>
      <c r="C62" s="1469"/>
      <c r="D62" s="1469"/>
      <c r="E62" s="1469"/>
      <c r="F62" s="1469"/>
      <c r="G62" s="1469"/>
      <c r="H62" s="1469"/>
      <c r="I62" s="1469"/>
      <c r="J62" s="1469"/>
      <c r="K62" s="1469"/>
      <c r="L62" s="1469"/>
      <c r="M62" s="1470"/>
      <c r="N62" s="51"/>
      <c r="O62" s="51"/>
      <c r="P62" s="51"/>
      <c r="Q62" s="51"/>
      <c r="R62" s="51"/>
      <c r="S62" s="51"/>
      <c r="T62" s="51"/>
      <c r="U62" s="51"/>
      <c r="V62" s="51"/>
      <c r="W62" s="51"/>
      <c r="X62" s="51"/>
      <c r="Y62" s="51"/>
      <c r="Z62" s="51"/>
      <c r="AA62" s="51"/>
      <c r="AB62" s="45"/>
      <c r="AC62" s="45"/>
      <c r="AD62" s="45"/>
      <c r="AE62" s="45"/>
      <c r="AF62" s="45"/>
      <c r="AG62" s="45"/>
      <c r="AH62" s="45"/>
      <c r="AI62" s="45"/>
      <c r="AJ62" s="45"/>
      <c r="AK62" s="45"/>
      <c r="AL62" s="45"/>
    </row>
    <row r="63" spans="2:38" ht="16.5" hidden="1" customHeight="1">
      <c r="B63" s="75"/>
      <c r="C63" s="75"/>
      <c r="D63" s="75"/>
      <c r="E63" s="75"/>
      <c r="F63" s="75"/>
      <c r="G63" s="75"/>
      <c r="H63" s="75"/>
      <c r="I63" s="75"/>
      <c r="J63" s="75"/>
      <c r="K63" s="75"/>
      <c r="L63" s="75"/>
      <c r="M63" s="75"/>
      <c r="N63" s="51"/>
      <c r="O63" s="51"/>
      <c r="P63" s="51"/>
      <c r="Q63" s="51"/>
      <c r="R63" s="51"/>
      <c r="S63" s="51"/>
      <c r="T63" s="51"/>
      <c r="U63" s="51"/>
      <c r="V63" s="51"/>
      <c r="W63" s="51"/>
      <c r="X63" s="51"/>
      <c r="Y63" s="51"/>
      <c r="Z63" s="51"/>
      <c r="AA63" s="51"/>
      <c r="AB63" s="45"/>
    </row>
    <row r="64" spans="2:38" ht="7.5" hidden="1" customHeight="1">
      <c r="B64" s="75"/>
      <c r="C64" s="75"/>
      <c r="D64" s="75"/>
      <c r="E64" s="75"/>
      <c r="F64" s="75"/>
      <c r="G64" s="75"/>
      <c r="H64" s="75"/>
      <c r="I64" s="75"/>
      <c r="J64" s="75"/>
      <c r="K64" s="75"/>
      <c r="L64" s="75"/>
      <c r="M64" s="75"/>
      <c r="N64" s="51"/>
      <c r="O64" s="51"/>
      <c r="P64" s="51"/>
      <c r="Q64" s="51"/>
      <c r="R64" s="51"/>
      <c r="S64" s="51"/>
      <c r="T64" s="51"/>
      <c r="U64" s="51"/>
      <c r="V64" s="51"/>
      <c r="W64" s="51"/>
      <c r="X64" s="51"/>
      <c r="Y64" s="51"/>
      <c r="Z64" s="51"/>
      <c r="AA64" s="51"/>
      <c r="AB64" s="45"/>
    </row>
    <row r="65" spans="2:28" ht="7.5" hidden="1" customHeight="1">
      <c r="B65" s="75"/>
      <c r="C65" s="75"/>
      <c r="D65" s="75"/>
      <c r="E65" s="75"/>
      <c r="F65" s="75"/>
      <c r="G65" s="75"/>
      <c r="H65" s="75"/>
      <c r="I65" s="75"/>
      <c r="J65" s="75"/>
      <c r="K65" s="75"/>
      <c r="L65" s="75"/>
      <c r="M65" s="75"/>
      <c r="N65" s="51"/>
      <c r="O65" s="51"/>
      <c r="P65" s="51"/>
      <c r="Q65" s="51"/>
      <c r="R65" s="51"/>
      <c r="S65" s="51"/>
      <c r="T65" s="51"/>
      <c r="U65" s="51"/>
      <c r="V65" s="51"/>
      <c r="W65" s="51"/>
      <c r="X65" s="51"/>
      <c r="Y65" s="51"/>
      <c r="Z65" s="51"/>
      <c r="AA65" s="51"/>
      <c r="AB65" s="45"/>
    </row>
    <row r="66" spans="2:28" ht="12" hidden="1" customHeight="1">
      <c r="B66" s="75"/>
      <c r="C66" s="75"/>
      <c r="D66" s="75"/>
      <c r="E66" s="75"/>
      <c r="F66" s="75"/>
      <c r="G66" s="75"/>
      <c r="H66" s="75"/>
      <c r="I66" s="75"/>
      <c r="J66" s="75"/>
      <c r="K66" s="75"/>
      <c r="L66" s="75"/>
      <c r="M66" s="75"/>
      <c r="N66" s="51"/>
      <c r="O66" s="51"/>
      <c r="P66" s="51"/>
      <c r="Q66" s="51"/>
      <c r="R66" s="51"/>
      <c r="S66" s="51"/>
      <c r="T66" s="51"/>
      <c r="U66" s="51"/>
      <c r="V66" s="51"/>
      <c r="W66" s="51"/>
      <c r="X66" s="51"/>
      <c r="Y66" s="51"/>
      <c r="Z66" s="51"/>
      <c r="AA66" s="51"/>
      <c r="AB66" s="45"/>
    </row>
    <row r="67" spans="2:28" ht="12" hidden="1" customHeight="1">
      <c r="B67" s="75"/>
      <c r="C67" s="75"/>
      <c r="D67" s="75"/>
      <c r="E67" s="75"/>
      <c r="F67" s="75"/>
      <c r="G67" s="75"/>
      <c r="H67" s="75"/>
      <c r="I67" s="75"/>
      <c r="J67" s="75"/>
      <c r="K67" s="75"/>
      <c r="L67" s="75"/>
      <c r="M67" s="75"/>
      <c r="N67" s="51"/>
      <c r="O67" s="51"/>
      <c r="P67" s="51"/>
      <c r="Q67" s="51"/>
      <c r="R67" s="51"/>
      <c r="S67" s="51"/>
      <c r="T67" s="51"/>
      <c r="U67" s="51"/>
      <c r="V67" s="51"/>
      <c r="W67" s="51"/>
      <c r="X67" s="51"/>
      <c r="Y67" s="51"/>
      <c r="Z67" s="51"/>
      <c r="AA67" s="51"/>
      <c r="AB67" s="54"/>
    </row>
    <row r="68" spans="2:28" ht="16.5" hidden="1">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row>
    <row r="69" spans="2:28" ht="16.5" hidden="1">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row>
    <row r="70" spans="2:28" ht="16.5" hidden="1">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row>
    <row r="71" spans="2:28" ht="16.5" hidden="1">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row>
    <row r="72" spans="2:28" ht="16.5" hidden="1">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row>
    <row r="73" spans="2:28" ht="16.5" hidden="1">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row>
    <row r="74" spans="2:28" ht="16.5" hidden="1">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row>
    <row r="75" spans="2:28" ht="16.5" hidden="1">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row>
    <row r="76" spans="2:28" ht="16.5" hidden="1">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row>
    <row r="77" spans="2:28" ht="16.5" hidden="1">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row>
    <row r="78" spans="2:28" ht="16.5" hidden="1">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row>
    <row r="79" spans="2:28" ht="16.5" hidden="1">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row>
    <row r="80" spans="2:28" ht="16.5" hidden="1">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row>
    <row r="81" spans="2:28" ht="16.5" hidden="1">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row>
    <row r="82" spans="2:28" ht="16.5" hidden="1">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row>
    <row r="83" spans="2:28" ht="16.5" hidden="1">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row>
    <row r="84" spans="2:28" ht="16.5" hidden="1">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row>
    <row r="85" spans="2:28" ht="16.5" hidden="1">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row>
    <row r="86" spans="2:28" ht="16.5" hidden="1">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row>
    <row r="87" spans="2:28" ht="16.5" hidden="1">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row>
    <row r="88" spans="2:28" ht="16.5" hidden="1">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row>
    <row r="89" spans="2:28" ht="16.5" hidden="1">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row>
    <row r="90" spans="2:28" ht="16.5" hidden="1">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row>
    <row r="91" spans="2:28" ht="16.5" hidden="1">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row>
    <row r="92" spans="2:28" ht="16.5" hidden="1">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row>
    <row r="93" spans="2:28" ht="16.5" hidden="1">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row>
    <row r="94" spans="2:28" ht="16.5" hidden="1">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row>
    <row r="95" spans="2:28" ht="16.5" hidden="1">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row>
    <row r="96" spans="2:28" ht="16.5" hidden="1">
      <c r="N96" s="75"/>
      <c r="O96" s="75"/>
      <c r="P96" s="75"/>
      <c r="Q96" s="75"/>
      <c r="R96" s="75"/>
      <c r="S96" s="75"/>
      <c r="T96" s="75"/>
      <c r="U96" s="75"/>
      <c r="V96" s="75"/>
      <c r="W96" s="75"/>
      <c r="X96" s="75"/>
      <c r="Y96" s="75"/>
      <c r="Z96" s="75"/>
      <c r="AA96" s="75"/>
      <c r="AB96" s="75"/>
    </row>
    <row r="97" spans="14:28" ht="16.5" hidden="1">
      <c r="N97" s="75"/>
      <c r="O97" s="75"/>
      <c r="P97" s="75"/>
      <c r="Q97" s="75"/>
      <c r="R97" s="75"/>
      <c r="S97" s="75"/>
      <c r="T97" s="75"/>
      <c r="U97" s="75"/>
      <c r="V97" s="75"/>
      <c r="W97" s="75"/>
      <c r="X97" s="75"/>
      <c r="Y97" s="75"/>
      <c r="Z97" s="75"/>
      <c r="AA97" s="75"/>
      <c r="AB97" s="75"/>
    </row>
    <row r="98" spans="14:28" ht="16.5" hidden="1">
      <c r="N98" s="75"/>
      <c r="O98" s="75"/>
      <c r="P98" s="75"/>
      <c r="Q98" s="75"/>
      <c r="R98" s="75"/>
      <c r="S98" s="75"/>
      <c r="T98" s="75"/>
      <c r="U98" s="75"/>
      <c r="V98" s="75"/>
      <c r="W98" s="75"/>
      <c r="X98" s="75"/>
      <c r="Y98" s="75"/>
      <c r="Z98" s="75"/>
      <c r="AA98" s="75"/>
      <c r="AB98" s="75"/>
    </row>
    <row r="99" spans="14:28" ht="16.5" hidden="1">
      <c r="N99" s="75"/>
      <c r="O99" s="75"/>
      <c r="P99" s="75"/>
      <c r="Q99" s="75"/>
      <c r="R99" s="75"/>
      <c r="S99" s="75"/>
      <c r="T99" s="75"/>
      <c r="U99" s="75"/>
      <c r="V99" s="75"/>
      <c r="W99" s="75"/>
      <c r="X99" s="75"/>
      <c r="Y99" s="75"/>
      <c r="Z99" s="75"/>
      <c r="AA99" s="75"/>
      <c r="AB99" s="75"/>
    </row>
    <row r="100" spans="14:28" ht="16.5" hidden="1">
      <c r="N100" s="75"/>
      <c r="O100" s="75"/>
      <c r="P100" s="75"/>
      <c r="Q100" s="75"/>
      <c r="R100" s="75"/>
      <c r="S100" s="75"/>
      <c r="T100" s="75"/>
      <c r="U100" s="75"/>
      <c r="V100" s="75"/>
      <c r="W100" s="75"/>
      <c r="X100" s="75"/>
      <c r="Y100" s="75"/>
      <c r="Z100" s="75"/>
      <c r="AA100" s="75"/>
      <c r="AB100" s="75"/>
    </row>
    <row r="101" spans="14:28" ht="16.5" hidden="1">
      <c r="N101" s="75"/>
      <c r="O101" s="75"/>
      <c r="P101" s="75"/>
      <c r="Q101" s="75"/>
      <c r="R101" s="75"/>
      <c r="S101" s="75"/>
      <c r="T101" s="75"/>
      <c r="U101" s="75"/>
      <c r="V101" s="75"/>
      <c r="W101" s="75"/>
      <c r="X101" s="75"/>
      <c r="Y101" s="75"/>
      <c r="Z101" s="75"/>
      <c r="AA101" s="75"/>
      <c r="AB101" s="75"/>
    </row>
    <row r="102" spans="14:28" ht="13.5" hidden="1" customHeight="1"/>
    <row r="103" spans="14:28" ht="13.5" hidden="1" customHeight="1"/>
    <row r="104" spans="14:28" ht="13.5" hidden="1" customHeight="1"/>
    <row r="105" spans="14:28" ht="13.5" hidden="1" customHeight="1"/>
    <row r="106" spans="14:28" ht="13.5" hidden="1" customHeight="1"/>
    <row r="107" spans="14:28" ht="13.5" hidden="1" customHeight="1"/>
    <row r="108" spans="14:28" ht="13.5" hidden="1" customHeight="1"/>
    <row r="109" spans="14:28" ht="13.5" hidden="1" customHeight="1"/>
    <row r="110" spans="14:28" ht="13.5" hidden="1" customHeight="1"/>
    <row r="111" spans="14:28" ht="13.5" hidden="1" customHeight="1"/>
    <row r="112" spans="14:28" ht="13.5" hidden="1" customHeight="1"/>
    <row r="113" ht="13.5" hidden="1" customHeight="1"/>
    <row r="114" ht="13.5" hidden="1" customHeight="1"/>
    <row r="115" ht="13.5" hidden="1" customHeight="1"/>
    <row r="116" ht="13.5" hidden="1" customHeight="1"/>
    <row r="117" ht="13.5" hidden="1" customHeight="1"/>
    <row r="118" ht="13.5" hidden="1" customHeight="1"/>
    <row r="119" ht="13.5" hidden="1" customHeight="1"/>
    <row r="120" ht="13.5" hidden="1" customHeight="1"/>
    <row r="121" ht="13.5" hidden="1" customHeight="1"/>
    <row r="122" ht="13.5" hidden="1" customHeight="1"/>
    <row r="123" ht="13.5" hidden="1" customHeight="1"/>
    <row r="124" ht="13.5" hidden="1" customHeight="1"/>
    <row r="125" ht="13.5" hidden="1" customHeight="1"/>
    <row r="126" ht="13.5" hidden="1" customHeight="1"/>
    <row r="127" ht="13.5" hidden="1" customHeight="1"/>
    <row r="128" ht="13.5" hidden="1" customHeight="1"/>
    <row r="129" ht="13.5" hidden="1" customHeight="1"/>
    <row r="130" ht="13.5" hidden="1" customHeight="1"/>
    <row r="131" ht="13.5" hidden="1" customHeight="1"/>
    <row r="132" ht="13.5" hidden="1" customHeight="1"/>
    <row r="133" ht="13.5" hidden="1" customHeight="1"/>
    <row r="134" ht="13.5" hidden="1" customHeight="1"/>
    <row r="135" ht="13.5" hidden="1" customHeight="1"/>
    <row r="136" ht="13.5" hidden="1" customHeight="1"/>
    <row r="137" ht="13.5" hidden="1" customHeight="1"/>
    <row r="138" ht="13.5" hidden="1" customHeight="1"/>
    <row r="139" ht="13.5" hidden="1" customHeight="1"/>
    <row r="140" ht="13.5" hidden="1" customHeight="1"/>
    <row r="141" ht="13.5" hidden="1" customHeight="1"/>
    <row r="142" ht="13.5" hidden="1" customHeight="1"/>
    <row r="143" ht="13.5" hidden="1" customHeight="1"/>
    <row r="144" ht="13.5" hidden="1" customHeight="1"/>
    <row r="145" ht="13.5" hidden="1" customHeight="1"/>
    <row r="146" ht="13.5" hidden="1" customHeight="1"/>
    <row r="147" ht="13.5" hidden="1" customHeight="1"/>
    <row r="148" ht="13.5" hidden="1" customHeight="1"/>
    <row r="149" ht="13.5" hidden="1" customHeight="1"/>
    <row r="150" ht="13.5" hidden="1" customHeight="1"/>
    <row r="151" ht="13.5" hidden="1" customHeight="1"/>
    <row r="152" ht="13.5" hidden="1" customHeight="1"/>
    <row r="153" ht="13.5" hidden="1" customHeight="1"/>
    <row r="154" ht="13.5" hidden="1" customHeight="1"/>
    <row r="155" ht="13.5" hidden="1" customHeight="1"/>
    <row r="156" ht="13.5" hidden="1" customHeight="1"/>
    <row r="157" ht="13.5" hidden="1" customHeight="1"/>
    <row r="158" ht="13.5" hidden="1" customHeight="1"/>
    <row r="159" ht="13.5" hidden="1" customHeight="1"/>
    <row r="160" ht="13.5" hidden="1" customHeight="1"/>
    <row r="161" ht="13.5" hidden="1" customHeight="1"/>
    <row r="162" ht="13.5" hidden="1" customHeight="1"/>
    <row r="163" ht="13.5" hidden="1" customHeight="1"/>
    <row r="164" ht="13.5" hidden="1" customHeight="1"/>
    <row r="165" ht="13.5" hidden="1" customHeight="1"/>
    <row r="166" ht="13.5" hidden="1" customHeight="1"/>
    <row r="167" ht="13.5" hidden="1" customHeight="1"/>
    <row r="168" ht="13.5" hidden="1" customHeight="1"/>
    <row r="169" ht="13.5" hidden="1" customHeight="1"/>
    <row r="170" ht="13.5" hidden="1" customHeight="1"/>
    <row r="171" ht="13.5" hidden="1" customHeight="1"/>
    <row r="172" ht="13.5" hidden="1" customHeight="1"/>
    <row r="173" ht="13.5" hidden="1" customHeight="1"/>
    <row r="174" ht="13.5" hidden="1" customHeight="1"/>
    <row r="175" ht="13.5" hidden="1" customHeight="1"/>
    <row r="176" ht="13.5" hidden="1" customHeight="1"/>
    <row r="177" ht="13.5" hidden="1" customHeight="1"/>
    <row r="178" ht="13.5" hidden="1" customHeight="1"/>
    <row r="179" ht="13.5" hidden="1" customHeight="1"/>
    <row r="180" ht="13.5" hidden="1" customHeight="1"/>
    <row r="181" ht="13.5" hidden="1" customHeight="1"/>
    <row r="182" ht="13.5" hidden="1" customHeight="1"/>
    <row r="183" ht="13.5" hidden="1" customHeight="1"/>
    <row r="184" ht="13.5" hidden="1" customHeight="1"/>
    <row r="185" ht="13.5" hidden="1" customHeight="1"/>
    <row r="186" ht="13.5" hidden="1" customHeight="1"/>
    <row r="187" ht="13.5" hidden="1" customHeight="1"/>
    <row r="188" ht="13.5" hidden="1" customHeight="1"/>
    <row r="189" ht="13.5" hidden="1" customHeight="1"/>
    <row r="190" ht="13.5" hidden="1" customHeight="1"/>
    <row r="191" ht="13.5" hidden="1" customHeight="1"/>
    <row r="192" ht="13.5" hidden="1" customHeight="1"/>
    <row r="193" spans="2:13" ht="13.5" hidden="1" customHeight="1"/>
    <row r="194" spans="2:13" ht="13.5" hidden="1" customHeight="1"/>
    <row r="195" spans="2:13" ht="13.5" hidden="1" customHeight="1"/>
    <row r="196" spans="2:13" ht="13.5" hidden="1" customHeight="1"/>
    <row r="197" spans="2:13" ht="13.5" hidden="1" customHeight="1"/>
    <row r="198" spans="2:13" ht="13.5" hidden="1" customHeight="1"/>
    <row r="199" spans="2:13" ht="13.5" hidden="1" customHeight="1"/>
    <row r="200" spans="2:13" ht="13.5" hidden="1" customHeight="1">
      <c r="B200" s="45"/>
      <c r="C200" s="45"/>
      <c r="D200" s="45"/>
      <c r="E200" s="45"/>
      <c r="F200" s="45"/>
      <c r="G200" s="45"/>
      <c r="H200" s="45"/>
      <c r="I200" s="45"/>
      <c r="J200" s="45"/>
      <c r="K200" s="45"/>
      <c r="L200" s="45"/>
      <c r="M200" s="45"/>
    </row>
    <row r="201" spans="2:13" ht="13.5" hidden="1">
      <c r="B201" s="45"/>
      <c r="C201" s="45"/>
      <c r="D201" s="45"/>
      <c r="E201" s="45"/>
      <c r="F201" s="45"/>
      <c r="G201" s="45"/>
      <c r="H201" s="45"/>
      <c r="I201" s="45"/>
      <c r="J201" s="45"/>
      <c r="K201" s="45"/>
      <c r="L201" s="45"/>
      <c r="M201" s="45"/>
    </row>
    <row r="202" spans="2:13" ht="13.5" hidden="1">
      <c r="B202" s="45"/>
      <c r="C202" s="45"/>
      <c r="D202" s="45"/>
      <c r="E202" s="45"/>
      <c r="F202" s="45"/>
      <c r="G202" s="45"/>
      <c r="H202" s="45"/>
      <c r="I202" s="45"/>
      <c r="J202" s="45"/>
      <c r="K202" s="45"/>
      <c r="L202" s="45"/>
      <c r="M202" s="45"/>
    </row>
    <row r="203" spans="2:13" ht="13.5" hidden="1">
      <c r="B203" s="45"/>
      <c r="C203" s="45"/>
      <c r="D203" s="45"/>
      <c r="E203" s="45"/>
      <c r="F203" s="45"/>
      <c r="G203" s="45"/>
      <c r="H203" s="45"/>
      <c r="I203" s="45"/>
      <c r="J203" s="45"/>
      <c r="K203" s="45"/>
      <c r="L203" s="45"/>
      <c r="M203" s="45"/>
    </row>
    <row r="204" spans="2:13" ht="13.5" hidden="1">
      <c r="B204" s="45"/>
      <c r="C204" s="45"/>
      <c r="D204" s="45"/>
      <c r="E204" s="45"/>
      <c r="F204" s="45"/>
      <c r="G204" s="45"/>
      <c r="H204" s="45"/>
      <c r="I204" s="45"/>
      <c r="J204" s="45"/>
      <c r="K204" s="45"/>
      <c r="L204" s="45"/>
      <c r="M204" s="45"/>
    </row>
    <row r="205" spans="2:13" ht="13.5" hidden="1">
      <c r="B205" s="45"/>
      <c r="C205" s="45"/>
      <c r="D205" s="45"/>
      <c r="E205" s="45"/>
      <c r="F205" s="45"/>
      <c r="G205" s="45"/>
      <c r="H205" s="45"/>
      <c r="I205" s="45"/>
      <c r="J205" s="45"/>
      <c r="K205" s="45"/>
      <c r="L205" s="45"/>
      <c r="M205" s="45"/>
    </row>
    <row r="206" spans="2:13" s="45" customFormat="1" ht="13.5" hidden="1"/>
    <row r="207" spans="2:13" s="45" customFormat="1" ht="13.5" hidden="1"/>
    <row r="208" spans="2:13" s="45" customFormat="1" ht="13.5" hidden="1"/>
    <row r="209" spans="2:209" s="45" customFormat="1" ht="13.5" hidden="1"/>
    <row r="210" spans="2:209" s="45" customFormat="1" ht="13.5" hidden="1"/>
    <row r="211" spans="2:209" s="45" customFormat="1" ht="13.5" hidden="1">
      <c r="DF211" s="76"/>
      <c r="DG211" s="76"/>
      <c r="DH211" s="76"/>
      <c r="DI211" s="76"/>
      <c r="DJ211" s="76"/>
      <c r="DK211" s="76"/>
      <c r="DL211" s="76"/>
      <c r="DM211" s="76"/>
      <c r="DN211" s="76"/>
      <c r="DO211" s="76"/>
      <c r="DP211" s="76"/>
      <c r="DQ211" s="76"/>
      <c r="DR211" s="76"/>
      <c r="DS211" s="76"/>
      <c r="DT211" s="76"/>
      <c r="DU211" s="76"/>
      <c r="DV211" s="76"/>
      <c r="DW211" s="76"/>
      <c r="DX211" s="76"/>
      <c r="DY211" s="76"/>
      <c r="DZ211" s="76"/>
      <c r="EA211" s="76"/>
      <c r="EB211" s="76"/>
      <c r="EC211" s="76"/>
      <c r="ED211" s="76"/>
      <c r="EE211" s="76"/>
      <c r="EF211" s="76"/>
      <c r="EG211" s="76"/>
      <c r="EH211" s="76"/>
      <c r="EI211" s="76"/>
      <c r="EJ211" s="76"/>
      <c r="EK211" s="76"/>
      <c r="EL211" s="76"/>
      <c r="EM211" s="76"/>
      <c r="EN211" s="76"/>
      <c r="EO211" s="76"/>
      <c r="EP211" s="76"/>
      <c r="EQ211" s="76"/>
      <c r="ER211" s="76"/>
      <c r="ES211" s="76"/>
      <c r="ET211" s="76"/>
      <c r="EU211" s="76"/>
      <c r="EV211" s="76"/>
      <c r="EW211" s="76"/>
      <c r="EX211" s="76"/>
      <c r="EY211" s="76"/>
      <c r="EZ211" s="76"/>
      <c r="FA211" s="76"/>
      <c r="FB211" s="76"/>
      <c r="FC211" s="76"/>
      <c r="FD211" s="76"/>
      <c r="FE211" s="76"/>
      <c r="FF211" s="76"/>
      <c r="FG211" s="76"/>
      <c r="FH211" s="76"/>
      <c r="FI211" s="76"/>
      <c r="FJ211" s="76"/>
      <c r="FK211" s="76"/>
      <c r="FL211" s="76"/>
      <c r="FM211" s="76"/>
      <c r="FN211" s="76"/>
      <c r="FO211" s="76"/>
      <c r="FP211" s="76"/>
      <c r="FQ211" s="76"/>
      <c r="FR211" s="76"/>
      <c r="FS211" s="76"/>
      <c r="FT211" s="76"/>
      <c r="FU211" s="76"/>
      <c r="FV211" s="76"/>
      <c r="FW211" s="76"/>
      <c r="FX211" s="76"/>
      <c r="FY211" s="76"/>
      <c r="FZ211" s="76"/>
      <c r="GA211" s="76"/>
      <c r="GB211" s="76"/>
      <c r="GC211" s="76"/>
      <c r="GD211" s="76"/>
      <c r="GE211" s="76"/>
      <c r="GF211" s="76"/>
      <c r="GG211" s="76"/>
      <c r="GH211" s="76"/>
      <c r="GI211" s="76"/>
      <c r="GJ211" s="76"/>
      <c r="GK211" s="76"/>
      <c r="GL211" s="76"/>
      <c r="GM211" s="76"/>
      <c r="GN211" s="76"/>
      <c r="GO211" s="76"/>
      <c r="GP211" s="76"/>
      <c r="GQ211" s="76"/>
      <c r="GR211" s="76"/>
      <c r="GS211" s="76"/>
      <c r="GT211" s="76"/>
      <c r="GU211" s="76"/>
      <c r="GV211" s="76"/>
      <c r="GW211" s="76"/>
      <c r="GX211" s="76"/>
      <c r="GY211" s="76"/>
      <c r="GZ211" s="76"/>
      <c r="HA211" s="76"/>
    </row>
    <row r="212" spans="2:209" s="45" customFormat="1" ht="13.5" hidden="1">
      <c r="DF212" s="76"/>
      <c r="DG212" s="76"/>
      <c r="DH212" s="76"/>
      <c r="DI212" s="76"/>
      <c r="DJ212" s="76"/>
      <c r="DK212" s="76"/>
      <c r="DL212" s="76"/>
      <c r="DM212" s="76"/>
      <c r="DN212" s="76"/>
      <c r="DO212" s="76"/>
      <c r="DP212" s="76"/>
      <c r="DQ212" s="76"/>
      <c r="DR212" s="76"/>
      <c r="DS212" s="76"/>
      <c r="DT212" s="76"/>
      <c r="DU212" s="76"/>
      <c r="DV212" s="76"/>
      <c r="DW212" s="76"/>
      <c r="DX212" s="76"/>
      <c r="DY212" s="76"/>
      <c r="DZ212" s="76"/>
      <c r="EA212" s="76"/>
      <c r="EB212" s="76"/>
      <c r="EC212" s="76"/>
      <c r="ED212" s="76"/>
      <c r="EE212" s="76"/>
      <c r="EF212" s="76"/>
      <c r="EG212" s="76"/>
      <c r="EH212" s="76"/>
      <c r="EI212" s="76"/>
      <c r="EJ212" s="76"/>
      <c r="EK212" s="76"/>
      <c r="EL212" s="76"/>
      <c r="EM212" s="76"/>
      <c r="EN212" s="76"/>
      <c r="EO212" s="76"/>
      <c r="EP212" s="76"/>
      <c r="EQ212" s="76"/>
      <c r="ER212" s="76"/>
      <c r="ES212" s="76"/>
      <c r="ET212" s="76"/>
      <c r="EU212" s="76"/>
      <c r="EV212" s="76"/>
      <c r="EW212" s="76"/>
      <c r="EX212" s="76"/>
      <c r="EY212" s="76"/>
      <c r="EZ212" s="76"/>
      <c r="FA212" s="76"/>
      <c r="FB212" s="76"/>
      <c r="FC212" s="76"/>
      <c r="FD212" s="76"/>
      <c r="FE212" s="76"/>
      <c r="FF212" s="76"/>
      <c r="FG212" s="76"/>
      <c r="FH212" s="76"/>
      <c r="FI212" s="76"/>
      <c r="FJ212" s="76"/>
      <c r="FK212" s="76"/>
      <c r="FL212" s="76"/>
      <c r="FM212" s="76"/>
      <c r="FN212" s="76"/>
      <c r="FO212" s="76"/>
      <c r="FP212" s="76"/>
      <c r="FQ212" s="76"/>
      <c r="FR212" s="76"/>
      <c r="FS212" s="76"/>
      <c r="FT212" s="76"/>
      <c r="FU212" s="76"/>
      <c r="FV212" s="76"/>
      <c r="FW212" s="76"/>
      <c r="FX212" s="76"/>
      <c r="FY212" s="76"/>
      <c r="FZ212" s="76"/>
      <c r="GA212" s="76"/>
      <c r="GB212" s="76"/>
      <c r="GC212" s="76"/>
      <c r="GD212" s="76"/>
      <c r="GE212" s="76"/>
      <c r="GF212" s="76"/>
      <c r="GG212" s="76"/>
      <c r="GH212" s="76"/>
      <c r="GI212" s="76"/>
      <c r="GJ212" s="76"/>
      <c r="GK212" s="76"/>
      <c r="GL212" s="76"/>
      <c r="GM212" s="76"/>
      <c r="GN212" s="76"/>
      <c r="GO212" s="76"/>
      <c r="GP212" s="76"/>
      <c r="GQ212" s="76"/>
      <c r="GR212" s="76"/>
      <c r="GS212" s="76"/>
      <c r="GT212" s="76"/>
      <c r="GU212" s="76"/>
      <c r="GV212" s="76"/>
      <c r="GW212" s="76"/>
      <c r="GX212" s="76"/>
      <c r="GY212" s="76"/>
      <c r="GZ212" s="76"/>
      <c r="HA212" s="76"/>
    </row>
    <row r="213" spans="2:209" s="45" customFormat="1" ht="13.5" hidden="1">
      <c r="DF213" s="76"/>
      <c r="DG213" s="76"/>
      <c r="DH213" s="76"/>
      <c r="DI213" s="76"/>
      <c r="DJ213" s="76"/>
      <c r="DK213" s="76"/>
      <c r="DL213" s="76"/>
      <c r="DM213" s="76"/>
      <c r="DN213" s="76"/>
      <c r="DO213" s="76"/>
      <c r="DP213" s="76"/>
      <c r="DQ213" s="76"/>
      <c r="DR213" s="76"/>
      <c r="DS213" s="76"/>
      <c r="DT213" s="76"/>
      <c r="DU213" s="76"/>
      <c r="DV213" s="76"/>
      <c r="DW213" s="76"/>
      <c r="DX213" s="76"/>
      <c r="DY213" s="76"/>
      <c r="DZ213" s="76"/>
      <c r="EA213" s="76"/>
      <c r="EB213" s="76"/>
      <c r="EC213" s="76"/>
      <c r="ED213" s="76"/>
      <c r="EE213" s="76"/>
      <c r="EF213" s="76"/>
      <c r="EG213" s="76"/>
      <c r="EH213" s="76"/>
      <c r="EI213" s="76"/>
      <c r="EJ213" s="76"/>
      <c r="EK213" s="76"/>
      <c r="EL213" s="76"/>
      <c r="EM213" s="76"/>
      <c r="EN213" s="76"/>
      <c r="EO213" s="76"/>
      <c r="EP213" s="76"/>
      <c r="EQ213" s="76"/>
      <c r="ER213" s="76"/>
      <c r="ES213" s="76"/>
      <c r="ET213" s="76"/>
      <c r="EU213" s="76"/>
      <c r="EV213" s="76"/>
      <c r="EW213" s="76"/>
      <c r="EX213" s="76"/>
      <c r="EY213" s="76"/>
      <c r="EZ213" s="76"/>
      <c r="FA213" s="76"/>
      <c r="FB213" s="76"/>
      <c r="FC213" s="76"/>
      <c r="FD213" s="76"/>
      <c r="FE213" s="76"/>
      <c r="FF213" s="76"/>
      <c r="FG213" s="76"/>
      <c r="FH213" s="76"/>
      <c r="FI213" s="76"/>
      <c r="FJ213" s="76"/>
      <c r="FK213" s="76"/>
      <c r="FL213" s="76"/>
      <c r="FM213" s="76"/>
      <c r="FN213" s="76"/>
      <c r="FO213" s="76"/>
      <c r="FP213" s="76"/>
      <c r="FQ213" s="76"/>
      <c r="FR213" s="76"/>
      <c r="FS213" s="76"/>
      <c r="FT213" s="76"/>
      <c r="FU213" s="76"/>
      <c r="FV213" s="76"/>
      <c r="FW213" s="76"/>
      <c r="FX213" s="76"/>
      <c r="FY213" s="76"/>
      <c r="FZ213" s="76"/>
      <c r="GA213" s="76"/>
      <c r="GB213" s="76"/>
      <c r="GC213" s="76"/>
      <c r="GD213" s="76"/>
      <c r="GE213" s="76"/>
      <c r="GF213" s="76"/>
      <c r="GG213" s="76"/>
      <c r="GH213" s="76"/>
      <c r="GI213" s="76"/>
      <c r="GJ213" s="76"/>
      <c r="GK213" s="76"/>
      <c r="GL213" s="76"/>
      <c r="GM213" s="76"/>
      <c r="GN213" s="76"/>
      <c r="GO213" s="76"/>
      <c r="GP213" s="76"/>
      <c r="GQ213" s="76"/>
      <c r="GR213" s="76"/>
      <c r="GS213" s="76"/>
      <c r="GT213" s="76"/>
      <c r="GU213" s="76"/>
      <c r="GV213" s="76"/>
      <c r="GW213" s="76"/>
      <c r="GX213" s="76"/>
      <c r="GY213" s="76"/>
      <c r="GZ213" s="76"/>
      <c r="HA213" s="76"/>
    </row>
    <row r="214" spans="2:209" s="45" customFormat="1" ht="13.5" hidden="1">
      <c r="DF214" s="76"/>
      <c r="DG214" s="76"/>
      <c r="DH214" s="76"/>
      <c r="DI214" s="76"/>
      <c r="DJ214" s="76"/>
      <c r="DK214" s="76"/>
      <c r="DL214" s="76"/>
      <c r="DM214" s="76"/>
      <c r="DN214" s="76"/>
      <c r="DO214" s="76"/>
      <c r="DP214" s="76"/>
      <c r="DQ214" s="76"/>
      <c r="DR214" s="76"/>
      <c r="DS214" s="76"/>
      <c r="DT214" s="76"/>
      <c r="DU214" s="76"/>
      <c r="DV214" s="76"/>
      <c r="DW214" s="76"/>
      <c r="DX214" s="76"/>
      <c r="DY214" s="76"/>
      <c r="DZ214" s="76"/>
      <c r="EA214" s="76"/>
      <c r="EB214" s="76"/>
      <c r="EC214" s="76"/>
      <c r="ED214" s="76"/>
      <c r="EE214" s="76"/>
      <c r="EF214" s="76"/>
      <c r="EG214" s="76"/>
      <c r="EH214" s="76"/>
      <c r="EI214" s="76"/>
      <c r="EJ214" s="76"/>
      <c r="EK214" s="76"/>
      <c r="EL214" s="76"/>
      <c r="EM214" s="76"/>
      <c r="EN214" s="76"/>
      <c r="EO214" s="76"/>
      <c r="EP214" s="76"/>
      <c r="EQ214" s="76"/>
      <c r="ER214" s="76"/>
      <c r="ES214" s="76"/>
      <c r="ET214" s="76"/>
      <c r="EU214" s="76"/>
      <c r="EV214" s="76"/>
      <c r="EW214" s="76"/>
      <c r="EX214" s="76"/>
      <c r="EY214" s="76"/>
      <c r="EZ214" s="76"/>
      <c r="FA214" s="76"/>
      <c r="FB214" s="76"/>
      <c r="FC214" s="76"/>
      <c r="FD214" s="76"/>
      <c r="FE214" s="76"/>
      <c r="FF214" s="76"/>
      <c r="FG214" s="76"/>
      <c r="FH214" s="76"/>
      <c r="FI214" s="76"/>
      <c r="FJ214" s="76"/>
      <c r="FK214" s="76"/>
      <c r="FL214" s="76"/>
      <c r="FM214" s="76"/>
      <c r="FN214" s="76"/>
      <c r="FO214" s="76"/>
      <c r="FP214" s="76"/>
      <c r="FQ214" s="76"/>
      <c r="FR214" s="76"/>
      <c r="FS214" s="76"/>
      <c r="FT214" s="76"/>
      <c r="FU214" s="76"/>
      <c r="FV214" s="76"/>
      <c r="FW214" s="76"/>
      <c r="FX214" s="76"/>
      <c r="FY214" s="76"/>
      <c r="FZ214" s="76"/>
      <c r="GA214" s="76"/>
      <c r="GB214" s="76"/>
      <c r="GC214" s="76"/>
      <c r="GD214" s="76"/>
      <c r="GE214" s="76"/>
      <c r="GF214" s="76"/>
      <c r="GG214" s="76"/>
      <c r="GH214" s="76"/>
      <c r="GI214" s="76"/>
      <c r="GJ214" s="76"/>
      <c r="GK214" s="76"/>
      <c r="GL214" s="76"/>
      <c r="GM214" s="76"/>
      <c r="GN214" s="76"/>
      <c r="GO214" s="76"/>
      <c r="GP214" s="76"/>
      <c r="GQ214" s="76"/>
      <c r="GR214" s="76"/>
      <c r="GS214" s="76"/>
      <c r="GT214" s="76"/>
      <c r="GU214" s="76"/>
      <c r="GV214" s="76"/>
      <c r="GW214" s="76"/>
      <c r="GX214" s="76"/>
      <c r="GY214" s="76"/>
      <c r="GZ214" s="76"/>
      <c r="HA214" s="76"/>
    </row>
    <row r="215" spans="2:209" s="45" customFormat="1" ht="13.5" hidden="1">
      <c r="DF215" s="76"/>
      <c r="DG215" s="76"/>
      <c r="DH215" s="76"/>
      <c r="DI215" s="76"/>
      <c r="DJ215" s="76"/>
      <c r="DK215" s="76"/>
      <c r="DL215" s="76"/>
      <c r="DM215" s="76"/>
      <c r="DN215" s="76"/>
      <c r="DO215" s="76"/>
      <c r="DP215" s="76"/>
      <c r="DQ215" s="76"/>
      <c r="DR215" s="76"/>
      <c r="DS215" s="76"/>
      <c r="DT215" s="76"/>
      <c r="DU215" s="76"/>
      <c r="DV215" s="76"/>
      <c r="DW215" s="76"/>
      <c r="DX215" s="76"/>
      <c r="DY215" s="76"/>
      <c r="DZ215" s="76"/>
      <c r="EA215" s="76"/>
      <c r="EB215" s="76"/>
      <c r="EC215" s="76"/>
      <c r="ED215" s="76"/>
      <c r="EE215" s="76"/>
      <c r="EF215" s="76"/>
      <c r="EG215" s="76"/>
      <c r="EH215" s="76"/>
      <c r="EI215" s="76"/>
      <c r="EJ215" s="76"/>
      <c r="EK215" s="76"/>
      <c r="EL215" s="76"/>
      <c r="EM215" s="76"/>
      <c r="EN215" s="76"/>
      <c r="EO215" s="76"/>
      <c r="EP215" s="76"/>
      <c r="EQ215" s="76"/>
      <c r="ER215" s="76"/>
      <c r="ES215" s="76"/>
      <c r="ET215" s="76"/>
      <c r="EU215" s="76"/>
      <c r="EV215" s="76"/>
      <c r="EW215" s="76"/>
      <c r="EX215" s="76"/>
      <c r="EY215" s="76"/>
      <c r="EZ215" s="76"/>
      <c r="FA215" s="76"/>
      <c r="FB215" s="76"/>
      <c r="FC215" s="76"/>
      <c r="FD215" s="76"/>
      <c r="FE215" s="76"/>
      <c r="FF215" s="76"/>
      <c r="FG215" s="76"/>
      <c r="FH215" s="76"/>
      <c r="FI215" s="76"/>
      <c r="FJ215" s="76"/>
      <c r="FK215" s="76"/>
      <c r="FL215" s="76"/>
      <c r="FM215" s="76"/>
      <c r="FN215" s="76"/>
      <c r="FO215" s="76"/>
      <c r="FP215" s="76"/>
      <c r="FQ215" s="76"/>
      <c r="FR215" s="76"/>
      <c r="FS215" s="76"/>
      <c r="FT215" s="76"/>
      <c r="FU215" s="76"/>
      <c r="FV215" s="76"/>
      <c r="FW215" s="76"/>
      <c r="FX215" s="76"/>
      <c r="FY215" s="76"/>
      <c r="FZ215" s="76"/>
      <c r="GA215" s="76"/>
      <c r="GB215" s="76"/>
      <c r="GC215" s="76"/>
      <c r="GD215" s="76"/>
      <c r="GE215" s="76"/>
      <c r="GF215" s="76"/>
      <c r="GG215" s="76"/>
      <c r="GH215" s="76"/>
      <c r="GI215" s="76"/>
      <c r="GJ215" s="76"/>
      <c r="GK215" s="76"/>
      <c r="GL215" s="76"/>
      <c r="GM215" s="76"/>
      <c r="GN215" s="76"/>
      <c r="GO215" s="76"/>
      <c r="GP215" s="76"/>
      <c r="GQ215" s="76"/>
      <c r="GR215" s="76"/>
      <c r="GS215" s="76"/>
      <c r="GT215" s="76"/>
      <c r="GU215" s="76"/>
      <c r="GV215" s="76"/>
      <c r="GW215" s="76"/>
      <c r="GX215" s="76"/>
      <c r="GY215" s="76"/>
      <c r="GZ215" s="76"/>
      <c r="HA215" s="76"/>
    </row>
    <row r="216" spans="2:209" s="45" customFormat="1" ht="13.5" hidden="1">
      <c r="DF216" s="76"/>
      <c r="DG216" s="76"/>
      <c r="DH216" s="76"/>
      <c r="DI216" s="76"/>
      <c r="DJ216" s="76"/>
      <c r="DK216" s="76"/>
      <c r="DL216" s="76"/>
      <c r="DM216" s="76"/>
      <c r="DN216" s="76"/>
      <c r="DO216" s="76"/>
      <c r="DP216" s="76"/>
      <c r="DQ216" s="76"/>
      <c r="DR216" s="76"/>
      <c r="DS216" s="76"/>
      <c r="DT216" s="76"/>
      <c r="DU216" s="76"/>
      <c r="DV216" s="76"/>
      <c r="DW216" s="76"/>
      <c r="DX216" s="76"/>
      <c r="DY216" s="76"/>
      <c r="DZ216" s="76"/>
      <c r="EA216" s="76"/>
      <c r="EB216" s="76"/>
      <c r="EC216" s="76"/>
      <c r="ED216" s="76"/>
      <c r="EE216" s="76"/>
      <c r="EF216" s="76"/>
      <c r="EG216" s="76"/>
      <c r="EH216" s="76"/>
      <c r="EI216" s="76"/>
      <c r="EJ216" s="76"/>
      <c r="EK216" s="76"/>
      <c r="EL216" s="76"/>
      <c r="EM216" s="76"/>
      <c r="EN216" s="76"/>
      <c r="EO216" s="76"/>
      <c r="EP216" s="76"/>
      <c r="EQ216" s="76"/>
      <c r="ER216" s="76"/>
      <c r="ES216" s="76"/>
      <c r="ET216" s="76"/>
      <c r="EU216" s="76"/>
      <c r="EV216" s="76"/>
      <c r="EW216" s="76"/>
      <c r="EX216" s="76"/>
      <c r="EY216" s="76"/>
      <c r="EZ216" s="76"/>
      <c r="FA216" s="76"/>
      <c r="FB216" s="76"/>
      <c r="FC216" s="76"/>
      <c r="FD216" s="76"/>
      <c r="FE216" s="76"/>
      <c r="FF216" s="76"/>
      <c r="FG216" s="76"/>
      <c r="FH216" s="76"/>
      <c r="FI216" s="76"/>
      <c r="FJ216" s="76"/>
      <c r="FK216" s="76"/>
      <c r="FL216" s="76"/>
      <c r="FM216" s="76"/>
      <c r="FN216" s="76"/>
      <c r="FO216" s="76"/>
      <c r="FP216" s="76"/>
      <c r="FQ216" s="76"/>
      <c r="FR216" s="76"/>
      <c r="FS216" s="76"/>
      <c r="FT216" s="76"/>
      <c r="FU216" s="76"/>
      <c r="FV216" s="76"/>
      <c r="FW216" s="76"/>
      <c r="FX216" s="76"/>
      <c r="FY216" s="76"/>
      <c r="FZ216" s="76"/>
      <c r="GA216" s="76"/>
      <c r="GB216" s="76"/>
      <c r="GC216" s="76"/>
      <c r="GD216" s="76"/>
      <c r="GE216" s="76"/>
      <c r="GF216" s="76"/>
      <c r="GG216" s="76"/>
      <c r="GH216" s="76"/>
      <c r="GI216" s="76"/>
      <c r="GJ216" s="76"/>
      <c r="GK216" s="76"/>
      <c r="GL216" s="76"/>
      <c r="GM216" s="76"/>
      <c r="GN216" s="76"/>
      <c r="GO216" s="76"/>
      <c r="GP216" s="76"/>
      <c r="GQ216" s="76"/>
      <c r="GR216" s="76"/>
      <c r="GS216" s="76"/>
      <c r="GT216" s="76"/>
      <c r="GU216" s="76"/>
      <c r="GV216" s="76"/>
      <c r="GW216" s="76"/>
      <c r="GX216" s="76"/>
      <c r="GY216" s="76"/>
      <c r="GZ216" s="76"/>
      <c r="HA216" s="76"/>
    </row>
    <row r="217" spans="2:209" s="45" customFormat="1" ht="18.75" hidden="1">
      <c r="DF217" s="76"/>
      <c r="DG217" s="76"/>
      <c r="DH217" s="76"/>
      <c r="DI217" s="76"/>
      <c r="DJ217" s="174"/>
      <c r="DK217" s="78"/>
      <c r="DL217" s="78"/>
      <c r="DM217" s="78"/>
      <c r="DN217" s="78"/>
      <c r="DO217" s="78"/>
      <c r="DP217" s="78"/>
      <c r="DQ217" s="76"/>
      <c r="DR217" s="76"/>
      <c r="DS217" s="76"/>
      <c r="DT217" s="76"/>
      <c r="DU217" s="76"/>
      <c r="DV217" s="76"/>
      <c r="DW217" s="76"/>
      <c r="DX217" s="76"/>
      <c r="DY217" s="76"/>
      <c r="DZ217" s="76"/>
      <c r="EA217" s="76"/>
      <c r="EB217" s="76"/>
      <c r="EC217" s="76"/>
      <c r="ED217" s="76"/>
      <c r="EE217" s="76"/>
      <c r="EF217" s="76"/>
      <c r="EG217" s="76"/>
      <c r="EH217" s="76"/>
      <c r="EI217" s="76"/>
      <c r="EJ217" s="76"/>
      <c r="EK217" s="76"/>
      <c r="EL217" s="76"/>
      <c r="EM217" s="76"/>
      <c r="EN217" s="76"/>
      <c r="EO217" s="76"/>
      <c r="EP217" s="76"/>
      <c r="EQ217" s="76"/>
      <c r="ER217" s="76"/>
      <c r="ES217" s="76"/>
      <c r="ET217" s="76"/>
      <c r="EU217" s="76"/>
      <c r="EV217" s="76"/>
      <c r="EW217" s="76"/>
      <c r="EX217" s="76"/>
      <c r="EY217" s="76"/>
      <c r="EZ217" s="76"/>
      <c r="FA217" s="76"/>
      <c r="FB217" s="76"/>
      <c r="FC217" s="76"/>
      <c r="FD217" s="76"/>
      <c r="FE217" s="76"/>
      <c r="FF217" s="76"/>
      <c r="FG217" s="76"/>
      <c r="FH217" s="76"/>
      <c r="FI217" s="76"/>
      <c r="FJ217" s="76"/>
      <c r="FK217" s="76"/>
      <c r="FL217" s="76"/>
      <c r="FM217" s="76"/>
      <c r="FN217" s="76"/>
      <c r="FO217" s="76"/>
      <c r="FP217" s="76"/>
      <c r="FQ217" s="76"/>
      <c r="FR217" s="76"/>
      <c r="FS217" s="76"/>
      <c r="FT217" s="76"/>
      <c r="FU217" s="76"/>
      <c r="FV217" s="76"/>
      <c r="FW217" s="76"/>
      <c r="FX217" s="76"/>
      <c r="FY217" s="76"/>
      <c r="FZ217" s="76"/>
      <c r="GA217" s="76"/>
      <c r="GB217" s="76"/>
      <c r="GC217" s="76"/>
      <c r="GD217" s="76"/>
      <c r="GE217" s="76"/>
      <c r="GF217" s="76"/>
      <c r="GG217" s="76"/>
      <c r="GH217" s="76"/>
      <c r="GI217" s="76"/>
      <c r="GJ217" s="76"/>
      <c r="GK217" s="76"/>
      <c r="GL217" s="76"/>
      <c r="GM217" s="76"/>
      <c r="GN217" s="76"/>
      <c r="GO217" s="76"/>
      <c r="GP217" s="76"/>
      <c r="GQ217" s="76"/>
      <c r="GR217" s="76"/>
      <c r="GS217" s="76"/>
      <c r="GT217" s="76"/>
      <c r="GU217" s="76"/>
      <c r="GV217" s="76"/>
      <c r="GW217" s="76"/>
      <c r="GX217" s="76"/>
      <c r="GY217" s="76"/>
      <c r="GZ217" s="76"/>
      <c r="HA217" s="76"/>
    </row>
    <row r="218" spans="2:209" s="45" customFormat="1" ht="13.5" hidden="1">
      <c r="DF218" s="77"/>
      <c r="DG218" s="77"/>
      <c r="DH218" s="77"/>
      <c r="DI218" s="77"/>
      <c r="DJ218" s="77"/>
      <c r="DK218" s="77"/>
      <c r="DL218" s="77"/>
      <c r="DM218" s="77"/>
      <c r="DN218" s="77"/>
      <c r="DO218" s="76"/>
      <c r="DP218" s="76"/>
      <c r="DQ218" s="76"/>
      <c r="DR218" s="76"/>
      <c r="DS218" s="76"/>
      <c r="DT218" s="76"/>
      <c r="DU218" s="76"/>
      <c r="DV218" s="76"/>
      <c r="DW218" s="76"/>
      <c r="DX218" s="76"/>
      <c r="DY218" s="76"/>
      <c r="DZ218" s="76"/>
      <c r="EA218" s="76"/>
      <c r="EB218" s="76"/>
      <c r="EC218" s="76"/>
      <c r="ED218" s="76"/>
      <c r="EE218" s="76"/>
      <c r="EF218" s="76"/>
      <c r="EG218" s="76"/>
      <c r="EH218" s="76"/>
      <c r="EI218" s="76"/>
      <c r="EJ218" s="76"/>
      <c r="EK218" s="76"/>
      <c r="EL218" s="76"/>
      <c r="EM218" s="76"/>
      <c r="EN218" s="76"/>
      <c r="EO218" s="76"/>
      <c r="EP218" s="76"/>
      <c r="EQ218" s="76"/>
      <c r="ER218" s="76"/>
      <c r="ES218" s="76"/>
      <c r="ET218" s="76"/>
      <c r="EU218" s="76"/>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row>
    <row r="219" spans="2:209" s="45" customFormat="1" ht="13.5" hidden="1"/>
    <row r="220" spans="2:209" s="45" customFormat="1" ht="13.5" hidden="1"/>
    <row r="221" spans="2:209" s="45" customFormat="1" ht="13.5" hidden="1"/>
    <row r="222" spans="2:209" s="45" customFormat="1" ht="13.5" hidden="1">
      <c r="B222" s="220"/>
      <c r="C222" s="220"/>
      <c r="D222" s="220"/>
      <c r="E222" s="220"/>
      <c r="F222" s="220"/>
    </row>
    <row r="223" spans="2:209" s="220" customFormat="1" ht="23.25" hidden="1" customHeight="1">
      <c r="S223" s="220">
        <v>1</v>
      </c>
      <c r="T223" s="220">
        <v>2</v>
      </c>
      <c r="U223" s="220">
        <v>3</v>
      </c>
      <c r="V223" s="220">
        <v>4</v>
      </c>
      <c r="W223" s="220">
        <v>5</v>
      </c>
      <c r="X223" s="220">
        <v>6</v>
      </c>
      <c r="Y223" s="220">
        <v>7</v>
      </c>
      <c r="AC223" s="220">
        <v>8</v>
      </c>
      <c r="AD223" s="220">
        <v>9</v>
      </c>
      <c r="AE223" s="220">
        <v>10</v>
      </c>
      <c r="AF223" s="220">
        <v>11</v>
      </c>
      <c r="AG223" s="220">
        <v>12</v>
      </c>
      <c r="AH223" s="220">
        <v>13</v>
      </c>
      <c r="AI223" s="220">
        <v>14</v>
      </c>
      <c r="AJ223" s="220">
        <v>15</v>
      </c>
      <c r="AK223" s="220">
        <v>16</v>
      </c>
      <c r="AL223" s="220">
        <v>17</v>
      </c>
      <c r="AM223" s="220">
        <v>18</v>
      </c>
      <c r="AN223" s="220">
        <v>19</v>
      </c>
      <c r="AO223" s="220">
        <v>20</v>
      </c>
      <c r="AP223" s="220">
        <v>21</v>
      </c>
      <c r="AQ223" s="220">
        <v>22</v>
      </c>
      <c r="AR223" s="220">
        <v>23</v>
      </c>
      <c r="AS223" s="220">
        <v>24</v>
      </c>
      <c r="AT223" s="220">
        <v>25</v>
      </c>
      <c r="AU223" s="220">
        <v>26</v>
      </c>
      <c r="AV223" s="220">
        <v>27</v>
      </c>
      <c r="AW223" s="220">
        <v>28</v>
      </c>
      <c r="AX223" s="220">
        <v>29</v>
      </c>
      <c r="AY223" s="220">
        <v>30</v>
      </c>
      <c r="AZ223" s="220">
        <v>31</v>
      </c>
      <c r="BA223" s="220">
        <v>32</v>
      </c>
      <c r="BB223" s="220">
        <v>33</v>
      </c>
      <c r="BC223" s="220">
        <v>34</v>
      </c>
      <c r="BD223" s="220">
        <v>35</v>
      </c>
      <c r="BE223" s="220">
        <v>36</v>
      </c>
      <c r="BF223" s="220">
        <v>37</v>
      </c>
      <c r="BG223" s="220">
        <v>38</v>
      </c>
      <c r="BH223" s="220">
        <v>39</v>
      </c>
      <c r="BI223" s="220">
        <v>40</v>
      </c>
      <c r="BJ223" s="220">
        <v>41</v>
      </c>
      <c r="BK223" s="220">
        <v>42</v>
      </c>
      <c r="BL223" s="220">
        <v>43</v>
      </c>
      <c r="BM223" s="220">
        <v>44</v>
      </c>
      <c r="BN223" s="220">
        <v>45</v>
      </c>
      <c r="BO223" s="220">
        <v>46</v>
      </c>
      <c r="BP223" s="220">
        <v>47</v>
      </c>
      <c r="BQ223" s="220">
        <v>48</v>
      </c>
      <c r="BR223" s="220">
        <v>49</v>
      </c>
      <c r="BS223" s="220">
        <v>50</v>
      </c>
      <c r="BT223" s="220">
        <v>51</v>
      </c>
      <c r="BU223" s="220">
        <v>52</v>
      </c>
      <c r="BV223" s="220">
        <v>53</v>
      </c>
      <c r="BW223" s="220">
        <v>54</v>
      </c>
      <c r="BX223" s="220">
        <v>55</v>
      </c>
      <c r="BY223" s="220">
        <v>56</v>
      </c>
      <c r="BZ223" s="220">
        <v>57</v>
      </c>
      <c r="CA223" s="220">
        <v>58</v>
      </c>
      <c r="CB223" s="220">
        <v>59</v>
      </c>
      <c r="CC223" s="220">
        <v>60</v>
      </c>
      <c r="CD223" s="220">
        <v>61</v>
      </c>
      <c r="CE223" s="220">
        <v>62</v>
      </c>
      <c r="CF223" s="220">
        <v>63</v>
      </c>
      <c r="CG223" s="220">
        <v>64</v>
      </c>
      <c r="CH223" s="220">
        <v>65</v>
      </c>
      <c r="CI223" s="220">
        <v>66</v>
      </c>
      <c r="CJ223" s="220">
        <v>67</v>
      </c>
      <c r="CK223" s="220">
        <v>68</v>
      </c>
      <c r="CL223" s="220">
        <v>69</v>
      </c>
      <c r="CM223" s="220">
        <v>70</v>
      </c>
      <c r="CN223" s="220">
        <v>71</v>
      </c>
      <c r="CO223" s="220">
        <v>72</v>
      </c>
      <c r="CP223" s="220">
        <v>73</v>
      </c>
      <c r="CQ223" s="220">
        <v>74</v>
      </c>
      <c r="CR223" s="220">
        <v>75</v>
      </c>
      <c r="CS223" s="220">
        <v>76</v>
      </c>
      <c r="CT223" s="220">
        <v>77</v>
      </c>
      <c r="CU223" s="220">
        <v>78</v>
      </c>
      <c r="CV223" s="220">
        <v>79</v>
      </c>
      <c r="CW223" s="220">
        <v>80</v>
      </c>
      <c r="CX223" s="220">
        <v>81</v>
      </c>
      <c r="CY223" s="220">
        <v>82</v>
      </c>
      <c r="CZ223" s="220">
        <v>83</v>
      </c>
      <c r="DA223" s="220">
        <v>84</v>
      </c>
      <c r="DB223" s="220">
        <v>85</v>
      </c>
      <c r="DC223" s="220">
        <v>86</v>
      </c>
      <c r="DD223" s="220">
        <v>87</v>
      </c>
      <c r="DE223" s="220">
        <v>88</v>
      </c>
      <c r="DF223" s="220">
        <v>89</v>
      </c>
      <c r="DG223" s="220">
        <v>90</v>
      </c>
      <c r="DH223" s="220">
        <v>91</v>
      </c>
      <c r="DI223" s="220">
        <v>92</v>
      </c>
      <c r="DJ223" s="220">
        <v>93</v>
      </c>
      <c r="DK223" s="220">
        <v>94</v>
      </c>
      <c r="DL223" s="220">
        <v>95</v>
      </c>
      <c r="DM223" s="220">
        <v>96</v>
      </c>
      <c r="DN223" s="220">
        <v>97</v>
      </c>
      <c r="DO223" s="220">
        <v>98</v>
      </c>
      <c r="DP223" s="220">
        <v>99</v>
      </c>
    </row>
    <row r="224" spans="2:209" s="220" customFormat="1" ht="23.25" hidden="1" customHeight="1">
      <c r="S224" s="220" t="s">
        <v>355</v>
      </c>
      <c r="T224" s="220" t="s">
        <v>356</v>
      </c>
      <c r="U224" s="220" t="s">
        <v>357</v>
      </c>
      <c r="V224" s="220" t="s">
        <v>358</v>
      </c>
      <c r="W224" s="220" t="s">
        <v>359</v>
      </c>
      <c r="X224" s="220" t="s">
        <v>360</v>
      </c>
      <c r="Y224" s="220" t="s">
        <v>361</v>
      </c>
      <c r="AC224" s="220" t="s">
        <v>362</v>
      </c>
      <c r="AD224" s="220" t="s">
        <v>363</v>
      </c>
      <c r="AE224" s="220" t="s">
        <v>364</v>
      </c>
      <c r="AF224" s="220" t="s">
        <v>365</v>
      </c>
      <c r="AG224" s="220" t="s">
        <v>366</v>
      </c>
      <c r="AH224" s="220" t="s">
        <v>367</v>
      </c>
      <c r="AI224" s="220" t="s">
        <v>368</v>
      </c>
      <c r="AJ224" s="220" t="s">
        <v>369</v>
      </c>
      <c r="AK224" s="220" t="s">
        <v>370</v>
      </c>
      <c r="AL224" s="220" t="s">
        <v>371</v>
      </c>
      <c r="AM224" s="220" t="s">
        <v>372</v>
      </c>
      <c r="AN224" s="220" t="s">
        <v>373</v>
      </c>
      <c r="AO224" s="220" t="s">
        <v>374</v>
      </c>
      <c r="AP224" s="220" t="s">
        <v>375</v>
      </c>
      <c r="AQ224" s="220" t="s">
        <v>376</v>
      </c>
      <c r="AR224" s="220" t="s">
        <v>377</v>
      </c>
      <c r="AS224" s="220" t="s">
        <v>378</v>
      </c>
      <c r="AT224" s="220" t="s">
        <v>379</v>
      </c>
      <c r="AU224" s="220" t="s">
        <v>380</v>
      </c>
      <c r="AV224" s="220" t="s">
        <v>381</v>
      </c>
      <c r="AW224" s="220" t="s">
        <v>382</v>
      </c>
      <c r="AX224" s="220" t="s">
        <v>383</v>
      </c>
      <c r="AY224" s="220" t="s">
        <v>384</v>
      </c>
      <c r="AZ224" s="220" t="s">
        <v>385</v>
      </c>
      <c r="BA224" s="220" t="s">
        <v>386</v>
      </c>
      <c r="BB224" s="220" t="s">
        <v>387</v>
      </c>
      <c r="BC224" s="220" t="s">
        <v>388</v>
      </c>
      <c r="BD224" s="220" t="s">
        <v>389</v>
      </c>
      <c r="BE224" s="220" t="s">
        <v>390</v>
      </c>
      <c r="BF224" s="220" t="s">
        <v>391</v>
      </c>
      <c r="BG224" s="220" t="s">
        <v>392</v>
      </c>
      <c r="BH224" s="220" t="s">
        <v>393</v>
      </c>
      <c r="BI224" s="220" t="s">
        <v>394</v>
      </c>
      <c r="BJ224" s="220" t="s">
        <v>395</v>
      </c>
      <c r="BK224" s="220" t="s">
        <v>396</v>
      </c>
      <c r="BL224" s="220" t="s">
        <v>397</v>
      </c>
      <c r="BM224" s="220" t="s">
        <v>398</v>
      </c>
      <c r="BN224" s="220" t="s">
        <v>399</v>
      </c>
      <c r="BO224" s="220" t="s">
        <v>400</v>
      </c>
      <c r="BP224" s="220" t="s">
        <v>401</v>
      </c>
      <c r="BQ224" s="220" t="s">
        <v>402</v>
      </c>
      <c r="BR224" s="220" t="s">
        <v>403</v>
      </c>
      <c r="BS224" s="220" t="s">
        <v>404</v>
      </c>
      <c r="BT224" s="220" t="s">
        <v>405</v>
      </c>
      <c r="BU224" s="220" t="s">
        <v>406</v>
      </c>
      <c r="BV224" s="220" t="s">
        <v>407</v>
      </c>
      <c r="BW224" s="220" t="s">
        <v>408</v>
      </c>
      <c r="BX224" s="220" t="s">
        <v>409</v>
      </c>
      <c r="BY224" s="220" t="s">
        <v>410</v>
      </c>
      <c r="BZ224" s="220" t="s">
        <v>411</v>
      </c>
      <c r="CA224" s="220" t="s">
        <v>412</v>
      </c>
      <c r="CB224" s="220" t="s">
        <v>413</v>
      </c>
      <c r="CC224" s="220" t="s">
        <v>414</v>
      </c>
      <c r="CD224" s="220" t="s">
        <v>415</v>
      </c>
      <c r="CE224" s="220" t="s">
        <v>416</v>
      </c>
      <c r="CF224" s="220" t="s">
        <v>417</v>
      </c>
      <c r="CG224" s="220" t="s">
        <v>418</v>
      </c>
      <c r="CH224" s="220" t="s">
        <v>419</v>
      </c>
      <c r="CI224" s="220" t="s">
        <v>420</v>
      </c>
      <c r="CJ224" s="220" t="s">
        <v>421</v>
      </c>
      <c r="CK224" s="220" t="s">
        <v>422</v>
      </c>
      <c r="CL224" s="220" t="s">
        <v>423</v>
      </c>
      <c r="CM224" s="220" t="s">
        <v>424</v>
      </c>
      <c r="CN224" s="220" t="s">
        <v>425</v>
      </c>
      <c r="CO224" s="220" t="s">
        <v>426</v>
      </c>
      <c r="CP224" s="220" t="s">
        <v>427</v>
      </c>
      <c r="CQ224" s="220" t="s">
        <v>428</v>
      </c>
      <c r="CR224" s="220" t="s">
        <v>429</v>
      </c>
      <c r="CS224" s="220" t="s">
        <v>430</v>
      </c>
      <c r="CT224" s="220" t="s">
        <v>431</v>
      </c>
      <c r="CU224" s="220" t="s">
        <v>432</v>
      </c>
      <c r="CV224" s="220" t="s">
        <v>433</v>
      </c>
      <c r="CW224" s="220" t="s">
        <v>434</v>
      </c>
      <c r="CX224" s="220" t="s">
        <v>435</v>
      </c>
      <c r="CY224" s="220" t="s">
        <v>436</v>
      </c>
      <c r="CZ224" s="220" t="s">
        <v>437</v>
      </c>
      <c r="DA224" s="220" t="s">
        <v>438</v>
      </c>
      <c r="DB224" s="220" t="s">
        <v>439</v>
      </c>
      <c r="DC224" s="220" t="s">
        <v>440</v>
      </c>
      <c r="DD224" s="220" t="s">
        <v>441</v>
      </c>
      <c r="DE224" s="220" t="s">
        <v>442</v>
      </c>
      <c r="DF224" s="220" t="s">
        <v>443</v>
      </c>
      <c r="DG224" s="220" t="s">
        <v>444</v>
      </c>
      <c r="DH224" s="220" t="s">
        <v>445</v>
      </c>
      <c r="DI224" s="220" t="s">
        <v>446</v>
      </c>
      <c r="DJ224" s="220" t="s">
        <v>447</v>
      </c>
      <c r="DK224" s="220" t="s">
        <v>448</v>
      </c>
      <c r="DL224" s="220" t="s">
        <v>449</v>
      </c>
      <c r="DM224" s="220" t="s">
        <v>450</v>
      </c>
      <c r="DN224" s="220" t="s">
        <v>451</v>
      </c>
      <c r="DO224" s="220" t="s">
        <v>452</v>
      </c>
      <c r="DP224" s="220" t="s">
        <v>453</v>
      </c>
    </row>
    <row r="225" spans="14:38" s="220" customFormat="1" ht="23.25" hidden="1" customHeight="1"/>
    <row r="226" spans="14:38" s="220" customFormat="1" ht="15" hidden="1" customHeight="1"/>
    <row r="227" spans="14:38" s="220" customFormat="1" ht="15" hidden="1" customHeight="1"/>
    <row r="228" spans="14:38" s="220" customFormat="1" ht="15" hidden="1" customHeight="1">
      <c r="Q228" s="221" t="s">
        <v>461</v>
      </c>
      <c r="R228" s="221" t="s">
        <v>462</v>
      </c>
    </row>
    <row r="229" spans="14:38" s="220" customFormat="1" ht="27.75" hidden="1" customHeight="1">
      <c r="Q229" s="222">
        <f>M23</f>
        <v>21233</v>
      </c>
      <c r="R229" s="223" t="str">
        <f>IF(Q229="","",CONCATENATE("(",AG230," rupees only)"))</f>
        <v>(Twenty one Thousand Two Hundred and Thirty three rupees only)</v>
      </c>
      <c r="S229" s="220">
        <f>INT(Q229/100000)</f>
        <v>0</v>
      </c>
      <c r="T229" s="220">
        <f>INT(Q229/1000-S229*100)</f>
        <v>21</v>
      </c>
      <c r="U229" s="220">
        <f>INT(Q229/100-S229*1000-T229*10)</f>
        <v>2</v>
      </c>
      <c r="V229" s="220">
        <f>INT(Q229-S229*100000-T229*1000-U229*100)</f>
        <v>33</v>
      </c>
      <c r="W229" s="220" t="str">
        <f>IF(S229=0,"",HLOOKUP(S229,S223:EC224,2,0))</f>
        <v/>
      </c>
      <c r="X229" s="220" t="str">
        <f>IF(T229=0,"",HLOOKUP(T229,S223:DP224,2,0))</f>
        <v>Twenty one</v>
      </c>
      <c r="Y229" s="220" t="str">
        <f>IF(U229=0,"",HLOOKUP(U229,S223:DP224,2,0))</f>
        <v>Two</v>
      </c>
    </row>
    <row r="230" spans="14:38" s="220" customFormat="1" ht="35.1" hidden="1" customHeight="1">
      <c r="N230" s="43"/>
      <c r="O230" s="43"/>
      <c r="P230" s="43"/>
      <c r="Q230" s="43">
        <f>DATA!X20</f>
        <v>169200</v>
      </c>
      <c r="R230" s="223" t="str">
        <f>IF(Q230="","",CONCATENATE("(",AG231," rupees only)"))</f>
        <v>(One Lakh Sixty nine Thousand Two Hundred rupees only)</v>
      </c>
      <c r="S230" s="220">
        <f>INT(Q230/100000)</f>
        <v>1</v>
      </c>
      <c r="T230" s="220">
        <f>INT(Q230/1000-S230*100)</f>
        <v>69</v>
      </c>
      <c r="U230" s="220">
        <f>INT(Q230/100-S230*1000-T230*10)</f>
        <v>2</v>
      </c>
      <c r="V230" s="220">
        <f>INT(Q230-S230*100000-T230*1000-U230*100)</f>
        <v>0</v>
      </c>
      <c r="W230" s="220" t="str">
        <f>IF(S230=0,"",HLOOKUP(S230,S223:EC224,2,0))</f>
        <v>One</v>
      </c>
      <c r="X230" s="220" t="str">
        <f>IF(T230=0,"",HLOOKUP(T230,S223:DP224,2,0))</f>
        <v>Sixty nine</v>
      </c>
      <c r="Y230" s="220" t="str">
        <f>IF(U230=0,"",HLOOKUP(U230,S223:DP224,2,0))</f>
        <v>Two</v>
      </c>
      <c r="Z230" s="220" t="str">
        <f>IF(V229=0,"",HLOOKUP(V229,S223:DP224,2,0))</f>
        <v>Thirty three</v>
      </c>
      <c r="AA230" s="220">
        <f>IF(AND(U229=0,V229=0),1,2)</f>
        <v>2</v>
      </c>
      <c r="AB230" s="220">
        <f>IF(V229=0,3,4)</f>
        <v>4</v>
      </c>
      <c r="AC230" s="220">
        <f>IF(OR(AA230=1,AB230=3),5,6)</f>
        <v>6</v>
      </c>
      <c r="AD230" s="220" t="str">
        <f>IF(S229&gt;1," Lakhs ",IF(S229&gt;0," Lakh ",""))</f>
        <v/>
      </c>
      <c r="AE230" s="220" t="str">
        <f>IF(T229&gt;0," Thousand ","")</f>
        <v xml:space="preserve"> Thousand </v>
      </c>
      <c r="AF230" s="220" t="str">
        <f>IF(U229&gt;0," Hundred ","")</f>
        <v xml:space="preserve"> Hundred </v>
      </c>
      <c r="AG230" s="224" t="str">
        <f>IF(Q229=0,"Zero",IF(Q229&gt;0,TRIM(CONCATENATE(W229,AD230,X229,AE230,Y229,AF230,IF(AND(Q229&gt;100,AC230=6)," and ",""),Z230)),""))</f>
        <v>Twenty one Thousand Two Hundred and Thirty three</v>
      </c>
    </row>
    <row r="231" spans="14:38" ht="13.5" hidden="1" customHeight="1">
      <c r="R231" s="223" t="str">
        <f>IF(Q231="","",CONCATENATE("(",AG232," rupees only)"))</f>
        <v/>
      </c>
      <c r="S231" s="220">
        <f>INT(Q231/100000)</f>
        <v>0</v>
      </c>
      <c r="T231" s="220">
        <f>INT(Q231/1000-S231*100)</f>
        <v>0</v>
      </c>
      <c r="U231" s="220">
        <f>INT(Q231/100-S231*1000-T231*10)</f>
        <v>0</v>
      </c>
      <c r="V231" s="220">
        <f>INT(Q231-S231*100000-T231*1000-U231*100)</f>
        <v>0</v>
      </c>
      <c r="W231" s="220" t="str">
        <f>IF(S231=0,"",HLOOKUP(S231,S225:EC225,2,0))</f>
        <v/>
      </c>
      <c r="X231" s="220" t="str">
        <f>IF(T231=0,"",HLOOKUP(T231,S225:DP225,2,0))</f>
        <v/>
      </c>
      <c r="Y231" s="220" t="str">
        <f>IF(U231=0,"",HLOOKUP(U231,S225:DP225,2,0))</f>
        <v/>
      </c>
      <c r="Z231" s="220" t="str">
        <f>IF(V230=0,"",HLOOKUP(V230,S223:DP224,2,0))</f>
        <v/>
      </c>
      <c r="AA231" s="220">
        <f>IF(AND(U230=0,V230=0),1,2)</f>
        <v>2</v>
      </c>
      <c r="AB231" s="220">
        <f>IF(V230=0,3,4)</f>
        <v>3</v>
      </c>
      <c r="AC231" s="220">
        <f>IF(OR(AA231=1,AB231=3),5,6)</f>
        <v>5</v>
      </c>
      <c r="AD231" s="220" t="str">
        <f>IF(S230&gt;1," Lakhs ",IF(S230&gt;0," Lakh ",""))</f>
        <v xml:space="preserve"> Lakh </v>
      </c>
      <c r="AE231" s="220" t="str">
        <f>IF(T230&gt;0," Thousand ","")</f>
        <v xml:space="preserve"> Thousand </v>
      </c>
      <c r="AF231" s="220" t="str">
        <f>IF(U230&gt;0," Hundred ","")</f>
        <v xml:space="preserve"> Hundred </v>
      </c>
      <c r="AG231" s="224" t="str">
        <f>IF(Q230=0,"Zero",IF(Q230&gt;0,TRIM(CONCATENATE(W230,AD231,X230,AE231,Y230,AF231,IF(AND(Q230&gt;100,AC231=6)," and ",""),Z231)),""))</f>
        <v>One Lakh Sixty nine Thousand Two Hundred</v>
      </c>
      <c r="AH231" s="220"/>
      <c r="AI231" s="220"/>
      <c r="AJ231" s="220"/>
      <c r="AK231" s="220"/>
      <c r="AL231" s="220"/>
    </row>
    <row r="232" spans="14:38" ht="13.5" hidden="1" customHeight="1">
      <c r="Z232" s="220" t="str">
        <f>IF(V231=0,"",HLOOKUP(V231,S225:DP225,2,0))</f>
        <v/>
      </c>
      <c r="AA232" s="220">
        <f>IF(AND(U231=0,V231=0),1,2)</f>
        <v>1</v>
      </c>
      <c r="AB232" s="220">
        <f>IF(V231=0,3,4)</f>
        <v>3</v>
      </c>
      <c r="AC232" s="220">
        <f>IF(OR(AA232=1,AB232=3),5,6)</f>
        <v>5</v>
      </c>
      <c r="AD232" s="220" t="str">
        <f>IF(S231&gt;1," Lakhs ",IF(S231&gt;0," Lakh ",""))</f>
        <v/>
      </c>
      <c r="AE232" s="220" t="str">
        <f>IF(T231&gt;0," Thousand ","")</f>
        <v/>
      </c>
      <c r="AF232" s="220" t="str">
        <f>IF(U231&gt;0," Hundred ","")</f>
        <v/>
      </c>
      <c r="AG232" s="224" t="str">
        <f>IF(Q231=0,"Zero",IF(Q231&gt;0,TRIM(CONCATENATE(W231,AD232,X231,AE232,Y231,AF232,IF(AND(Q231&gt;100,AC232=6)," and ",""),Z232)),""))</f>
        <v>Zero</v>
      </c>
      <c r="AH232" s="220"/>
      <c r="AI232" s="220"/>
      <c r="AJ232" s="220"/>
      <c r="AK232" s="220"/>
      <c r="AL232" s="220"/>
    </row>
    <row r="233" spans="14:38" ht="13.5" hidden="1" customHeight="1"/>
  </sheetData>
  <sheetProtection password="CF7B" sheet="1" objects="1" scenarios="1" selectLockedCells="1"/>
  <protectedRanges>
    <protectedRange sqref="C11 B2:M4 E54:F60 G54:K59 C5:K10 B5:B60 E11:K53 L5:M60 C12:D60" name="Range1"/>
  </protectedRanges>
  <customSheetViews>
    <customSheetView guid="{C9DCC1B1-1130-43C1-807F-FB357D8E7C6B}" showPageBreaks="1" showGridLines="0" showRowCol="0" printArea="1" hiddenRows="1" hiddenColumns="1">
      <selection activeCell="L41" sqref="L41:M41"/>
      <pageMargins left="0.35" right="0.26" top="0.5" bottom="0.75" header="0" footer="0"/>
      <printOptions horizontalCentered="1" verticalCentered="1"/>
      <pageSetup paperSize="9" scale="90" orientation="portrait" r:id="rId1"/>
      <headerFooter alignWithMargins="0"/>
    </customSheetView>
    <customSheetView guid="{74B9DB0D-A27C-483C-9482-296E1DCC546B}" showGridLines="0" showRowCol="0" hiddenRows="1" hiddenColumns="1" topLeftCell="A10">
      <selection activeCell="C36" sqref="C36:D36"/>
      <pageMargins left="0.35" right="0.26" top="0.5" bottom="0.75" header="0" footer="0"/>
      <printOptions horizontalCentered="1" verticalCentered="1"/>
      <pageSetup paperSize="9" scale="90" orientation="portrait" r:id="rId2"/>
      <headerFooter alignWithMargins="0"/>
    </customSheetView>
  </customSheetViews>
  <mergeCells count="80">
    <mergeCell ref="B62:M62"/>
    <mergeCell ref="H58:K58"/>
    <mergeCell ref="L47:M47"/>
    <mergeCell ref="C47:D47"/>
    <mergeCell ref="H47:I47"/>
    <mergeCell ref="H59:K59"/>
    <mergeCell ref="H48:I48"/>
    <mergeCell ref="B49:M53"/>
    <mergeCell ref="B57:C57"/>
    <mergeCell ref="B58:C58"/>
    <mergeCell ref="D58:E58"/>
    <mergeCell ref="C43:D43"/>
    <mergeCell ref="C46:D46"/>
    <mergeCell ref="C44:D44"/>
    <mergeCell ref="H46:I46"/>
    <mergeCell ref="L46:M46"/>
    <mergeCell ref="C45:D45"/>
    <mergeCell ref="H43:I43"/>
    <mergeCell ref="C40:D40"/>
    <mergeCell ref="H36:I36"/>
    <mergeCell ref="H37:I37"/>
    <mergeCell ref="H38:I38"/>
    <mergeCell ref="H39:I39"/>
    <mergeCell ref="H40:I40"/>
    <mergeCell ref="C39:D39"/>
    <mergeCell ref="C38:D38"/>
    <mergeCell ref="C35:D35"/>
    <mergeCell ref="H35:I35"/>
    <mergeCell ref="L35:M35"/>
    <mergeCell ref="C36:D36"/>
    <mergeCell ref="C37:D37"/>
    <mergeCell ref="C10:G10"/>
    <mergeCell ref="C13:G13"/>
    <mergeCell ref="B30:M30"/>
    <mergeCell ref="B31:M31"/>
    <mergeCell ref="L33:M33"/>
    <mergeCell ref="D25:I25"/>
    <mergeCell ref="D26:I26"/>
    <mergeCell ref="C22:I22"/>
    <mergeCell ref="C23:I23"/>
    <mergeCell ref="C15:I15"/>
    <mergeCell ref="C42:D42"/>
    <mergeCell ref="C41:D41"/>
    <mergeCell ref="C11:G11"/>
    <mergeCell ref="L34:M34"/>
    <mergeCell ref="H34:I34"/>
    <mergeCell ref="H33:I33"/>
    <mergeCell ref="C33:D33"/>
    <mergeCell ref="C21:I21"/>
    <mergeCell ref="C12:G12"/>
    <mergeCell ref="C18:I18"/>
    <mergeCell ref="C27:G27"/>
    <mergeCell ref="C17:I17"/>
    <mergeCell ref="C34:D34"/>
    <mergeCell ref="C24:I24"/>
    <mergeCell ref="C20:I20"/>
    <mergeCell ref="H41:I41"/>
    <mergeCell ref="H2:I2"/>
    <mergeCell ref="C3:G3"/>
    <mergeCell ref="H3:I3"/>
    <mergeCell ref="C8:G8"/>
    <mergeCell ref="C9:G9"/>
    <mergeCell ref="C4:G4"/>
    <mergeCell ref="C5:G5"/>
    <mergeCell ref="C6:G6"/>
    <mergeCell ref="C2:G2"/>
    <mergeCell ref="C7:G7"/>
    <mergeCell ref="H42:I42"/>
    <mergeCell ref="H44:I44"/>
    <mergeCell ref="H45:I45"/>
    <mergeCell ref="L36:M36"/>
    <mergeCell ref="L37:M37"/>
    <mergeCell ref="L38:M38"/>
    <mergeCell ref="L39:M39"/>
    <mergeCell ref="L40:M40"/>
    <mergeCell ref="L42:M42"/>
    <mergeCell ref="L44:M44"/>
    <mergeCell ref="L45:M45"/>
    <mergeCell ref="L41:M41"/>
    <mergeCell ref="L43:M43"/>
  </mergeCells>
  <phoneticPr fontId="1" type="noConversion"/>
  <printOptions horizontalCentered="1" verticalCentered="1"/>
  <pageMargins left="0.35" right="0.26" top="0.5" bottom="0.75" header="0" footer="0"/>
  <pageSetup paperSize="9" scale="90" orientation="portrait" r:id="rId3"/>
  <headerFooter alignWithMargins="0"/>
</worksheet>
</file>

<file path=xl/worksheets/sheet9.xml><?xml version="1.0" encoding="utf-8"?>
<worksheet xmlns="http://schemas.openxmlformats.org/spreadsheetml/2006/main" xmlns:r="http://schemas.openxmlformats.org/officeDocument/2006/relationships">
  <sheetPr codeName="Sheet9"/>
  <dimension ref="A1:AG99"/>
  <sheetViews>
    <sheetView showGridLines="0" showRowColHeaders="0" tabSelected="1" topLeftCell="A11" workbookViewId="0">
      <selection activeCell="A48" sqref="A48:W48"/>
    </sheetView>
  </sheetViews>
  <sheetFormatPr defaultRowHeight="15" zeroHeight="1"/>
  <cols>
    <col min="1" max="1" width="3.7109375" style="657" customWidth="1"/>
    <col min="2" max="2" width="3" style="657" customWidth="1"/>
    <col min="3" max="4" width="4.42578125" style="657" customWidth="1"/>
    <col min="5" max="8" width="3.140625" style="657" customWidth="1"/>
    <col min="9" max="9" width="3.7109375" style="657" customWidth="1"/>
    <col min="10" max="10" width="4.42578125" style="657" customWidth="1"/>
    <col min="11" max="11" width="3.140625" style="657" customWidth="1"/>
    <col min="12" max="15" width="3.85546875" style="657" customWidth="1"/>
    <col min="16" max="16" width="3.140625" style="657" customWidth="1"/>
    <col min="17" max="17" width="4.42578125" style="657" customWidth="1"/>
    <col min="18" max="18" width="3.42578125" style="657" customWidth="1"/>
    <col min="19" max="19" width="3.5703125" style="657" customWidth="1"/>
    <col min="20" max="20" width="4.5703125" style="657" customWidth="1"/>
    <col min="21" max="21" width="5.28515625" style="657" customWidth="1"/>
    <col min="22" max="22" width="5.7109375" style="657" customWidth="1"/>
    <col min="23" max="23" width="6.42578125" style="657" customWidth="1"/>
    <col min="24" max="24" width="1.42578125" style="657" customWidth="1"/>
    <col min="25" max="25" width="2.140625" style="657" customWidth="1"/>
    <col min="26" max="26" width="27.42578125" style="657" customWidth="1"/>
    <col min="27" max="27" width="13.140625" style="657" customWidth="1"/>
    <col min="28" max="28" width="27.42578125" style="657" customWidth="1"/>
    <col min="29" max="29" width="13.28515625" style="657" customWidth="1"/>
    <col min="30" max="30" width="11.5703125" style="657" customWidth="1"/>
    <col min="31" max="31" width="2.42578125" style="657" customWidth="1"/>
    <col min="32" max="33" width="9.140625" style="657"/>
    <col min="34" max="16384" width="9.140625" style="615"/>
  </cols>
  <sheetData>
    <row r="1" spans="1:33" ht="6" customHeight="1" thickBot="1">
      <c r="A1" s="654"/>
      <c r="B1" s="655"/>
      <c r="C1" s="655"/>
      <c r="D1" s="655"/>
      <c r="E1" s="655"/>
      <c r="F1" s="655"/>
      <c r="G1" s="655"/>
      <c r="H1" s="655"/>
      <c r="I1" s="655"/>
      <c r="J1" s="655"/>
      <c r="K1" s="655"/>
      <c r="L1" s="655"/>
      <c r="M1" s="655"/>
      <c r="N1" s="655"/>
      <c r="O1" s="655"/>
      <c r="P1" s="655"/>
      <c r="Q1" s="655"/>
      <c r="R1" s="655"/>
      <c r="S1" s="655"/>
      <c r="T1" s="655"/>
      <c r="U1" s="655"/>
      <c r="V1" s="655"/>
      <c r="W1" s="656"/>
      <c r="AF1" s="615"/>
      <c r="AG1" s="615"/>
    </row>
    <row r="2" spans="1:33" ht="27.75" customHeight="1" thickBot="1">
      <c r="A2" s="1521" t="s">
        <v>658</v>
      </c>
      <c r="B2" s="1522"/>
      <c r="C2" s="1522"/>
      <c r="D2" s="1522"/>
      <c r="E2" s="1522"/>
      <c r="F2" s="1522"/>
      <c r="G2" s="1522"/>
      <c r="H2" s="1522"/>
      <c r="I2" s="1522"/>
      <c r="J2" s="1522"/>
      <c r="K2" s="1522"/>
      <c r="L2" s="1522"/>
      <c r="M2" s="1522"/>
      <c r="N2" s="1522"/>
      <c r="O2" s="1522"/>
      <c r="P2" s="1522"/>
      <c r="Q2" s="1522"/>
      <c r="R2" s="1522"/>
      <c r="S2" s="1522"/>
      <c r="T2" s="1522"/>
      <c r="U2" s="1522"/>
      <c r="V2" s="1522"/>
      <c r="W2" s="1523"/>
      <c r="X2" s="669"/>
      <c r="Y2" s="669"/>
      <c r="Z2" s="670" t="s">
        <v>713</v>
      </c>
      <c r="AA2" s="671" t="s">
        <v>870</v>
      </c>
      <c r="AB2" s="672" t="s">
        <v>713</v>
      </c>
      <c r="AC2" s="671" t="s">
        <v>870</v>
      </c>
      <c r="AD2" s="673"/>
    </row>
    <row r="3" spans="1:33" ht="21.75" customHeight="1">
      <c r="A3" s="1524" t="s">
        <v>659</v>
      </c>
      <c r="B3" s="1525"/>
      <c r="C3" s="1525"/>
      <c r="D3" s="1525"/>
      <c r="E3" s="1525"/>
      <c r="F3" s="1525"/>
      <c r="G3" s="1525"/>
      <c r="H3" s="1525"/>
      <c r="I3" s="1525"/>
      <c r="J3" s="1525"/>
      <c r="K3" s="1525"/>
      <c r="L3" s="1525"/>
      <c r="M3" s="1525"/>
      <c r="N3" s="1525"/>
      <c r="O3" s="1525"/>
      <c r="P3" s="1525"/>
      <c r="Q3" s="1525"/>
      <c r="R3" s="1525"/>
      <c r="S3" s="1525"/>
      <c r="T3" s="1525"/>
      <c r="U3" s="1525"/>
      <c r="V3" s="1525"/>
      <c r="W3" s="1526"/>
      <c r="X3" s="669"/>
      <c r="Y3" s="669"/>
      <c r="Z3" s="1536" t="s">
        <v>675</v>
      </c>
      <c r="AA3" s="1538">
        <f>AA6-AA5</f>
        <v>539580</v>
      </c>
      <c r="AB3" s="1540" t="s">
        <v>710</v>
      </c>
      <c r="AC3" s="1538">
        <f>AA3</f>
        <v>539580</v>
      </c>
      <c r="AD3" s="674"/>
    </row>
    <row r="4" spans="1:33" ht="32.25" customHeight="1">
      <c r="A4" s="675">
        <v>1</v>
      </c>
      <c r="B4" s="676" t="s">
        <v>660</v>
      </c>
      <c r="C4" s="676"/>
      <c r="D4" s="676"/>
      <c r="E4" s="676"/>
      <c r="F4" s="676"/>
      <c r="G4" s="676"/>
      <c r="H4" s="676"/>
      <c r="I4" s="676"/>
      <c r="J4" s="676"/>
      <c r="K4" s="1485" t="str">
        <f>CONCATENATE(DATA!E4,", ",DATA!M4)</f>
        <v>S.KARUNAKAR, S.A.</v>
      </c>
      <c r="L4" s="1485"/>
      <c r="M4" s="1485"/>
      <c r="N4" s="1485"/>
      <c r="O4" s="1485"/>
      <c r="P4" s="1485"/>
      <c r="Q4" s="1485"/>
      <c r="R4" s="1485"/>
      <c r="S4" s="1485"/>
      <c r="T4" s="1485"/>
      <c r="U4" s="1485"/>
      <c r="V4" s="1485"/>
      <c r="W4" s="1531"/>
      <c r="X4" s="669"/>
      <c r="Y4" s="669"/>
      <c r="Z4" s="1537"/>
      <c r="AA4" s="1539"/>
      <c r="AB4" s="1541"/>
      <c r="AC4" s="1539"/>
      <c r="AD4" s="674"/>
    </row>
    <row r="5" spans="1:33" ht="22.5" customHeight="1">
      <c r="A5" s="675"/>
      <c r="B5" s="676"/>
      <c r="C5" s="676"/>
      <c r="D5" s="676"/>
      <c r="E5" s="676"/>
      <c r="F5" s="676"/>
      <c r="G5" s="676"/>
      <c r="H5" s="676"/>
      <c r="I5" s="676"/>
      <c r="J5" s="676"/>
      <c r="K5" s="1533" t="str">
        <f>CONCATENATE(DATA!D6,", ",DATA!M5)</f>
        <v>ZPGHS SHANKARAMPET A, SHANKARAMPET A., MEDAK</v>
      </c>
      <c r="L5" s="1533"/>
      <c r="M5" s="1533"/>
      <c r="N5" s="1533"/>
      <c r="O5" s="1533"/>
      <c r="P5" s="1533"/>
      <c r="Q5" s="1533"/>
      <c r="R5" s="1533"/>
      <c r="S5" s="1533"/>
      <c r="T5" s="1533"/>
      <c r="U5" s="1533"/>
      <c r="V5" s="1533"/>
      <c r="W5" s="1534"/>
      <c r="X5" s="669"/>
      <c r="Y5" s="669"/>
      <c r="Z5" s="659" t="s">
        <v>740</v>
      </c>
      <c r="AA5" s="720">
        <f>DATA!H27</f>
        <v>0</v>
      </c>
      <c r="AB5" s="692" t="s">
        <v>740</v>
      </c>
      <c r="AC5" s="678">
        <v>0</v>
      </c>
      <c r="AD5" s="674"/>
    </row>
    <row r="6" spans="1:33" ht="22.5" customHeight="1">
      <c r="A6" s="675">
        <v>2</v>
      </c>
      <c r="B6" s="676" t="s">
        <v>661</v>
      </c>
      <c r="C6" s="676"/>
      <c r="D6" s="676"/>
      <c r="E6" s="676"/>
      <c r="F6" s="676"/>
      <c r="G6" s="676"/>
      <c r="H6" s="676"/>
      <c r="I6" s="676"/>
      <c r="J6" s="676"/>
      <c r="K6" s="1527" t="str">
        <f>DATA!M16</f>
        <v>BQOPS3738N</v>
      </c>
      <c r="L6" s="1527"/>
      <c r="M6" s="1527"/>
      <c r="N6" s="1527"/>
      <c r="O6" s="1527"/>
      <c r="P6" s="1527"/>
      <c r="Q6" s="1527"/>
      <c r="R6" s="1527"/>
      <c r="S6" s="1527"/>
      <c r="T6" s="1527"/>
      <c r="U6" s="1527"/>
      <c r="V6" s="1527"/>
      <c r="W6" s="1528"/>
      <c r="X6" s="669"/>
      <c r="Y6" s="669"/>
      <c r="Z6" s="660" t="s">
        <v>711</v>
      </c>
      <c r="AA6" s="679">
        <f>'Annexure -II'!M55</f>
        <v>539580</v>
      </c>
      <c r="AB6" s="680" t="s">
        <v>711</v>
      </c>
      <c r="AC6" s="679">
        <f>SUM(AC3:AC5)</f>
        <v>539580</v>
      </c>
      <c r="AD6" s="674"/>
    </row>
    <row r="7" spans="1:33" ht="27" customHeight="1">
      <c r="A7" s="675">
        <v>3</v>
      </c>
      <c r="B7" s="676" t="s">
        <v>662</v>
      </c>
      <c r="C7" s="676"/>
      <c r="D7" s="676"/>
      <c r="E7" s="676"/>
      <c r="F7" s="676"/>
      <c r="G7" s="676"/>
      <c r="H7" s="676"/>
      <c r="I7" s="676"/>
      <c r="J7" s="676"/>
      <c r="K7" s="1527" t="s">
        <v>696</v>
      </c>
      <c r="L7" s="1527"/>
      <c r="M7" s="1527"/>
      <c r="N7" s="1527"/>
      <c r="O7" s="1527"/>
      <c r="P7" s="1527"/>
      <c r="Q7" s="1527"/>
      <c r="R7" s="1527"/>
      <c r="S7" s="1527"/>
      <c r="T7" s="1527"/>
      <c r="U7" s="1527"/>
      <c r="V7" s="1527"/>
      <c r="W7" s="681"/>
      <c r="X7" s="669"/>
      <c r="Y7" s="669"/>
      <c r="Z7" s="661" t="s">
        <v>491</v>
      </c>
      <c r="AA7" s="682">
        <v>0</v>
      </c>
      <c r="AB7" s="683" t="s">
        <v>491</v>
      </c>
      <c r="AC7" s="682">
        <v>0</v>
      </c>
      <c r="AD7" s="674"/>
      <c r="AE7" s="653"/>
    </row>
    <row r="8" spans="1:33" ht="32.25" customHeight="1">
      <c r="A8" s="675"/>
      <c r="B8" s="1529" t="s">
        <v>858</v>
      </c>
      <c r="C8" s="1529"/>
      <c r="D8" s="1529"/>
      <c r="E8" s="1529"/>
      <c r="F8" s="1529"/>
      <c r="G8" s="1529"/>
      <c r="H8" s="1529"/>
      <c r="I8" s="1529"/>
      <c r="J8" s="1529"/>
      <c r="K8" s="1529"/>
      <c r="L8" s="1529"/>
      <c r="M8" s="1529"/>
      <c r="N8" s="1529"/>
      <c r="O8" s="1529"/>
      <c r="P8" s="1529"/>
      <c r="Q8" s="1529"/>
      <c r="R8" s="1529"/>
      <c r="S8" s="1529"/>
      <c r="T8" s="1529"/>
      <c r="U8" s="1529"/>
      <c r="V8" s="1529"/>
      <c r="W8" s="1530"/>
      <c r="X8" s="669"/>
      <c r="Y8" s="669"/>
      <c r="Z8" s="658" t="s">
        <v>718</v>
      </c>
      <c r="AA8" s="684">
        <f>'Annexure -II'!AD60</f>
        <v>12500</v>
      </c>
      <c r="AB8" s="685" t="s">
        <v>719</v>
      </c>
      <c r="AC8" s="684">
        <f>'Annexure -II'!AL60</f>
        <v>12500</v>
      </c>
      <c r="AD8" s="674"/>
      <c r="AF8" s="653"/>
    </row>
    <row r="9" spans="1:33" ht="32.25" customHeight="1">
      <c r="A9" s="675"/>
      <c r="B9" s="1529"/>
      <c r="C9" s="1529"/>
      <c r="D9" s="1529"/>
      <c r="E9" s="1529"/>
      <c r="F9" s="1529"/>
      <c r="G9" s="1529"/>
      <c r="H9" s="1529"/>
      <c r="I9" s="1529"/>
      <c r="J9" s="1529"/>
      <c r="K9" s="1529"/>
      <c r="L9" s="1529"/>
      <c r="M9" s="1529"/>
      <c r="N9" s="1529"/>
      <c r="O9" s="1529"/>
      <c r="P9" s="1529"/>
      <c r="Q9" s="1529"/>
      <c r="R9" s="1529"/>
      <c r="S9" s="1529"/>
      <c r="T9" s="1529"/>
      <c r="U9" s="1529"/>
      <c r="V9" s="1529"/>
      <c r="W9" s="1530"/>
      <c r="X9" s="669"/>
      <c r="Y9" s="669"/>
      <c r="Z9" s="662" t="s">
        <v>716</v>
      </c>
      <c r="AA9" s="684">
        <f>'Annexure -II'!AD62</f>
        <v>7916</v>
      </c>
      <c r="AB9" s="686" t="s">
        <v>720</v>
      </c>
      <c r="AC9" s="679">
        <f>'Annexure -II'!AL62</f>
        <v>7916</v>
      </c>
      <c r="AD9" s="674"/>
      <c r="AE9" s="653"/>
      <c r="AF9" s="653"/>
    </row>
    <row r="10" spans="1:33" ht="32.25" customHeight="1">
      <c r="A10" s="687">
        <v>1</v>
      </c>
      <c r="B10" s="688" t="s">
        <v>663</v>
      </c>
      <c r="C10" s="1485" t="s">
        <v>664</v>
      </c>
      <c r="D10" s="1485"/>
      <c r="E10" s="1485"/>
      <c r="F10" s="1485"/>
      <c r="G10" s="1485"/>
      <c r="H10" s="1485"/>
      <c r="I10" s="1485"/>
      <c r="J10" s="1485"/>
      <c r="K10" s="1485"/>
      <c r="L10" s="1485"/>
      <c r="M10" s="1485"/>
      <c r="N10" s="1485"/>
      <c r="O10" s="1485"/>
      <c r="P10" s="1485"/>
      <c r="Q10" s="1485"/>
      <c r="R10" s="688" t="s">
        <v>205</v>
      </c>
      <c r="S10" s="1535">
        <f>AA5</f>
        <v>0</v>
      </c>
      <c r="T10" s="1511"/>
      <c r="U10" s="1511"/>
      <c r="V10" s="1511"/>
      <c r="W10" s="689"/>
      <c r="X10" s="669"/>
      <c r="Y10" s="669"/>
      <c r="Z10" s="663" t="s">
        <v>717</v>
      </c>
      <c r="AA10" s="690">
        <f>'Annexure -II'!AD63</f>
        <v>0</v>
      </c>
      <c r="AB10" s="691" t="s">
        <v>721</v>
      </c>
      <c r="AC10" s="679">
        <f>'Annexure -II'!AL63</f>
        <v>0</v>
      </c>
      <c r="AD10" s="674"/>
    </row>
    <row r="11" spans="1:33" ht="28.5" customHeight="1">
      <c r="A11" s="687"/>
      <c r="B11" s="1486" t="s">
        <v>665</v>
      </c>
      <c r="C11" s="1485" t="s">
        <v>666</v>
      </c>
      <c r="D11" s="1485"/>
      <c r="E11" s="1485"/>
      <c r="F11" s="1485"/>
      <c r="G11" s="1485"/>
      <c r="H11" s="1485"/>
      <c r="I11" s="1485"/>
      <c r="J11" s="1485"/>
      <c r="K11" s="1485"/>
      <c r="L11" s="1485"/>
      <c r="M11" s="1485"/>
      <c r="N11" s="1485"/>
      <c r="O11" s="1485"/>
      <c r="P11" s="1485"/>
      <c r="Q11" s="1485"/>
      <c r="R11" s="1486" t="s">
        <v>205</v>
      </c>
      <c r="S11" s="1532" t="s">
        <v>694</v>
      </c>
      <c r="T11" s="1532"/>
      <c r="U11" s="1532"/>
      <c r="V11" s="1532"/>
      <c r="W11" s="689"/>
      <c r="X11" s="669"/>
      <c r="Y11" s="669"/>
      <c r="Z11" s="664" t="s">
        <v>712</v>
      </c>
      <c r="AA11" s="690">
        <f>'Annexure -II'!AD65</f>
        <v>0</v>
      </c>
      <c r="AB11" s="692" t="s">
        <v>712</v>
      </c>
      <c r="AC11" s="690">
        <f>'Annexure -II'!AL65</f>
        <v>0</v>
      </c>
      <c r="AD11" s="674"/>
    </row>
    <row r="12" spans="1:33" ht="28.5" customHeight="1">
      <c r="A12" s="687"/>
      <c r="B12" s="1486"/>
      <c r="C12" s="1485"/>
      <c r="D12" s="1485"/>
      <c r="E12" s="1485"/>
      <c r="F12" s="1485"/>
      <c r="G12" s="1485"/>
      <c r="H12" s="1485"/>
      <c r="I12" s="1485"/>
      <c r="J12" s="1485"/>
      <c r="K12" s="1485"/>
      <c r="L12" s="1485"/>
      <c r="M12" s="1485"/>
      <c r="N12" s="1485"/>
      <c r="O12" s="1485"/>
      <c r="P12" s="1485"/>
      <c r="Q12" s="1485"/>
      <c r="R12" s="1486"/>
      <c r="S12" s="1532"/>
      <c r="T12" s="1532"/>
      <c r="U12" s="1532"/>
      <c r="V12" s="1532"/>
      <c r="W12" s="689"/>
      <c r="X12" s="669"/>
      <c r="Y12" s="669"/>
      <c r="Z12" s="665" t="s">
        <v>157</v>
      </c>
      <c r="AA12" s="693">
        <f>SUM(AA8:AA10)-AA11</f>
        <v>20416</v>
      </c>
      <c r="AB12" s="694" t="s">
        <v>157</v>
      </c>
      <c r="AC12" s="693">
        <f>SUM(AC8:AC10)-AC11</f>
        <v>20416</v>
      </c>
      <c r="AD12" s="695"/>
    </row>
    <row r="13" spans="1:33" ht="27" customHeight="1">
      <c r="A13" s="687"/>
      <c r="B13" s="1486" t="s">
        <v>667</v>
      </c>
      <c r="C13" s="1485" t="s">
        <v>668</v>
      </c>
      <c r="D13" s="1485"/>
      <c r="E13" s="1485"/>
      <c r="F13" s="1485"/>
      <c r="G13" s="1485"/>
      <c r="H13" s="1485"/>
      <c r="I13" s="1485"/>
      <c r="J13" s="1485"/>
      <c r="K13" s="1485"/>
      <c r="L13" s="1485"/>
      <c r="M13" s="1485"/>
      <c r="N13" s="1485"/>
      <c r="O13" s="1485"/>
      <c r="P13" s="1485"/>
      <c r="Q13" s="1485"/>
      <c r="R13" s="1486" t="s">
        <v>205</v>
      </c>
      <c r="S13" s="1532" t="s">
        <v>694</v>
      </c>
      <c r="T13" s="1532"/>
      <c r="U13" s="1532"/>
      <c r="V13" s="1532"/>
      <c r="W13" s="689"/>
      <c r="X13" s="669"/>
      <c r="Y13" s="669"/>
      <c r="Z13" s="666" t="s">
        <v>762</v>
      </c>
      <c r="AA13" s="696">
        <f>ROUND(AA12*4%,0.1)</f>
        <v>817</v>
      </c>
      <c r="AB13" s="697" t="s">
        <v>762</v>
      </c>
      <c r="AC13" s="696">
        <f>ROUND(AC12*4%,0.1)</f>
        <v>817</v>
      </c>
      <c r="AD13" s="695"/>
    </row>
    <row r="14" spans="1:33" ht="27" customHeight="1" thickBot="1">
      <c r="A14" s="687"/>
      <c r="B14" s="1486"/>
      <c r="C14" s="1485"/>
      <c r="D14" s="1485"/>
      <c r="E14" s="1485"/>
      <c r="F14" s="1485"/>
      <c r="G14" s="1485"/>
      <c r="H14" s="1485"/>
      <c r="I14" s="1485"/>
      <c r="J14" s="1485"/>
      <c r="K14" s="1485"/>
      <c r="L14" s="1485"/>
      <c r="M14" s="1485"/>
      <c r="N14" s="1485"/>
      <c r="O14" s="1485"/>
      <c r="P14" s="1485"/>
      <c r="Q14" s="1485"/>
      <c r="R14" s="1486"/>
      <c r="S14" s="1532"/>
      <c r="T14" s="1532"/>
      <c r="U14" s="1532"/>
      <c r="V14" s="1532"/>
      <c r="W14" s="689"/>
      <c r="X14" s="669"/>
      <c r="Y14" s="669"/>
      <c r="Z14" s="667"/>
      <c r="AA14" s="698"/>
      <c r="AB14" s="699"/>
      <c r="AC14" s="698"/>
      <c r="AD14" s="695"/>
    </row>
    <row r="15" spans="1:33" ht="36" customHeight="1" thickBot="1">
      <c r="A15" s="687"/>
      <c r="B15" s="1486"/>
      <c r="C15" s="1485"/>
      <c r="D15" s="1485"/>
      <c r="E15" s="1485"/>
      <c r="F15" s="1485"/>
      <c r="G15" s="1485"/>
      <c r="H15" s="1485"/>
      <c r="I15" s="1485"/>
      <c r="J15" s="1485"/>
      <c r="K15" s="1485"/>
      <c r="L15" s="1485"/>
      <c r="M15" s="1485"/>
      <c r="N15" s="1485"/>
      <c r="O15" s="1485"/>
      <c r="P15" s="1485"/>
      <c r="Q15" s="1485"/>
      <c r="R15" s="1486"/>
      <c r="S15" s="1532"/>
      <c r="T15" s="1532"/>
      <c r="U15" s="1532"/>
      <c r="V15" s="1532"/>
      <c r="W15" s="689"/>
      <c r="X15" s="669"/>
      <c r="Y15" s="669"/>
      <c r="Z15" s="668" t="s">
        <v>715</v>
      </c>
      <c r="AA15" s="700">
        <f>SUM(AA12:AA14)</f>
        <v>21233</v>
      </c>
      <c r="AB15" s="701" t="s">
        <v>715</v>
      </c>
      <c r="AC15" s="700">
        <f>SUM(AC12:AC14)</f>
        <v>21233</v>
      </c>
      <c r="AD15" s="723">
        <f>AA15-AC15</f>
        <v>0</v>
      </c>
    </row>
    <row r="16" spans="1:33" ht="3" customHeight="1" thickBot="1">
      <c r="A16" s="687"/>
      <c r="B16" s="688"/>
      <c r="C16" s="688"/>
      <c r="D16" s="688"/>
      <c r="E16" s="688"/>
      <c r="F16" s="688"/>
      <c r="G16" s="688"/>
      <c r="H16" s="688"/>
      <c r="I16" s="688"/>
      <c r="J16" s="688"/>
      <c r="K16" s="688"/>
      <c r="L16" s="688"/>
      <c r="M16" s="688"/>
      <c r="N16" s="688"/>
      <c r="O16" s="688"/>
      <c r="P16" s="688"/>
      <c r="Q16" s="688"/>
      <c r="R16" s="688"/>
      <c r="S16" s="1532"/>
      <c r="T16" s="1532"/>
      <c r="U16" s="1532"/>
      <c r="V16" s="1532"/>
      <c r="W16" s="689"/>
      <c r="X16" s="669"/>
      <c r="Y16" s="669"/>
      <c r="Z16" s="702"/>
      <c r="AA16" s="703"/>
      <c r="AB16" s="703"/>
      <c r="AC16" s="703"/>
      <c r="AD16" s="695"/>
    </row>
    <row r="17" spans="1:30" ht="39.75" customHeight="1" thickBot="1">
      <c r="A17" s="687"/>
      <c r="B17" s="688" t="s">
        <v>669</v>
      </c>
      <c r="C17" s="1485" t="s">
        <v>670</v>
      </c>
      <c r="D17" s="1485"/>
      <c r="E17" s="1485"/>
      <c r="F17" s="1485"/>
      <c r="G17" s="1485"/>
      <c r="H17" s="1485"/>
      <c r="I17" s="1485"/>
      <c r="J17" s="1485"/>
      <c r="K17" s="1485"/>
      <c r="L17" s="1485"/>
      <c r="M17" s="1485"/>
      <c r="N17" s="1485"/>
      <c r="O17" s="1485"/>
      <c r="P17" s="1485"/>
      <c r="Q17" s="1485"/>
      <c r="R17" s="688" t="s">
        <v>205</v>
      </c>
      <c r="S17" s="1532" t="s">
        <v>694</v>
      </c>
      <c r="T17" s="1532"/>
      <c r="U17" s="1532"/>
      <c r="V17" s="1532"/>
      <c r="W17" s="689"/>
      <c r="X17" s="669"/>
      <c r="Y17" s="669"/>
      <c r="Z17" s="670" t="s">
        <v>713</v>
      </c>
      <c r="AA17" s="671" t="s">
        <v>761</v>
      </c>
      <c r="AB17" s="672" t="s">
        <v>713</v>
      </c>
      <c r="AC17" s="671" t="s">
        <v>761</v>
      </c>
      <c r="AD17" s="1558" t="s">
        <v>731</v>
      </c>
    </row>
    <row r="18" spans="1:30" ht="38.25" customHeight="1">
      <c r="A18" s="687">
        <v>2</v>
      </c>
      <c r="B18" s="688"/>
      <c r="C18" s="1485" t="s">
        <v>671</v>
      </c>
      <c r="D18" s="1485"/>
      <c r="E18" s="1485"/>
      <c r="F18" s="1485"/>
      <c r="G18" s="1485"/>
      <c r="H18" s="1485"/>
      <c r="I18" s="1485"/>
      <c r="J18" s="1485"/>
      <c r="K18" s="1485"/>
      <c r="L18" s="1485"/>
      <c r="M18" s="1485"/>
      <c r="N18" s="1485"/>
      <c r="O18" s="1485"/>
      <c r="P18" s="1485"/>
      <c r="Q18" s="1485"/>
      <c r="R18" s="688"/>
      <c r="S18" s="1532" t="s">
        <v>672</v>
      </c>
      <c r="T18" s="1532"/>
      <c r="U18" s="1532"/>
      <c r="V18" s="1532"/>
      <c r="W18" s="689"/>
      <c r="X18" s="669"/>
      <c r="Y18" s="669"/>
      <c r="Z18" s="704" t="s">
        <v>710</v>
      </c>
      <c r="AA18" s="678">
        <f>AC18</f>
        <v>0</v>
      </c>
      <c r="AB18" s="705" t="s">
        <v>710</v>
      </c>
      <c r="AC18" s="678">
        <f>'Annexure -II'!AS58</f>
        <v>0</v>
      </c>
      <c r="AD18" s="1559"/>
    </row>
    <row r="19" spans="1:30" ht="21" customHeight="1">
      <c r="A19" s="706"/>
      <c r="B19" s="688"/>
      <c r="C19" s="688"/>
      <c r="D19" s="688"/>
      <c r="E19" s="688"/>
      <c r="F19" s="688"/>
      <c r="G19" s="688"/>
      <c r="H19" s="688"/>
      <c r="I19" s="688"/>
      <c r="J19" s="688"/>
      <c r="K19" s="688"/>
      <c r="L19" s="688"/>
      <c r="M19" s="688"/>
      <c r="N19" s="688"/>
      <c r="O19" s="707"/>
      <c r="P19" s="707"/>
      <c r="Q19" s="707"/>
      <c r="R19" s="707"/>
      <c r="S19" s="707"/>
      <c r="T19" s="707"/>
      <c r="U19" s="707"/>
      <c r="V19" s="707"/>
      <c r="W19" s="689"/>
      <c r="X19" s="669"/>
      <c r="Y19" s="669"/>
      <c r="Z19" s="659" t="s">
        <v>740</v>
      </c>
      <c r="AA19" s="720">
        <f>'Annexure -II'!AT58</f>
        <v>0</v>
      </c>
      <c r="AB19" s="692" t="s">
        <v>740</v>
      </c>
      <c r="AC19" s="677">
        <f>'10E'!S24</f>
        <v>0</v>
      </c>
      <c r="AD19" s="1559"/>
    </row>
    <row r="20" spans="1:30" ht="21" customHeight="1">
      <c r="A20" s="1542" t="s">
        <v>608</v>
      </c>
      <c r="B20" s="1543"/>
      <c r="C20" s="1543"/>
      <c r="D20" s="1543"/>
      <c r="E20" s="1543"/>
      <c r="F20" s="1543"/>
      <c r="G20" s="1543"/>
      <c r="H20" s="1543"/>
      <c r="I20" s="1543"/>
      <c r="J20" s="1543"/>
      <c r="K20" s="1543"/>
      <c r="L20" s="1543"/>
      <c r="M20" s="1543"/>
      <c r="N20" s="1543"/>
      <c r="O20" s="1543"/>
      <c r="P20" s="1543"/>
      <c r="Q20" s="1543"/>
      <c r="R20" s="1543"/>
      <c r="S20" s="1543"/>
      <c r="T20" s="1543"/>
      <c r="U20" s="1543"/>
      <c r="V20" s="1543"/>
      <c r="W20" s="1544"/>
      <c r="X20" s="669"/>
      <c r="Y20" s="669"/>
      <c r="Z20" s="660" t="s">
        <v>711</v>
      </c>
      <c r="AA20" s="679">
        <f>SUM(AA18:AA19)</f>
        <v>0</v>
      </c>
      <c r="AB20" s="680" t="s">
        <v>711</v>
      </c>
      <c r="AC20" s="679">
        <f>SUM(AC18:AC19)</f>
        <v>0</v>
      </c>
      <c r="AD20" s="1559"/>
    </row>
    <row r="21" spans="1:30" ht="21" customHeight="1">
      <c r="A21" s="706"/>
      <c r="B21" s="688"/>
      <c r="C21" s="688"/>
      <c r="D21" s="688"/>
      <c r="E21" s="688"/>
      <c r="F21" s="688"/>
      <c r="G21" s="688"/>
      <c r="H21" s="688"/>
      <c r="I21" s="688"/>
      <c r="J21" s="688"/>
      <c r="K21" s="688"/>
      <c r="L21" s="688"/>
      <c r="M21" s="688"/>
      <c r="N21" s="688"/>
      <c r="O21" s="688"/>
      <c r="P21" s="688"/>
      <c r="Q21" s="688"/>
      <c r="R21" s="688"/>
      <c r="S21" s="688"/>
      <c r="T21" s="688"/>
      <c r="U21" s="688"/>
      <c r="V21" s="688"/>
      <c r="W21" s="689"/>
      <c r="X21" s="669"/>
      <c r="Y21" s="669"/>
      <c r="Z21" s="661" t="s">
        <v>491</v>
      </c>
      <c r="AA21" s="682">
        <v>0</v>
      </c>
      <c r="AB21" s="683" t="s">
        <v>491</v>
      </c>
      <c r="AC21" s="682">
        <v>0</v>
      </c>
      <c r="AD21" s="1559"/>
    </row>
    <row r="22" spans="1:30" ht="28.5" customHeight="1">
      <c r="A22" s="706"/>
      <c r="B22" s="1545" t="str">
        <f>CONCATENATE("I ",DATA!E4," do here by declare that what is stated above is true to the best of my knowledge and belief. Verified today.")</f>
        <v>I S.KARUNAKAR do here by declare that what is stated above is true to the best of my knowledge and belief. Verified today.</v>
      </c>
      <c r="C22" s="1546"/>
      <c r="D22" s="1546"/>
      <c r="E22" s="1546"/>
      <c r="F22" s="1546"/>
      <c r="G22" s="1546"/>
      <c r="H22" s="1546"/>
      <c r="I22" s="1546"/>
      <c r="J22" s="1546"/>
      <c r="K22" s="1546"/>
      <c r="L22" s="1546"/>
      <c r="M22" s="1546"/>
      <c r="N22" s="1546"/>
      <c r="O22" s="1546"/>
      <c r="P22" s="1546"/>
      <c r="Q22" s="1546"/>
      <c r="R22" s="1546"/>
      <c r="S22" s="1546"/>
      <c r="T22" s="1546"/>
      <c r="U22" s="1546"/>
      <c r="V22" s="1546"/>
      <c r="W22" s="1547"/>
      <c r="X22" s="669"/>
      <c r="Y22" s="669"/>
      <c r="Z22" s="658" t="s">
        <v>726</v>
      </c>
      <c r="AA22" s="684">
        <f>'Annexure -II'!AY60</f>
        <v>0</v>
      </c>
      <c r="AB22" s="685" t="s">
        <v>723</v>
      </c>
      <c r="AC22" s="684">
        <f>'Annexure -II'!BG60</f>
        <v>0</v>
      </c>
      <c r="AD22" s="1559"/>
    </row>
    <row r="23" spans="1:30" ht="30">
      <c r="A23" s="706"/>
      <c r="B23" s="1546"/>
      <c r="C23" s="1546"/>
      <c r="D23" s="1546"/>
      <c r="E23" s="1546"/>
      <c r="F23" s="1546"/>
      <c r="G23" s="1546"/>
      <c r="H23" s="1546"/>
      <c r="I23" s="1546"/>
      <c r="J23" s="1546"/>
      <c r="K23" s="1546"/>
      <c r="L23" s="1546"/>
      <c r="M23" s="1546"/>
      <c r="N23" s="1546"/>
      <c r="O23" s="1546"/>
      <c r="P23" s="1546"/>
      <c r="Q23" s="1546"/>
      <c r="R23" s="1546"/>
      <c r="S23" s="1546"/>
      <c r="T23" s="1546"/>
      <c r="U23" s="1546"/>
      <c r="V23" s="1546"/>
      <c r="W23" s="1547"/>
      <c r="X23" s="669"/>
      <c r="Y23" s="669"/>
      <c r="Z23" s="662" t="s">
        <v>734</v>
      </c>
      <c r="AA23" s="684">
        <f>'Annexure -II'!AY62</f>
        <v>0</v>
      </c>
      <c r="AB23" s="686" t="s">
        <v>724</v>
      </c>
      <c r="AC23" s="679">
        <f>'Annexure -II'!BG62</f>
        <v>0</v>
      </c>
      <c r="AD23" s="1559"/>
    </row>
    <row r="24" spans="1:30" ht="32.25" customHeight="1">
      <c r="A24" s="708" t="s">
        <v>676</v>
      </c>
      <c r="B24" s="707"/>
      <c r="C24" s="707"/>
      <c r="D24" s="707"/>
      <c r="E24" s="709" t="s">
        <v>676</v>
      </c>
      <c r="F24" s="709"/>
      <c r="G24" s="709"/>
      <c r="H24" s="709"/>
      <c r="I24" s="709"/>
      <c r="J24" s="709"/>
      <c r="K24" s="688"/>
      <c r="L24" s="688"/>
      <c r="M24" s="688"/>
      <c r="N24" s="688"/>
      <c r="O24" s="688"/>
      <c r="P24" s="688"/>
      <c r="Q24" s="688"/>
      <c r="R24" s="688"/>
      <c r="S24" s="688"/>
      <c r="T24" s="688"/>
      <c r="U24" s="688"/>
      <c r="V24" s="688"/>
      <c r="W24" s="689"/>
      <c r="X24" s="669"/>
      <c r="Y24" s="669"/>
      <c r="Z24" s="663" t="s">
        <v>735</v>
      </c>
      <c r="AA24" s="684">
        <f>'Annexure -II'!AY63</f>
        <v>0</v>
      </c>
      <c r="AB24" s="691" t="s">
        <v>725</v>
      </c>
      <c r="AC24" s="679">
        <f>'Annexure -II'!BG63</f>
        <v>0</v>
      </c>
      <c r="AD24" s="1559"/>
    </row>
    <row r="25" spans="1:30" ht="20.25" customHeight="1">
      <c r="A25" s="1484" t="s">
        <v>695</v>
      </c>
      <c r="B25" s="1485"/>
      <c r="C25" s="1485" t="str">
        <f>DATA!D6</f>
        <v>ZPGHS SHANKARAMPET A</v>
      </c>
      <c r="D25" s="1485"/>
      <c r="E25" s="1485"/>
      <c r="F25" s="1485"/>
      <c r="G25" s="1485"/>
      <c r="H25" s="1485"/>
      <c r="I25" s="1485"/>
      <c r="J25" s="1485"/>
      <c r="K25" s="1485"/>
      <c r="L25" s="1485"/>
      <c r="M25" s="1485"/>
      <c r="N25" s="1485"/>
      <c r="O25" s="1485"/>
      <c r="P25" s="1485"/>
      <c r="Q25" s="688"/>
      <c r="R25" s="688"/>
      <c r="S25" s="688"/>
      <c r="T25" s="688"/>
      <c r="U25" s="688"/>
      <c r="V25" s="688"/>
      <c r="W25" s="689"/>
      <c r="X25" s="669"/>
      <c r="Y25" s="669"/>
      <c r="Z25" s="664" t="s">
        <v>712</v>
      </c>
      <c r="AA25" s="690">
        <f>'Annexure -II'!AY65</f>
        <v>0</v>
      </c>
      <c r="AB25" s="692" t="s">
        <v>712</v>
      </c>
      <c r="AC25" s="690">
        <f>'Annexure -II'!BG65</f>
        <v>0</v>
      </c>
      <c r="AD25" s="1559"/>
    </row>
    <row r="26" spans="1:30" ht="24" customHeight="1">
      <c r="A26" s="1484" t="s">
        <v>352</v>
      </c>
      <c r="B26" s="1485"/>
      <c r="C26" s="1488">
        <f ca="1">TODAY()</f>
        <v>43884</v>
      </c>
      <c r="D26" s="1485"/>
      <c r="E26" s="1485"/>
      <c r="F26" s="1485"/>
      <c r="G26" s="1485"/>
      <c r="H26" s="703"/>
      <c r="I26" s="703"/>
      <c r="J26" s="703"/>
      <c r="K26" s="703"/>
      <c r="L26" s="703"/>
      <c r="M26" s="703"/>
      <c r="N26" s="703"/>
      <c r="O26" s="703"/>
      <c r="P26" s="703"/>
      <c r="Q26" s="688"/>
      <c r="R26" s="688"/>
      <c r="S26" s="688"/>
      <c r="T26" s="688"/>
      <c r="U26" s="688"/>
      <c r="V26" s="688"/>
      <c r="W26" s="689"/>
      <c r="X26" s="669"/>
      <c r="Y26" s="669"/>
      <c r="Z26" s="665" t="s">
        <v>157</v>
      </c>
      <c r="AA26" s="693">
        <f>SUM(AA21:AA24)-AA25</f>
        <v>0</v>
      </c>
      <c r="AB26" s="694" t="s">
        <v>157</v>
      </c>
      <c r="AC26" s="693">
        <f>SUM(AC21:AC24)-AC25</f>
        <v>0</v>
      </c>
      <c r="AD26" s="1559"/>
    </row>
    <row r="27" spans="1:30" ht="20.25" customHeight="1">
      <c r="A27" s="710"/>
      <c r="B27" s="711"/>
      <c r="C27" s="688"/>
      <c r="D27" s="688"/>
      <c r="E27" s="688"/>
      <c r="F27" s="688"/>
      <c r="G27" s="688"/>
      <c r="H27" s="688"/>
      <c r="I27" s="688"/>
      <c r="J27" s="688"/>
      <c r="K27" s="688"/>
      <c r="L27" s="688"/>
      <c r="M27" s="688"/>
      <c r="N27" s="688"/>
      <c r="O27" s="688"/>
      <c r="P27" s="688"/>
      <c r="Q27" s="688"/>
      <c r="R27" s="1486" t="s">
        <v>697</v>
      </c>
      <c r="S27" s="1486"/>
      <c r="T27" s="1486"/>
      <c r="U27" s="1486"/>
      <c r="V27" s="1486"/>
      <c r="W27" s="1487"/>
      <c r="X27" s="669"/>
      <c r="Y27" s="669"/>
      <c r="Z27" s="666" t="s">
        <v>762</v>
      </c>
      <c r="AA27" s="851">
        <f>ROUND(AA26*4%,0.1)</f>
        <v>0</v>
      </c>
      <c r="AB27" s="666" t="s">
        <v>762</v>
      </c>
      <c r="AC27" s="851">
        <f>ROUND(AC26*4%,0.1)</f>
        <v>0</v>
      </c>
      <c r="AD27" s="1559"/>
    </row>
    <row r="28" spans="1:30" ht="4.5" customHeight="1">
      <c r="A28" s="702"/>
      <c r="B28" s="703"/>
      <c r="C28" s="703"/>
      <c r="D28" s="703"/>
      <c r="E28" s="703"/>
      <c r="F28" s="703"/>
      <c r="G28" s="703"/>
      <c r="H28" s="707"/>
      <c r="I28" s="707"/>
      <c r="J28" s="707"/>
      <c r="K28" s="707"/>
      <c r="L28" s="707"/>
      <c r="M28" s="707"/>
      <c r="N28" s="688"/>
      <c r="O28" s="703"/>
      <c r="P28" s="707"/>
      <c r="Q28" s="707"/>
      <c r="R28" s="703"/>
      <c r="S28" s="703"/>
      <c r="T28" s="703"/>
      <c r="U28" s="703"/>
      <c r="V28" s="703"/>
      <c r="W28" s="695"/>
      <c r="X28" s="669"/>
      <c r="Y28" s="669"/>
      <c r="Z28" s="1548"/>
      <c r="AA28" s="1550"/>
      <c r="AB28" s="1552"/>
      <c r="AC28" s="1550"/>
      <c r="AD28" s="1559"/>
    </row>
    <row r="29" spans="1:30" ht="21.75" customHeight="1" thickBot="1">
      <c r="A29" s="712"/>
      <c r="B29" s="713"/>
      <c r="C29" s="713"/>
      <c r="D29" s="713"/>
      <c r="E29" s="713"/>
      <c r="F29" s="713"/>
      <c r="G29" s="713"/>
      <c r="H29" s="713"/>
      <c r="I29" s="713"/>
      <c r="J29" s="713"/>
      <c r="K29" s="713"/>
      <c r="L29" s="713"/>
      <c r="M29" s="713"/>
      <c r="N29" s="713"/>
      <c r="O29" s="713"/>
      <c r="P29" s="713"/>
      <c r="Q29" s="713"/>
      <c r="R29" s="713"/>
      <c r="S29" s="713"/>
      <c r="T29" s="713"/>
      <c r="U29" s="713"/>
      <c r="V29" s="713"/>
      <c r="W29" s="714"/>
      <c r="X29" s="669"/>
      <c r="Y29" s="669"/>
      <c r="Z29" s="1549"/>
      <c r="AA29" s="1551"/>
      <c r="AB29" s="1553"/>
      <c r="AC29" s="1551"/>
      <c r="AD29" s="1559"/>
    </row>
    <row r="30" spans="1:30" ht="26.25" customHeight="1" thickBot="1">
      <c r="A30" s="1563" t="str">
        <f>'Form 16 Page2'!B62</f>
        <v xml:space="preserve">Programme Developed by : www.putta.in </v>
      </c>
      <c r="B30" s="1563"/>
      <c r="C30" s="1563"/>
      <c r="D30" s="1563"/>
      <c r="E30" s="1563"/>
      <c r="F30" s="1563"/>
      <c r="G30" s="1563"/>
      <c r="H30" s="1563"/>
      <c r="I30" s="1563"/>
      <c r="J30" s="1563"/>
      <c r="K30" s="1563"/>
      <c r="L30" s="1563"/>
      <c r="M30" s="1563"/>
      <c r="N30" s="1563"/>
      <c r="O30" s="1563"/>
      <c r="P30" s="1563"/>
      <c r="Q30" s="1563"/>
      <c r="R30" s="1563"/>
      <c r="S30" s="1563"/>
      <c r="T30" s="1563"/>
      <c r="U30" s="1563"/>
      <c r="V30" s="1563"/>
      <c r="W30" s="1563"/>
      <c r="X30" s="669"/>
      <c r="Y30" s="669"/>
      <c r="Z30" s="668" t="s">
        <v>715</v>
      </c>
      <c r="AA30" s="700">
        <f>SUM(AA26:AA29)</f>
        <v>0</v>
      </c>
      <c r="AB30" s="701" t="s">
        <v>715</v>
      </c>
      <c r="AC30" s="700">
        <f>SUM(AC26:AC29)</f>
        <v>0</v>
      </c>
      <c r="AD30" s="723">
        <f>AA30-AC30</f>
        <v>0</v>
      </c>
    </row>
    <row r="31" spans="1:30" ht="15.75" thickBot="1">
      <c r="A31" s="688"/>
      <c r="B31" s="688"/>
      <c r="C31" s="688"/>
      <c r="D31" s="688"/>
      <c r="E31" s="688"/>
      <c r="F31" s="688"/>
      <c r="G31" s="688"/>
      <c r="H31" s="688"/>
      <c r="I31" s="688"/>
      <c r="J31" s="688"/>
      <c r="K31" s="688"/>
      <c r="L31" s="688"/>
      <c r="M31" s="688"/>
      <c r="N31" s="688"/>
      <c r="O31" s="688"/>
      <c r="P31" s="688"/>
      <c r="Q31" s="688"/>
      <c r="R31" s="688"/>
      <c r="S31" s="688"/>
      <c r="T31" s="688"/>
      <c r="U31" s="688"/>
      <c r="V31" s="688"/>
      <c r="W31" s="688"/>
      <c r="X31" s="669"/>
      <c r="Y31" s="669"/>
      <c r="Z31" s="702"/>
      <c r="AA31" s="703"/>
      <c r="AB31" s="703"/>
      <c r="AC31" s="703"/>
      <c r="AD31" s="695"/>
    </row>
    <row r="32" spans="1:30" ht="21" customHeight="1" thickBot="1">
      <c r="A32" s="1564" t="s">
        <v>698</v>
      </c>
      <c r="B32" s="1565"/>
      <c r="C32" s="1565"/>
      <c r="D32" s="1565"/>
      <c r="E32" s="1565"/>
      <c r="F32" s="1565"/>
      <c r="G32" s="1565"/>
      <c r="H32" s="1565"/>
      <c r="I32" s="1565"/>
      <c r="J32" s="1565"/>
      <c r="K32" s="1565"/>
      <c r="L32" s="1565"/>
      <c r="M32" s="1565"/>
      <c r="N32" s="1565"/>
      <c r="O32" s="1565"/>
      <c r="P32" s="1565"/>
      <c r="Q32" s="1565"/>
      <c r="R32" s="1565"/>
      <c r="S32" s="1565"/>
      <c r="T32" s="1565"/>
      <c r="U32" s="1565"/>
      <c r="V32" s="1565"/>
      <c r="W32" s="1566"/>
      <c r="X32" s="669"/>
      <c r="Y32" s="669"/>
      <c r="Z32" s="702"/>
      <c r="AA32" s="703"/>
      <c r="AB32" s="703"/>
      <c r="AC32" s="703"/>
      <c r="AD32" s="695"/>
    </row>
    <row r="33" spans="1:30" ht="24" customHeight="1" thickBot="1">
      <c r="A33" s="1567" t="s">
        <v>673</v>
      </c>
      <c r="B33" s="1486"/>
      <c r="C33" s="1486"/>
      <c r="D33" s="1486"/>
      <c r="E33" s="1486"/>
      <c r="F33" s="1486"/>
      <c r="G33" s="1486"/>
      <c r="H33" s="1486"/>
      <c r="I33" s="1486"/>
      <c r="J33" s="1486"/>
      <c r="K33" s="1486"/>
      <c r="L33" s="1486"/>
      <c r="M33" s="1486"/>
      <c r="N33" s="1486"/>
      <c r="O33" s="1486"/>
      <c r="P33" s="1486"/>
      <c r="Q33" s="1486"/>
      <c r="R33" s="1486"/>
      <c r="S33" s="1486"/>
      <c r="T33" s="1486"/>
      <c r="U33" s="1486"/>
      <c r="V33" s="1486"/>
      <c r="W33" s="1487"/>
      <c r="X33" s="669"/>
      <c r="Y33" s="669"/>
      <c r="Z33" s="670" t="s">
        <v>713</v>
      </c>
      <c r="AA33" s="671" t="s">
        <v>773</v>
      </c>
      <c r="AB33" s="672" t="s">
        <v>713</v>
      </c>
      <c r="AC33" s="671" t="s">
        <v>773</v>
      </c>
      <c r="AD33" s="1558" t="s">
        <v>731</v>
      </c>
    </row>
    <row r="34" spans="1:30" ht="24" customHeight="1">
      <c r="A34" s="1568" t="s">
        <v>674</v>
      </c>
      <c r="B34" s="1569"/>
      <c r="C34" s="1569"/>
      <c r="D34" s="1569"/>
      <c r="E34" s="1569"/>
      <c r="F34" s="1569"/>
      <c r="G34" s="1569"/>
      <c r="H34" s="1569"/>
      <c r="I34" s="1569"/>
      <c r="J34" s="1569"/>
      <c r="K34" s="1569"/>
      <c r="L34" s="1569"/>
      <c r="M34" s="1569"/>
      <c r="N34" s="1569"/>
      <c r="O34" s="1569"/>
      <c r="P34" s="1569"/>
      <c r="Q34" s="1569"/>
      <c r="R34" s="1569"/>
      <c r="S34" s="1569"/>
      <c r="T34" s="1569"/>
      <c r="U34" s="1569"/>
      <c r="V34" s="1569"/>
      <c r="W34" s="1570"/>
      <c r="X34" s="669"/>
      <c r="Y34" s="669"/>
      <c r="Z34" s="704" t="s">
        <v>710</v>
      </c>
      <c r="AA34" s="678">
        <f>AC34</f>
        <v>0</v>
      </c>
      <c r="AB34" s="705" t="s">
        <v>710</v>
      </c>
      <c r="AC34" s="678">
        <f>'Annexure -II'!BN58</f>
        <v>0</v>
      </c>
      <c r="AD34" s="1559"/>
    </row>
    <row r="35" spans="1:30" ht="24" customHeight="1">
      <c r="A35" s="715">
        <v>1</v>
      </c>
      <c r="B35" s="1494" t="s">
        <v>675</v>
      </c>
      <c r="C35" s="1494"/>
      <c r="D35" s="1494"/>
      <c r="E35" s="1494"/>
      <c r="F35" s="1494"/>
      <c r="G35" s="1494"/>
      <c r="H35" s="1494"/>
      <c r="I35" s="1494"/>
      <c r="J35" s="1494"/>
      <c r="K35" s="1494"/>
      <c r="L35" s="1494"/>
      <c r="M35" s="1494"/>
      <c r="N35" s="1494"/>
      <c r="O35" s="1494"/>
      <c r="P35" s="1494"/>
      <c r="Q35" s="1494"/>
      <c r="R35" s="1494"/>
      <c r="S35" s="716" t="s">
        <v>205</v>
      </c>
      <c r="T35" s="1495">
        <f>T37-T36</f>
        <v>539580</v>
      </c>
      <c r="U35" s="1495"/>
      <c r="V35" s="1495"/>
      <c r="W35" s="1496"/>
      <c r="X35" s="669"/>
      <c r="Y35" s="669"/>
      <c r="Z35" s="659" t="s">
        <v>740</v>
      </c>
      <c r="AA35" s="720">
        <f>'Annexure -II'!BO58</f>
        <v>0</v>
      </c>
      <c r="AB35" s="692" t="s">
        <v>740</v>
      </c>
      <c r="AC35" s="677">
        <v>0</v>
      </c>
      <c r="AD35" s="1559"/>
    </row>
    <row r="36" spans="1:30" ht="33" customHeight="1">
      <c r="A36" s="715">
        <v>2</v>
      </c>
      <c r="B36" s="1494" t="s">
        <v>677</v>
      </c>
      <c r="C36" s="1494"/>
      <c r="D36" s="1494"/>
      <c r="E36" s="1494"/>
      <c r="F36" s="1494"/>
      <c r="G36" s="1494"/>
      <c r="H36" s="1494"/>
      <c r="I36" s="1494"/>
      <c r="J36" s="1494"/>
      <c r="K36" s="1494"/>
      <c r="L36" s="1494"/>
      <c r="M36" s="1494"/>
      <c r="N36" s="1494"/>
      <c r="O36" s="1494"/>
      <c r="P36" s="1494"/>
      <c r="Q36" s="1494"/>
      <c r="R36" s="1494"/>
      <c r="S36" s="716" t="s">
        <v>205</v>
      </c>
      <c r="T36" s="1495">
        <f>S10</f>
        <v>0</v>
      </c>
      <c r="U36" s="1495"/>
      <c r="V36" s="1495"/>
      <c r="W36" s="1496"/>
      <c r="X36" s="669"/>
      <c r="Y36" s="669"/>
      <c r="Z36" s="660" t="s">
        <v>711</v>
      </c>
      <c r="AA36" s="679">
        <f>SUM(AA34:AA35)</f>
        <v>0</v>
      </c>
      <c r="AB36" s="680" t="s">
        <v>711</v>
      </c>
      <c r="AC36" s="679">
        <f>SUM(AC34:AC35)</f>
        <v>0</v>
      </c>
      <c r="AD36" s="1559"/>
    </row>
    <row r="37" spans="1:30" ht="33" customHeight="1">
      <c r="A37" s="715">
        <v>3</v>
      </c>
      <c r="B37" s="1494" t="s">
        <v>678</v>
      </c>
      <c r="C37" s="1494"/>
      <c r="D37" s="1494"/>
      <c r="E37" s="1494"/>
      <c r="F37" s="1494"/>
      <c r="G37" s="1494"/>
      <c r="H37" s="1494"/>
      <c r="I37" s="1494"/>
      <c r="J37" s="1494"/>
      <c r="K37" s="1494"/>
      <c r="L37" s="1494"/>
      <c r="M37" s="1494"/>
      <c r="N37" s="1494"/>
      <c r="O37" s="1494"/>
      <c r="P37" s="1494"/>
      <c r="Q37" s="1494"/>
      <c r="R37" s="1494"/>
      <c r="S37" s="716" t="s">
        <v>205</v>
      </c>
      <c r="T37" s="1495">
        <f>'Annexure -II'!M55</f>
        <v>539580</v>
      </c>
      <c r="U37" s="1495"/>
      <c r="V37" s="1495"/>
      <c r="W37" s="1496"/>
      <c r="X37" s="669"/>
      <c r="Y37" s="669"/>
      <c r="Z37" s="661" t="s">
        <v>491</v>
      </c>
      <c r="AA37" s="682">
        <v>0</v>
      </c>
      <c r="AB37" s="683" t="s">
        <v>491</v>
      </c>
      <c r="AC37" s="682">
        <v>0</v>
      </c>
      <c r="AD37" s="1559"/>
    </row>
    <row r="38" spans="1:30" ht="33" customHeight="1">
      <c r="A38" s="715">
        <v>4</v>
      </c>
      <c r="B38" s="1494" t="s">
        <v>679</v>
      </c>
      <c r="C38" s="1494"/>
      <c r="D38" s="1494"/>
      <c r="E38" s="1494"/>
      <c r="F38" s="1494"/>
      <c r="G38" s="1494"/>
      <c r="H38" s="1494"/>
      <c r="I38" s="1494"/>
      <c r="J38" s="1494"/>
      <c r="K38" s="1494"/>
      <c r="L38" s="1494"/>
      <c r="M38" s="1494"/>
      <c r="N38" s="1494"/>
      <c r="O38" s="1494"/>
      <c r="P38" s="1494"/>
      <c r="Q38" s="1494"/>
      <c r="R38" s="1494"/>
      <c r="S38" s="716" t="s">
        <v>205</v>
      </c>
      <c r="T38" s="1495">
        <f>'Annexure -II'!AD69</f>
        <v>21233</v>
      </c>
      <c r="U38" s="1495"/>
      <c r="V38" s="1495"/>
      <c r="W38" s="1496"/>
      <c r="X38" s="669"/>
      <c r="Y38" s="669"/>
      <c r="Z38" s="658" t="s">
        <v>732</v>
      </c>
      <c r="AA38" s="684">
        <f>'Annexure -II'!BT60</f>
        <v>0</v>
      </c>
      <c r="AB38" s="685" t="s">
        <v>723</v>
      </c>
      <c r="AC38" s="684">
        <f>'Annexure -II'!CB60</f>
        <v>0</v>
      </c>
      <c r="AD38" s="1559"/>
    </row>
    <row r="39" spans="1:30" ht="33" customHeight="1">
      <c r="A39" s="740">
        <v>5</v>
      </c>
      <c r="B39" s="1497" t="s">
        <v>680</v>
      </c>
      <c r="C39" s="1497"/>
      <c r="D39" s="1497"/>
      <c r="E39" s="1497"/>
      <c r="F39" s="1497"/>
      <c r="G39" s="1497"/>
      <c r="H39" s="1497"/>
      <c r="I39" s="1497"/>
      <c r="J39" s="1497"/>
      <c r="K39" s="1497"/>
      <c r="L39" s="1497"/>
      <c r="M39" s="1497"/>
      <c r="N39" s="1497"/>
      <c r="O39" s="1497"/>
      <c r="P39" s="1497"/>
      <c r="Q39" s="1497"/>
      <c r="R39" s="1497"/>
      <c r="S39" s="716" t="s">
        <v>205</v>
      </c>
      <c r="T39" s="1495">
        <f>'Annexure -II'!AL69</f>
        <v>21233</v>
      </c>
      <c r="U39" s="1495"/>
      <c r="V39" s="1495"/>
      <c r="W39" s="1496"/>
      <c r="X39" s="669"/>
      <c r="Y39" s="669"/>
      <c r="Z39" s="662" t="s">
        <v>733</v>
      </c>
      <c r="AA39" s="684">
        <f>'Annexure -II'!BT62</f>
        <v>0</v>
      </c>
      <c r="AB39" s="686" t="s">
        <v>724</v>
      </c>
      <c r="AC39" s="679">
        <f>'Annexure -II'!CB62</f>
        <v>0</v>
      </c>
      <c r="AD39" s="1559"/>
    </row>
    <row r="40" spans="1:30" ht="33" customHeight="1">
      <c r="A40" s="743">
        <v>6</v>
      </c>
      <c r="B40" s="1489" t="s">
        <v>681</v>
      </c>
      <c r="C40" s="1489"/>
      <c r="D40" s="1489"/>
      <c r="E40" s="1489"/>
      <c r="F40" s="1489"/>
      <c r="G40" s="1489"/>
      <c r="H40" s="1489"/>
      <c r="I40" s="1489"/>
      <c r="J40" s="1489"/>
      <c r="K40" s="1489"/>
      <c r="L40" s="1489"/>
      <c r="M40" s="1489"/>
      <c r="N40" s="1489"/>
      <c r="O40" s="1489"/>
      <c r="P40" s="1489"/>
      <c r="Q40" s="1489"/>
      <c r="R40" s="1490"/>
      <c r="S40" s="1493" t="s">
        <v>205</v>
      </c>
      <c r="T40" s="1495">
        <f>T38-T39</f>
        <v>0</v>
      </c>
      <c r="U40" s="1495"/>
      <c r="V40" s="1495"/>
      <c r="W40" s="1496"/>
      <c r="X40" s="669"/>
      <c r="Y40" s="669"/>
      <c r="Z40" s="663" t="s">
        <v>722</v>
      </c>
      <c r="AA40" s="684">
        <f>'Annexure -II'!BT63</f>
        <v>0</v>
      </c>
      <c r="AB40" s="691" t="s">
        <v>763</v>
      </c>
      <c r="AC40" s="679">
        <f>'Annexure -II'!CB63</f>
        <v>0</v>
      </c>
      <c r="AD40" s="1559"/>
    </row>
    <row r="41" spans="1:30" ht="28.5" customHeight="1">
      <c r="A41" s="744"/>
      <c r="B41" s="1485" t="s">
        <v>682</v>
      </c>
      <c r="C41" s="1485"/>
      <c r="D41" s="1485"/>
      <c r="E41" s="1485"/>
      <c r="F41" s="1485"/>
      <c r="G41" s="1485"/>
      <c r="H41" s="1485"/>
      <c r="I41" s="1485"/>
      <c r="J41" s="1485"/>
      <c r="K41" s="1485"/>
      <c r="L41" s="1485"/>
      <c r="M41" s="1485"/>
      <c r="N41" s="1485"/>
      <c r="O41" s="1485"/>
      <c r="P41" s="1485"/>
      <c r="Q41" s="1485"/>
      <c r="R41" s="1491"/>
      <c r="S41" s="1493"/>
      <c r="T41" s="1495"/>
      <c r="U41" s="1495"/>
      <c r="V41" s="1495"/>
      <c r="W41" s="1496"/>
      <c r="X41" s="669"/>
      <c r="Y41" s="669"/>
      <c r="Z41" s="664" t="s">
        <v>736</v>
      </c>
      <c r="AA41" s="690">
        <f>'Annexure -II'!BT65</f>
        <v>0</v>
      </c>
      <c r="AB41" s="692" t="s">
        <v>736</v>
      </c>
      <c r="AC41" s="690">
        <f>'Annexure -II'!CB65</f>
        <v>0</v>
      </c>
      <c r="AD41" s="1559"/>
    </row>
    <row r="42" spans="1:30" ht="28.5" customHeight="1">
      <c r="A42" s="741">
        <v>7</v>
      </c>
      <c r="B42" s="1492" t="s">
        <v>683</v>
      </c>
      <c r="C42" s="1489"/>
      <c r="D42" s="1489"/>
      <c r="E42" s="1489"/>
      <c r="F42" s="1489"/>
      <c r="G42" s="1489"/>
      <c r="H42" s="1489"/>
      <c r="I42" s="1489"/>
      <c r="J42" s="1489"/>
      <c r="K42" s="1489"/>
      <c r="L42" s="1489"/>
      <c r="M42" s="1489"/>
      <c r="N42" s="1489"/>
      <c r="O42" s="1489"/>
      <c r="P42" s="1489"/>
      <c r="Q42" s="1489"/>
      <c r="R42" s="1490"/>
      <c r="S42" s="1493" t="s">
        <v>205</v>
      </c>
      <c r="T42" s="1495">
        <f>V56</f>
        <v>0</v>
      </c>
      <c r="U42" s="1495"/>
      <c r="V42" s="1495"/>
      <c r="W42" s="1496"/>
      <c r="X42" s="669"/>
      <c r="Y42" s="669"/>
      <c r="Z42" s="665" t="s">
        <v>157</v>
      </c>
      <c r="AA42" s="693">
        <f>SUM(AA37:AA40)-AA41</f>
        <v>0</v>
      </c>
      <c r="AB42" s="694" t="s">
        <v>157</v>
      </c>
      <c r="AC42" s="693">
        <f>SUM(AC37:AC40)-AC41</f>
        <v>0</v>
      </c>
      <c r="AD42" s="1559"/>
    </row>
    <row r="43" spans="1:30" ht="28.5" customHeight="1">
      <c r="A43" s="742"/>
      <c r="B43" s="1504" t="s">
        <v>684</v>
      </c>
      <c r="C43" s="1505"/>
      <c r="D43" s="1505"/>
      <c r="E43" s="1505"/>
      <c r="F43" s="1505"/>
      <c r="G43" s="1505"/>
      <c r="H43" s="1505"/>
      <c r="I43" s="1505"/>
      <c r="J43" s="1505"/>
      <c r="K43" s="1505"/>
      <c r="L43" s="1505"/>
      <c r="M43" s="1505"/>
      <c r="N43" s="1505"/>
      <c r="O43" s="1505"/>
      <c r="P43" s="1505"/>
      <c r="Q43" s="1505"/>
      <c r="R43" s="1506"/>
      <c r="S43" s="1493"/>
      <c r="T43" s="1495"/>
      <c r="U43" s="1495"/>
      <c r="V43" s="1495"/>
      <c r="W43" s="1496"/>
      <c r="X43" s="669"/>
      <c r="Y43" s="669"/>
      <c r="Z43" s="666" t="s">
        <v>714</v>
      </c>
      <c r="AA43" s="696">
        <f>ROUND(AA42*1%,0.1)</f>
        <v>0</v>
      </c>
      <c r="AB43" s="697" t="s">
        <v>714</v>
      </c>
      <c r="AC43" s="696">
        <f>ROUND(AC42*1%,0.1)</f>
        <v>0</v>
      </c>
      <c r="AD43" s="1559"/>
    </row>
    <row r="44" spans="1:30" ht="28.5" customHeight="1" thickBot="1">
      <c r="A44" s="715">
        <v>8</v>
      </c>
      <c r="B44" s="1520" t="s">
        <v>709</v>
      </c>
      <c r="C44" s="1520"/>
      <c r="D44" s="1520"/>
      <c r="E44" s="1520"/>
      <c r="F44" s="1520"/>
      <c r="G44" s="1520"/>
      <c r="H44" s="1520"/>
      <c r="I44" s="1520"/>
      <c r="J44" s="1520"/>
      <c r="K44" s="1520"/>
      <c r="L44" s="1520"/>
      <c r="M44" s="1520"/>
      <c r="N44" s="1520"/>
      <c r="O44" s="1520"/>
      <c r="P44" s="1520"/>
      <c r="Q44" s="1520"/>
      <c r="R44" s="1520"/>
      <c r="S44" s="716" t="s">
        <v>205</v>
      </c>
      <c r="T44" s="1495">
        <f>IF(T40-T42&lt;=0,0,T40-T42)</f>
        <v>0</v>
      </c>
      <c r="U44" s="1495"/>
      <c r="V44" s="1495"/>
      <c r="W44" s="1496"/>
      <c r="X44" s="669"/>
      <c r="Y44" s="669"/>
      <c r="Z44" s="667" t="s">
        <v>233</v>
      </c>
      <c r="AA44" s="698">
        <f>ROUND(AA42*2%,0.1)</f>
        <v>0</v>
      </c>
      <c r="AB44" s="699" t="s">
        <v>233</v>
      </c>
      <c r="AC44" s="698">
        <f>ROUND(AC42*2%,0.1)</f>
        <v>0</v>
      </c>
      <c r="AD44" s="1559"/>
    </row>
    <row r="45" spans="1:30" ht="22.5" customHeight="1" thickBot="1">
      <c r="A45" s="706"/>
      <c r="B45" s="688"/>
      <c r="C45" s="688"/>
      <c r="D45" s="688"/>
      <c r="E45" s="688"/>
      <c r="F45" s="688"/>
      <c r="G45" s="688"/>
      <c r="H45" s="688"/>
      <c r="I45" s="688"/>
      <c r="J45" s="688"/>
      <c r="K45" s="688"/>
      <c r="L45" s="688"/>
      <c r="M45" s="688"/>
      <c r="N45" s="688"/>
      <c r="O45" s="688"/>
      <c r="P45" s="688"/>
      <c r="Q45" s="688"/>
      <c r="R45" s="688"/>
      <c r="S45" s="688"/>
      <c r="T45" s="688"/>
      <c r="U45" s="688"/>
      <c r="V45" s="688"/>
      <c r="W45" s="689"/>
      <c r="X45" s="669"/>
      <c r="Y45" s="669"/>
      <c r="Z45" s="668" t="s">
        <v>715</v>
      </c>
      <c r="AA45" s="700">
        <f>SUM(AA42:AA44)</f>
        <v>0</v>
      </c>
      <c r="AB45" s="701" t="s">
        <v>715</v>
      </c>
      <c r="AC45" s="700">
        <f>SUM(AC42:AC44)</f>
        <v>0</v>
      </c>
      <c r="AD45" s="723">
        <f>AA45-AC45</f>
        <v>0</v>
      </c>
    </row>
    <row r="46" spans="1:30" ht="15" customHeight="1">
      <c r="A46" s="706"/>
      <c r="B46" s="688"/>
      <c r="C46" s="688"/>
      <c r="D46" s="688"/>
      <c r="E46" s="688"/>
      <c r="F46" s="688"/>
      <c r="G46" s="688"/>
      <c r="H46" s="688"/>
      <c r="I46" s="688"/>
      <c r="J46" s="688"/>
      <c r="K46" s="688"/>
      <c r="L46" s="688"/>
      <c r="M46" s="688"/>
      <c r="N46" s="688"/>
      <c r="O46" s="688"/>
      <c r="P46" s="688"/>
      <c r="Q46" s="688"/>
      <c r="R46" s="688"/>
      <c r="S46" s="688"/>
      <c r="T46" s="688"/>
      <c r="U46" s="688"/>
      <c r="V46" s="688"/>
      <c r="W46" s="689"/>
      <c r="X46" s="669"/>
      <c r="Y46" s="669"/>
      <c r="Z46" s="1515"/>
      <c r="AA46" s="1515"/>
      <c r="AB46" s="1515"/>
      <c r="AC46" s="1515"/>
      <c r="AD46" s="1513" t="s">
        <v>730</v>
      </c>
    </row>
    <row r="47" spans="1:30" ht="18.75" thickBot="1">
      <c r="A47" s="1507" t="s">
        <v>685</v>
      </c>
      <c r="B47" s="1508"/>
      <c r="C47" s="1508"/>
      <c r="D47" s="1508"/>
      <c r="E47" s="1508"/>
      <c r="F47" s="1508"/>
      <c r="G47" s="1508"/>
      <c r="H47" s="1508"/>
      <c r="I47" s="1508"/>
      <c r="J47" s="1508"/>
      <c r="K47" s="1508"/>
      <c r="L47" s="1508"/>
      <c r="M47" s="1508"/>
      <c r="N47" s="1508"/>
      <c r="O47" s="1508"/>
      <c r="P47" s="1508"/>
      <c r="Q47" s="1508"/>
      <c r="R47" s="1508"/>
      <c r="S47" s="1508"/>
      <c r="T47" s="1508"/>
      <c r="U47" s="1508"/>
      <c r="V47" s="1508"/>
      <c r="W47" s="1509"/>
      <c r="X47" s="669"/>
      <c r="Y47" s="669"/>
      <c r="Z47" s="1516"/>
      <c r="AA47" s="1516"/>
      <c r="AB47" s="1516"/>
      <c r="AC47" s="1516"/>
      <c r="AD47" s="1514"/>
    </row>
    <row r="48" spans="1:30" ht="24.75" customHeight="1" thickBot="1">
      <c r="A48" s="1510" t="s">
        <v>686</v>
      </c>
      <c r="B48" s="1511"/>
      <c r="C48" s="1511"/>
      <c r="D48" s="1511"/>
      <c r="E48" s="1511"/>
      <c r="F48" s="1511"/>
      <c r="G48" s="1511"/>
      <c r="H48" s="1511"/>
      <c r="I48" s="1511"/>
      <c r="J48" s="1511"/>
      <c r="K48" s="1511"/>
      <c r="L48" s="1511"/>
      <c r="M48" s="1511"/>
      <c r="N48" s="1511"/>
      <c r="O48" s="1511"/>
      <c r="P48" s="1511"/>
      <c r="Q48" s="1511"/>
      <c r="R48" s="1511"/>
      <c r="S48" s="1511"/>
      <c r="T48" s="1511"/>
      <c r="U48" s="1511"/>
      <c r="V48" s="1511"/>
      <c r="W48" s="1512"/>
      <c r="X48" s="669"/>
      <c r="Y48" s="669"/>
      <c r="Z48" s="1517" t="s">
        <v>727</v>
      </c>
      <c r="AA48" s="1518"/>
      <c r="AB48" s="1518"/>
      <c r="AC48" s="1519"/>
      <c r="AD48" s="722">
        <f>AD15-AD30-AD45</f>
        <v>0</v>
      </c>
    </row>
    <row r="49" spans="1:30" ht="54" customHeight="1" thickBot="1">
      <c r="A49" s="1560" t="s">
        <v>687</v>
      </c>
      <c r="B49" s="1561"/>
      <c r="C49" s="1561"/>
      <c r="D49" s="1561" t="s">
        <v>688</v>
      </c>
      <c r="E49" s="1561"/>
      <c r="F49" s="1561"/>
      <c r="G49" s="1561"/>
      <c r="H49" s="1561" t="s">
        <v>689</v>
      </c>
      <c r="I49" s="1561"/>
      <c r="J49" s="1561"/>
      <c r="K49" s="1561"/>
      <c r="L49" s="1561" t="s">
        <v>690</v>
      </c>
      <c r="M49" s="1561"/>
      <c r="N49" s="1561"/>
      <c r="O49" s="1561"/>
      <c r="P49" s="1561" t="s">
        <v>691</v>
      </c>
      <c r="Q49" s="1561"/>
      <c r="R49" s="1561"/>
      <c r="S49" s="1561" t="s">
        <v>692</v>
      </c>
      <c r="T49" s="1561"/>
      <c r="U49" s="1561"/>
      <c r="V49" s="1561" t="s">
        <v>693</v>
      </c>
      <c r="W49" s="1562"/>
      <c r="X49" s="669"/>
      <c r="Y49" s="669"/>
      <c r="Z49" s="1555"/>
      <c r="AA49" s="1556"/>
      <c r="AB49" s="1556"/>
      <c r="AC49" s="1556"/>
      <c r="AD49" s="1557"/>
    </row>
    <row r="50" spans="1:30" ht="54" customHeight="1">
      <c r="A50" s="1560"/>
      <c r="B50" s="1561"/>
      <c r="C50" s="1561"/>
      <c r="D50" s="1561"/>
      <c r="E50" s="1561"/>
      <c r="F50" s="1561"/>
      <c r="G50" s="1561"/>
      <c r="H50" s="1561"/>
      <c r="I50" s="1561"/>
      <c r="J50" s="1561"/>
      <c r="K50" s="1561"/>
      <c r="L50" s="1561"/>
      <c r="M50" s="1561"/>
      <c r="N50" s="1561"/>
      <c r="O50" s="1561"/>
      <c r="P50" s="1561"/>
      <c r="Q50" s="1561"/>
      <c r="R50" s="1561"/>
      <c r="S50" s="1561"/>
      <c r="T50" s="1561"/>
      <c r="U50" s="1561"/>
      <c r="V50" s="1561"/>
      <c r="W50" s="1562"/>
      <c r="X50" s="669"/>
      <c r="Y50" s="669"/>
      <c r="Z50" s="669"/>
      <c r="AA50" s="669"/>
      <c r="AB50" s="669"/>
      <c r="AC50" s="669"/>
      <c r="AD50" s="669"/>
    </row>
    <row r="51" spans="1:30" ht="15" customHeight="1">
      <c r="A51" s="1482">
        <v>1</v>
      </c>
      <c r="B51" s="1483"/>
      <c r="C51" s="1483"/>
      <c r="D51" s="1483">
        <v>2</v>
      </c>
      <c r="E51" s="1483"/>
      <c r="F51" s="1483"/>
      <c r="G51" s="1483"/>
      <c r="H51" s="1483">
        <v>3</v>
      </c>
      <c r="I51" s="1483"/>
      <c r="J51" s="1483"/>
      <c r="K51" s="1483"/>
      <c r="L51" s="1483">
        <v>4</v>
      </c>
      <c r="M51" s="1483"/>
      <c r="N51" s="1483"/>
      <c r="O51" s="1483"/>
      <c r="P51" s="1483">
        <v>5</v>
      </c>
      <c r="Q51" s="1483"/>
      <c r="R51" s="1483"/>
      <c r="S51" s="1483">
        <v>6</v>
      </c>
      <c r="T51" s="1483"/>
      <c r="U51" s="1483"/>
      <c r="V51" s="1483">
        <v>7</v>
      </c>
      <c r="W51" s="1503"/>
      <c r="X51" s="669"/>
      <c r="Y51" s="669"/>
      <c r="Z51" s="669"/>
      <c r="AA51" s="669"/>
      <c r="AB51" s="669"/>
      <c r="AC51" s="669"/>
      <c r="AD51" s="669"/>
    </row>
    <row r="52" spans="1:30" ht="22.5" customHeight="1">
      <c r="A52" s="1500" t="s">
        <v>700</v>
      </c>
      <c r="B52" s="1501"/>
      <c r="C52" s="1502"/>
      <c r="D52" s="1479">
        <v>0</v>
      </c>
      <c r="E52" s="1479"/>
      <c r="F52" s="1479"/>
      <c r="G52" s="1479"/>
      <c r="H52" s="1479">
        <v>0</v>
      </c>
      <c r="I52" s="1479"/>
      <c r="J52" s="1479"/>
      <c r="K52" s="1479"/>
      <c r="L52" s="1479">
        <f>SUM(D52:K52)</f>
        <v>0</v>
      </c>
      <c r="M52" s="1479"/>
      <c r="N52" s="1479"/>
      <c r="O52" s="1479"/>
      <c r="P52" s="1479">
        <v>0</v>
      </c>
      <c r="Q52" s="1479"/>
      <c r="R52" s="1479"/>
      <c r="S52" s="1480">
        <v>0</v>
      </c>
      <c r="T52" s="1480"/>
      <c r="U52" s="1480"/>
      <c r="V52" s="1480">
        <f>S52-P52</f>
        <v>0</v>
      </c>
      <c r="W52" s="1481"/>
      <c r="X52" s="669"/>
      <c r="Y52" s="669"/>
      <c r="Z52" s="669">
        <f>DATA!AB70</f>
        <v>2</v>
      </c>
      <c r="AA52" s="669">
        <f>DATA!AC70</f>
        <v>2</v>
      </c>
      <c r="AB52" s="669"/>
      <c r="AC52" s="669"/>
      <c r="AD52" s="669"/>
    </row>
    <row r="53" spans="1:30" ht="22.5" customHeight="1">
      <c r="A53" s="1482" t="s">
        <v>699</v>
      </c>
      <c r="B53" s="1483"/>
      <c r="C53" s="1483"/>
      <c r="D53" s="1479">
        <v>0</v>
      </c>
      <c r="E53" s="1479"/>
      <c r="F53" s="1479"/>
      <c r="G53" s="1479"/>
      <c r="H53" s="1479">
        <v>0</v>
      </c>
      <c r="I53" s="1479"/>
      <c r="J53" s="1479"/>
      <c r="K53" s="1479"/>
      <c r="L53" s="1479">
        <f>SUM(D53:K53)</f>
        <v>0</v>
      </c>
      <c r="M53" s="1479"/>
      <c r="N53" s="1479"/>
      <c r="O53" s="1479"/>
      <c r="P53" s="1479">
        <v>0</v>
      </c>
      <c r="Q53" s="1479"/>
      <c r="R53" s="1479"/>
      <c r="S53" s="1480">
        <v>0</v>
      </c>
      <c r="T53" s="1480"/>
      <c r="U53" s="1480"/>
      <c r="V53" s="1480">
        <f>S53-P53</f>
        <v>0</v>
      </c>
      <c r="W53" s="1481"/>
      <c r="X53" s="669"/>
      <c r="Y53" s="669"/>
      <c r="Z53" s="669"/>
      <c r="AA53" s="669"/>
      <c r="AB53" s="669"/>
      <c r="AC53" s="669"/>
      <c r="AD53" s="669"/>
    </row>
    <row r="54" spans="1:30" ht="22.5" customHeight="1">
      <c r="A54" s="1482" t="s">
        <v>772</v>
      </c>
      <c r="B54" s="1483"/>
      <c r="C54" s="1483"/>
      <c r="D54" s="1479">
        <f>'Annexure -II'!BN58</f>
        <v>0</v>
      </c>
      <c r="E54" s="1479"/>
      <c r="F54" s="1479"/>
      <c r="G54" s="1479"/>
      <c r="H54" s="1479">
        <f>'Annexure -II'!BO58</f>
        <v>0</v>
      </c>
      <c r="I54" s="1479"/>
      <c r="J54" s="1479"/>
      <c r="K54" s="1479"/>
      <c r="L54" s="1479">
        <f>SUM(D54:K54)</f>
        <v>0</v>
      </c>
      <c r="M54" s="1479"/>
      <c r="N54" s="1479"/>
      <c r="O54" s="1479"/>
      <c r="P54" s="1479">
        <f>'Annexure -II'!CB69</f>
        <v>0</v>
      </c>
      <c r="Q54" s="1479"/>
      <c r="R54" s="1479"/>
      <c r="S54" s="1480">
        <f>'Annexure -II'!BT69</f>
        <v>0</v>
      </c>
      <c r="T54" s="1480"/>
      <c r="U54" s="1480"/>
      <c r="V54" s="1480">
        <f>S54-P54</f>
        <v>0</v>
      </c>
      <c r="W54" s="1481"/>
      <c r="X54" s="669"/>
      <c r="Y54" s="669"/>
      <c r="Z54" s="669"/>
      <c r="AA54" s="669"/>
      <c r="AB54" s="669"/>
      <c r="AC54" s="669"/>
      <c r="AD54" s="669"/>
    </row>
    <row r="55" spans="1:30" ht="22.5" customHeight="1">
      <c r="A55" s="1482" t="s">
        <v>859</v>
      </c>
      <c r="B55" s="1483"/>
      <c r="C55" s="1483"/>
      <c r="D55" s="1479">
        <f>'Annexure -II'!AS58</f>
        <v>0</v>
      </c>
      <c r="E55" s="1479"/>
      <c r="F55" s="1479"/>
      <c r="G55" s="1479"/>
      <c r="H55" s="1479">
        <f>'Annexure -II'!AT58</f>
        <v>0</v>
      </c>
      <c r="I55" s="1479"/>
      <c r="J55" s="1479"/>
      <c r="K55" s="1479"/>
      <c r="L55" s="1479">
        <f>SUM(D55:K55)</f>
        <v>0</v>
      </c>
      <c r="M55" s="1479"/>
      <c r="N55" s="1479"/>
      <c r="O55" s="1479"/>
      <c r="P55" s="1479">
        <f>'Annexure -II'!BG69</f>
        <v>0</v>
      </c>
      <c r="Q55" s="1479"/>
      <c r="R55" s="1479"/>
      <c r="S55" s="1480">
        <f>'Annexure -II'!AY69</f>
        <v>0</v>
      </c>
      <c r="T55" s="1480"/>
      <c r="U55" s="1480"/>
      <c r="V55" s="1480">
        <f>S55-P55</f>
        <v>0</v>
      </c>
      <c r="W55" s="1481"/>
      <c r="X55" s="669"/>
      <c r="Y55" s="669"/>
      <c r="Z55" s="669"/>
      <c r="AA55" s="669"/>
      <c r="AB55" s="669"/>
      <c r="AC55" s="669"/>
      <c r="AD55" s="669"/>
    </row>
    <row r="56" spans="1:30" ht="24" customHeight="1">
      <c r="A56" s="1498" t="s">
        <v>157</v>
      </c>
      <c r="B56" s="1499"/>
      <c r="C56" s="1499"/>
      <c r="D56" s="1499"/>
      <c r="E56" s="1499"/>
      <c r="F56" s="1499"/>
      <c r="G56" s="1499"/>
      <c r="H56" s="1499"/>
      <c r="I56" s="1499"/>
      <c r="J56" s="1499"/>
      <c r="K56" s="1499"/>
      <c r="L56" s="1499"/>
      <c r="M56" s="1499"/>
      <c r="N56" s="1499"/>
      <c r="O56" s="1499"/>
      <c r="P56" s="1499"/>
      <c r="Q56" s="1499"/>
      <c r="R56" s="1499"/>
      <c r="S56" s="1499"/>
      <c r="T56" s="1499"/>
      <c r="U56" s="1499"/>
      <c r="V56" s="1480">
        <f>SUM(V53:W55)</f>
        <v>0</v>
      </c>
      <c r="W56" s="1481"/>
      <c r="X56" s="669"/>
      <c r="Y56" s="669"/>
      <c r="Z56" s="669"/>
      <c r="AA56" s="669"/>
      <c r="AB56" s="669"/>
      <c r="AC56" s="669"/>
      <c r="AD56" s="669"/>
    </row>
    <row r="57" spans="1:30" ht="15.75" thickBot="1">
      <c r="A57" s="717"/>
      <c r="B57" s="718"/>
      <c r="C57" s="718"/>
      <c r="D57" s="718"/>
      <c r="E57" s="718"/>
      <c r="F57" s="718"/>
      <c r="G57" s="718"/>
      <c r="H57" s="718"/>
      <c r="I57" s="718"/>
      <c r="J57" s="718"/>
      <c r="K57" s="718"/>
      <c r="L57" s="718"/>
      <c r="M57" s="718"/>
      <c r="N57" s="718"/>
      <c r="O57" s="718"/>
      <c r="P57" s="718"/>
      <c r="Q57" s="718"/>
      <c r="R57" s="718"/>
      <c r="S57" s="718"/>
      <c r="T57" s="718"/>
      <c r="U57" s="718"/>
      <c r="V57" s="718"/>
      <c r="W57" s="719"/>
      <c r="X57" s="669"/>
      <c r="Y57" s="669"/>
      <c r="Z57" s="669"/>
      <c r="AA57" s="669"/>
      <c r="AB57" s="669"/>
      <c r="AC57" s="669"/>
      <c r="AD57" s="669"/>
    </row>
    <row r="58" spans="1:30">
      <c r="A58" s="1554" t="str">
        <f>'Form 16 Page2'!B62</f>
        <v xml:space="preserve">Programme Developed by : www.putta.in </v>
      </c>
      <c r="B58" s="1554"/>
      <c r="C58" s="1554"/>
      <c r="D58" s="1554"/>
      <c r="E58" s="1554"/>
      <c r="F58" s="1554"/>
      <c r="G58" s="1554"/>
      <c r="H58" s="1554"/>
      <c r="I58" s="1554"/>
      <c r="J58" s="1554"/>
      <c r="K58" s="1554"/>
      <c r="L58" s="1554"/>
      <c r="M58" s="1554"/>
      <c r="N58" s="1554"/>
      <c r="O58" s="1554"/>
      <c r="P58" s="1554"/>
      <c r="Q58" s="1554"/>
      <c r="R58" s="1554"/>
      <c r="S58" s="1554"/>
      <c r="T58" s="1554"/>
      <c r="U58" s="1554"/>
      <c r="V58" s="1554"/>
      <c r="W58" s="1554"/>
      <c r="X58" s="669"/>
      <c r="Y58" s="669"/>
      <c r="Z58" s="669"/>
      <c r="AA58" s="669"/>
      <c r="AB58" s="669"/>
      <c r="AC58" s="669"/>
      <c r="AD58" s="669"/>
    </row>
    <row r="59" spans="1:30" hidden="1">
      <c r="A59" s="669"/>
      <c r="B59" s="669"/>
      <c r="C59" s="669"/>
      <c r="D59" s="669"/>
      <c r="E59" s="669"/>
      <c r="F59" s="669"/>
      <c r="G59" s="669"/>
      <c r="H59" s="669"/>
      <c r="I59" s="669"/>
      <c r="J59" s="669"/>
      <c r="K59" s="669"/>
      <c r="L59" s="669"/>
      <c r="M59" s="669"/>
      <c r="N59" s="669"/>
      <c r="O59" s="669"/>
      <c r="P59" s="669"/>
      <c r="Q59" s="669"/>
      <c r="R59" s="669"/>
      <c r="S59" s="669"/>
      <c r="T59" s="669"/>
      <c r="U59" s="669"/>
      <c r="V59" s="669"/>
      <c r="W59" s="669"/>
      <c r="X59" s="669"/>
      <c r="Y59" s="669"/>
      <c r="Z59" s="669"/>
      <c r="AA59" s="669"/>
      <c r="AB59" s="669"/>
      <c r="AC59" s="669"/>
      <c r="AD59" s="669"/>
    </row>
    <row r="60" spans="1:30" hidden="1">
      <c r="A60" s="669"/>
      <c r="B60" s="669"/>
      <c r="C60" s="669"/>
      <c r="D60" s="669"/>
      <c r="E60" s="669"/>
      <c r="F60" s="669"/>
      <c r="G60" s="669"/>
      <c r="H60" s="669"/>
      <c r="I60" s="669"/>
      <c r="J60" s="669"/>
      <c r="K60" s="669"/>
      <c r="L60" s="669"/>
      <c r="M60" s="669"/>
      <c r="N60" s="669"/>
      <c r="O60" s="669"/>
      <c r="P60" s="669"/>
      <c r="Q60" s="669"/>
      <c r="R60" s="669"/>
      <c r="S60" s="669"/>
      <c r="T60" s="669"/>
      <c r="U60" s="669"/>
      <c r="V60" s="669"/>
      <c r="W60" s="669"/>
      <c r="X60" s="669"/>
      <c r="Y60" s="669"/>
      <c r="Z60" s="669"/>
      <c r="AA60" s="669"/>
      <c r="AB60" s="669"/>
      <c r="AC60" s="669"/>
      <c r="AD60" s="669"/>
    </row>
    <row r="61" spans="1:30" hidden="1">
      <c r="A61" s="669"/>
      <c r="B61" s="669"/>
      <c r="C61" s="669"/>
      <c r="D61" s="669"/>
      <c r="E61" s="669"/>
      <c r="F61" s="669"/>
      <c r="G61" s="669"/>
      <c r="H61" s="669"/>
      <c r="I61" s="669"/>
      <c r="J61" s="669"/>
      <c r="K61" s="669"/>
      <c r="L61" s="669"/>
      <c r="M61" s="669"/>
      <c r="N61" s="669"/>
      <c r="O61" s="669"/>
      <c r="P61" s="669"/>
      <c r="Q61" s="669"/>
      <c r="R61" s="669"/>
      <c r="S61" s="669"/>
      <c r="T61" s="669"/>
      <c r="U61" s="669"/>
      <c r="V61" s="669"/>
      <c r="W61" s="669"/>
      <c r="X61" s="669"/>
      <c r="Y61" s="669"/>
      <c r="Z61" s="669"/>
      <c r="AA61" s="669"/>
      <c r="AB61" s="669"/>
      <c r="AC61" s="669"/>
      <c r="AD61" s="669"/>
    </row>
    <row r="62" spans="1:30" hidden="1">
      <c r="A62" s="669"/>
      <c r="B62" s="669"/>
      <c r="C62" s="669"/>
      <c r="D62" s="669"/>
      <c r="E62" s="669"/>
      <c r="F62" s="669"/>
      <c r="G62" s="669"/>
      <c r="H62" s="669"/>
      <c r="I62" s="669"/>
      <c r="J62" s="669"/>
      <c r="K62" s="669"/>
      <c r="L62" s="669"/>
      <c r="M62" s="669"/>
      <c r="N62" s="669"/>
      <c r="O62" s="669"/>
      <c r="P62" s="669"/>
      <c r="Q62" s="669"/>
      <c r="R62" s="669"/>
      <c r="S62" s="669"/>
      <c r="T62" s="669"/>
      <c r="U62" s="669"/>
      <c r="V62" s="669"/>
      <c r="W62" s="669"/>
      <c r="X62" s="669"/>
      <c r="Y62" s="669"/>
      <c r="Z62" s="669"/>
      <c r="AA62" s="669"/>
      <c r="AB62" s="669"/>
      <c r="AC62" s="669"/>
      <c r="AD62" s="669"/>
    </row>
    <row r="63" spans="1:30" hidden="1">
      <c r="A63" s="669"/>
      <c r="B63" s="669"/>
      <c r="C63" s="669"/>
      <c r="D63" s="669"/>
      <c r="E63" s="669"/>
      <c r="F63" s="669"/>
      <c r="G63" s="669"/>
      <c r="H63" s="669"/>
      <c r="I63" s="669"/>
      <c r="J63" s="669"/>
      <c r="K63" s="669"/>
      <c r="L63" s="669"/>
      <c r="M63" s="669"/>
      <c r="N63" s="669"/>
      <c r="O63" s="669"/>
      <c r="P63" s="669"/>
      <c r="Q63" s="669"/>
      <c r="R63" s="669"/>
      <c r="S63" s="669"/>
      <c r="T63" s="669"/>
      <c r="U63" s="669"/>
      <c r="V63" s="669"/>
      <c r="W63" s="669"/>
      <c r="X63" s="669"/>
      <c r="Y63" s="669"/>
      <c r="Z63" s="669"/>
      <c r="AA63" s="669"/>
      <c r="AB63" s="669"/>
      <c r="AC63" s="669"/>
      <c r="AD63" s="669"/>
    </row>
    <row r="64" spans="1:30" hidden="1">
      <c r="A64" s="669"/>
      <c r="B64" s="669"/>
      <c r="C64" s="669"/>
      <c r="D64" s="669"/>
      <c r="E64" s="669"/>
      <c r="F64" s="669"/>
      <c r="G64" s="669"/>
      <c r="H64" s="669"/>
      <c r="I64" s="669"/>
      <c r="J64" s="669"/>
      <c r="K64" s="669"/>
      <c r="L64" s="669"/>
      <c r="M64" s="669"/>
      <c r="N64" s="669"/>
      <c r="O64" s="669"/>
      <c r="P64" s="669"/>
      <c r="Q64" s="669"/>
      <c r="R64" s="669"/>
      <c r="S64" s="669"/>
      <c r="T64" s="669"/>
      <c r="U64" s="669"/>
      <c r="V64" s="669"/>
      <c r="W64" s="669"/>
      <c r="X64" s="669"/>
      <c r="Y64" s="669"/>
      <c r="Z64" s="669"/>
      <c r="AA64" s="669"/>
      <c r="AB64" s="669"/>
      <c r="AC64" s="669"/>
      <c r="AD64" s="669"/>
    </row>
    <row r="65" spans="1:30" hidden="1">
      <c r="A65" s="669"/>
      <c r="B65" s="669"/>
      <c r="C65" s="669"/>
      <c r="D65" s="669"/>
      <c r="E65" s="669"/>
      <c r="F65" s="669"/>
      <c r="G65" s="669"/>
      <c r="H65" s="669"/>
      <c r="I65" s="669"/>
      <c r="J65" s="669"/>
      <c r="K65" s="669"/>
      <c r="L65" s="669"/>
      <c r="M65" s="669"/>
      <c r="N65" s="669"/>
      <c r="O65" s="669"/>
      <c r="P65" s="669"/>
      <c r="Q65" s="669"/>
      <c r="R65" s="669"/>
      <c r="S65" s="669"/>
      <c r="T65" s="669"/>
      <c r="U65" s="669"/>
      <c r="V65" s="669"/>
      <c r="W65" s="669"/>
      <c r="X65" s="669"/>
      <c r="Y65" s="669"/>
      <c r="Z65" s="669"/>
      <c r="AA65" s="669"/>
      <c r="AB65" s="669"/>
      <c r="AC65" s="669"/>
      <c r="AD65" s="669"/>
    </row>
    <row r="66" spans="1:30" hidden="1">
      <c r="A66" s="669"/>
      <c r="B66" s="669"/>
      <c r="C66" s="669"/>
      <c r="D66" s="669"/>
      <c r="E66" s="669"/>
      <c r="F66" s="669"/>
      <c r="G66" s="669"/>
      <c r="H66" s="669"/>
      <c r="I66" s="669"/>
      <c r="J66" s="669"/>
      <c r="K66" s="669"/>
      <c r="L66" s="669"/>
      <c r="M66" s="669"/>
      <c r="N66" s="669"/>
      <c r="O66" s="669"/>
      <c r="P66" s="669"/>
      <c r="Q66" s="669"/>
      <c r="R66" s="669"/>
      <c r="S66" s="669"/>
      <c r="T66" s="669"/>
      <c r="U66" s="669"/>
      <c r="V66" s="669"/>
      <c r="W66" s="669"/>
      <c r="X66" s="669"/>
      <c r="Y66" s="669"/>
      <c r="Z66" s="669"/>
      <c r="AA66" s="669"/>
      <c r="AB66" s="669"/>
      <c r="AC66" s="669"/>
      <c r="AD66" s="669"/>
    </row>
    <row r="67" spans="1:30" hidden="1">
      <c r="A67" s="669"/>
      <c r="B67" s="669"/>
      <c r="C67" s="669"/>
      <c r="D67" s="669"/>
      <c r="E67" s="669"/>
      <c r="F67" s="669"/>
      <c r="G67" s="669"/>
      <c r="H67" s="669"/>
      <c r="I67" s="669"/>
      <c r="J67" s="669"/>
      <c r="K67" s="669"/>
      <c r="L67" s="669"/>
      <c r="M67" s="669"/>
      <c r="N67" s="669"/>
      <c r="O67" s="669"/>
      <c r="P67" s="669"/>
      <c r="Q67" s="669"/>
      <c r="R67" s="669"/>
      <c r="S67" s="669"/>
      <c r="T67" s="669"/>
      <c r="U67" s="669"/>
      <c r="V67" s="669"/>
      <c r="W67" s="669"/>
      <c r="X67" s="669"/>
      <c r="Y67" s="669"/>
      <c r="Z67" s="669"/>
      <c r="AA67" s="669"/>
      <c r="AB67" s="669"/>
      <c r="AC67" s="669"/>
      <c r="AD67" s="669"/>
    </row>
    <row r="68" spans="1:30" hidden="1">
      <c r="A68" s="669"/>
      <c r="B68" s="669"/>
      <c r="C68" s="669"/>
      <c r="D68" s="669"/>
      <c r="E68" s="669"/>
      <c r="F68" s="669"/>
      <c r="G68" s="669"/>
      <c r="H68" s="669"/>
      <c r="I68" s="669"/>
      <c r="J68" s="669"/>
      <c r="K68" s="669"/>
      <c r="L68" s="669"/>
      <c r="M68" s="669"/>
      <c r="N68" s="669"/>
      <c r="O68" s="669"/>
      <c r="P68" s="669"/>
      <c r="Q68" s="669"/>
      <c r="R68" s="669"/>
      <c r="S68" s="669"/>
      <c r="T68" s="669"/>
      <c r="U68" s="669"/>
      <c r="V68" s="669"/>
      <c r="W68" s="669"/>
      <c r="X68" s="669"/>
      <c r="Y68" s="669"/>
      <c r="Z68" s="669"/>
      <c r="AA68" s="669"/>
      <c r="AB68" s="669"/>
      <c r="AC68" s="669"/>
      <c r="AD68" s="669"/>
    </row>
    <row r="69" spans="1:30" hidden="1">
      <c r="A69" s="669"/>
      <c r="B69" s="669"/>
      <c r="C69" s="669"/>
      <c r="D69" s="669"/>
      <c r="E69" s="669"/>
      <c r="F69" s="669"/>
      <c r="G69" s="669"/>
      <c r="H69" s="669"/>
      <c r="I69" s="669"/>
      <c r="J69" s="669"/>
      <c r="K69" s="669"/>
      <c r="L69" s="669"/>
      <c r="M69" s="669"/>
      <c r="N69" s="669"/>
      <c r="O69" s="669"/>
      <c r="P69" s="669"/>
      <c r="Q69" s="669"/>
      <c r="R69" s="669"/>
      <c r="S69" s="669"/>
      <c r="T69" s="669"/>
      <c r="U69" s="669"/>
      <c r="V69" s="669"/>
      <c r="W69" s="669"/>
      <c r="X69" s="669"/>
      <c r="Y69" s="669"/>
      <c r="Z69" s="669"/>
      <c r="AA69" s="669"/>
      <c r="AB69" s="669"/>
      <c r="AC69" s="669"/>
      <c r="AD69" s="669"/>
    </row>
    <row r="70" spans="1:30" hidden="1">
      <c r="A70" s="669"/>
      <c r="B70" s="669"/>
      <c r="C70" s="669"/>
      <c r="D70" s="669"/>
      <c r="E70" s="669"/>
      <c r="F70" s="669"/>
      <c r="G70" s="669"/>
      <c r="H70" s="669"/>
      <c r="I70" s="669"/>
      <c r="J70" s="669"/>
      <c r="K70" s="669"/>
      <c r="L70" s="669"/>
      <c r="M70" s="669"/>
      <c r="N70" s="669"/>
      <c r="O70" s="669"/>
      <c r="P70" s="669"/>
      <c r="Q70" s="669"/>
      <c r="R70" s="669"/>
      <c r="S70" s="669"/>
      <c r="T70" s="669"/>
      <c r="U70" s="669"/>
      <c r="V70" s="669"/>
      <c r="W70" s="669"/>
      <c r="X70" s="669"/>
      <c r="Y70" s="669"/>
      <c r="Z70" s="669"/>
      <c r="AA70" s="669"/>
      <c r="AB70" s="669"/>
      <c r="AC70" s="669"/>
      <c r="AD70" s="669"/>
    </row>
    <row r="71" spans="1:30" hidden="1">
      <c r="A71" s="669"/>
      <c r="B71" s="669"/>
      <c r="C71" s="669"/>
      <c r="D71" s="669"/>
      <c r="E71" s="669"/>
      <c r="F71" s="669"/>
      <c r="G71" s="669"/>
      <c r="H71" s="669"/>
      <c r="I71" s="669"/>
      <c r="J71" s="669"/>
      <c r="K71" s="669"/>
      <c r="L71" s="669"/>
      <c r="M71" s="669"/>
      <c r="N71" s="669"/>
      <c r="O71" s="669"/>
      <c r="P71" s="669"/>
      <c r="Q71" s="669"/>
      <c r="R71" s="669"/>
      <c r="S71" s="669"/>
      <c r="T71" s="669"/>
      <c r="U71" s="669"/>
      <c r="V71" s="669"/>
      <c r="W71" s="669"/>
      <c r="X71" s="669"/>
      <c r="Y71" s="669"/>
      <c r="Z71" s="669"/>
      <c r="AA71" s="669"/>
      <c r="AB71" s="669"/>
      <c r="AC71" s="669"/>
      <c r="AD71" s="669"/>
    </row>
    <row r="72" spans="1:30" hidden="1">
      <c r="A72" s="669"/>
      <c r="B72" s="669"/>
      <c r="C72" s="669"/>
      <c r="D72" s="669"/>
      <c r="E72" s="669"/>
      <c r="F72" s="669"/>
      <c r="G72" s="669"/>
      <c r="H72" s="669"/>
      <c r="I72" s="669"/>
      <c r="J72" s="669"/>
      <c r="K72" s="669"/>
      <c r="L72" s="669"/>
      <c r="M72" s="669"/>
      <c r="N72" s="669"/>
      <c r="O72" s="669"/>
      <c r="P72" s="669"/>
      <c r="Q72" s="669"/>
      <c r="R72" s="669"/>
      <c r="S72" s="669"/>
      <c r="T72" s="669"/>
      <c r="U72" s="669"/>
      <c r="V72" s="669"/>
      <c r="W72" s="669"/>
      <c r="X72" s="669"/>
      <c r="Y72" s="669"/>
      <c r="Z72" s="669"/>
      <c r="AA72" s="669"/>
      <c r="AB72" s="669"/>
      <c r="AC72" s="669"/>
      <c r="AD72" s="669"/>
    </row>
    <row r="73" spans="1:30" hidden="1">
      <c r="A73" s="669"/>
      <c r="B73" s="669"/>
      <c r="C73" s="669"/>
      <c r="D73" s="669"/>
      <c r="E73" s="669"/>
      <c r="F73" s="669"/>
      <c r="G73" s="669"/>
      <c r="H73" s="669"/>
      <c r="I73" s="669"/>
      <c r="J73" s="669"/>
      <c r="K73" s="669"/>
      <c r="L73" s="669"/>
      <c r="M73" s="669"/>
      <c r="N73" s="669"/>
      <c r="O73" s="669"/>
      <c r="P73" s="669"/>
      <c r="Q73" s="669"/>
      <c r="R73" s="669"/>
      <c r="S73" s="669"/>
      <c r="T73" s="669"/>
      <c r="U73" s="669"/>
      <c r="V73" s="669"/>
      <c r="W73" s="669"/>
      <c r="X73" s="669"/>
      <c r="Y73" s="669"/>
      <c r="Z73" s="669"/>
      <c r="AA73" s="669"/>
      <c r="AB73" s="669"/>
      <c r="AC73" s="669"/>
      <c r="AD73" s="669"/>
    </row>
    <row r="74" spans="1:30" hidden="1">
      <c r="A74" s="669"/>
      <c r="B74" s="669"/>
      <c r="C74" s="669"/>
      <c r="D74" s="669"/>
      <c r="E74" s="669"/>
      <c r="F74" s="669"/>
      <c r="G74" s="669"/>
      <c r="H74" s="669"/>
      <c r="I74" s="669"/>
      <c r="J74" s="669"/>
      <c r="K74" s="669"/>
      <c r="L74" s="669"/>
      <c r="M74" s="669"/>
      <c r="N74" s="669"/>
      <c r="O74" s="669"/>
      <c r="P74" s="669"/>
      <c r="Q74" s="669"/>
      <c r="R74" s="669"/>
      <c r="S74" s="669"/>
      <c r="T74" s="669"/>
      <c r="U74" s="669"/>
      <c r="V74" s="669"/>
      <c r="W74" s="669"/>
      <c r="X74" s="669"/>
      <c r="Y74" s="669"/>
      <c r="Z74" s="669"/>
      <c r="AA74" s="669"/>
      <c r="AB74" s="669"/>
      <c r="AC74" s="669"/>
      <c r="AD74" s="669"/>
    </row>
    <row r="75" spans="1:30" hidden="1">
      <c r="A75" s="669"/>
      <c r="B75" s="669"/>
      <c r="C75" s="669"/>
      <c r="D75" s="669"/>
      <c r="E75" s="669"/>
      <c r="F75" s="669"/>
      <c r="G75" s="669"/>
      <c r="H75" s="669"/>
      <c r="I75" s="669"/>
      <c r="J75" s="669"/>
      <c r="K75" s="669"/>
      <c r="L75" s="669"/>
      <c r="M75" s="669"/>
      <c r="N75" s="669"/>
      <c r="O75" s="669"/>
      <c r="P75" s="669"/>
      <c r="Q75" s="669"/>
      <c r="R75" s="669"/>
      <c r="S75" s="669"/>
      <c r="T75" s="669"/>
      <c r="U75" s="669"/>
      <c r="V75" s="669"/>
      <c r="W75" s="669"/>
      <c r="X75" s="669"/>
      <c r="Y75" s="669"/>
      <c r="Z75" s="669"/>
      <c r="AA75" s="669"/>
      <c r="AB75" s="669"/>
      <c r="AC75" s="669"/>
      <c r="AD75" s="669"/>
    </row>
    <row r="76" spans="1:30" hidden="1">
      <c r="A76" s="669"/>
      <c r="B76" s="669"/>
      <c r="C76" s="669"/>
      <c r="D76" s="669"/>
      <c r="E76" s="669"/>
      <c r="F76" s="669"/>
      <c r="G76" s="669"/>
      <c r="H76" s="669"/>
      <c r="I76" s="669"/>
      <c r="J76" s="669"/>
      <c r="K76" s="669"/>
      <c r="L76" s="669"/>
      <c r="M76" s="669"/>
      <c r="N76" s="669"/>
      <c r="O76" s="669"/>
      <c r="P76" s="669"/>
      <c r="Q76" s="669"/>
      <c r="R76" s="669"/>
      <c r="S76" s="669"/>
      <c r="T76" s="669"/>
      <c r="U76" s="669"/>
      <c r="V76" s="669"/>
      <c r="W76" s="669"/>
      <c r="X76" s="669"/>
      <c r="Y76" s="669"/>
      <c r="Z76" s="669"/>
      <c r="AA76" s="669"/>
      <c r="AB76" s="669"/>
      <c r="AC76" s="669"/>
      <c r="AD76" s="669"/>
    </row>
    <row r="77" spans="1:30" hidden="1">
      <c r="A77" s="669"/>
      <c r="B77" s="669"/>
      <c r="C77" s="669"/>
      <c r="D77" s="669"/>
      <c r="E77" s="669"/>
      <c r="F77" s="669"/>
      <c r="G77" s="669"/>
      <c r="H77" s="669"/>
      <c r="I77" s="669"/>
      <c r="J77" s="669"/>
      <c r="K77" s="669"/>
      <c r="L77" s="669"/>
      <c r="M77" s="669"/>
      <c r="N77" s="669"/>
      <c r="O77" s="669"/>
      <c r="P77" s="669"/>
      <c r="Q77" s="669"/>
      <c r="R77" s="669"/>
      <c r="S77" s="669"/>
      <c r="T77" s="669"/>
      <c r="U77" s="669"/>
      <c r="V77" s="669"/>
      <c r="W77" s="669"/>
      <c r="X77" s="669"/>
      <c r="Y77" s="669"/>
      <c r="Z77" s="669"/>
      <c r="AA77" s="669"/>
      <c r="AB77" s="669"/>
      <c r="AC77" s="669"/>
      <c r="AD77" s="669"/>
    </row>
    <row r="78" spans="1:30" hidden="1">
      <c r="A78" s="669"/>
      <c r="B78" s="669"/>
      <c r="C78" s="669"/>
      <c r="D78" s="669"/>
      <c r="E78" s="669"/>
      <c r="F78" s="669"/>
      <c r="G78" s="669"/>
      <c r="H78" s="669"/>
      <c r="I78" s="669"/>
      <c r="J78" s="669"/>
      <c r="K78" s="669"/>
      <c r="L78" s="669"/>
      <c r="M78" s="669"/>
      <c r="N78" s="669"/>
      <c r="O78" s="669"/>
      <c r="P78" s="669"/>
      <c r="Q78" s="669"/>
      <c r="R78" s="669"/>
      <c r="S78" s="669"/>
      <c r="T78" s="669"/>
      <c r="U78" s="669"/>
      <c r="V78" s="669"/>
      <c r="W78" s="669"/>
      <c r="X78" s="669"/>
      <c r="Y78" s="669"/>
      <c r="Z78" s="669"/>
      <c r="AA78" s="669"/>
      <c r="AB78" s="669"/>
      <c r="AC78" s="669"/>
      <c r="AD78" s="669"/>
    </row>
    <row r="79" spans="1:30" hidden="1">
      <c r="A79" s="669"/>
      <c r="B79" s="669"/>
      <c r="C79" s="669"/>
      <c r="D79" s="669"/>
      <c r="E79" s="669"/>
      <c r="F79" s="669"/>
      <c r="G79" s="669"/>
      <c r="H79" s="669"/>
      <c r="I79" s="669"/>
      <c r="J79" s="669"/>
      <c r="K79" s="669"/>
      <c r="L79" s="669"/>
      <c r="M79" s="669"/>
      <c r="N79" s="669"/>
      <c r="O79" s="669"/>
      <c r="P79" s="669"/>
      <c r="Q79" s="669"/>
      <c r="R79" s="669"/>
      <c r="S79" s="669"/>
      <c r="T79" s="669"/>
      <c r="U79" s="669"/>
      <c r="V79" s="669"/>
      <c r="W79" s="669"/>
      <c r="X79" s="669"/>
      <c r="Y79" s="669"/>
      <c r="Z79" s="669"/>
      <c r="AA79" s="669"/>
      <c r="AB79" s="669"/>
      <c r="AC79" s="669"/>
      <c r="AD79" s="669"/>
    </row>
    <row r="80" spans="1:30" hidden="1">
      <c r="A80" s="669"/>
      <c r="B80" s="669"/>
      <c r="C80" s="669"/>
      <c r="D80" s="669"/>
      <c r="E80" s="669"/>
      <c r="F80" s="669"/>
      <c r="G80" s="669"/>
      <c r="H80" s="669"/>
      <c r="I80" s="669"/>
      <c r="J80" s="669"/>
      <c r="K80" s="669"/>
      <c r="L80" s="669"/>
      <c r="M80" s="669"/>
      <c r="N80" s="669"/>
      <c r="O80" s="669"/>
      <c r="P80" s="669"/>
      <c r="Q80" s="669"/>
      <c r="R80" s="669"/>
      <c r="S80" s="669"/>
      <c r="T80" s="669"/>
      <c r="U80" s="669"/>
      <c r="V80" s="669"/>
      <c r="W80" s="669"/>
      <c r="X80" s="669"/>
      <c r="Y80" s="669"/>
      <c r="Z80" s="669"/>
      <c r="AA80" s="669"/>
      <c r="AB80" s="669"/>
      <c r="AC80" s="669"/>
      <c r="AD80" s="669"/>
    </row>
    <row r="81" spans="1:30" hidden="1">
      <c r="A81" s="669"/>
      <c r="B81" s="669"/>
      <c r="C81" s="669"/>
      <c r="D81" s="669"/>
      <c r="E81" s="669"/>
      <c r="F81" s="669"/>
      <c r="G81" s="669"/>
      <c r="H81" s="669"/>
      <c r="I81" s="669"/>
      <c r="J81" s="669"/>
      <c r="K81" s="669"/>
      <c r="L81" s="669"/>
      <c r="M81" s="669"/>
      <c r="N81" s="669"/>
      <c r="O81" s="669"/>
      <c r="P81" s="669"/>
      <c r="Q81" s="669"/>
      <c r="R81" s="669"/>
      <c r="S81" s="669"/>
      <c r="T81" s="669"/>
      <c r="U81" s="669"/>
      <c r="V81" s="669"/>
      <c r="W81" s="669"/>
      <c r="X81" s="669"/>
      <c r="Y81" s="669"/>
      <c r="Z81" s="669"/>
      <c r="AA81" s="669"/>
      <c r="AB81" s="669"/>
      <c r="AC81" s="669"/>
      <c r="AD81" s="669"/>
    </row>
    <row r="82" spans="1:30" hidden="1">
      <c r="A82" s="669"/>
      <c r="B82" s="669"/>
      <c r="C82" s="669"/>
      <c r="D82" s="669"/>
      <c r="E82" s="669"/>
      <c r="F82" s="669"/>
      <c r="G82" s="669"/>
      <c r="H82" s="669"/>
      <c r="I82" s="669"/>
      <c r="J82" s="669"/>
      <c r="K82" s="669"/>
      <c r="L82" s="669"/>
      <c r="M82" s="669"/>
      <c r="N82" s="669"/>
      <c r="O82" s="669"/>
      <c r="P82" s="669"/>
      <c r="Q82" s="669"/>
      <c r="R82" s="669"/>
      <c r="S82" s="669"/>
      <c r="T82" s="669"/>
      <c r="U82" s="669"/>
      <c r="V82" s="669"/>
      <c r="W82" s="669"/>
      <c r="X82" s="669"/>
      <c r="Y82" s="669"/>
      <c r="Z82" s="669"/>
      <c r="AA82" s="669"/>
      <c r="AB82" s="669"/>
      <c r="AC82" s="669"/>
      <c r="AD82" s="669"/>
    </row>
    <row r="83" spans="1:30" hidden="1">
      <c r="A83" s="669"/>
      <c r="B83" s="669"/>
      <c r="C83" s="669"/>
      <c r="D83" s="669"/>
      <c r="E83" s="669"/>
      <c r="F83" s="669"/>
      <c r="G83" s="669"/>
      <c r="H83" s="669"/>
      <c r="I83" s="669"/>
      <c r="J83" s="669"/>
      <c r="K83" s="669"/>
      <c r="L83" s="669"/>
      <c r="M83" s="669"/>
      <c r="N83" s="669"/>
      <c r="O83" s="669"/>
      <c r="P83" s="669"/>
      <c r="Q83" s="669"/>
      <c r="R83" s="669"/>
      <c r="S83" s="669"/>
      <c r="T83" s="669"/>
      <c r="U83" s="669"/>
      <c r="V83" s="669"/>
      <c r="W83" s="669"/>
      <c r="X83" s="669"/>
      <c r="Y83" s="669"/>
      <c r="Z83" s="669"/>
      <c r="AA83" s="669"/>
      <c r="AB83" s="669"/>
      <c r="AC83" s="669"/>
      <c r="AD83" s="669"/>
    </row>
    <row r="84" spans="1:30" hidden="1">
      <c r="A84" s="669"/>
      <c r="B84" s="669"/>
      <c r="C84" s="669"/>
      <c r="D84" s="669"/>
      <c r="E84" s="669"/>
      <c r="F84" s="669"/>
      <c r="G84" s="669"/>
      <c r="H84" s="669"/>
      <c r="I84" s="669"/>
      <c r="J84" s="669"/>
      <c r="K84" s="669"/>
      <c r="L84" s="669"/>
      <c r="M84" s="669"/>
      <c r="N84" s="669"/>
      <c r="O84" s="669"/>
      <c r="P84" s="669"/>
      <c r="Q84" s="669"/>
      <c r="R84" s="669"/>
      <c r="S84" s="669"/>
      <c r="T84" s="669"/>
      <c r="U84" s="669"/>
      <c r="V84" s="669"/>
      <c r="W84" s="669"/>
      <c r="X84" s="669"/>
      <c r="Y84" s="669"/>
      <c r="Z84" s="669"/>
      <c r="AA84" s="669"/>
      <c r="AB84" s="669"/>
      <c r="AC84" s="669"/>
      <c r="AD84" s="669"/>
    </row>
    <row r="85" spans="1:30" hidden="1">
      <c r="A85" s="669"/>
      <c r="B85" s="669"/>
      <c r="C85" s="669"/>
      <c r="D85" s="669"/>
      <c r="E85" s="669"/>
      <c r="F85" s="669"/>
      <c r="G85" s="669"/>
      <c r="H85" s="669"/>
      <c r="I85" s="669"/>
      <c r="J85" s="669"/>
      <c r="K85" s="669"/>
      <c r="L85" s="669"/>
      <c r="M85" s="669"/>
      <c r="N85" s="669"/>
      <c r="O85" s="669"/>
      <c r="P85" s="669"/>
      <c r="Q85" s="669"/>
      <c r="R85" s="669"/>
      <c r="S85" s="669"/>
      <c r="T85" s="669"/>
      <c r="U85" s="669"/>
      <c r="V85" s="669"/>
      <c r="W85" s="669"/>
      <c r="X85" s="669"/>
      <c r="Y85" s="669"/>
      <c r="Z85" s="669"/>
      <c r="AA85" s="669"/>
      <c r="AB85" s="669"/>
      <c r="AC85" s="669"/>
      <c r="AD85" s="669"/>
    </row>
    <row r="86" spans="1:30" hidden="1">
      <c r="A86" s="669"/>
      <c r="B86" s="669"/>
      <c r="C86" s="669"/>
      <c r="D86" s="669"/>
      <c r="E86" s="669"/>
      <c r="F86" s="669"/>
      <c r="G86" s="669"/>
      <c r="H86" s="669"/>
      <c r="I86" s="669"/>
      <c r="J86" s="669"/>
      <c r="K86" s="669"/>
      <c r="L86" s="669"/>
      <c r="M86" s="669"/>
      <c r="N86" s="669"/>
      <c r="O86" s="669"/>
      <c r="P86" s="669"/>
      <c r="Q86" s="669"/>
      <c r="R86" s="669"/>
      <c r="S86" s="669"/>
      <c r="T86" s="669"/>
      <c r="U86" s="669"/>
      <c r="V86" s="669"/>
      <c r="W86" s="669"/>
      <c r="X86" s="669"/>
      <c r="Y86" s="669"/>
      <c r="Z86" s="669"/>
      <c r="AA86" s="669"/>
      <c r="AB86" s="669"/>
      <c r="AC86" s="669"/>
      <c r="AD86" s="669"/>
    </row>
    <row r="87" spans="1:30" hidden="1">
      <c r="A87" s="669"/>
      <c r="B87" s="669"/>
      <c r="C87" s="669"/>
      <c r="D87" s="669"/>
      <c r="E87" s="669"/>
      <c r="F87" s="669"/>
      <c r="G87" s="669"/>
      <c r="H87" s="669"/>
      <c r="I87" s="669"/>
      <c r="J87" s="669"/>
      <c r="K87" s="669"/>
      <c r="L87" s="669"/>
      <c r="M87" s="669"/>
      <c r="N87" s="669"/>
      <c r="O87" s="669"/>
      <c r="P87" s="669"/>
      <c r="Q87" s="669"/>
      <c r="R87" s="669"/>
      <c r="S87" s="669"/>
      <c r="T87" s="669"/>
      <c r="U87" s="669"/>
      <c r="V87" s="669"/>
      <c r="W87" s="669"/>
      <c r="X87" s="669"/>
      <c r="Y87" s="669"/>
      <c r="Z87" s="669"/>
      <c r="AA87" s="669"/>
      <c r="AB87" s="669"/>
      <c r="AC87" s="669"/>
      <c r="AD87" s="669"/>
    </row>
    <row r="88" spans="1:30" hidden="1">
      <c r="A88" s="669"/>
      <c r="B88" s="669"/>
      <c r="C88" s="669"/>
      <c r="D88" s="669"/>
      <c r="E88" s="669"/>
      <c r="F88" s="669"/>
      <c r="G88" s="669"/>
      <c r="H88" s="669"/>
      <c r="I88" s="669"/>
      <c r="J88" s="669"/>
      <c r="K88" s="669"/>
      <c r="L88" s="669"/>
      <c r="M88" s="669"/>
      <c r="N88" s="669"/>
      <c r="O88" s="669"/>
      <c r="P88" s="669"/>
      <c r="Q88" s="669"/>
      <c r="R88" s="669"/>
      <c r="S88" s="669"/>
      <c r="T88" s="669"/>
      <c r="U88" s="669"/>
      <c r="V88" s="669"/>
      <c r="W88" s="669"/>
      <c r="X88" s="669"/>
      <c r="Y88" s="669"/>
      <c r="Z88" s="669"/>
      <c r="AA88" s="669"/>
      <c r="AB88" s="669"/>
      <c r="AC88" s="669"/>
      <c r="AD88" s="669"/>
    </row>
    <row r="89" spans="1:30" hidden="1">
      <c r="A89" s="669"/>
      <c r="B89" s="669"/>
      <c r="C89" s="669"/>
      <c r="D89" s="669"/>
      <c r="E89" s="669"/>
      <c r="F89" s="669"/>
      <c r="G89" s="669"/>
      <c r="H89" s="669"/>
      <c r="I89" s="669"/>
      <c r="J89" s="669"/>
      <c r="K89" s="669"/>
      <c r="L89" s="669"/>
      <c r="M89" s="669"/>
      <c r="N89" s="669"/>
      <c r="O89" s="669"/>
      <c r="P89" s="669"/>
      <c r="Q89" s="669"/>
      <c r="R89" s="669"/>
      <c r="S89" s="669"/>
      <c r="T89" s="669"/>
      <c r="U89" s="669"/>
      <c r="V89" s="669"/>
      <c r="W89" s="669"/>
      <c r="X89" s="669"/>
      <c r="Y89" s="669"/>
      <c r="Z89" s="669"/>
      <c r="AA89" s="669"/>
      <c r="AB89" s="669"/>
      <c r="AC89" s="669"/>
      <c r="AD89" s="669"/>
    </row>
    <row r="90" spans="1:30" hidden="1">
      <c r="A90" s="669"/>
      <c r="B90" s="669"/>
      <c r="C90" s="669"/>
      <c r="D90" s="669"/>
      <c r="E90" s="669"/>
      <c r="F90" s="669"/>
      <c r="G90" s="669"/>
      <c r="H90" s="669"/>
      <c r="I90" s="669"/>
      <c r="J90" s="669"/>
      <c r="K90" s="669"/>
      <c r="L90" s="669"/>
      <c r="M90" s="669"/>
      <c r="N90" s="669"/>
      <c r="O90" s="669"/>
      <c r="P90" s="669"/>
      <c r="Q90" s="669"/>
      <c r="R90" s="669"/>
      <c r="S90" s="669"/>
      <c r="T90" s="669"/>
      <c r="U90" s="669"/>
      <c r="V90" s="669"/>
      <c r="W90" s="669"/>
      <c r="X90" s="669"/>
      <c r="Y90" s="669"/>
      <c r="Z90" s="669"/>
      <c r="AA90" s="669"/>
      <c r="AB90" s="669"/>
      <c r="AC90" s="669"/>
      <c r="AD90" s="669"/>
    </row>
    <row r="91" spans="1:30" hidden="1">
      <c r="A91" s="669"/>
      <c r="B91" s="669"/>
      <c r="C91" s="669"/>
      <c r="D91" s="669"/>
      <c r="E91" s="669"/>
      <c r="F91" s="669"/>
      <c r="G91" s="669"/>
      <c r="H91" s="669"/>
      <c r="I91" s="669"/>
      <c r="J91" s="669"/>
      <c r="K91" s="669"/>
      <c r="L91" s="669"/>
      <c r="M91" s="669"/>
      <c r="N91" s="669"/>
      <c r="O91" s="669"/>
      <c r="P91" s="669"/>
      <c r="Q91" s="669"/>
      <c r="R91" s="669"/>
      <c r="S91" s="669"/>
      <c r="T91" s="669"/>
      <c r="U91" s="669"/>
      <c r="V91" s="669"/>
      <c r="W91" s="669"/>
      <c r="X91" s="669"/>
      <c r="Y91" s="669"/>
      <c r="Z91" s="669"/>
      <c r="AA91" s="669"/>
      <c r="AB91" s="669"/>
      <c r="AC91" s="669"/>
      <c r="AD91" s="669"/>
    </row>
    <row r="92" spans="1:30" hidden="1">
      <c r="A92" s="669"/>
      <c r="B92" s="669"/>
      <c r="C92" s="669"/>
      <c r="D92" s="669"/>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row>
    <row r="93" spans="1:30" hidden="1">
      <c r="A93" s="669"/>
      <c r="B93" s="669"/>
      <c r="C93" s="669"/>
      <c r="D93" s="669"/>
      <c r="E93" s="669"/>
      <c r="F93" s="669"/>
      <c r="G93" s="669"/>
      <c r="H93" s="669"/>
      <c r="I93" s="669"/>
      <c r="J93" s="669"/>
      <c r="K93" s="669"/>
      <c r="L93" s="669"/>
      <c r="M93" s="669"/>
      <c r="N93" s="669"/>
      <c r="O93" s="669"/>
      <c r="P93" s="669"/>
      <c r="Q93" s="669"/>
      <c r="R93" s="669"/>
      <c r="S93" s="669"/>
      <c r="T93" s="669"/>
      <c r="U93" s="669"/>
      <c r="V93" s="669"/>
      <c r="W93" s="669"/>
      <c r="X93" s="669"/>
      <c r="Y93" s="669"/>
      <c r="Z93" s="669"/>
      <c r="AA93" s="669"/>
      <c r="AB93" s="669"/>
      <c r="AC93" s="669"/>
      <c r="AD93" s="669"/>
    </row>
    <row r="94" spans="1:30" hidden="1">
      <c r="A94" s="669"/>
      <c r="B94" s="669"/>
      <c r="C94" s="669"/>
      <c r="D94" s="669"/>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row>
    <row r="95" spans="1:30" hidden="1">
      <c r="A95" s="669"/>
      <c r="B95" s="669"/>
      <c r="C95" s="669"/>
      <c r="D95" s="669"/>
      <c r="E95" s="669"/>
      <c r="F95" s="669"/>
      <c r="G95" s="669"/>
      <c r="H95" s="669"/>
      <c r="I95" s="669"/>
      <c r="J95" s="669"/>
      <c r="K95" s="669"/>
      <c r="L95" s="669"/>
      <c r="M95" s="669"/>
      <c r="N95" s="669"/>
      <c r="O95" s="669"/>
      <c r="P95" s="669"/>
      <c r="Q95" s="669"/>
      <c r="R95" s="669"/>
      <c r="S95" s="669"/>
      <c r="T95" s="669"/>
      <c r="U95" s="669"/>
      <c r="V95" s="669"/>
      <c r="W95" s="669"/>
      <c r="X95" s="669"/>
      <c r="Y95" s="669"/>
      <c r="Z95" s="669"/>
      <c r="AA95" s="669"/>
      <c r="AB95" s="669"/>
      <c r="AC95" s="669"/>
      <c r="AD95" s="669"/>
    </row>
    <row r="96" spans="1:30" hidden="1">
      <c r="A96" s="669"/>
      <c r="B96" s="669"/>
      <c r="C96" s="669"/>
      <c r="D96" s="669"/>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row>
    <row r="97" spans="1:30" hidden="1">
      <c r="A97" s="669"/>
      <c r="B97" s="669"/>
      <c r="C97" s="669"/>
      <c r="D97" s="669"/>
      <c r="E97" s="669"/>
      <c r="F97" s="669"/>
      <c r="G97" s="669"/>
      <c r="H97" s="669"/>
      <c r="I97" s="669"/>
      <c r="J97" s="669"/>
      <c r="K97" s="669"/>
      <c r="L97" s="669"/>
      <c r="M97" s="669"/>
      <c r="N97" s="669"/>
      <c r="O97" s="669"/>
      <c r="P97" s="669"/>
      <c r="Q97" s="669"/>
      <c r="R97" s="669"/>
      <c r="S97" s="669"/>
      <c r="T97" s="669"/>
      <c r="U97" s="669"/>
      <c r="V97" s="669"/>
      <c r="W97" s="669"/>
      <c r="X97" s="669"/>
      <c r="Y97" s="669"/>
      <c r="Z97" s="669"/>
      <c r="AA97" s="669"/>
      <c r="AB97" s="669"/>
      <c r="AC97" s="669"/>
      <c r="AD97" s="669"/>
    </row>
    <row r="98" spans="1:30" hidden="1">
      <c r="A98" s="669"/>
      <c r="B98" s="669"/>
      <c r="C98" s="669"/>
      <c r="D98" s="669"/>
      <c r="E98" s="669"/>
      <c r="F98" s="669"/>
      <c r="G98" s="669"/>
      <c r="H98" s="669"/>
      <c r="I98" s="669"/>
      <c r="J98" s="669"/>
      <c r="K98" s="669"/>
      <c r="L98" s="669"/>
      <c r="M98" s="669"/>
      <c r="N98" s="669"/>
      <c r="O98" s="669"/>
      <c r="P98" s="669"/>
      <c r="Q98" s="669"/>
      <c r="R98" s="669"/>
      <c r="S98" s="669"/>
      <c r="T98" s="669"/>
      <c r="U98" s="669"/>
      <c r="V98" s="669"/>
      <c r="W98" s="669"/>
      <c r="X98" s="669"/>
      <c r="Y98" s="669"/>
      <c r="Z98" s="669"/>
      <c r="AA98" s="669"/>
      <c r="AB98" s="669"/>
      <c r="AC98" s="669"/>
      <c r="AD98" s="669"/>
    </row>
    <row r="99" spans="1:30" hidden="1"/>
  </sheetData>
  <sheetProtection password="CF7B" sheet="1" objects="1" scenarios="1" selectLockedCells="1"/>
  <protectedRanges>
    <protectedRange sqref="AE9:AF9 AF8 Z14 AA9 AA15 AA12:AA13 Z22:AC22 AB14 Z8:AC8 Z28 AA29:AA30 AC29:AC30 AB28 AA23:AA24 AC12:AC13 AC15 Z38:AC38 Z44 AA45 AA42:AA43 AC45 AC42:AC43 AB44 AA39:AA40 AA26:AA27 AC26:AC27" name="Range1_1"/>
    <protectedRange sqref="AE7 Z7:AC7 Z21:AC21 Z37:AC37" name="Range1_2"/>
  </protectedRanges>
  <customSheetViews>
    <customSheetView guid="{C9DCC1B1-1130-43C1-807F-FB357D8E7C6B}" showPageBreaks="1" showGridLines="0" showRowCol="0" printArea="1" hiddenRows="1" topLeftCell="A11">
      <selection activeCell="A48" sqref="A48:W48"/>
      <pageMargins left="0.51181102362204722" right="0.31496062992125984" top="0.74803149606299213" bottom="0.74803149606299213" header="0" footer="0"/>
      <pageSetup paperSize="9" orientation="portrait" r:id="rId1"/>
    </customSheetView>
    <customSheetView guid="{74B9DB0D-A27C-483C-9482-296E1DCC546B}" showGridLines="0" showRowCol="0" hiddenRows="1" topLeftCell="A11">
      <selection activeCell="A48" sqref="A48:W48"/>
      <pageMargins left="0.51181102362204722" right="0.31496062992125984" top="0.74803149606299213" bottom="0.74803149606299213" header="0" footer="0"/>
      <pageSetup paperSize="9" orientation="portrait" r:id="rId2"/>
    </customSheetView>
  </customSheetViews>
  <mergeCells count="117">
    <mergeCell ref="Z28:Z29"/>
    <mergeCell ref="AA28:AA29"/>
    <mergeCell ref="AB28:AB29"/>
    <mergeCell ref="AC28:AC29"/>
    <mergeCell ref="A58:W58"/>
    <mergeCell ref="Z49:AD49"/>
    <mergeCell ref="AD33:AD44"/>
    <mergeCell ref="A49:C50"/>
    <mergeCell ref="D49:G50"/>
    <mergeCell ref="H49:K50"/>
    <mergeCell ref="L49:O50"/>
    <mergeCell ref="P49:R50"/>
    <mergeCell ref="S49:U50"/>
    <mergeCell ref="V49:W50"/>
    <mergeCell ref="A30:W30"/>
    <mergeCell ref="A32:W32"/>
    <mergeCell ref="L54:O54"/>
    <mergeCell ref="A33:W33"/>
    <mergeCell ref="A34:W34"/>
    <mergeCell ref="AD17:AD29"/>
    <mergeCell ref="D54:G54"/>
    <mergeCell ref="H54:K54"/>
    <mergeCell ref="L53:O53"/>
    <mergeCell ref="P54:R54"/>
    <mergeCell ref="C18:Q18"/>
    <mergeCell ref="S18:V18"/>
    <mergeCell ref="A25:B25"/>
    <mergeCell ref="C25:P25"/>
    <mergeCell ref="S16:V16"/>
    <mergeCell ref="Z3:Z4"/>
    <mergeCell ref="AA3:AA4"/>
    <mergeCell ref="AB3:AB4"/>
    <mergeCell ref="AC3:AC4"/>
    <mergeCell ref="A20:W20"/>
    <mergeCell ref="B22:W23"/>
    <mergeCell ref="C17:Q17"/>
    <mergeCell ref="S17:V17"/>
    <mergeCell ref="A2:W2"/>
    <mergeCell ref="A3:W3"/>
    <mergeCell ref="K6:W6"/>
    <mergeCell ref="B8:W9"/>
    <mergeCell ref="K7:V7"/>
    <mergeCell ref="K4:W4"/>
    <mergeCell ref="R11:R12"/>
    <mergeCell ref="S11:V12"/>
    <mergeCell ref="C13:Q15"/>
    <mergeCell ref="B13:B15"/>
    <mergeCell ref="R13:R15"/>
    <mergeCell ref="S13:V15"/>
    <mergeCell ref="K5:W5"/>
    <mergeCell ref="C10:Q10"/>
    <mergeCell ref="S10:V10"/>
    <mergeCell ref="C11:Q12"/>
    <mergeCell ref="B11:B12"/>
    <mergeCell ref="S54:U54"/>
    <mergeCell ref="S42:S43"/>
    <mergeCell ref="T42:W43"/>
    <mergeCell ref="D51:G51"/>
    <mergeCell ref="H51:K51"/>
    <mergeCell ref="A47:W47"/>
    <mergeCell ref="A48:W48"/>
    <mergeCell ref="AD46:AD47"/>
    <mergeCell ref="AC46:AC47"/>
    <mergeCell ref="Z46:Z47"/>
    <mergeCell ref="AA46:AA47"/>
    <mergeCell ref="AB46:AB47"/>
    <mergeCell ref="Z48:AC48"/>
    <mergeCell ref="B44:R44"/>
    <mergeCell ref="V52:W52"/>
    <mergeCell ref="B35:R35"/>
    <mergeCell ref="T35:W35"/>
    <mergeCell ref="T40:W41"/>
    <mergeCell ref="B36:R36"/>
    <mergeCell ref="T36:W36"/>
    <mergeCell ref="T44:W44"/>
    <mergeCell ref="V56:W56"/>
    <mergeCell ref="A51:C51"/>
    <mergeCell ref="B37:R37"/>
    <mergeCell ref="T37:W37"/>
    <mergeCell ref="B38:R38"/>
    <mergeCell ref="T38:W38"/>
    <mergeCell ref="B39:R39"/>
    <mergeCell ref="T39:W39"/>
    <mergeCell ref="L51:O51"/>
    <mergeCell ref="P51:R51"/>
    <mergeCell ref="A56:U56"/>
    <mergeCell ref="A52:C52"/>
    <mergeCell ref="L52:O52"/>
    <mergeCell ref="A55:C55"/>
    <mergeCell ref="D55:G55"/>
    <mergeCell ref="S51:U51"/>
    <mergeCell ref="V51:W51"/>
    <mergeCell ref="B43:R43"/>
    <mergeCell ref="H55:K55"/>
    <mergeCell ref="L55:O55"/>
    <mergeCell ref="P55:R55"/>
    <mergeCell ref="S55:U55"/>
    <mergeCell ref="V55:W55"/>
    <mergeCell ref="A54:C54"/>
    <mergeCell ref="V54:W54"/>
    <mergeCell ref="A53:C53"/>
    <mergeCell ref="A26:B26"/>
    <mergeCell ref="R27:W27"/>
    <mergeCell ref="C26:G26"/>
    <mergeCell ref="B40:R40"/>
    <mergeCell ref="B41:R41"/>
    <mergeCell ref="B42:R42"/>
    <mergeCell ref="S40:S41"/>
    <mergeCell ref="D53:G53"/>
    <mergeCell ref="H53:K53"/>
    <mergeCell ref="P53:R53"/>
    <mergeCell ref="S53:U53"/>
    <mergeCell ref="V53:W53"/>
    <mergeCell ref="D52:G52"/>
    <mergeCell ref="H52:K52"/>
    <mergeCell ref="P52:R52"/>
    <mergeCell ref="S52:U52"/>
  </mergeCells>
  <pageMargins left="0.51181102362204722" right="0.31496062992125984" top="0.74803149606299213" bottom="0.74803149606299213" header="0" footer="0"/>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Instructions</vt:lpstr>
      <vt:lpstr>DATA</vt:lpstr>
      <vt:lpstr>Annexure -I</vt:lpstr>
      <vt:lpstr>Form 12BB</vt:lpstr>
      <vt:lpstr>Annexure -II</vt:lpstr>
      <vt:lpstr>Form 16 Page1</vt:lpstr>
      <vt:lpstr>Form 16 Page-1</vt:lpstr>
      <vt:lpstr>Form 16 Page2</vt:lpstr>
      <vt:lpstr>10E</vt:lpstr>
      <vt:lpstr>Rent Reciept </vt:lpstr>
      <vt:lpstr>Sheet1</vt:lpstr>
      <vt:lpstr>'10E'!Print_Area</vt:lpstr>
      <vt:lpstr>'Annexure -II'!Print_Area</vt:lpstr>
      <vt:lpstr>'Form 16 Page1'!Print_Area</vt:lpstr>
      <vt:lpstr>'Form 16 Page-1'!Print_Area</vt:lpstr>
      <vt:lpstr>'Form 16 Page2'!Print_Area</vt:lpstr>
      <vt:lpstr>'Rent Reciept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MEO DMK</dc:creator>
  <cp:lastModifiedBy>S. Rahul</cp:lastModifiedBy>
  <cp:lastPrinted>2020-02-23T12:14:34Z</cp:lastPrinted>
  <dcterms:created xsi:type="dcterms:W3CDTF">2001-12-31T19:03:00Z</dcterms:created>
  <dcterms:modified xsi:type="dcterms:W3CDTF">2020-02-23T12:17:35Z</dcterms:modified>
</cp:coreProperties>
</file>