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ocuments\5thYear\CS546\PredictiveMaintenance\FinalTurbofanModel\"/>
    </mc:Choice>
  </mc:AlternateContent>
  <xr:revisionPtr revIDLastSave="0" documentId="13_ncr:1_{372F8368-D35F-42CD-9623-3D8F33FA1517}" xr6:coauthVersionLast="45" xr6:coauthVersionMax="45" xr10:uidLastSave="{00000000-0000-0000-0000-000000000000}"/>
  <bookViews>
    <workbookView xWindow="5130" yWindow="2985" windowWidth="21600" windowHeight="11385" xr2:uid="{E803A9A2-FEFA-4ACD-8FBB-E5C14ECB9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" l="1"/>
  <c r="N16" i="1"/>
  <c r="L16" i="1"/>
  <c r="J16" i="1"/>
  <c r="G16" i="1"/>
  <c r="E16" i="1"/>
  <c r="C16" i="1"/>
  <c r="AC15" i="1"/>
  <c r="AB15" i="1"/>
  <c r="AA15" i="1"/>
  <c r="Z15" i="1"/>
  <c r="Y15" i="1"/>
  <c r="W15" i="1"/>
  <c r="V15" i="1"/>
  <c r="U15" i="1"/>
  <c r="T15" i="1"/>
  <c r="S15" i="1"/>
  <c r="N15" i="1"/>
  <c r="M15" i="1"/>
  <c r="L15" i="1"/>
  <c r="J15" i="1"/>
  <c r="H15" i="1"/>
  <c r="G15" i="1"/>
  <c r="E15" i="1"/>
  <c r="D15" i="1"/>
  <c r="C15" i="1"/>
  <c r="O14" i="1"/>
  <c r="M14" i="1"/>
  <c r="K14" i="1"/>
  <c r="H14" i="1"/>
  <c r="F14" i="1"/>
  <c r="D14" i="1"/>
  <c r="O13" i="1"/>
  <c r="M13" i="1"/>
  <c r="K13" i="1"/>
  <c r="H13" i="1"/>
  <c r="F13" i="1"/>
  <c r="D13" i="1"/>
  <c r="O12" i="1"/>
  <c r="M12" i="1"/>
  <c r="K12" i="1"/>
  <c r="H12" i="1"/>
  <c r="F12" i="1"/>
  <c r="D12" i="1"/>
  <c r="O11" i="1"/>
  <c r="M11" i="1"/>
  <c r="K11" i="1"/>
  <c r="H11" i="1"/>
  <c r="F11" i="1"/>
  <c r="D11" i="1"/>
  <c r="O10" i="1"/>
  <c r="M10" i="1"/>
  <c r="K10" i="1"/>
  <c r="H10" i="1"/>
  <c r="F10" i="1"/>
  <c r="D10" i="1"/>
  <c r="O9" i="1"/>
  <c r="M9" i="1"/>
  <c r="K9" i="1"/>
  <c r="H9" i="1"/>
  <c r="F9" i="1"/>
  <c r="D9" i="1"/>
  <c r="O8" i="1"/>
  <c r="M8" i="1"/>
  <c r="K8" i="1"/>
  <c r="H8" i="1"/>
  <c r="F8" i="1"/>
  <c r="D8" i="1"/>
  <c r="O7" i="1"/>
  <c r="M7" i="1"/>
  <c r="K7" i="1"/>
  <c r="H7" i="1"/>
  <c r="F7" i="1"/>
  <c r="D7" i="1"/>
  <c r="O6" i="1"/>
  <c r="M6" i="1"/>
  <c r="K6" i="1"/>
  <c r="K16" i="1" s="1"/>
  <c r="H6" i="1"/>
  <c r="F6" i="1"/>
  <c r="D6" i="1"/>
  <c r="O5" i="1"/>
  <c r="O15" i="1" s="1"/>
  <c r="M5" i="1"/>
  <c r="M16" i="1" s="1"/>
  <c r="K5" i="1"/>
  <c r="K15" i="1" s="1"/>
  <c r="H5" i="1"/>
  <c r="H16" i="1" s="1"/>
  <c r="F5" i="1"/>
  <c r="F15" i="1" s="1"/>
  <c r="D5" i="1"/>
  <c r="D16" i="1" s="1"/>
  <c r="F16" i="1" l="1"/>
</calcChain>
</file>

<file path=xl/sharedStrings.xml><?xml version="1.0" encoding="utf-8"?>
<sst xmlns="http://schemas.openxmlformats.org/spreadsheetml/2006/main" count="31" uniqueCount="17">
  <si>
    <t>Neural Networks</t>
  </si>
  <si>
    <t>Unfocused</t>
  </si>
  <si>
    <t>Focused</t>
  </si>
  <si>
    <t>Standard ML</t>
  </si>
  <si>
    <t>Forest</t>
  </si>
  <si>
    <t>Linear</t>
  </si>
  <si>
    <t>KNN</t>
  </si>
  <si>
    <t>SGD</t>
  </si>
  <si>
    <t>SVR</t>
  </si>
  <si>
    <t>Averages</t>
  </si>
  <si>
    <t>Train(MAE)</t>
  </si>
  <si>
    <t>Train(RMSE)</t>
  </si>
  <si>
    <t>Val(MAE)</t>
  </si>
  <si>
    <t>Val(RMSE)</t>
  </si>
  <si>
    <t>Test(MAE)</t>
  </si>
  <si>
    <t>Test(RMSE)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</si>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</sst>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2" fillId="3" borderId="1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0" xfId="0" applyFont="1" applyFill="1" applyBorder="1"/>
    <xf numFmtId="0" fontId="3" fillId="0" borderId="0" xfId="0" applyFont="1" applyAlignment="1">
      <alignment vertical="center"/>
    </xf>
    <xf numFmtId="0" fontId="0" fillId="0" borderId="11" xfId="0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/>
    <xf numFmtId="0" fontId="0" fillId="0" borderId="0" xfId="0" applyAlignment="1">
      <alignment vertic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504C-5F1C-491A-ACE4-ED1480D22613}">
  <dimension ref="B2:AC16"/>
  <sheetViews>
    <sheetView tabSelected="1" workbookViewId="0">
      <selection activeCell="F10" sqref="F10"/>
    </sheetView>
  </sheetViews>
  <sheetFormatPr defaultRowHeight="15"/>
  <cols>
    <col min="11" max="11" width="9.140625" customWidth="1"/>
  </cols>
  <sheetData>
    <row r="2" spans="2:29">
      <c r="C2" s="4" t="s">
        <v>0</v>
      </c>
      <c r="D2" s="4"/>
      <c r="E2" s="4"/>
      <c r="F2" s="4"/>
    </row>
    <row r="3" spans="2:29">
      <c r="C3" s="1" t="s">
        <v>1</v>
      </c>
      <c r="D3" s="1"/>
      <c r="E3" s="2"/>
      <c r="F3" s="2"/>
      <c r="G3" s="2"/>
      <c r="H3" s="2"/>
      <c r="I3" s="2"/>
      <c r="J3" s="1" t="s">
        <v>2</v>
      </c>
      <c r="K3" s="1"/>
      <c r="L3" s="2"/>
      <c r="M3" s="2"/>
      <c r="N3" s="9"/>
      <c r="O3" s="10"/>
    </row>
    <row r="4" spans="2:29">
      <c r="C4" s="11" t="s">
        <v>10</v>
      </c>
      <c r="D4" s="11" t="s">
        <v>11</v>
      </c>
      <c r="E4" s="11" t="s">
        <v>12</v>
      </c>
      <c r="F4" s="11" t="s">
        <v>13</v>
      </c>
      <c r="G4" s="11" t="s">
        <v>14</v>
      </c>
      <c r="H4" s="11" t="s">
        <v>15</v>
      </c>
      <c r="I4" s="11"/>
      <c r="J4" s="11" t="s">
        <v>10</v>
      </c>
      <c r="K4" s="11" t="s">
        <v>11</v>
      </c>
      <c r="L4" s="11" t="s">
        <v>12</v>
      </c>
      <c r="M4" s="11" t="s">
        <v>13</v>
      </c>
      <c r="N4" s="12" t="s">
        <v>14</v>
      </c>
      <c r="O4" s="13" t="s">
        <v>15</v>
      </c>
    </row>
    <row r="5" spans="2:29">
      <c r="C5" s="14">
        <v>18.168800000000001</v>
      </c>
      <c r="D5" s="14">
        <f>SQRT(746.9224)</f>
        <v>27.329881082800195</v>
      </c>
      <c r="E5" s="14">
        <v>26.3276</v>
      </c>
      <c r="F5" s="14">
        <f>SQRT(1698.6132)</f>
        <v>41.214235404772467</v>
      </c>
      <c r="G5">
        <v>26.838920593261701</v>
      </c>
      <c r="H5">
        <f>SQRT(1606.98943373408)</f>
        <v>40.087272715091011</v>
      </c>
      <c r="I5" s="15"/>
      <c r="J5" s="14">
        <v>9.6415000000000006</v>
      </c>
      <c r="K5">
        <f>SQRT(170.2119)</f>
        <v>13.046528273835918</v>
      </c>
      <c r="L5">
        <v>10.8485</v>
      </c>
      <c r="M5">
        <f>SQRT(182.8554)</f>
        <v>13.522403632490786</v>
      </c>
      <c r="N5">
        <v>10.355023384094199</v>
      </c>
      <c r="O5">
        <f>SQRT(172.501050271623)</f>
        <v>13.133965519660199</v>
      </c>
    </row>
    <row r="6" spans="2:29">
      <c r="C6" s="14">
        <v>21.132200000000001</v>
      </c>
      <c r="D6" s="14">
        <f>SQRT(1026.2601)</f>
        <v>32.035294598302045</v>
      </c>
      <c r="E6" s="14">
        <v>20.859200000000001</v>
      </c>
      <c r="F6" s="14">
        <f>SQRT(906.1842)</f>
        <v>30.102893548627513</v>
      </c>
      <c r="G6" s="14">
        <v>19.0787544250488</v>
      </c>
      <c r="H6">
        <f>SQRT(755.144892393868)</f>
        <v>27.479899788643117</v>
      </c>
      <c r="J6" s="14">
        <v>9.6709999999999994</v>
      </c>
      <c r="K6">
        <f>SQRT(177.1617)</f>
        <v>13.310210366481815</v>
      </c>
      <c r="L6">
        <v>10.601100000000001</v>
      </c>
      <c r="M6">
        <f>SQRT(200.1729)</f>
        <v>14.148247241266318</v>
      </c>
      <c r="N6">
        <v>10.081686973571699</v>
      </c>
      <c r="O6">
        <f>SQRT(170.123366240221)</f>
        <v>13.043134831788752</v>
      </c>
    </row>
    <row r="7" spans="2:29">
      <c r="C7">
        <v>21.400099999999998</v>
      </c>
      <c r="D7" s="14">
        <f>SQRT(1021.4203)</f>
        <v>31.959666769226491</v>
      </c>
      <c r="E7">
        <v>18.928599999999999</v>
      </c>
      <c r="F7" s="14">
        <f>SQRT(602.9902)</f>
        <v>24.555858771380812</v>
      </c>
      <c r="G7">
        <v>25.407911300659102</v>
      </c>
      <c r="H7">
        <f>SQRT(1278.21907761204)</f>
        <v>35.752189829604006</v>
      </c>
      <c r="J7" s="14">
        <v>9.5942000000000007</v>
      </c>
      <c r="K7">
        <f>SQRT(171.1189)</f>
        <v>13.081242295745461</v>
      </c>
      <c r="L7">
        <v>10.414899999999999</v>
      </c>
      <c r="M7">
        <f>SQRT(184.63)</f>
        <v>13.587862230682205</v>
      </c>
      <c r="N7">
        <v>10.3947658538818</v>
      </c>
      <c r="O7">
        <f>SQRT(181.310913493926)</f>
        <v>13.465174098166202</v>
      </c>
      <c r="S7" s="3" t="s">
        <v>3</v>
      </c>
      <c r="T7" s="3"/>
    </row>
    <row r="8" spans="2:29">
      <c r="C8">
        <v>21.425599999999999</v>
      </c>
      <c r="D8" s="14">
        <f>SQRT(1044.1928)</f>
        <v>32.313972210175585</v>
      </c>
      <c r="E8">
        <v>22.341799999999999</v>
      </c>
      <c r="F8" s="14">
        <f>SQRT(1065.4234)</f>
        <v>32.640824131752552</v>
      </c>
      <c r="G8">
        <v>21.016450881958001</v>
      </c>
      <c r="H8">
        <f>SQRT(858.618218849963)</f>
        <v>29.302187953290503</v>
      </c>
      <c r="J8" s="14">
        <v>9.7720000000000002</v>
      </c>
      <c r="K8">
        <f>SQRT(174.0199)</f>
        <v>13.191660244260387</v>
      </c>
      <c r="L8">
        <v>10.671200000000001</v>
      </c>
      <c r="M8">
        <f>SQRT(171.1865)</f>
        <v>13.083825893063542</v>
      </c>
      <c r="N8">
        <v>10.1439</v>
      </c>
      <c r="O8">
        <f>SQRT(169.1116)</f>
        <v>13.004291599314437</v>
      </c>
      <c r="S8" s="8" t="s">
        <v>1</v>
      </c>
      <c r="T8" s="5"/>
      <c r="U8" s="5"/>
      <c r="V8" s="5"/>
      <c r="W8" s="5"/>
      <c r="X8" s="5"/>
      <c r="Y8" s="8" t="s">
        <v>2</v>
      </c>
      <c r="Z8" s="5"/>
      <c r="AA8" s="5"/>
      <c r="AB8" s="5"/>
      <c r="AC8" s="5"/>
    </row>
    <row r="9" spans="2:29">
      <c r="C9">
        <v>21.249400000000001</v>
      </c>
      <c r="D9" s="14">
        <f>SQRT(997.9671)</f>
        <v>31.590617277919719</v>
      </c>
      <c r="E9">
        <v>25.307600000000001</v>
      </c>
      <c r="F9" s="14">
        <f>SQRT(1325.8101)</f>
        <v>36.411675325367824</v>
      </c>
      <c r="G9">
        <v>19.7713108062744</v>
      </c>
      <c r="H9">
        <f>SQRT(669.646989949544)</f>
        <v>25.877538328626702</v>
      </c>
      <c r="J9">
        <v>9.6395</v>
      </c>
      <c r="K9">
        <f>SQRT(171.6889)</f>
        <v>13.103011104322547</v>
      </c>
      <c r="L9">
        <v>10.230499999999999</v>
      </c>
      <c r="M9">
        <f>SQRT(181.1063)</f>
        <v>13.457574075590296</v>
      </c>
      <c r="N9">
        <v>10.2842359542846</v>
      </c>
      <c r="O9">
        <f>SQRT(171.300616780598)</f>
        <v>13.088186153191664</v>
      </c>
      <c r="S9" s="6" t="s">
        <v>4</v>
      </c>
      <c r="T9" s="6" t="s">
        <v>5</v>
      </c>
      <c r="U9" s="6" t="s">
        <v>6</v>
      </c>
      <c r="V9" s="6" t="s">
        <v>7</v>
      </c>
      <c r="W9" s="6" t="s">
        <v>8</v>
      </c>
      <c r="X9" s="7"/>
      <c r="Y9" s="6" t="s">
        <v>4</v>
      </c>
      <c r="Z9" s="6" t="s">
        <v>5</v>
      </c>
      <c r="AA9" s="6" t="s">
        <v>6</v>
      </c>
      <c r="AB9" s="6" t="s">
        <v>7</v>
      </c>
      <c r="AC9" s="6" t="s">
        <v>8</v>
      </c>
    </row>
    <row r="10" spans="2:29">
      <c r="C10">
        <v>22.7563</v>
      </c>
      <c r="D10" s="14">
        <f>SQRT(1151.6584)</f>
        <v>33.936092880589541</v>
      </c>
      <c r="E10">
        <v>18.7727</v>
      </c>
      <c r="F10" s="14">
        <f>SQRT(619.7084)</f>
        <v>24.893943038417998</v>
      </c>
      <c r="G10">
        <v>17.1684246063232</v>
      </c>
      <c r="H10">
        <f>SQRT(502.507205344323)</f>
        <v>22.416672485994056</v>
      </c>
      <c r="J10" s="14">
        <v>9.8841000000000001</v>
      </c>
      <c r="K10">
        <f>SQRT(180.6743)</f>
        <v>13.441514051623797</v>
      </c>
      <c r="L10">
        <v>10.1823</v>
      </c>
      <c r="M10">
        <f>SQRT(195.7821)</f>
        <v>13.992215693020173</v>
      </c>
      <c r="N10">
        <v>9.5788192749023402</v>
      </c>
      <c r="O10">
        <f>SQRT(167.690690104166)</f>
        <v>12.949544011437855</v>
      </c>
      <c r="S10" s="16">
        <v>29.873318130000001</v>
      </c>
      <c r="T10" s="17">
        <v>34.361458030000001</v>
      </c>
      <c r="U10" s="17">
        <v>31.14786217</v>
      </c>
      <c r="V10" s="17">
        <v>34.44433351</v>
      </c>
      <c r="W10" s="17">
        <v>30.21841903</v>
      </c>
      <c r="X10" s="18"/>
      <c r="Y10" s="18">
        <v>12.92972037</v>
      </c>
      <c r="Z10" s="18">
        <v>15.046199209999999</v>
      </c>
      <c r="AA10" s="18">
        <v>13.358600490000001</v>
      </c>
      <c r="AB10" s="18">
        <v>15.06703323</v>
      </c>
      <c r="AC10" s="19">
        <v>12.761306449999999</v>
      </c>
    </row>
    <row r="11" spans="2:29">
      <c r="C11">
        <v>20.3248</v>
      </c>
      <c r="D11" s="14">
        <f>SQRT(927.7711 )</f>
        <v>30.45933518644161</v>
      </c>
      <c r="E11">
        <v>26.172799999999999</v>
      </c>
      <c r="F11" s="14">
        <f>SQRT(1561.0461)</f>
        <v>39.510075930071309</v>
      </c>
      <c r="G11">
        <v>19.845195770263601</v>
      </c>
      <c r="H11">
        <f>SQRT(765.622307687168)</f>
        <v>27.669880875912135</v>
      </c>
      <c r="J11" s="14">
        <v>10.075699999999999</v>
      </c>
      <c r="K11">
        <f>SQRT(181.1373)</f>
        <v>13.458725794071295</v>
      </c>
      <c r="L11">
        <v>11.3156</v>
      </c>
      <c r="M11">
        <f>SQRT(181.985)</f>
        <v>13.490181614789329</v>
      </c>
      <c r="N11">
        <v>11.396059989929199</v>
      </c>
      <c r="O11">
        <f>SQRT(186.03298844401)</f>
        <v>13.639391058401763</v>
      </c>
      <c r="S11" s="20">
        <v>29.458805129999998</v>
      </c>
      <c r="T11" s="21">
        <v>34.046157309999998</v>
      </c>
      <c r="U11" s="21">
        <v>30.580154480000001</v>
      </c>
      <c r="V11" s="21">
        <v>34.080649340000001</v>
      </c>
      <c r="W11" s="21">
        <v>29.930394790000001</v>
      </c>
      <c r="Y11">
        <v>13.021366690000001</v>
      </c>
      <c r="Z11">
        <v>14.774853390000001</v>
      </c>
      <c r="AA11">
        <v>13.365537399999999</v>
      </c>
      <c r="AB11">
        <v>14.830903210000001</v>
      </c>
      <c r="AC11" s="22">
        <v>13.26223822</v>
      </c>
    </row>
    <row r="12" spans="2:29">
      <c r="C12">
        <v>20.1632</v>
      </c>
      <c r="D12" s="14">
        <f>SQRT(906.6135)</f>
        <v>30.110023248081362</v>
      </c>
      <c r="E12">
        <v>22.4406</v>
      </c>
      <c r="F12" s="14">
        <f>SQRT(1129.722)</f>
        <v>33.611337372975804</v>
      </c>
      <c r="G12">
        <v>23.640296936035099</v>
      </c>
      <c r="H12">
        <f>SQRT(1126.61515137171)</f>
        <v>33.565088281899541</v>
      </c>
      <c r="J12" s="23">
        <v>9.3079000000000001</v>
      </c>
      <c r="K12">
        <f>SQRT(160.1817)</f>
        <v>12.656290925859757</v>
      </c>
      <c r="L12">
        <v>9.0152000000000001</v>
      </c>
      <c r="M12">
        <f>SQRT(148.6675)</f>
        <v>12.192928278309521</v>
      </c>
      <c r="N12">
        <v>10.1922912597656</v>
      </c>
      <c r="O12">
        <f>SQRT(190.492691894531)</f>
        <v>13.801908994575026</v>
      </c>
      <c r="S12" s="20">
        <v>30.019103149999999</v>
      </c>
      <c r="T12" s="21">
        <v>34.694866650000002</v>
      </c>
      <c r="U12" s="21">
        <v>30.8201173</v>
      </c>
      <c r="V12" s="21">
        <v>34.635220009999998</v>
      </c>
      <c r="W12" s="21">
        <v>30.040313619999999</v>
      </c>
      <c r="Y12">
        <v>12.834307450000001</v>
      </c>
      <c r="Z12">
        <v>14.701762390000001</v>
      </c>
      <c r="AA12">
        <v>13.17369386</v>
      </c>
      <c r="AB12">
        <v>14.7892563</v>
      </c>
      <c r="AC12" s="22">
        <v>12.678273409999999</v>
      </c>
    </row>
    <row r="13" spans="2:29">
      <c r="C13">
        <v>22.088799999999999</v>
      </c>
      <c r="D13" s="14">
        <f>SQRT(1086.5271)</f>
        <v>32.962510523320276</v>
      </c>
      <c r="E13">
        <v>21.335799999999999</v>
      </c>
      <c r="F13" s="14">
        <f>SQRT(901.9132)</f>
        <v>30.031869738662625</v>
      </c>
      <c r="G13">
        <v>22.180770874023398</v>
      </c>
      <c r="H13">
        <f>SQRT(1046.06721420834)</f>
        <v>32.342962359813917</v>
      </c>
      <c r="J13">
        <v>9.6067999999999998</v>
      </c>
      <c r="K13">
        <f>SQRT(166.7243)</f>
        <v>12.91217642382569</v>
      </c>
      <c r="L13">
        <v>10.4407</v>
      </c>
      <c r="M13">
        <f>SQRT(180.3361)</f>
        <v>13.428927730835399</v>
      </c>
      <c r="N13">
        <v>10.273387908935501</v>
      </c>
      <c r="O13">
        <f>SQRT(177.602807383719)</f>
        <v>13.326770328317323</v>
      </c>
      <c r="S13" s="20">
        <v>28.94931536</v>
      </c>
      <c r="T13" s="21">
        <v>33.451788290000003</v>
      </c>
      <c r="U13" s="21">
        <v>29.821186449999999</v>
      </c>
      <c r="V13" s="21">
        <v>33.564906110000003</v>
      </c>
      <c r="W13" s="21">
        <v>29.418630449999998</v>
      </c>
      <c r="Y13">
        <v>12.377057300000001</v>
      </c>
      <c r="Z13">
        <v>14.445349630000001</v>
      </c>
      <c r="AA13">
        <v>12.898073569999999</v>
      </c>
      <c r="AB13">
        <v>14.43376673</v>
      </c>
      <c r="AC13" s="22">
        <v>13.441542139999999</v>
      </c>
    </row>
    <row r="14" spans="2:29">
      <c r="C14">
        <v>20.376999999999999</v>
      </c>
      <c r="D14" s="14">
        <f>SQRT(912.6698)</f>
        <v>30.210425352847981</v>
      </c>
      <c r="E14">
        <v>21.898</v>
      </c>
      <c r="F14" s="14">
        <f>SQRT(862.7343)</f>
        <v>29.37233902841243</v>
      </c>
      <c r="G14">
        <v>25.5910320281982</v>
      </c>
      <c r="H14">
        <f>SQRT(1523.83020247598)</f>
        <v>39.036267783639104</v>
      </c>
      <c r="J14">
        <v>9.9185999999999996</v>
      </c>
      <c r="K14">
        <f>SQRT(179.0342)</f>
        <v>13.380366213224509</v>
      </c>
      <c r="L14">
        <v>10.627599999999999</v>
      </c>
      <c r="M14">
        <f>SQRT(180.1935)</f>
        <v>13.423617247225131</v>
      </c>
      <c r="N14">
        <v>11.7570743560791</v>
      </c>
      <c r="O14">
        <f>SQRT(219.488146477776)</f>
        <v>14.815132347629433</v>
      </c>
      <c r="S14" s="20">
        <v>29.442139130000001</v>
      </c>
      <c r="T14" s="21">
        <v>34.125134510000002</v>
      </c>
      <c r="U14" s="21">
        <v>30.274031010000002</v>
      </c>
      <c r="V14" s="21">
        <v>34.020698600000003</v>
      </c>
      <c r="W14" s="21">
        <v>30.017363899999999</v>
      </c>
      <c r="Y14">
        <v>12.86419188</v>
      </c>
      <c r="Z14">
        <v>14.456186499999999</v>
      </c>
      <c r="AA14">
        <v>13.21164911</v>
      </c>
      <c r="AB14">
        <v>14.52993682</v>
      </c>
      <c r="AC14" s="22">
        <v>13.09915144</v>
      </c>
    </row>
    <row r="15" spans="2:29">
      <c r="B15" t="s">
        <v>9</v>
      </c>
      <c r="C15" s="24">
        <f>AVERAGE(C5:C14)</f>
        <v>20.908619999999999</v>
      </c>
      <c r="D15" s="25">
        <f t="shared" ref="D15:O15" si="0">AVERAGE(D5:D14)</f>
        <v>31.290781912970488</v>
      </c>
      <c r="E15" s="25">
        <f t="shared" si="0"/>
        <v>22.438470000000002</v>
      </c>
      <c r="F15" s="25">
        <f t="shared" si="0"/>
        <v>32.234505229044139</v>
      </c>
      <c r="G15" s="25">
        <f t="shared" si="0"/>
        <v>22.053906822204556</v>
      </c>
      <c r="H15" s="25">
        <f t="shared" si="0"/>
        <v>31.352996040251412</v>
      </c>
      <c r="I15" s="25"/>
      <c r="J15" s="25">
        <f t="shared" si="0"/>
        <v>9.7111300000000007</v>
      </c>
      <c r="K15" s="25">
        <f t="shared" si="0"/>
        <v>13.158172569325117</v>
      </c>
      <c r="L15" s="25">
        <f t="shared" si="0"/>
        <v>10.434760000000001</v>
      </c>
      <c r="M15" s="25">
        <f t="shared" si="0"/>
        <v>13.432778363727271</v>
      </c>
      <c r="N15" s="25">
        <f t="shared" si="0"/>
        <v>10.445724495544404</v>
      </c>
      <c r="O15" s="26">
        <f t="shared" si="0"/>
        <v>13.426749894248266</v>
      </c>
      <c r="R15" t="s">
        <v>9</v>
      </c>
      <c r="S15" s="5">
        <f>AVERAGE(S10:S14)</f>
        <v>29.548536180000003</v>
      </c>
      <c r="T15" s="5">
        <f t="shared" ref="T15:AC15" si="1">AVERAGE(T10:T14)</f>
        <v>34.135880958000001</v>
      </c>
      <c r="U15" s="5">
        <f t="shared" si="1"/>
        <v>30.528670281999997</v>
      </c>
      <c r="V15" s="5">
        <f t="shared" si="1"/>
        <v>34.149161513999999</v>
      </c>
      <c r="W15" s="5">
        <f t="shared" si="1"/>
        <v>29.925024357999995</v>
      </c>
      <c r="X15" s="5"/>
      <c r="Y15" s="5">
        <f t="shared" si="1"/>
        <v>12.805328738000004</v>
      </c>
      <c r="Z15" s="5">
        <f t="shared" si="1"/>
        <v>14.684870223999999</v>
      </c>
      <c r="AA15" s="5">
        <f t="shared" si="1"/>
        <v>13.201510885999999</v>
      </c>
      <c r="AB15" s="5">
        <f t="shared" si="1"/>
        <v>14.730179258000001</v>
      </c>
      <c r="AC15" s="5">
        <f t="shared" si="1"/>
        <v>13.048502331999998</v>
      </c>
    </row>
    <row r="16" spans="2:29">
      <c r="B16" t="s">
        <v>16</v>
      </c>
      <c r="C16">
        <f>_xlfn.STDEV.P(C5:C14)</f>
        <v>1.1902695650985955</v>
      </c>
      <c r="D16">
        <f t="shared" ref="D16:O16" si="2">_xlfn.STDEV.P(D5:D14)</f>
        <v>1.7570507320278086</v>
      </c>
      <c r="E16">
        <f t="shared" si="2"/>
        <v>2.5898059595459988</v>
      </c>
      <c r="F16">
        <f t="shared" si="2"/>
        <v>5.3245828605371681</v>
      </c>
      <c r="G16">
        <f t="shared" si="2"/>
        <v>3.0508051037935862</v>
      </c>
      <c r="H16">
        <f t="shared" si="2"/>
        <v>5.5059702744094965</v>
      </c>
      <c r="J16">
        <f t="shared" si="2"/>
        <v>0.20206936457563263</v>
      </c>
      <c r="K16">
        <f t="shared" si="2"/>
        <v>0.24042594672794301</v>
      </c>
      <c r="L16">
        <f t="shared" si="2"/>
        <v>0.56469978962276934</v>
      </c>
      <c r="M16">
        <f t="shared" si="2"/>
        <v>0.50199146504748771</v>
      </c>
      <c r="N16">
        <f t="shared" si="2"/>
        <v>0.61063510720568859</v>
      </c>
      <c r="O16">
        <f t="shared" si="2"/>
        <v>0.53653926823783926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2020-03-25T05:00:32Z</dcterms:created>
  <dcterms:modified xsi:type="dcterms:W3CDTF">2020-03-31T13:22:46Z</dcterms:modified>
</cp:coreProperties>
</file>