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93B9F9BB-205D-438B-809A-CBCDED3938AB}" xr6:coauthVersionLast="47" xr6:coauthVersionMax="47" xr10:uidLastSave="{00000000-0000-0000-0000-000000000000}"/>
  <bookViews>
    <workbookView xWindow="-120" yWindow="-120" windowWidth="29040" windowHeight="15720" activeTab="1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  <sheet name="Overall AC" sheetId="5" r:id="rId5"/>
    <sheet name="Weight and Balance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5" l="1"/>
  <c r="D27" i="5"/>
  <c r="D26" i="5" s="1"/>
  <c r="D25" i="5"/>
  <c r="D23" i="5" s="1"/>
  <c r="D22" i="5"/>
  <c r="D13" i="5"/>
  <c r="D15" i="5"/>
  <c r="D14" i="5" s="1"/>
  <c r="D9" i="4"/>
  <c r="D33" i="5" s="1"/>
  <c r="D10" i="4"/>
  <c r="D20" i="1"/>
  <c r="D23" i="1"/>
  <c r="D13" i="1"/>
  <c r="D11" i="4" l="1"/>
  <c r="D18" i="5" s="1"/>
  <c r="D17" i="5" s="1"/>
  <c r="D9" i="5"/>
  <c r="D29" i="5"/>
  <c r="D19" i="5"/>
  <c r="D11" i="5"/>
  <c r="D10" i="5" s="1"/>
  <c r="D35" i="5" s="1"/>
  <c r="D36" i="5" s="1"/>
  <c r="D17" i="1"/>
  <c r="D32" i="5" l="1"/>
  <c r="D18" i="1"/>
  <c r="D13" i="3"/>
  <c r="D17" i="3" s="1"/>
  <c r="D12" i="3" l="1"/>
  <c r="D24" i="1"/>
  <c r="D22" i="1"/>
  <c r="D11" i="3"/>
  <c r="D19" i="3" s="1"/>
  <c r="D20" i="3" l="1"/>
  <c r="D22" i="3" s="1"/>
  <c r="D23" i="3" s="1"/>
  <c r="D28" i="3" s="1"/>
</calcChain>
</file>

<file path=xl/sharedStrings.xml><?xml version="1.0" encoding="utf-8"?>
<sst xmlns="http://schemas.openxmlformats.org/spreadsheetml/2006/main" count="269" uniqueCount="179">
  <si>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</si>
  <si>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</si>
  <si>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</si>
  <si>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</si>
  <si>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</si>
  <si>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</si>
  <si>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</si>
  <si>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</si>
  <si>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</si>
  <si>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</si>
  <si>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</si>
  <si>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</si>
  <si>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</si>
  <si>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</si>
  <si>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</si>
  <si>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</si>
  <si>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</si>
  <si>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</si>
  <si>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</si>
  <si>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</si>
  <si>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</si>
  <si>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</si>
  <si>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</si>
  <si>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</si>
  <si>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</si>
  <si>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</si>
  <si>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</si>
  <si>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</si>
  <si>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</si>
  <si>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</si>
  <si>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</si>
  <si>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</si>
  <si>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</si>
  <si>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</si>
  <si>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</si>
  <si>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</si>
  <si>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</si>
  <si>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</si>
  <si>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</si>
  <si>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</si>
  <si>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</si>
  <si>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</si>
  <si>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</si>
  <si>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</si>
  <si>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</si>
  <si>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</si>
  <si>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</si>
  <si>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</si>
  <si>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</si>
  <si>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</si>
  <si>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</si>
  <si>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</si>
  <si>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</si>
  <si>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</si>
  <si>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</si>
  <si>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</si>
  <si>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</si>
  <si>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</si>
  <si>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</si>
  <si>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</si>
  <si>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</si>
  <si>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</si>
  <si>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</si>
  <si>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</si>
  <si>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</si>
  <si>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</si>
  <si>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</si>
  <si>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</si>
  <si>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</si>
  <si>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</si>
  <si>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</si>
  <si>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</si>
  <si>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</si>
  <si>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</si>
  <si>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</si>
  <si>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</si>
  <si>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</si>
  <si>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</si>
  <si>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</si>
  <si>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</si>
  <si>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</si>
  <si>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</si>
  <si>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</si>
  <si>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</si>
  <si>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</si>
  <si>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</si>
  <si>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</si>
  <si>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</si>
  <si>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</si>
  <si>
    <t>Wing</t>
  </si>
  <si>
    <t>Vertical Tail</t>
  </si>
  <si>
    <t>Horizontal Tail</t>
  </si>
  <si>
    <t>V-Tail</t>
  </si>
  <si>
    <r>
      <t>b</t>
    </r>
    <r>
      <rPr>
        <vertAlign val="subscript"/>
        <sz val="11"/>
        <color theme="1"/>
        <rFont val="Aptos Narrow"/>
        <family val="2"/>
        <scheme val="minor"/>
      </rPr>
      <t>e​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</si>
  <si>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scheme val="minor"/>
      </rPr>
      <t>​</t>
    </r>
  </si>
  <si>
    <t>Elevon spans across almost the whole V-tail surface</t>
  </si>
  <si>
    <t>Aircraft Performance lecture slide on the right.</t>
  </si>
  <si>
    <t>Aerodynamic Center of the wing</t>
  </si>
  <si>
    <r>
      <t>AC</t>
    </r>
    <r>
      <rPr>
        <vertAlign val="subscript"/>
        <sz val="11"/>
        <color theme="1"/>
        <rFont val="Aptos Narrow"/>
        <family val="2"/>
        <scheme val="minor"/>
      </rPr>
      <t>W</t>
    </r>
  </si>
  <si>
    <t>Around 25% of the wing chord from the wing tip. Could be calculated at a later stage when the preliminary design is done.</t>
  </si>
  <si>
    <t>Fuselage</t>
  </si>
  <si>
    <r>
      <t>l</t>
    </r>
    <r>
      <rPr>
        <sz val="8"/>
        <color theme="1"/>
        <rFont val="Aptos Narrow"/>
        <family val="2"/>
        <scheme val="minor"/>
      </rPr>
      <t>front</t>
    </r>
  </si>
  <si>
    <r>
      <t>l</t>
    </r>
    <r>
      <rPr>
        <sz val="8"/>
        <color theme="1"/>
        <rFont val="Aptos Narrow"/>
        <family val="2"/>
        <scheme val="minor"/>
      </rPr>
      <t>aft</t>
    </r>
  </si>
  <si>
    <t>Front fuselage</t>
  </si>
  <si>
    <r>
      <t>l</t>
    </r>
    <r>
      <rPr>
        <sz val="8"/>
        <color theme="1"/>
        <rFont val="Aptos Narrow"/>
        <family val="2"/>
        <scheme val="minor"/>
      </rPr>
      <t>fus</t>
    </r>
  </si>
  <si>
    <t>Aft fuselage</t>
  </si>
  <si>
    <t>estimated from the right picture (subject  to change)</t>
  </si>
  <si>
    <t>Fuselage lenght</t>
  </si>
  <si>
    <t>From moment lever arm from v-tail</t>
  </si>
  <si>
    <r>
      <t>d</t>
    </r>
    <r>
      <rPr>
        <sz val="9"/>
        <color theme="1"/>
        <rFont val="Aptos Narrow"/>
        <family val="2"/>
        <scheme val="minor"/>
      </rPr>
      <t>fus</t>
    </r>
  </si>
  <si>
    <t>from LxWxH (subject to change if too big)</t>
  </si>
  <si>
    <t>Wing contribution</t>
  </si>
  <si>
    <t>50% of sweep</t>
  </si>
  <si>
    <t>Overall Aerodynamic Center</t>
  </si>
  <si>
    <t>Non-dimensional position of  Wing Aerodynamic Center</t>
  </si>
  <si>
    <t>Wing Moment coefficient slope</t>
  </si>
  <si>
    <t>Max Diameter of fuselage</t>
  </si>
  <si>
    <t>The change of pitching moment coefficient with angle of attack, caused by the wing, about your chosen aircraft reference point.</t>
  </si>
  <si>
    <t>polhamus formula (reference on the right)</t>
  </si>
  <si>
    <t>Lift coeff. Depending on the angle of attack of the wing</t>
  </si>
  <si>
    <t>t/c</t>
  </si>
  <si>
    <t>Relative thickness</t>
  </si>
  <si>
    <t>Airfoilf/Pressure Influence</t>
  </si>
  <si>
    <t>Compressibility effect</t>
  </si>
  <si>
    <t>n/a</t>
  </si>
  <si>
    <t>Used for Airfoilf/Pressure Influence
t - root overall thickness of the airfoil (12% of the chord for NACA2412)
c - wing chord</t>
  </si>
  <si>
    <r>
      <t>K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</si>
  <si>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ϐ</t>
    </r>
    <r>
      <rPr>
        <vertAlign val="superscript"/>
        <sz val="11"/>
        <color theme="1"/>
        <rFont val="Aptos Narrow"/>
        <family val="2"/>
      </rPr>
      <t>2</t>
    </r>
  </si>
  <si>
    <t>Used in Polhamus formula
Mach infinity (in the undisturbed airflow) is the Speed of the aircraft over the speed of the sound. - 0.07</t>
  </si>
  <si>
    <r>
      <t>rad</t>
    </r>
    <r>
      <rPr>
        <vertAlign val="superscript"/>
        <sz val="11"/>
        <color theme="1"/>
        <rFont val="Aptos Narrow"/>
        <family val="2"/>
        <scheme val="minor"/>
      </rPr>
      <t>-1</t>
    </r>
  </si>
  <si>
    <t>Used in Polhamus formula
Rectangular wing - no sweep angle</t>
  </si>
  <si>
    <t>Used in Polhamus formula
Formula for t/c between 8% and 12%</t>
  </si>
  <si>
    <t>Horizontal Tail contribution</t>
  </si>
  <si>
    <t>Non-dimensional position of  Horizontal Tail  Aerodynamic Center</t>
  </si>
  <si>
    <r>
      <t>x</t>
    </r>
    <r>
      <rPr>
        <vertAlign val="subscript"/>
        <sz val="11"/>
        <color theme="1"/>
        <rFont val="Aptos Narrow"/>
        <family val="2"/>
        <scheme val="minor"/>
      </rPr>
      <t>0,HT</t>
    </r>
  </si>
  <si>
    <t>Distance from the beginning of the fuselage to the beginning of the Horizontal tail</t>
  </si>
  <si>
    <t>Fuselage overall length minus chord length of the tail</t>
  </si>
  <si>
    <t>Horizontal Tail Moment coefficient slope</t>
  </si>
  <si>
    <t>Lift coeff. Depending on the angle of attack of the Horizontal Tail</t>
  </si>
  <si>
    <t>The change of pitching moment coefficient with angle of attack, caused by the horizontal tail, about your chosen aircraft reference point.</t>
  </si>
  <si>
    <t>Estimation (could be changed in the range from the slide on the right)</t>
  </si>
  <si>
    <t>Dynamic pressure correction</t>
  </si>
  <si>
    <t>Downwash correction</t>
  </si>
  <si>
    <t>Area Ratio</t>
  </si>
  <si>
    <t>Used in Polhamus formula
Assumed Rectangular wing - no sweep angle</t>
  </si>
  <si>
    <t>Fuselage contribution</t>
  </si>
  <si>
    <t>Fuselage Moment coefficient slope</t>
  </si>
  <si>
    <r>
      <t>k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</si>
  <si>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fus</t>
    </r>
  </si>
  <si>
    <t>Fuselage width</t>
  </si>
  <si>
    <t>Empirical pitching moment factor</t>
  </si>
  <si>
    <r>
      <t>x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</si>
  <si>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c,root,25</t>
    </r>
  </si>
  <si>
    <t>Position of root quarter chord</t>
  </si>
  <si>
    <r>
      <t>Estimated from the graph on the right using x</t>
    </r>
    <r>
      <rPr>
        <i/>
        <vertAlign val="subscript"/>
        <sz val="11"/>
        <color theme="1"/>
        <rFont val="Aptos Narrow"/>
        <family val="2"/>
        <scheme val="minor"/>
      </rPr>
      <t>fus</t>
    </r>
  </si>
  <si>
    <t>The maximum diameter of the fuselage is used here</t>
  </si>
  <si>
    <t>Overall results</t>
  </si>
  <si>
    <r>
      <t>x</t>
    </r>
    <r>
      <rPr>
        <vertAlign val="subscript"/>
        <sz val="11"/>
        <color theme="1"/>
        <rFont val="Aptos Narrow"/>
        <family val="2"/>
        <scheme val="minor"/>
      </rPr>
      <t>AC</t>
    </r>
  </si>
  <si>
    <t>Non-dimensional position of  Overall Aerodynamic Center</t>
  </si>
  <si>
    <t>Dimensional position of the overall Aerodynamic Center</t>
  </si>
  <si>
    <t>CG should be abfront this point so that we achieve static stability</t>
  </si>
  <si>
    <t>battery</t>
  </si>
  <si>
    <t>motors</t>
  </si>
  <si>
    <t>propellers</t>
  </si>
  <si>
    <t>ESCs</t>
  </si>
  <si>
    <t>servos</t>
  </si>
  <si>
    <t>flight controller</t>
  </si>
  <si>
    <t>payload</t>
  </si>
  <si>
    <t>landing gear</t>
  </si>
  <si>
    <t>wing structure</t>
  </si>
  <si>
    <t>fuselage structure</t>
  </si>
  <si>
    <t>tail structure</t>
  </si>
  <si>
    <t>wiring and mounts</t>
  </si>
  <si>
    <t>Then calculate:</t>
  </si>
  <si>
    <t>total mass</t>
  </si>
  <si>
    <t>actual CG location</t>
  </si>
  <si>
    <t>CG travel range</t>
  </si>
  <si>
    <t>Estiamted Weight</t>
  </si>
  <si>
    <t>Outer Dimensions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</si>
</sst>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</font>
    <font>
      <i/>
      <vertAlign val="subscript"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3" fillId="0" borderId="1" xfId="0" applyFont="1" applyBorder="1" applyAlignment="1">
      <alignment wrapText="1"/>
    </xf>
    <xf numFmtId="0" fontId="3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5" borderId="7" xfId="0" applyFill="1" applyBorder="1" applyAlignment="1">
      <alignment vertical="center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8" xfId="0" applyFont="1" applyBorder="1" applyAlignment="1">
      <alignment vertical="center" wrapText="1"/>
    </xf>
    <xf numFmtId="164" fontId="0" fillId="0" borderId="8" xfId="0" applyNumberFormat="1" applyBorder="1" applyAlignment="1">
      <alignment vertical="center"/>
    </xf>
    <xf numFmtId="2" fontId="0" fillId="0" borderId="3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2" fontId="0" fillId="0" borderId="0" xfId="0" applyNumberFormat="1" applyAlignment="1">
      <alignment vertical="center"/>
    </xf>
    <xf numFmtId="0" fontId="0" fillId="0" borderId="8" xfId="0" applyBorder="1" applyAlignment="1">
      <alignment wrapText="1"/>
    </xf>
    <xf numFmtId="0" fontId="1" fillId="0" borderId="0" xfId="0" applyFont="1"/>
    <xf numFmtId="0" fontId="0" fillId="5" borderId="11" xfId="0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0" fillId="3" borderId="1" xfId="0" applyFill="1" applyBorder="1"/>
    <xf numFmtId="0" fontId="3" fillId="0" borderId="3" xfId="0" applyFont="1" applyBorder="1" applyAlignment="1">
      <alignment wrapText="1"/>
    </xf>
    <xf numFmtId="164" fontId="0" fillId="0" borderId="3" xfId="0" applyNumberFormat="1" applyBorder="1"/>
    <xf numFmtId="0" fontId="0" fillId="3" borderId="8" xfId="0" applyFill="1" applyBorder="1"/>
    <xf numFmtId="0" fontId="3" fillId="0" borderId="8" xfId="0" applyFont="1" applyBorder="1" applyAlignment="1">
      <alignment wrapText="1"/>
    </xf>
    <xf numFmtId="2" fontId="0" fillId="0" borderId="8" xfId="0" applyNumberFormat="1" applyBorder="1"/>
    <xf numFmtId="0" fontId="0" fillId="3" borderId="3" xfId="0" applyFill="1" applyBorder="1"/>
    <xf numFmtId="164" fontId="0" fillId="0" borderId="3" xfId="0" applyNumberFormat="1" applyBorder="1" applyAlignment="1">
      <alignment vertical="center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0" fillId="3" borderId="12" xfId="0" applyFill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0" fillId="5" borderId="16" xfId="0" applyFill="1" applyBorder="1" applyAlignment="1">
      <alignment vertical="center"/>
    </xf>
    <xf numFmtId="0" fontId="3" fillId="0" borderId="17" xfId="0" applyFont="1" applyBorder="1" applyAlignment="1">
      <alignment vertical="center" wrapText="1"/>
    </xf>
    <xf numFmtId="2" fontId="0" fillId="0" borderId="17" xfId="0" applyNumberFormat="1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/>
    </xf>
    <xf numFmtId="0" fontId="0" fillId="3" borderId="10" xfId="0" applyFill="1" applyBorder="1" applyAlignment="1">
      <alignment vertical="center"/>
    </xf>
    <xf numFmtId="165" fontId="0" fillId="0" borderId="8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4" fillId="5" borderId="3" xfId="0" applyFont="1" applyFill="1" applyBorder="1" applyAlignment="1">
      <alignment vertical="center"/>
    </xf>
    <xf numFmtId="0" fontId="0" fillId="3" borderId="8" xfId="0" applyFill="1" applyBorder="1" applyAlignment="1">
      <alignment vertical="center"/>
    </xf>
    <xf numFmtId="0" fontId="0" fillId="5" borderId="1" xfId="0" applyFill="1" applyBorder="1"/>
    <xf numFmtId="0" fontId="0" fillId="4" borderId="3" xfId="0" applyFill="1" applyBorder="1"/>
    <xf numFmtId="0" fontId="0" fillId="0" borderId="9" xfId="0" applyBorder="1" applyAlignment="1">
      <alignment wrapText="1"/>
    </xf>
    <xf numFmtId="0" fontId="0" fillId="0" borderId="1" xfId="0" applyBorder="1" applyAlignment="1">
      <alignment vertical="center" wrapText="1"/>
    </xf>
    <xf numFmtId="2" fontId="0" fillId="0" borderId="1" xfId="0" applyNumberForma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0" fillId="5" borderId="10" xfId="0" applyFill="1" applyBorder="1"/>
    <xf numFmtId="0" fontId="0" fillId="5" borderId="12" xfId="0" applyFill="1" applyBorder="1"/>
    <xf numFmtId="0" fontId="0" fillId="5" borderId="12" xfId="0" applyFill="1" applyBorder="1" applyAlignment="1">
      <alignment vertical="center"/>
    </xf>
    <xf numFmtId="0" fontId="0" fillId="5" borderId="11" xfId="0" applyFill="1" applyBorder="1"/>
    <xf numFmtId="0" fontId="1" fillId="0" borderId="25" xfId="0" applyFont="1" applyBorder="1" applyAlignment="1">
      <alignment vertical="center" textRotation="90"/>
    </xf>
    <xf numFmtId="0" fontId="1" fillId="0" borderId="13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4" fillId="5" borderId="12" xfId="0" applyFont="1" applyFill="1" applyBorder="1"/>
    <xf numFmtId="2" fontId="0" fillId="0" borderId="8" xfId="0" applyNumberFormat="1" applyBorder="1" applyAlignment="1">
      <alignment vertical="center"/>
    </xf>
    <xf numFmtId="2" fontId="0" fillId="0" borderId="3" xfId="0" applyNumberFormat="1" applyBorder="1"/>
    <xf numFmtId="2" fontId="0" fillId="6" borderId="8" xfId="0" applyNumberFormat="1" applyFill="1" applyBorder="1"/>
    <xf numFmtId="0" fontId="0" fillId="0" borderId="8" xfId="0" applyBorder="1" applyAlignment="1">
      <alignment vertical="center" wrapText="1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0" fillId="3" borderId="26" xfId="0" applyFill="1" applyBorder="1" applyAlignment="1">
      <alignment vertical="center"/>
    </xf>
    <xf numFmtId="0" fontId="0" fillId="3" borderId="11" xfId="0" applyFill="1" applyBorder="1"/>
    <xf numFmtId="0" fontId="0" fillId="0" borderId="25" xfId="0" applyBorder="1"/>
    <xf numFmtId="0" fontId="0" fillId="0" borderId="1" xfId="0" applyBorder="1" applyAlignment="1">
      <alignment horizontal="left" vertical="center" indent="1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22" xfId="0" applyFont="1" applyBorder="1" applyAlignment="1">
      <alignment horizontal="center" vertical="center" textRotation="90"/>
    </xf>
    <xf numFmtId="0" fontId="1" fillId="0" borderId="23" xfId="0" applyFont="1" applyBorder="1" applyAlignment="1">
      <alignment horizontal="center" vertical="center" textRotation="90"/>
    </xf>
    <xf numFmtId="0" fontId="1" fillId="0" borderId="24" xfId="0" applyFont="1" applyBorder="1" applyAlignment="1">
      <alignment horizontal="center" vertical="center" textRotation="90"/>
    </xf>
    <xf numFmtId="0" fontId="1" fillId="0" borderId="22" xfId="0" applyFont="1" applyBorder="1" applyAlignment="1">
      <alignment horizontal="center" vertical="center" textRotation="90" wrapText="1"/>
    </xf>
    <xf numFmtId="0" fontId="1" fillId="0" borderId="24" xfId="0" applyFont="1" applyBorder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6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682663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7</xdr:col>
      <xdr:colOff>390525</xdr:colOff>
      <xdr:row>23</xdr:row>
      <xdr:rowOff>361785</xdr:rowOff>
    </xdr:from>
    <xdr:to>
      <xdr:col>16</xdr:col>
      <xdr:colOff>220000</xdr:colOff>
      <xdr:row>41</xdr:row>
      <xdr:rowOff>95807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58275" y="8381835"/>
          <a:ext cx="5573050" cy="3363047"/>
        </a:xfrm>
        <a:prstGeom prst="rect">
          <a:avLst/>
        </a:prstGeom>
      </xdr:spPr>
    </xdr:pic>
    <xdr:clientData/>
  </xdr:twoCellAnchor>
  <xdr:twoCellAnchor editAs="oneCell">
    <xdr:from>
      <xdr:col>7</xdr:col>
      <xdr:colOff>561975</xdr:colOff>
      <xdr:row>16</xdr:row>
      <xdr:rowOff>742950</xdr:rowOff>
    </xdr:from>
    <xdr:to>
      <xdr:col>13</xdr:col>
      <xdr:colOff>340641</xdr:colOff>
      <xdr:row>23</xdr:row>
      <xdr:rowOff>76200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F2834F5-F9D8-29DA-1825-DE761F7F5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29725" y="5324475"/>
          <a:ext cx="3693441" cy="2771775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17</xdr:row>
      <xdr:rowOff>0</xdr:rowOff>
    </xdr:from>
    <xdr:to>
      <xdr:col>18</xdr:col>
      <xdr:colOff>304800</xdr:colOff>
      <xdr:row>17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88B08BC-995B-4362-E5FC-A128D600F8C1}"/>
            </a:ext>
          </a:extLst>
        </xdr:cNvPr>
        <xdr:cNvSpPr>
          <a:spLocks noChangeAspect="1" noChangeArrowheads="1"/>
        </xdr:cNvSpPr>
      </xdr:nvSpPr>
      <xdr:spPr bwMode="auto">
        <a:xfrm>
          <a:off x="156210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526B9F3-4525-9140-61C9-43985D3A3E0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24F3F33E-8AC4-DCFA-628B-902A5D259161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114300</xdr:colOff>
      <xdr:row>16</xdr:row>
      <xdr:rowOff>699412</xdr:rowOff>
    </xdr:from>
    <xdr:to>
      <xdr:col>30</xdr:col>
      <xdr:colOff>285749</xdr:colOff>
      <xdr:row>23</xdr:row>
      <xdr:rowOff>142978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76B2A1-B747-AEE8-BFAC-F9580847D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83225" y="5280937"/>
          <a:ext cx="5048249" cy="2882091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17</xdr:row>
      <xdr:rowOff>0</xdr:rowOff>
    </xdr:from>
    <xdr:to>
      <xdr:col>17</xdr:col>
      <xdr:colOff>304800</xdr:colOff>
      <xdr:row>17</xdr:row>
      <xdr:rowOff>304800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8EF206B-D831-9E9E-DA95-771B1A8A2907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390525</xdr:colOff>
      <xdr:row>16</xdr:row>
      <xdr:rowOff>700863</xdr:rowOff>
    </xdr:from>
    <xdr:to>
      <xdr:col>21</xdr:col>
      <xdr:colOff>571499</xdr:colOff>
      <xdr:row>23</xdr:row>
      <xdr:rowOff>157067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FF2FDF2-8722-E3CD-C1A9-E16A46B83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973050" y="5282388"/>
          <a:ext cx="5057774" cy="28947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63942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54565" y="392430"/>
          <a:ext cx="3872097" cy="2921779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28</xdr:row>
      <xdr:rowOff>102506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18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19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9</xdr:col>
      <xdr:colOff>0</xdr:colOff>
      <xdr:row>16</xdr:row>
      <xdr:rowOff>0</xdr:rowOff>
    </xdr:from>
    <xdr:to>
      <xdr:col>9</xdr:col>
      <xdr:colOff>304800</xdr:colOff>
      <xdr:row>16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34EC048A-AE5F-618D-5C8F-E6720EA6C52B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581025</xdr:colOff>
      <xdr:row>16</xdr:row>
      <xdr:rowOff>0</xdr:rowOff>
    </xdr:from>
    <xdr:to>
      <xdr:col>9</xdr:col>
      <xdr:colOff>276225</xdr:colOff>
      <xdr:row>16</xdr:row>
      <xdr:rowOff>304800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FF0A2B44-BD6F-28D1-8210-87803200416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414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16</xdr:row>
      <xdr:rowOff>0</xdr:rowOff>
    </xdr:from>
    <xdr:to>
      <xdr:col>8</xdr:col>
      <xdr:colOff>304800</xdr:colOff>
      <xdr:row>16</xdr:row>
      <xdr:rowOff>304800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951B3235-4606-C332-7BEE-8AE865C65F5A}"/>
            </a:ext>
          </a:extLst>
        </xdr:cNvPr>
        <xdr:cNvSpPr>
          <a:spLocks noChangeAspect="1" noChangeArrowheads="1"/>
        </xdr:cNvSpPr>
      </xdr:nvSpPr>
      <xdr:spPr bwMode="auto">
        <a:xfrm>
          <a:off x="100965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38100</xdr:colOff>
      <xdr:row>14</xdr:row>
      <xdr:rowOff>201030</xdr:rowOff>
    </xdr:from>
    <xdr:to>
      <xdr:col>14</xdr:col>
      <xdr:colOff>104774</xdr:colOff>
      <xdr:row>19</xdr:row>
      <xdr:rowOff>124946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78376F-B1B0-8C9F-6AB3-189DA517B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44125" y="3525255"/>
          <a:ext cx="3724274" cy="22373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243841</xdr:colOff>
      <xdr:row>0</xdr:row>
      <xdr:rowOff>114300</xdr:rowOff>
    </xdr:from>
    <xdr:to>
      <xdr:col>14</xdr:col>
      <xdr:colOff>546913</xdr:colOff>
      <xdr:row>13</xdr:row>
      <xdr:rowOff>121920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30741" y="114300"/>
          <a:ext cx="4570272" cy="27736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320139</xdr:colOff>
      <xdr:row>8</xdr:row>
      <xdr:rowOff>67734</xdr:rowOff>
    </xdr:from>
    <xdr:to>
      <xdr:col>18</xdr:col>
      <xdr:colOff>33867</xdr:colOff>
      <xdr:row>14</xdr:row>
      <xdr:rowOff>380687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FC672-108B-448D-985A-A6D845653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38272" y="1566334"/>
          <a:ext cx="6419328" cy="3767353"/>
        </a:xfrm>
        <a:prstGeom prst="rect">
          <a:avLst/>
        </a:prstGeom>
      </xdr:spPr>
    </xdr:pic>
    <xdr:clientData/>
  </xdr:twoCellAnchor>
  <xdr:oneCellAnchor>
    <xdr:from>
      <xdr:col>1</xdr:col>
      <xdr:colOff>120174</xdr:colOff>
      <xdr:row>8</xdr:row>
      <xdr:rowOff>88455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777399" y="259353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777399" y="259353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𝑥 ̅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𝐴𝐶,𝑊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333375</xdr:colOff>
      <xdr:row>8</xdr:row>
      <xdr:rowOff>14287</xdr:rowOff>
    </xdr:from>
    <xdr:ext cx="1975284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=(𝑥_(0,𝑊)+(𝑛_(𝐴𝐶,𝑊)∗𝑐_(𝑟𝑜𝑜𝑡,𝑊)))/𝑐_𝑀𝐴𝐶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8</xdr:row>
      <xdr:rowOff>109537</xdr:rowOff>
    </xdr:from>
    <xdr:ext cx="83074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38100</xdr:colOff>
      <xdr:row>9</xdr:row>
      <xdr:rowOff>90487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485775</xdr:colOff>
      <xdr:row>9</xdr:row>
      <xdr:rowOff>109537</xdr:rowOff>
    </xdr:from>
    <xdr:ext cx="1479892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=−𝐶_(𝐿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10</xdr:row>
      <xdr:rowOff>185737</xdr:rowOff>
    </xdr:from>
    <xdr:ext cx="360099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179343</xdr:colOff>
      <xdr:row>10</xdr:row>
      <xdr:rowOff>566188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33669" y="2860471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33669" y="2860471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18</xdr:col>
      <xdr:colOff>118534</xdr:colOff>
      <xdr:row>8</xdr:row>
      <xdr:rowOff>2</xdr:rowOff>
    </xdr:from>
    <xdr:to>
      <xdr:col>28</xdr:col>
      <xdr:colOff>307298</xdr:colOff>
      <xdr:row>14</xdr:row>
      <xdr:rowOff>203989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6C2CC9C-7B24-6652-5DA7-1DC31250C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42267" y="1498602"/>
          <a:ext cx="6284764" cy="3658387"/>
        </a:xfrm>
        <a:prstGeom prst="rect">
          <a:avLst/>
        </a:prstGeom>
      </xdr:spPr>
    </xdr:pic>
    <xdr:clientData/>
  </xdr:twoCellAnchor>
  <xdr:oneCellAnchor>
    <xdr:from>
      <xdr:col>1</xdr:col>
      <xdr:colOff>154041</xdr:colOff>
      <xdr:row>16</xdr:row>
      <xdr:rowOff>173122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̅_(𝐴𝐶,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𝐻𝑇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265642</xdr:colOff>
      <xdr:row>16</xdr:row>
      <xdr:rowOff>166687</xdr:rowOff>
    </xdr:from>
    <xdr:ext cx="2138149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)+(𝑛_(𝐴𝐶,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)∗𝑐_(𝑟𝑜𝑜𝑡,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16</xdr:row>
      <xdr:rowOff>109537</xdr:rowOff>
    </xdr:from>
    <xdr:ext cx="871457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46566</xdr:colOff>
      <xdr:row>18</xdr:row>
      <xdr:rowOff>259820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37042</xdr:colOff>
      <xdr:row>18</xdr:row>
      <xdr:rowOff>177271</xdr:rowOff>
    </xdr:from>
    <xdr:ext cx="2761269" cy="3695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(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)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</a:t>
              </a:r>
              <a:r>
                <a:rPr lang="en-GB" sz="1100" b="0" i="0">
                  <a:latin typeface="Cambria Math" panose="02040503050406030204" pitchFamily="18" charset="0"/>
                </a:rPr>
                <a:t>(𝑞_𝐻𝑇/𝑞∗〖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r>
                <a:rPr lang="en-GB" sz="1100" b="0" i="0">
                  <a:latin typeface="Cambria Math" panose="02040503050406030204" pitchFamily="18" charset="0"/>
                </a:rPr>
                <a:t>∗𝑆_𝐻𝑇/𝑆_𝑟𝑒𝑓 )</a:t>
              </a:r>
              <a:r>
                <a:rPr lang="en-US" sz="1100" b="0" i="0">
                  <a:latin typeface="Cambria Math" panose="02040503050406030204" pitchFamily="18" charset="0"/>
                </a:rPr>
                <a:t>〖𝐶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en-US" sz="1100" b="0" i="0">
                  <a:latin typeface="Cambria Math" panose="02040503050406030204" pitchFamily="18" charset="0"/>
                </a:rPr>
                <a:t>〗_(𝐿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22</xdr:row>
      <xdr:rowOff>185737</xdr:rowOff>
    </xdr:from>
    <xdr:ext cx="445507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bg-BG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bg-BG" sz="1100" b="0" i="0">
                  <a:latin typeface="Cambria Math" panose="02040503050406030204" pitchFamily="18" charset="0"/>
                </a:rPr>
                <a:t>〗_(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196276</xdr:colOff>
      <xdr:row>23</xdr:row>
      <xdr:rowOff>117455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355601</xdr:colOff>
      <xdr:row>16</xdr:row>
      <xdr:rowOff>681428</xdr:rowOff>
    </xdr:from>
    <xdr:to>
      <xdr:col>17</xdr:col>
      <xdr:colOff>567653</xdr:colOff>
      <xdr:row>22</xdr:row>
      <xdr:rowOff>201886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7C39244-63D2-713E-B3D4-A93A164F0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73734" y="6565761"/>
          <a:ext cx="6308052" cy="3516725"/>
        </a:xfrm>
        <a:prstGeom prst="rect">
          <a:avLst/>
        </a:prstGeom>
      </xdr:spPr>
    </xdr:pic>
    <xdr:clientData/>
  </xdr:twoCellAnchor>
  <xdr:oneCellAnchor>
    <xdr:from>
      <xdr:col>1</xdr:col>
      <xdr:colOff>372534</xdr:colOff>
      <xdr:row>19</xdr:row>
      <xdr:rowOff>110066</xdr:rowOff>
    </xdr:from>
    <xdr:ext cx="249107" cy="31842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𝑞_𝐻𝑇/𝑞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321734</xdr:colOff>
      <xdr:row>20</xdr:row>
      <xdr:rowOff>76200</xdr:rowOff>
    </xdr:from>
    <xdr:ext cx="338939" cy="3207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</a:rPr>
                <a:t>〖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364067</xdr:colOff>
      <xdr:row>21</xdr:row>
      <xdr:rowOff>93133</xdr:rowOff>
    </xdr:from>
    <xdr:ext cx="275525" cy="36567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𝑆_𝐻𝑇/𝑆_𝑟𝑒𝑓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67733</xdr:colOff>
      <xdr:row>28</xdr:row>
      <xdr:rowOff>160867</xdr:rowOff>
    </xdr:from>
    <xdr:ext cx="895350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237068</xdr:colOff>
      <xdr:row>26</xdr:row>
      <xdr:rowOff>452204</xdr:rowOff>
    </xdr:from>
    <xdr:to>
      <xdr:col>16</xdr:col>
      <xdr:colOff>198319</xdr:colOff>
      <xdr:row>34</xdr:row>
      <xdr:rowOff>395554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914BEC6-EEA1-5483-8747-DABDA9FF0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10801" y="12517204"/>
          <a:ext cx="5447651" cy="2940550"/>
        </a:xfrm>
        <a:prstGeom prst="rect">
          <a:avLst/>
        </a:prstGeom>
      </xdr:spPr>
    </xdr:pic>
    <xdr:clientData/>
  </xdr:twoCellAnchor>
  <xdr:oneCellAnchor>
    <xdr:from>
      <xdr:col>6</xdr:col>
      <xdr:colOff>347134</xdr:colOff>
      <xdr:row>28</xdr:row>
      <xdr:rowOff>67733</xdr:rowOff>
    </xdr:from>
    <xdr:ext cx="1960152" cy="4026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45∗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Sup>
                          <m:sSubSup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  <m:sup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𝑙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r>
                <a:rPr lang="en-GB" sz="1100" b="0" i="0">
                  <a:latin typeface="Cambria Math" panose="02040503050406030204" pitchFamily="18" charset="0"/>
                </a:rPr>
                <a:t>45∗</a:t>
              </a:r>
              <a:r>
                <a:rPr lang="en-US" sz="1100" b="0" i="0">
                  <a:latin typeface="Cambria Math" panose="02040503050406030204" pitchFamily="18" charset="0"/>
                </a:rPr>
                <a:t>(</a:t>
              </a:r>
              <a:r>
                <a:rPr lang="en-GB" sz="1100" b="0" i="0">
                  <a:latin typeface="Cambria Math" panose="02040503050406030204" pitchFamily="18" charset="0"/>
                </a:rPr>
                <a:t>𝑘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𝑓𝑢𝑠∗𝑤_𝑓𝑢𝑠^2∗𝑙_𝑓𝑢𝑠</a:t>
              </a:r>
              <a:r>
                <a:rPr lang="en-US" sz="1100" b="0" i="0">
                  <a:latin typeface="Cambria Math" panose="02040503050406030204" pitchFamily="18" charset="0"/>
                </a:rPr>
                <a:t>)/(</a:t>
              </a:r>
              <a:r>
                <a:rPr lang="en-GB" sz="1100" b="0" i="0">
                  <a:latin typeface="Cambria Math" panose="02040503050406030204" pitchFamily="18" charset="0"/>
                </a:rPr>
                <a:t>𝑐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𝑀𝐴𝐶∗𝑆_𝑟𝑒𝑓</a:t>
              </a:r>
              <a:r>
                <a:rPr lang="en-US" sz="1100" b="0" i="0">
                  <a:latin typeface="Cambria Math" panose="02040503050406030204" pitchFamily="18" charset="0"/>
                </a:rPr>
                <a:t> 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143933</xdr:colOff>
      <xdr:row>35</xdr:row>
      <xdr:rowOff>245533</xdr:rowOff>
    </xdr:from>
    <xdr:to>
      <xdr:col>16</xdr:col>
      <xdr:colOff>238902</xdr:colOff>
      <xdr:row>51</xdr:row>
      <xdr:rowOff>59266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4326404-6D80-F8DF-FCCE-FEF2D5E12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117666" y="15722600"/>
          <a:ext cx="5581369" cy="3175000"/>
        </a:xfrm>
        <a:prstGeom prst="rect">
          <a:avLst/>
        </a:prstGeom>
      </xdr:spPr>
    </xdr:pic>
    <xdr:clientData/>
  </xdr:twoCellAnchor>
  <xdr:oneCellAnchor>
    <xdr:from>
      <xdr:col>1</xdr:col>
      <xdr:colOff>118533</xdr:colOff>
      <xdr:row>34</xdr:row>
      <xdr:rowOff>127000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321733</xdr:colOff>
      <xdr:row>34</xdr:row>
      <xdr:rowOff>110067</xdr:rowOff>
    </xdr:from>
    <xdr:ext cx="1955800" cy="36426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  <m:r>
                      <a:rPr lang="en-GB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=(𝐶_(𝑀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𝛼,𝑓𝑢𝑠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))/(𝐶_(𝐿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)</a:t>
              </a:r>
              <a:endParaRPr lang="bg-BG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5" x14ac:dyDescent="0.25"/>
  <sheetData>
    <row r="6" spans="2:4" x14ac:dyDescent="0.25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24"/>
  <sheetViews>
    <sheetView tabSelected="1" topLeftCell="A12" zoomScale="80" zoomScaleNormal="80" workbookViewId="0">
      <selection activeCell="E30" sqref="E30"/>
    </sheetView>
  </sheetViews>
  <sheetFormatPr defaultRowHeight="15" x14ac:dyDescent="0.25"/>
  <cols>
    <col min="1" max="1" width="10" bestFit="1" customWidth="1"/>
    <col min="2" max="2" width="15.5703125" bestFit="1" customWidth="1"/>
    <col min="3" max="3" width="15.5703125" customWidth="1"/>
    <col min="4" max="4" width="12.42578125" customWidth="1"/>
    <col min="5" max="5" width="6.28515625" bestFit="1" customWidth="1"/>
    <col min="6" max="6" width="38" customWidth="1"/>
    <col min="7" max="7" width="28.28515625" customWidth="1"/>
    <col min="9" max="9" width="12.7109375" customWidth="1"/>
  </cols>
  <sheetData>
    <row r="1" spans="1:7" x14ac:dyDescent="0.25">
      <c r="A1" s="35" t="s">
        <v>53</v>
      </c>
      <c r="B1" s="3" t="s">
        <v>3</v>
      </c>
    </row>
    <row r="2" spans="1:7" x14ac:dyDescent="0.25">
      <c r="B2" s="2" t="s">
        <v>4</v>
      </c>
    </row>
    <row r="3" spans="1:7" x14ac:dyDescent="0.25">
      <c r="B3" s="5" t="s">
        <v>13</v>
      </c>
    </row>
    <row r="4" spans="1:7" x14ac:dyDescent="0.25">
      <c r="B4" s="1" t="s">
        <v>14</v>
      </c>
    </row>
    <row r="7" spans="1:7" ht="15.75" thickBot="1" x14ac:dyDescent="0.3">
      <c r="C7" s="35"/>
    </row>
    <row r="8" spans="1:7" ht="15.75" thickBot="1" x14ac:dyDescent="0.3">
      <c r="B8" s="47" t="s">
        <v>9</v>
      </c>
      <c r="C8" s="48" t="s">
        <v>21</v>
      </c>
      <c r="D8" s="48" t="s">
        <v>7</v>
      </c>
      <c r="E8" s="48" t="s">
        <v>8</v>
      </c>
      <c r="F8" s="48" t="s">
        <v>10</v>
      </c>
      <c r="G8" s="49" t="s">
        <v>14</v>
      </c>
    </row>
    <row r="9" spans="1:7" ht="30" x14ac:dyDescent="0.25">
      <c r="A9" s="90" t="s">
        <v>89</v>
      </c>
      <c r="B9" s="66" t="s">
        <v>1</v>
      </c>
      <c r="C9" s="40" t="s">
        <v>23</v>
      </c>
      <c r="D9" s="37">
        <v>15</v>
      </c>
      <c r="E9" s="37" t="s">
        <v>0</v>
      </c>
      <c r="F9" s="37"/>
      <c r="G9" s="38"/>
    </row>
    <row r="10" spans="1:7" ht="18" x14ac:dyDescent="0.35">
      <c r="A10" s="91"/>
      <c r="B10" s="39" t="s">
        <v>52</v>
      </c>
      <c r="C10" s="7"/>
      <c r="D10" s="4">
        <v>14</v>
      </c>
      <c r="E10" s="4" t="s">
        <v>2</v>
      </c>
      <c r="F10" s="4"/>
      <c r="G10" s="11"/>
    </row>
    <row r="11" spans="1:7" ht="18" x14ac:dyDescent="0.35">
      <c r="A11" s="91"/>
      <c r="B11" s="39" t="s">
        <v>51</v>
      </c>
      <c r="C11" s="7"/>
      <c r="D11" s="4">
        <v>24</v>
      </c>
      <c r="E11" s="4" t="s">
        <v>2</v>
      </c>
      <c r="F11" s="4"/>
      <c r="G11" s="11"/>
    </row>
    <row r="12" spans="1:7" ht="63" x14ac:dyDescent="0.25">
      <c r="A12" s="91"/>
      <c r="B12" s="39" t="s">
        <v>20</v>
      </c>
      <c r="C12" s="6" t="s">
        <v>24</v>
      </c>
      <c r="D12" s="4">
        <v>1.4</v>
      </c>
      <c r="E12" s="4"/>
      <c r="F12" s="10" t="s">
        <v>55</v>
      </c>
      <c r="G12" s="11"/>
    </row>
    <row r="13" spans="1:7" ht="28.15" customHeight="1" x14ac:dyDescent="0.25">
      <c r="A13" s="91"/>
      <c r="B13" s="65" t="s">
        <v>19</v>
      </c>
      <c r="C13" s="6" t="s">
        <v>49</v>
      </c>
      <c r="D13" s="4">
        <f>(D11*D14)/D15</f>
        <v>500000</v>
      </c>
      <c r="E13" s="4"/>
      <c r="F13" s="4" t="s">
        <v>50</v>
      </c>
      <c r="G13" s="11"/>
    </row>
    <row r="14" spans="1:7" ht="40.15" customHeight="1" x14ac:dyDescent="0.25">
      <c r="A14" s="91"/>
      <c r="B14" s="39" t="s">
        <v>15</v>
      </c>
      <c r="C14" s="7" t="s">
        <v>31</v>
      </c>
      <c r="D14" s="4">
        <v>0.3</v>
      </c>
      <c r="E14" s="4" t="s">
        <v>18</v>
      </c>
      <c r="F14" s="4"/>
      <c r="G14" s="11"/>
    </row>
    <row r="15" spans="1:7" ht="45" x14ac:dyDescent="0.25">
      <c r="A15" s="91"/>
      <c r="B15" s="39" t="s">
        <v>16</v>
      </c>
      <c r="C15" s="6" t="s">
        <v>22</v>
      </c>
      <c r="D15" s="4">
        <v>1.4399999999999999E-5</v>
      </c>
      <c r="E15" s="4" t="s">
        <v>48</v>
      </c>
      <c r="F15" s="10" t="s">
        <v>17</v>
      </c>
      <c r="G15" s="11"/>
    </row>
    <row r="16" spans="1:7" x14ac:dyDescent="0.25">
      <c r="A16" s="91"/>
      <c r="B16" s="39" t="s">
        <v>5</v>
      </c>
      <c r="C16" s="7" t="s">
        <v>25</v>
      </c>
      <c r="D16" s="4">
        <v>1.17</v>
      </c>
      <c r="E16" s="4" t="s">
        <v>6</v>
      </c>
      <c r="F16" s="4" t="s">
        <v>26</v>
      </c>
      <c r="G16" s="11"/>
    </row>
    <row r="17" spans="1:7" ht="67.900000000000006" customHeight="1" x14ac:dyDescent="0.25">
      <c r="A17" s="91"/>
      <c r="B17" s="65" t="s">
        <v>11</v>
      </c>
      <c r="C17" s="7" t="s">
        <v>34</v>
      </c>
      <c r="D17" s="8">
        <f>(2*D9*Constants!C6)/(Wing!D16*Wing!D12*Wing!D10*Wing!D10)</f>
        <v>0.91637231815803244</v>
      </c>
      <c r="E17" s="4" t="s">
        <v>47</v>
      </c>
      <c r="F17" s="4"/>
      <c r="G17" s="11"/>
    </row>
    <row r="18" spans="1:7" ht="43.9" customHeight="1" x14ac:dyDescent="0.25">
      <c r="A18" s="91"/>
      <c r="B18" s="65" t="s">
        <v>27</v>
      </c>
      <c r="C18" s="7" t="s">
        <v>28</v>
      </c>
      <c r="D18" s="9">
        <f>SQRT(D19*D17)</f>
        <v>3.0271642145051074</v>
      </c>
      <c r="E18" s="4" t="s">
        <v>18</v>
      </c>
      <c r="F18" s="4"/>
      <c r="G18" s="11"/>
    </row>
    <row r="19" spans="1:7" ht="45" x14ac:dyDescent="0.25">
      <c r="A19" s="91"/>
      <c r="B19" s="39" t="s">
        <v>29</v>
      </c>
      <c r="C19" s="7" t="s">
        <v>30</v>
      </c>
      <c r="D19" s="4">
        <v>10</v>
      </c>
      <c r="E19" s="4"/>
      <c r="F19" s="10" t="s">
        <v>33</v>
      </c>
      <c r="G19" s="11"/>
    </row>
    <row r="20" spans="1:7" ht="62.25" thickBot="1" x14ac:dyDescent="0.4">
      <c r="A20" s="92"/>
      <c r="B20" s="65" t="s">
        <v>98</v>
      </c>
      <c r="C20" s="43" t="s">
        <v>97</v>
      </c>
      <c r="D20" s="12">
        <f>0.25*D14</f>
        <v>7.4999999999999997E-2</v>
      </c>
      <c r="E20" s="12" t="s">
        <v>18</v>
      </c>
      <c r="F20" s="34" t="s">
        <v>99</v>
      </c>
      <c r="G20" s="67" t="s">
        <v>96</v>
      </c>
    </row>
    <row r="21" spans="1:7" ht="15.75" thickBot="1" x14ac:dyDescent="0.3"/>
    <row r="22" spans="1:7" ht="30" x14ac:dyDescent="0.25">
      <c r="A22" s="90" t="s">
        <v>78</v>
      </c>
      <c r="B22" s="45"/>
      <c r="C22" s="40" t="s">
        <v>79</v>
      </c>
      <c r="D22" s="41">
        <f>D18/4</f>
        <v>0.75679105362627686</v>
      </c>
      <c r="E22" s="37" t="s">
        <v>18</v>
      </c>
      <c r="F22" s="37"/>
      <c r="G22" s="38"/>
    </row>
    <row r="23" spans="1:7" ht="30" x14ac:dyDescent="0.25">
      <c r="A23" s="91"/>
      <c r="B23" s="39"/>
      <c r="C23" s="6" t="s">
        <v>80</v>
      </c>
      <c r="D23" s="4">
        <f>D14/4</f>
        <v>7.4999999999999997E-2</v>
      </c>
      <c r="E23" s="4" t="s">
        <v>18</v>
      </c>
      <c r="F23" s="4"/>
      <c r="G23" s="11"/>
    </row>
    <row r="24" spans="1:7" ht="45.75" thickBot="1" x14ac:dyDescent="0.3">
      <c r="A24" s="92"/>
      <c r="B24" s="42"/>
      <c r="C24" s="43" t="s">
        <v>81</v>
      </c>
      <c r="D24" s="44">
        <f>0.1*D18</f>
        <v>0.30271642145051075</v>
      </c>
      <c r="E24" s="12" t="s">
        <v>18</v>
      </c>
      <c r="F24" s="34" t="s">
        <v>82</v>
      </c>
      <c r="G24" s="13"/>
    </row>
  </sheetData>
  <mergeCells count="2">
    <mergeCell ref="A22:A24"/>
    <mergeCell ref="A9:A2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29"/>
  <sheetViews>
    <sheetView topLeftCell="B1" zoomScale="85" zoomScaleNormal="85" workbookViewId="0">
      <selection activeCell="D21" sqref="D21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style="30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35" t="s">
        <v>54</v>
      </c>
      <c r="B1" s="3" t="s">
        <v>3</v>
      </c>
    </row>
    <row r="2" spans="1:7" x14ac:dyDescent="0.25">
      <c r="B2" s="2" t="s">
        <v>4</v>
      </c>
    </row>
    <row r="3" spans="1:7" x14ac:dyDescent="0.25">
      <c r="B3" s="5" t="s">
        <v>13</v>
      </c>
    </row>
    <row r="4" spans="1:7" x14ac:dyDescent="0.25">
      <c r="B4" s="1" t="s">
        <v>14</v>
      </c>
    </row>
    <row r="7" spans="1:7" ht="15.75" thickBot="1" x14ac:dyDescent="0.3"/>
    <row r="8" spans="1:7" ht="15.75" thickBot="1" x14ac:dyDescent="0.3">
      <c r="B8" s="47" t="s">
        <v>9</v>
      </c>
      <c r="C8" s="48" t="s">
        <v>21</v>
      </c>
      <c r="D8" s="51" t="s">
        <v>7</v>
      </c>
      <c r="E8" s="48" t="s">
        <v>8</v>
      </c>
      <c r="F8" s="48" t="s">
        <v>10</v>
      </c>
      <c r="G8" s="49" t="s">
        <v>14</v>
      </c>
    </row>
    <row r="9" spans="1:7" ht="35.450000000000003" customHeight="1" x14ac:dyDescent="0.25">
      <c r="A9" s="90" t="s">
        <v>90</v>
      </c>
      <c r="B9" s="58" t="s">
        <v>61</v>
      </c>
      <c r="C9" s="14" t="s">
        <v>35</v>
      </c>
      <c r="D9" s="15">
        <v>0.03</v>
      </c>
      <c r="E9" s="15"/>
      <c r="F9" s="16" t="s">
        <v>42</v>
      </c>
      <c r="G9" s="17"/>
    </row>
    <row r="10" spans="1:7" ht="38.450000000000003" customHeight="1" x14ac:dyDescent="0.25">
      <c r="A10" s="91"/>
      <c r="B10" s="50" t="s">
        <v>62</v>
      </c>
      <c r="C10" s="18" t="s">
        <v>36</v>
      </c>
      <c r="D10" s="19">
        <v>0.9</v>
      </c>
      <c r="E10" s="19" t="s">
        <v>18</v>
      </c>
      <c r="F10" s="19" t="s">
        <v>77</v>
      </c>
      <c r="G10" s="20"/>
    </row>
    <row r="11" spans="1:7" ht="35.450000000000003" customHeight="1" thickBot="1" x14ac:dyDescent="0.3">
      <c r="A11" s="92"/>
      <c r="B11" s="36" t="s">
        <v>63</v>
      </c>
      <c r="C11" s="22" t="s">
        <v>37</v>
      </c>
      <c r="D11" s="59">
        <f>(D9*D12*D13)/D10</f>
        <v>9.2466982956369487E-2</v>
      </c>
      <c r="E11" s="23" t="s">
        <v>47</v>
      </c>
      <c r="F11" s="23"/>
      <c r="G11" s="24"/>
    </row>
    <row r="12" spans="1:7" ht="18" x14ac:dyDescent="0.25">
      <c r="B12" s="52" t="s">
        <v>64</v>
      </c>
      <c r="C12" s="53" t="s">
        <v>38</v>
      </c>
      <c r="D12" s="54">
        <f>Wing!D18</f>
        <v>3.0271642145051074</v>
      </c>
      <c r="E12" s="55" t="s">
        <v>18</v>
      </c>
      <c r="F12" s="56"/>
      <c r="G12" s="57"/>
    </row>
    <row r="13" spans="1:7" ht="18.75" thickBot="1" x14ac:dyDescent="0.3">
      <c r="B13" s="21" t="s">
        <v>60</v>
      </c>
      <c r="C13" s="22" t="s">
        <v>32</v>
      </c>
      <c r="D13" s="27">
        <f>Wing!D17</f>
        <v>0.91637231815803244</v>
      </c>
      <c r="E13" s="23" t="s">
        <v>47</v>
      </c>
      <c r="F13" s="23"/>
      <c r="G13" s="24"/>
    </row>
    <row r="14" spans="1:7" ht="15.75" thickBot="1" x14ac:dyDescent="0.3">
      <c r="B14" s="30"/>
      <c r="C14" s="31"/>
      <c r="E14" s="30"/>
      <c r="F14" s="30"/>
      <c r="G14" s="30"/>
    </row>
    <row r="15" spans="1:7" ht="36" customHeight="1" x14ac:dyDescent="0.25">
      <c r="A15" s="90" t="s">
        <v>91</v>
      </c>
      <c r="B15" s="58" t="s">
        <v>57</v>
      </c>
      <c r="C15" s="14" t="s">
        <v>39</v>
      </c>
      <c r="D15" s="16">
        <v>0.5</v>
      </c>
      <c r="E15" s="15"/>
      <c r="F15" s="16" t="s">
        <v>42</v>
      </c>
      <c r="G15" s="17"/>
    </row>
    <row r="16" spans="1:7" ht="42" customHeight="1" x14ac:dyDescent="0.25">
      <c r="A16" s="91"/>
      <c r="B16" s="50" t="s">
        <v>58</v>
      </c>
      <c r="C16" s="18" t="s">
        <v>40</v>
      </c>
      <c r="D16" s="19">
        <v>0.9</v>
      </c>
      <c r="E16" s="19" t="s">
        <v>18</v>
      </c>
      <c r="F16" s="19" t="s">
        <v>77</v>
      </c>
      <c r="G16" s="20"/>
    </row>
    <row r="17" spans="1:7" ht="48.6" customHeight="1" thickBot="1" x14ac:dyDescent="0.3">
      <c r="A17" s="92"/>
      <c r="B17" s="36" t="s">
        <v>59</v>
      </c>
      <c r="C17" s="26" t="s">
        <v>41</v>
      </c>
      <c r="D17" s="27">
        <f>(D15*Wing!D14*'V-tail'!D13)/'V-tail'!D16</f>
        <v>0.15272871969300542</v>
      </c>
      <c r="E17" s="23" t="s">
        <v>47</v>
      </c>
      <c r="F17" s="23"/>
      <c r="G17" s="24"/>
    </row>
    <row r="18" spans="1:7" ht="15.75" thickBot="1" x14ac:dyDescent="0.3">
      <c r="B18" s="30"/>
      <c r="C18" s="32"/>
      <c r="D18" s="33"/>
      <c r="E18" s="30"/>
      <c r="F18" s="30"/>
      <c r="G18" s="30"/>
    </row>
    <row r="19" spans="1:7" ht="40.9" customHeight="1" x14ac:dyDescent="0.25">
      <c r="A19" s="93" t="s">
        <v>92</v>
      </c>
      <c r="B19" s="63" t="s">
        <v>45</v>
      </c>
      <c r="C19" s="14" t="s">
        <v>43</v>
      </c>
      <c r="D19" s="28">
        <f>DEGREES(ATAN(SQRT(D11/D17)))</f>
        <v>37.886329893038969</v>
      </c>
      <c r="E19" s="15" t="s">
        <v>44</v>
      </c>
      <c r="F19" s="15"/>
      <c r="G19" s="17"/>
    </row>
    <row r="20" spans="1:7" ht="46.5" customHeight="1" x14ac:dyDescent="0.25">
      <c r="A20" s="94"/>
      <c r="B20" s="60" t="s">
        <v>56</v>
      </c>
      <c r="C20" s="25" t="s">
        <v>46</v>
      </c>
      <c r="D20" s="61">
        <f>D17+D11</f>
        <v>0.2451957026493749</v>
      </c>
      <c r="E20" s="19" t="s">
        <v>47</v>
      </c>
      <c r="F20" s="19"/>
      <c r="G20" s="20"/>
    </row>
    <row r="21" spans="1:7" ht="30" x14ac:dyDescent="0.25">
      <c r="A21" s="94"/>
      <c r="B21" s="62" t="s">
        <v>29</v>
      </c>
      <c r="C21" s="18" t="s">
        <v>65</v>
      </c>
      <c r="D21" s="19">
        <v>4</v>
      </c>
      <c r="E21" s="4"/>
      <c r="F21" s="10" t="s">
        <v>73</v>
      </c>
      <c r="G21" s="11"/>
    </row>
    <row r="22" spans="1:7" ht="18" x14ac:dyDescent="0.25">
      <c r="A22" s="94"/>
      <c r="B22" s="60" t="s">
        <v>66</v>
      </c>
      <c r="C22" s="18" t="s">
        <v>67</v>
      </c>
      <c r="D22" s="29">
        <f>SQRT(D20*D21)</f>
        <v>0.99034479379532236</v>
      </c>
      <c r="E22" s="4" t="s">
        <v>18</v>
      </c>
      <c r="F22" s="4"/>
      <c r="G22" s="11"/>
    </row>
    <row r="23" spans="1:7" ht="18" x14ac:dyDescent="0.25">
      <c r="A23" s="94"/>
      <c r="B23" s="60" t="s">
        <v>68</v>
      </c>
      <c r="C23" s="18" t="s">
        <v>69</v>
      </c>
      <c r="D23" s="29">
        <f>D22/D21</f>
        <v>0.24758619844883059</v>
      </c>
      <c r="E23" s="4" t="s">
        <v>18</v>
      </c>
      <c r="F23" s="4"/>
      <c r="G23" s="11"/>
    </row>
    <row r="24" spans="1:7" x14ac:dyDescent="0.25">
      <c r="A24" s="94"/>
      <c r="B24" s="62" t="s">
        <v>70</v>
      </c>
      <c r="C24" s="18" t="s">
        <v>72</v>
      </c>
      <c r="D24" s="19">
        <v>0</v>
      </c>
      <c r="E24" s="4"/>
      <c r="F24" s="4" t="s">
        <v>71</v>
      </c>
      <c r="G24" s="11"/>
    </row>
    <row r="25" spans="1:7" ht="45.75" thickBot="1" x14ac:dyDescent="0.3">
      <c r="A25" s="95"/>
      <c r="B25" s="64" t="s">
        <v>75</v>
      </c>
      <c r="C25" s="26" t="s">
        <v>74</v>
      </c>
      <c r="D25" s="23">
        <v>-10</v>
      </c>
      <c r="E25" s="23" t="s">
        <v>44</v>
      </c>
      <c r="F25" s="34" t="s">
        <v>76</v>
      </c>
      <c r="G25" s="13"/>
    </row>
    <row r="26" spans="1:7" ht="15.75" thickBot="1" x14ac:dyDescent="0.3"/>
    <row r="27" spans="1:7" ht="18" x14ac:dyDescent="0.35">
      <c r="A27" s="93" t="s">
        <v>83</v>
      </c>
      <c r="B27" s="45" t="s">
        <v>93</v>
      </c>
      <c r="C27" s="40" t="s">
        <v>84</v>
      </c>
      <c r="D27" s="46"/>
      <c r="E27" s="15" t="s">
        <v>18</v>
      </c>
      <c r="F27" s="37" t="s">
        <v>88</v>
      </c>
      <c r="G27" s="38"/>
    </row>
    <row r="28" spans="1:7" ht="31.5" x14ac:dyDescent="0.35">
      <c r="A28" s="94"/>
      <c r="B28" s="39" t="s">
        <v>94</v>
      </c>
      <c r="C28" s="6" t="s">
        <v>85</v>
      </c>
      <c r="D28" s="29">
        <f>0.4*D23</f>
        <v>9.9034479379532248E-2</v>
      </c>
      <c r="E28" s="19" t="s">
        <v>18</v>
      </c>
      <c r="F28" s="10" t="s">
        <v>87</v>
      </c>
      <c r="G28" s="11"/>
    </row>
    <row r="29" spans="1:7" ht="45.75" thickBot="1" x14ac:dyDescent="0.3">
      <c r="A29" s="95"/>
      <c r="B29" s="42"/>
      <c r="C29" s="43" t="s">
        <v>86</v>
      </c>
      <c r="D29" s="23">
        <v>0</v>
      </c>
      <c r="E29" s="23" t="s">
        <v>18</v>
      </c>
      <c r="F29" s="34" t="s">
        <v>95</v>
      </c>
      <c r="G29" s="13"/>
    </row>
  </sheetData>
  <mergeCells count="4">
    <mergeCell ref="A27:A29"/>
    <mergeCell ref="A9:A11"/>
    <mergeCell ref="A15:A17"/>
    <mergeCell ref="A19:A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:G13"/>
  <sheetViews>
    <sheetView workbookViewId="0">
      <selection activeCell="G9" sqref="G9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35"/>
      <c r="B1" s="3" t="s">
        <v>3</v>
      </c>
      <c r="D1" s="30"/>
    </row>
    <row r="2" spans="1:7" x14ac:dyDescent="0.25">
      <c r="B2" s="2" t="s">
        <v>4</v>
      </c>
      <c r="D2" s="30"/>
    </row>
    <row r="3" spans="1:7" x14ac:dyDescent="0.25">
      <c r="B3" s="5" t="s">
        <v>13</v>
      </c>
      <c r="D3" s="30"/>
    </row>
    <row r="4" spans="1:7" x14ac:dyDescent="0.25">
      <c r="B4" s="1" t="s">
        <v>14</v>
      </c>
      <c r="D4" s="30"/>
    </row>
    <row r="5" spans="1:7" x14ac:dyDescent="0.25">
      <c r="D5" s="30"/>
    </row>
    <row r="6" spans="1:7" x14ac:dyDescent="0.25">
      <c r="D6" s="30"/>
    </row>
    <row r="7" spans="1:7" ht="15.75" thickBot="1" x14ac:dyDescent="0.3">
      <c r="D7" s="30"/>
    </row>
    <row r="8" spans="1:7" ht="15.75" thickBot="1" x14ac:dyDescent="0.3">
      <c r="A8" s="88"/>
      <c r="B8" s="83" t="s">
        <v>9</v>
      </c>
      <c r="C8" s="84" t="s">
        <v>21</v>
      </c>
      <c r="D8" s="70" t="s">
        <v>7</v>
      </c>
      <c r="E8" s="84" t="s">
        <v>8</v>
      </c>
      <c r="F8" s="84" t="s">
        <v>10</v>
      </c>
      <c r="G8" s="85" t="s">
        <v>14</v>
      </c>
    </row>
    <row r="9" spans="1:7" ht="28.9" customHeight="1" x14ac:dyDescent="0.25">
      <c r="A9" s="96" t="s">
        <v>100</v>
      </c>
      <c r="B9" s="86" t="s">
        <v>101</v>
      </c>
      <c r="C9" s="53" t="s">
        <v>103</v>
      </c>
      <c r="D9" s="55">
        <f>1.5*Wing!D14</f>
        <v>0.44999999999999996</v>
      </c>
      <c r="E9" s="55" t="s">
        <v>18</v>
      </c>
      <c r="F9" s="56" t="s">
        <v>106</v>
      </c>
      <c r="G9" s="57"/>
    </row>
    <row r="10" spans="1:7" x14ac:dyDescent="0.25">
      <c r="A10" s="97"/>
      <c r="B10" s="50" t="s">
        <v>102</v>
      </c>
      <c r="C10" s="18" t="s">
        <v>105</v>
      </c>
      <c r="D10" s="19">
        <f>3*Wing!D14</f>
        <v>0.89999999999999991</v>
      </c>
      <c r="E10" s="19" t="s">
        <v>18</v>
      </c>
      <c r="F10" s="19" t="s">
        <v>108</v>
      </c>
      <c r="G10" s="20"/>
    </row>
    <row r="11" spans="1:7" x14ac:dyDescent="0.25">
      <c r="A11" s="97"/>
      <c r="B11" s="73" t="s">
        <v>104</v>
      </c>
      <c r="C11" s="25" t="s">
        <v>107</v>
      </c>
      <c r="D11" s="29">
        <f>D9+D10+Wing!D14</f>
        <v>1.65</v>
      </c>
      <c r="E11" s="19" t="s">
        <v>18</v>
      </c>
      <c r="F11" s="19"/>
      <c r="G11" s="20"/>
    </row>
    <row r="12" spans="1:7" ht="30.75" thickBot="1" x14ac:dyDescent="0.3">
      <c r="A12" s="98"/>
      <c r="B12" s="87" t="s">
        <v>109</v>
      </c>
      <c r="C12" s="26" t="s">
        <v>116</v>
      </c>
      <c r="D12" s="79">
        <v>0.3</v>
      </c>
      <c r="E12" s="23" t="s">
        <v>18</v>
      </c>
      <c r="F12" s="82" t="s">
        <v>110</v>
      </c>
      <c r="G12" s="24"/>
    </row>
    <row r="13" spans="1:7" x14ac:dyDescent="0.25">
      <c r="B13" s="30"/>
      <c r="C13" s="31"/>
      <c r="D13" s="30"/>
      <c r="E13" s="30"/>
      <c r="F13" s="30"/>
      <c r="G13" s="30"/>
    </row>
  </sheetData>
  <mergeCells count="1">
    <mergeCell ref="A9:A1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79866-2160-4925-834D-A41ED5331C38}">
  <dimension ref="A1:G36"/>
  <sheetViews>
    <sheetView topLeftCell="A30" zoomScale="90" zoomScaleNormal="90" workbookViewId="0">
      <selection activeCell="F36" sqref="F36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customWidth="1"/>
    <col min="5" max="5" width="8.28515625" bestFit="1" customWidth="1"/>
    <col min="6" max="6" width="38" customWidth="1"/>
    <col min="7" max="7" width="41.5703125" customWidth="1"/>
  </cols>
  <sheetData>
    <row r="1" spans="1:7" x14ac:dyDescent="0.25">
      <c r="A1" s="35" t="s">
        <v>113</v>
      </c>
      <c r="B1" s="3" t="s">
        <v>3</v>
      </c>
      <c r="D1" s="30"/>
    </row>
    <row r="2" spans="1:7" x14ac:dyDescent="0.25">
      <c r="B2" s="2" t="s">
        <v>4</v>
      </c>
      <c r="D2" s="30"/>
    </row>
    <row r="3" spans="1:7" x14ac:dyDescent="0.25">
      <c r="B3" s="5" t="s">
        <v>13</v>
      </c>
      <c r="D3" s="30"/>
    </row>
    <row r="4" spans="1:7" x14ac:dyDescent="0.25">
      <c r="B4" s="1" t="s">
        <v>14</v>
      </c>
      <c r="D4" s="30"/>
    </row>
    <row r="5" spans="1:7" x14ac:dyDescent="0.25">
      <c r="D5" s="30"/>
    </row>
    <row r="6" spans="1:7" x14ac:dyDescent="0.25">
      <c r="D6" s="30"/>
    </row>
    <row r="7" spans="1:7" ht="15.75" thickBot="1" x14ac:dyDescent="0.3">
      <c r="D7" s="30"/>
    </row>
    <row r="8" spans="1:7" ht="14.45" customHeight="1" thickBot="1" x14ac:dyDescent="0.3">
      <c r="A8" s="75"/>
      <c r="B8" s="76" t="s">
        <v>9</v>
      </c>
      <c r="C8" s="51" t="s">
        <v>21</v>
      </c>
      <c r="D8" s="51" t="s">
        <v>7</v>
      </c>
      <c r="E8" s="51" t="s">
        <v>8</v>
      </c>
      <c r="F8" s="51" t="s">
        <v>10</v>
      </c>
      <c r="G8" s="77" t="s">
        <v>14</v>
      </c>
    </row>
    <row r="9" spans="1:7" ht="85.15" customHeight="1" x14ac:dyDescent="0.25">
      <c r="A9" s="96" t="s">
        <v>111</v>
      </c>
      <c r="B9" s="71"/>
      <c r="C9" s="14" t="s">
        <v>114</v>
      </c>
      <c r="D9" s="15">
        <f>(Fuselage!D9+(Wing!$D$14*0.25))/Wing!$D$14</f>
        <v>1.7499999999999998</v>
      </c>
      <c r="E9" s="61" t="s">
        <v>124</v>
      </c>
      <c r="F9" s="16"/>
      <c r="G9" s="17"/>
    </row>
    <row r="10" spans="1:7" ht="30" x14ac:dyDescent="0.25">
      <c r="A10" s="97"/>
      <c r="B10" s="72"/>
      <c r="C10" s="18" t="s">
        <v>115</v>
      </c>
      <c r="D10" s="69">
        <f>-D11*D9</f>
        <v>-9.6764591226254897</v>
      </c>
      <c r="E10" s="19" t="s">
        <v>129</v>
      </c>
      <c r="F10" s="19"/>
      <c r="G10" s="20"/>
    </row>
    <row r="11" spans="1:7" ht="60" x14ac:dyDescent="0.25">
      <c r="A11" s="97"/>
      <c r="B11" s="73"/>
      <c r="C11" s="18" t="s">
        <v>119</v>
      </c>
      <c r="D11" s="69">
        <f>(2*(22/7)*Wing!D19)/(2+(SQRT((Wing!D19^2)*('Overall AC'!D13)/'Overall AC'!D14+4)))</f>
        <v>5.529405212928852</v>
      </c>
      <c r="E11" s="19" t="s">
        <v>129</v>
      </c>
      <c r="F11" s="18" t="s">
        <v>117</v>
      </c>
      <c r="G11" s="20" t="s">
        <v>118</v>
      </c>
    </row>
    <row r="12" spans="1:7" ht="30" x14ac:dyDescent="0.25">
      <c r="A12" s="97"/>
      <c r="B12" s="72"/>
      <c r="C12" s="18" t="s">
        <v>112</v>
      </c>
      <c r="D12" s="69">
        <v>0</v>
      </c>
      <c r="E12" s="19"/>
      <c r="F12" s="18" t="s">
        <v>130</v>
      </c>
      <c r="G12" s="20"/>
    </row>
    <row r="13" spans="1:7" ht="60" x14ac:dyDescent="0.25">
      <c r="A13" s="97"/>
      <c r="B13" s="78" t="s">
        <v>127</v>
      </c>
      <c r="C13" s="25" t="s">
        <v>123</v>
      </c>
      <c r="D13" s="61">
        <f>1-(0.07)^2</f>
        <v>0.99509999999999998</v>
      </c>
      <c r="E13" s="61" t="s">
        <v>124</v>
      </c>
      <c r="F13" s="18" t="s">
        <v>128</v>
      </c>
      <c r="G13" s="20"/>
    </row>
    <row r="14" spans="1:7" ht="30" x14ac:dyDescent="0.25">
      <c r="A14" s="97"/>
      <c r="B14" s="72" t="s">
        <v>126</v>
      </c>
      <c r="C14" s="18" t="s">
        <v>122</v>
      </c>
      <c r="D14" s="69">
        <f>(1+0.75*D15)^2</f>
        <v>1.1881000000000002</v>
      </c>
      <c r="E14" s="61" t="s">
        <v>124</v>
      </c>
      <c r="F14" s="18" t="s">
        <v>131</v>
      </c>
      <c r="G14" s="20"/>
    </row>
    <row r="15" spans="1:7" ht="60.75" thickBot="1" x14ac:dyDescent="0.3">
      <c r="A15" s="98"/>
      <c r="B15" s="74" t="s">
        <v>120</v>
      </c>
      <c r="C15" s="22" t="s">
        <v>121</v>
      </c>
      <c r="D15" s="79">
        <f>(0.12*0.3)/0.3</f>
        <v>0.12</v>
      </c>
      <c r="E15" s="23" t="s">
        <v>124</v>
      </c>
      <c r="F15" s="26" t="s">
        <v>125</v>
      </c>
      <c r="G15" s="24"/>
    </row>
    <row r="16" spans="1:7" ht="15.75" thickBot="1" x14ac:dyDescent="0.3">
      <c r="B16" s="30"/>
      <c r="C16" s="31"/>
      <c r="D16" s="30"/>
      <c r="E16" s="30"/>
      <c r="F16" s="30"/>
      <c r="G16" s="30"/>
    </row>
    <row r="17" spans="1:7" ht="57.6" customHeight="1" x14ac:dyDescent="0.25">
      <c r="A17" s="96" t="s">
        <v>132</v>
      </c>
      <c r="B17" s="71"/>
      <c r="C17" s="14" t="s">
        <v>133</v>
      </c>
      <c r="D17" s="28">
        <f>(D18+(0.25*'V-tail'!D23))/'V-tail'!D23</f>
        <v>5.9143456312893408</v>
      </c>
      <c r="E17" s="46" t="s">
        <v>124</v>
      </c>
      <c r="F17" s="16"/>
      <c r="G17" s="17"/>
    </row>
    <row r="18" spans="1:7" ht="75" x14ac:dyDescent="0.25">
      <c r="A18" s="97"/>
      <c r="B18" s="73" t="s">
        <v>134</v>
      </c>
      <c r="C18" s="18" t="s">
        <v>135</v>
      </c>
      <c r="D18" s="69">
        <f>Fuselage!D11-'V-tail'!D23</f>
        <v>1.4024138015511693</v>
      </c>
      <c r="E18" s="19" t="s">
        <v>18</v>
      </c>
      <c r="F18" s="68" t="s">
        <v>136</v>
      </c>
      <c r="G18" s="20"/>
    </row>
    <row r="19" spans="1:7" ht="55.15" customHeight="1" x14ac:dyDescent="0.25">
      <c r="A19" s="97"/>
      <c r="B19" s="72"/>
      <c r="C19" s="18" t="s">
        <v>137</v>
      </c>
      <c r="D19" s="69">
        <f>-(D20*D21*D22)*D23*D17</f>
        <v>-2.5300219037859915</v>
      </c>
      <c r="E19" s="19" t="s">
        <v>129</v>
      </c>
      <c r="F19" s="19"/>
      <c r="G19" s="20"/>
    </row>
    <row r="20" spans="1:7" ht="42" customHeight="1" x14ac:dyDescent="0.25">
      <c r="A20" s="97"/>
      <c r="B20" s="72"/>
      <c r="C20" s="18" t="s">
        <v>141</v>
      </c>
      <c r="D20" s="69">
        <v>0.9</v>
      </c>
      <c r="E20" s="19" t="s">
        <v>124</v>
      </c>
      <c r="F20" s="68" t="s">
        <v>140</v>
      </c>
      <c r="G20" s="20"/>
    </row>
    <row r="21" spans="1:7" ht="40.9" customHeight="1" x14ac:dyDescent="0.25">
      <c r="A21" s="97"/>
      <c r="B21" s="72"/>
      <c r="C21" s="18" t="s">
        <v>142</v>
      </c>
      <c r="D21" s="69">
        <v>0.7</v>
      </c>
      <c r="E21" s="19"/>
      <c r="F21" s="68" t="s">
        <v>140</v>
      </c>
      <c r="G21" s="20"/>
    </row>
    <row r="22" spans="1:7" ht="47.45" customHeight="1" x14ac:dyDescent="0.25">
      <c r="A22" s="97"/>
      <c r="B22" s="72"/>
      <c r="C22" s="18" t="s">
        <v>143</v>
      </c>
      <c r="D22" s="69">
        <f>'V-tail'!D17/Wing!D17</f>
        <v>0.16666666666666669</v>
      </c>
      <c r="E22" s="19" t="s">
        <v>124</v>
      </c>
      <c r="F22" s="19"/>
      <c r="G22" s="20"/>
    </row>
    <row r="23" spans="1:7" ht="60" x14ac:dyDescent="0.25">
      <c r="A23" s="97"/>
      <c r="B23" s="73"/>
      <c r="C23" s="18" t="s">
        <v>138</v>
      </c>
      <c r="D23" s="69">
        <f>(2*(22/7)*'V-tail'!D21)/(2+(SQRT(('V-tail'!D21^2)*('Overall AC'!D25)/'Overall AC'!D26+4)))</f>
        <v>4.0740680719180196</v>
      </c>
      <c r="E23" s="19" t="s">
        <v>129</v>
      </c>
      <c r="F23" s="18" t="s">
        <v>139</v>
      </c>
      <c r="G23" s="20" t="s">
        <v>118</v>
      </c>
    </row>
    <row r="24" spans="1:7" ht="45" x14ac:dyDescent="0.25">
      <c r="A24" s="97"/>
      <c r="B24" s="72"/>
      <c r="C24" s="18" t="s">
        <v>112</v>
      </c>
      <c r="D24" s="69">
        <v>0</v>
      </c>
      <c r="E24" s="19"/>
      <c r="F24" s="18" t="s">
        <v>144</v>
      </c>
      <c r="G24" s="20"/>
    </row>
    <row r="25" spans="1:7" ht="60" x14ac:dyDescent="0.25">
      <c r="A25" s="97"/>
      <c r="B25" s="78" t="s">
        <v>127</v>
      </c>
      <c r="C25" s="25" t="s">
        <v>123</v>
      </c>
      <c r="D25" s="61">
        <f>1-(0.07)^2</f>
        <v>0.99509999999999998</v>
      </c>
      <c r="E25" s="61" t="s">
        <v>124</v>
      </c>
      <c r="F25" s="18" t="s">
        <v>128</v>
      </c>
      <c r="G25" s="20"/>
    </row>
    <row r="26" spans="1:7" ht="30" x14ac:dyDescent="0.25">
      <c r="A26" s="97"/>
      <c r="B26" s="72" t="s">
        <v>126</v>
      </c>
      <c r="C26" s="18" t="s">
        <v>122</v>
      </c>
      <c r="D26" s="69">
        <f>(1+0.75*D27)^2</f>
        <v>1.1881000000000002</v>
      </c>
      <c r="E26" s="61" t="s">
        <v>124</v>
      </c>
      <c r="F26" s="18" t="s">
        <v>131</v>
      </c>
      <c r="G26" s="20"/>
    </row>
    <row r="27" spans="1:7" ht="60.75" thickBot="1" x14ac:dyDescent="0.3">
      <c r="A27" s="98"/>
      <c r="B27" s="74" t="s">
        <v>120</v>
      </c>
      <c r="C27" s="22" t="s">
        <v>121</v>
      </c>
      <c r="D27" s="79">
        <f>(0.12*0.248)/0.248</f>
        <v>0.12</v>
      </c>
      <c r="E27" s="23" t="s">
        <v>124</v>
      </c>
      <c r="F27" s="26" t="s">
        <v>125</v>
      </c>
      <c r="G27" s="24"/>
    </row>
    <row r="28" spans="1:7" ht="15.75" thickBot="1" x14ac:dyDescent="0.3"/>
    <row r="29" spans="1:7" ht="42.6" customHeight="1" x14ac:dyDescent="0.25">
      <c r="A29" s="96" t="s">
        <v>145</v>
      </c>
      <c r="B29" s="71"/>
      <c r="C29" s="14" t="s">
        <v>146</v>
      </c>
      <c r="D29" s="80">
        <f>45*((D30*(D31^2)*Fuselage!D11)/Wing!D14*Wing!D17)</f>
        <v>0.20412193386970173</v>
      </c>
      <c r="E29" s="15" t="s">
        <v>129</v>
      </c>
      <c r="F29" s="37"/>
      <c r="G29" s="38"/>
    </row>
    <row r="30" spans="1:7" ht="33" x14ac:dyDescent="0.35">
      <c r="A30" s="97"/>
      <c r="B30" s="72" t="s">
        <v>147</v>
      </c>
      <c r="C30" s="6" t="s">
        <v>150</v>
      </c>
      <c r="D30" s="4">
        <v>0.01</v>
      </c>
      <c r="E30" s="4" t="s">
        <v>124</v>
      </c>
      <c r="F30" s="6" t="s">
        <v>154</v>
      </c>
      <c r="G30" s="11"/>
    </row>
    <row r="31" spans="1:7" ht="31.5" x14ac:dyDescent="0.35">
      <c r="A31" s="97"/>
      <c r="B31" s="72" t="s">
        <v>148</v>
      </c>
      <c r="C31" s="7" t="s">
        <v>149</v>
      </c>
      <c r="D31" s="9">
        <f>Fuselage!D12</f>
        <v>0.3</v>
      </c>
      <c r="E31" s="4" t="s">
        <v>18</v>
      </c>
      <c r="F31" s="6" t="s">
        <v>155</v>
      </c>
      <c r="G31" s="11"/>
    </row>
    <row r="32" spans="1:7" ht="18" x14ac:dyDescent="0.35">
      <c r="A32" s="97"/>
      <c r="B32" s="72" t="s">
        <v>151</v>
      </c>
      <c r="C32" s="7"/>
      <c r="D32" s="9">
        <f>D33/Fuselage!D11</f>
        <v>0.31818181818181812</v>
      </c>
      <c r="E32" s="4" t="s">
        <v>124</v>
      </c>
      <c r="F32" s="4"/>
      <c r="G32" s="11"/>
    </row>
    <row r="33" spans="1:7" ht="32.25" thickBot="1" x14ac:dyDescent="0.4">
      <c r="A33" s="98"/>
      <c r="B33" s="74" t="s">
        <v>152</v>
      </c>
      <c r="C33" s="43" t="s">
        <v>153</v>
      </c>
      <c r="D33" s="12">
        <f>Fuselage!D9+Wing!D14*0.25</f>
        <v>0.52499999999999991</v>
      </c>
      <c r="E33" s="12" t="s">
        <v>18</v>
      </c>
      <c r="F33" s="12"/>
      <c r="G33" s="13"/>
    </row>
    <row r="34" spans="1:7" ht="15.75" thickBot="1" x14ac:dyDescent="0.3"/>
    <row r="35" spans="1:7" ht="45" x14ac:dyDescent="0.25">
      <c r="A35" s="99" t="s">
        <v>156</v>
      </c>
      <c r="B35" s="71"/>
      <c r="C35" s="14" t="s">
        <v>158</v>
      </c>
      <c r="D35" s="80">
        <f>(D10-D29+D19)/D11+D23</f>
        <v>1.8295946643148437</v>
      </c>
      <c r="E35" s="37" t="s">
        <v>124</v>
      </c>
      <c r="F35" s="37"/>
      <c r="G35" s="38"/>
    </row>
    <row r="36" spans="1:7" ht="62.25" thickBot="1" x14ac:dyDescent="0.4">
      <c r="A36" s="100"/>
      <c r="B36" s="74" t="s">
        <v>157</v>
      </c>
      <c r="C36" s="43" t="s">
        <v>159</v>
      </c>
      <c r="D36" s="81">
        <f>D35*0.3</f>
        <v>0.54887839929445315</v>
      </c>
      <c r="E36" s="12" t="s">
        <v>18</v>
      </c>
      <c r="F36" s="34" t="s">
        <v>160</v>
      </c>
      <c r="G36" s="13"/>
    </row>
  </sheetData>
  <mergeCells count="4">
    <mergeCell ref="A29:A33"/>
    <mergeCell ref="A35:A36"/>
    <mergeCell ref="A9:A15"/>
    <mergeCell ref="A17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FC13-65B8-4ADF-8133-431E42F1A0C9}">
  <dimension ref="B2:D20"/>
  <sheetViews>
    <sheetView workbookViewId="0"/>
  </sheetViews>
  <sheetFormatPr defaultRowHeight="15" x14ac:dyDescent="0.25"/>
  <cols>
    <col min="2" max="2" width="16.7109375" bestFit="1" customWidth="1"/>
    <col min="3" max="3" width="15" bestFit="1" customWidth="1"/>
    <col min="4" max="4" width="15.42578125" bestFit="1" customWidth="1"/>
  </cols>
  <sheetData>
    <row r="2" spans="2:4" x14ac:dyDescent="0.25">
      <c r="B2" s="4"/>
      <c r="C2" s="4" t="s">
        <v>177</v>
      </c>
      <c r="D2" s="4" t="s">
        <v>178</v>
      </c>
    </row>
    <row r="3" spans="2:4" x14ac:dyDescent="0.25">
      <c r="B3" s="89" t="s">
        <v>161</v>
      </c>
      <c r="C3" s="4"/>
      <c r="D3" s="4"/>
    </row>
    <row r="4" spans="2:4" x14ac:dyDescent="0.25">
      <c r="B4" s="89" t="s">
        <v>162</v>
      </c>
      <c r="C4" s="4"/>
      <c r="D4" s="4"/>
    </row>
    <row r="5" spans="2:4" x14ac:dyDescent="0.25">
      <c r="B5" s="89" t="s">
        <v>163</v>
      </c>
      <c r="C5" s="4"/>
      <c r="D5" s="4"/>
    </row>
    <row r="6" spans="2:4" x14ac:dyDescent="0.25">
      <c r="B6" s="89" t="s">
        <v>164</v>
      </c>
      <c r="C6" s="4"/>
      <c r="D6" s="4"/>
    </row>
    <row r="7" spans="2:4" x14ac:dyDescent="0.25">
      <c r="B7" s="89" t="s">
        <v>165</v>
      </c>
      <c r="C7" s="4"/>
      <c r="D7" s="4"/>
    </row>
    <row r="8" spans="2:4" x14ac:dyDescent="0.25">
      <c r="B8" s="89" t="s">
        <v>166</v>
      </c>
      <c r="C8" s="4"/>
      <c r="D8" s="4"/>
    </row>
    <row r="9" spans="2:4" x14ac:dyDescent="0.25">
      <c r="B9" s="89" t="s">
        <v>167</v>
      </c>
      <c r="C9" s="4"/>
      <c r="D9" s="4"/>
    </row>
    <row r="10" spans="2:4" x14ac:dyDescent="0.25">
      <c r="B10" s="89" t="s">
        <v>168</v>
      </c>
      <c r="C10" s="4"/>
      <c r="D10" s="4"/>
    </row>
    <row r="11" spans="2:4" x14ac:dyDescent="0.25">
      <c r="B11" s="89" t="s">
        <v>169</v>
      </c>
      <c r="C11" s="4"/>
      <c r="D11" s="4"/>
    </row>
    <row r="12" spans="2:4" x14ac:dyDescent="0.25">
      <c r="B12" s="89" t="s">
        <v>170</v>
      </c>
      <c r="C12" s="4"/>
      <c r="D12" s="4"/>
    </row>
    <row r="13" spans="2:4" x14ac:dyDescent="0.25">
      <c r="B13" s="89" t="s">
        <v>171</v>
      </c>
      <c r="C13" s="4"/>
      <c r="D13" s="4"/>
    </row>
    <row r="14" spans="2:4" x14ac:dyDescent="0.25">
      <c r="B14" s="89" t="s">
        <v>172</v>
      </c>
      <c r="C14" s="4"/>
      <c r="D14" s="4"/>
    </row>
    <row r="15" spans="2:4" x14ac:dyDescent="0.25">
      <c r="B15" s="4"/>
      <c r="C15" s="4"/>
      <c r="D15" s="4"/>
    </row>
    <row r="16" spans="2:4" x14ac:dyDescent="0.25">
      <c r="B16" s="4" t="s">
        <v>173</v>
      </c>
      <c r="C16" s="4"/>
      <c r="D16" s="4"/>
    </row>
    <row r="17" spans="2:4" x14ac:dyDescent="0.25">
      <c r="B17" s="89"/>
      <c r="C17" s="4"/>
      <c r="D17" s="4"/>
    </row>
    <row r="18" spans="2:4" x14ac:dyDescent="0.25">
      <c r="B18" s="89" t="s">
        <v>174</v>
      </c>
      <c r="C18" s="4"/>
      <c r="D18" s="4"/>
    </row>
    <row r="19" spans="2:4" x14ac:dyDescent="0.25">
      <c r="B19" s="89" t="s">
        <v>175</v>
      </c>
      <c r="C19" s="4"/>
      <c r="D19" s="4"/>
    </row>
    <row r="20" spans="2:4" x14ac:dyDescent="0.25">
      <c r="B20" s="89" t="s">
        <v>176</v>
      </c>
      <c r="C20" s="4"/>
      <c r="D2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Constants</vt:lpstr>
      <vt:lpstr>Wing</vt:lpstr>
      <vt:lpstr>V-tail</vt:lpstr>
      <vt:lpstr>Fuselage</vt:lpstr>
      <vt:lpstr>Overall AC</vt:lpstr>
      <vt:lpstr>Weight and Balance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2026-03-22T14:24:49Z</dcterms:created>
  <dcterms:modified xsi:type="dcterms:W3CDTF">2026-04-07T15:05:07Z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