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321820D9-F77D-4EBE-AFD8-D515BF22E359}" xr6:coauthVersionLast="47" xr6:coauthVersionMax="47" xr10:uidLastSave="{00000000-0000-0000-0000-000000000000}"/>
  <bookViews>
    <workbookView xWindow="-108" yWindow="-108" windowWidth="23256" windowHeight="13896" activeTab="5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5" l="1"/>
  <c r="D27" i="5"/>
  <c r="D26" i="5" s="1"/>
  <c r="D25" i="5"/>
  <c r="D23" i="5" s="1"/>
  <c r="D22" i="5"/>
  <c r="D13" i="5"/>
  <c r="D15" i="5"/>
  <c r="D14" i="5" s="1"/>
  <c r="D9" i="4"/>
  <c r="D33" i="5" s="1"/>
  <c r="D10" i="4"/>
  <c r="D20" i="1"/>
  <c r="D23" i="1"/>
  <c r="D13" i="1"/>
  <c r="D11" i="4" l="1"/>
  <c r="D18" i="5" s="1"/>
  <c r="D17" i="5" s="1"/>
  <c r="D9" i="5"/>
  <c r="D29" i="5"/>
  <c r="D19" i="5"/>
  <c r="D11" i="5"/>
  <c r="D10" i="5" s="1"/>
  <c r="D35" i="5" s="1"/>
  <c r="D36" i="5" s="1"/>
  <c r="D17" i="1"/>
  <c r="D32" i="5" l="1"/>
  <c r="D18" i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<sst xmlns="http://schemas.openxmlformats.org/spreadsheetml/2006/main" count="269" uniqueCount="179">
  <si>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</si>
  <si>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</si>
  <si>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</si>
  <si>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</si>
  <si>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</si>
  <si>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</si>
  <si>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</si>
  <si>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</si>
  <si>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</si>
  <si>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</si>
  <si>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</si>
  <si>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</si>
  <si>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</si>
  <si>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</si>
  <si>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</si>
  <si>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</si>
  <si>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</si>
  <si>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</si>
  <si>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</si>
  <si>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</si>
  <si>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</si>
  <si>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</si>
  <si>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</si>
  <si>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</si>
  <si>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</si>
  <si>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</si>
  <si>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</si>
  <si>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</si>
  <si>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</si>
  <si>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</si>
  <si>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</si>
  <si>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</si>
  <si>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</si>
  <si>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</si>
  <si>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</si>
  <si>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</si>
  <si>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</si>
  <si>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</si>
  <si>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</si>
  <si>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</si>
  <si>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</si>
  <si>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</si>
  <si>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</si>
  <si>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</si>
  <si>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</si>
  <si>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</si>
  <si>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</si>
  <si>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</si>
  <si>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</si>
  <si>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</si>
  <si>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</si>
  <si>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</si>
  <si>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</si>
  <si>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</si>
  <si>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</si>
  <si>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</si>
  <si>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</si>
  <si>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</si>
  <si>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</si>
  <si>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</si>
  <si>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</si>
  <si>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</si>
  <si>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</si>
  <si>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</si>
  <si>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</si>
  <si>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</si>
  <si>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</si>
  <si>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</si>
  <si>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</si>
  <si>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</si>
  <si>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</si>
  <si>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</si>
  <si>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</si>
  <si>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</si>
  <si>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</si>
  <si>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</si>
  <si>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</si>
  <si>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</si>
  <si>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</si>
  <si>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</si>
  <si>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</si>
  <si>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</si>
  <si>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</si>
  <si>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</si>
  <si>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</si>
  <si>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</si>
  <si>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</si>
  <si>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</si>
  <si>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</si>
  <si>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</si>
  <si>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</si>
  <si>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</si>
  <si>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</si>
  <si>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</si>
  <si>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</si>
  <si>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</si>
  <si>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</si>
  <si>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</si>
  <si>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</si>
  <si>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</si>
  <si>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</si>
  <si>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</si>
  <si>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</si>
  <si>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</si>
  <si>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</si>
  <si>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</si>
  <si>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</si>
  <si>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</si>
  <si>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</si>
  <si>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</si>
  <si>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from LxWxH (subject to change if too big)</t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</si>
  <si>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</si>
  <si>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</si>
  <si>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</si>
  <si>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</si>
  <si>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</si>
  <si>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</si>
  <si>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</si>
  <si>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</si>
  <si>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</si>
  <si>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</si>
  <si>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</si>
  <si>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</si>
  <si>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</si>
  <si>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</si>
  <si>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</si>
  <si>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</si>
  <si>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</si>
  <si>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</si>
  <si>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</si>
  <si>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</si>
  <si>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</si>
  <si>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</si>
  <si>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</si>
  <si>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</si>
  <si>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</si>
  <si>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</si>
  <si>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</si>
  <si>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</si>
  <si>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</si>
  <si>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</si>
  <si>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</si>
  <si>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</si>
  <si>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</si>
  <si>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</si>
  <si>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</si>
  <si>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</si>
  <si>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</si>
  <si>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</si>
  <si>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</si>
  <si>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</si>
  <si>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</si>
  <si>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</si>
  <si>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</si>
  <si>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</si>
  <si>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</si>
  <si>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</si>
  <si>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</si>
  <si>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</si>
  <si>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</si>
  <si>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</si>
  <si>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</si>
  <si>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</si>
  <si>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</si>
  <si>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</si>
  <si>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servos</t>
  </si>
  <si>
    <t>flight controller</t>
  </si>
  <si>
    <t>payload</t>
  </si>
  <si>
    <t>landing gear</t>
  </si>
  <si>
    <t>wing structure</t>
  </si>
  <si>
    <t>fuselage structure</t>
  </si>
  <si>
    <t>tail structure</t>
  </si>
  <si>
    <t>wiring and mounts</t>
  </si>
  <si>
    <t>Then calculate:</t>
  </si>
  <si>
    <t>total mass</t>
  </si>
  <si>
    <t>actual CG location</t>
  </si>
  <si>
    <t>CG travel range</t>
  </si>
  <si>
    <t>Estiamted Weight</t>
  </si>
  <si>
    <t>Outer Dimensions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</si>
</sst>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20" xfId="0" applyFont="1" applyBorder="1" applyAlignment="1">
      <alignment vertical="center"/>
    </xf>
    <xf numFmtId="0" fontId="0" fillId="5" borderId="10" xfId="0" applyFill="1" applyBorder="1"/>
    <xf numFmtId="0" fontId="0" fillId="5" borderId="12" xfId="0" applyFill="1" applyBorder="1"/>
    <xf numFmtId="0" fontId="0" fillId="5" borderId="12" xfId="0" applyFill="1" applyBorder="1" applyAlignment="1">
      <alignment vertical="center"/>
    </xf>
    <xf numFmtId="0" fontId="0" fillId="5" borderId="11" xfId="0" applyFill="1" applyBorder="1"/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4" fillId="5" borderId="12" xfId="0" applyFont="1" applyFill="1" applyBorder="1"/>
    <xf numFmtId="2" fontId="0" fillId="0" borderId="8" xfId="0" applyNumberFormat="1" applyBorder="1" applyAlignment="1">
      <alignment vertical="center"/>
    </xf>
    <xf numFmtId="2" fontId="0" fillId="0" borderId="3" xfId="0" applyNumberFormat="1" applyBorder="1"/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2" fontId="0" fillId="6" borderId="8" xfId="0" applyNumberFormat="1" applyFill="1" applyBorder="1"/>
    <xf numFmtId="0" fontId="0" fillId="0" borderId="8" xfId="0" applyBorder="1" applyAlignment="1">
      <alignment vertical="center" wrapText="1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0" fillId="3" borderId="26" xfId="0" applyFill="1" applyBorder="1" applyAlignment="1">
      <alignment vertical="center"/>
    </xf>
    <xf numFmtId="0" fontId="0" fillId="3" borderId="11" xfId="0" applyFill="1" applyBorder="1"/>
    <xf numFmtId="0" fontId="0" fillId="0" borderId="25" xfId="0" applyBorder="1"/>
    <xf numFmtId="0" fontId="0" fillId="0" borderId="1" xfId="0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28</xdr:row>
      <xdr:rowOff>102506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124946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13</xdr:row>
      <xdr:rowOff>121920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179343</xdr:colOff>
      <xdr:row>10</xdr:row>
      <xdr:rowOff>566188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395554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59266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zoomScale="80" zoomScaleNormal="80" workbookViewId="0">
      <selection activeCell="D19" sqref="D19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35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35"/>
    </row>
    <row r="8" spans="1:7" ht="15" thickBot="1" x14ac:dyDescent="0.35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28.8" x14ac:dyDescent="0.3">
      <c r="A9" s="70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5.6" x14ac:dyDescent="0.35">
      <c r="A10" s="71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5.6" x14ac:dyDescent="0.35">
      <c r="A11" s="71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58.8" x14ac:dyDescent="0.3">
      <c r="A12" s="71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2" customHeight="1" x14ac:dyDescent="0.3">
      <c r="A13" s="71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200000000000003" customHeight="1" x14ac:dyDescent="0.3">
      <c r="A14" s="71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3.2" x14ac:dyDescent="0.3">
      <c r="A15" s="71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3">
      <c r="A16" s="71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5" customHeight="1" x14ac:dyDescent="0.3">
      <c r="A17" s="71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5" customHeight="1" x14ac:dyDescent="0.3">
      <c r="A18" s="71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3.2" x14ac:dyDescent="0.3">
      <c r="A19" s="71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44.4" thickBot="1" x14ac:dyDescent="0.4">
      <c r="A20" s="72"/>
      <c r="B20" s="42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" thickBot="1" x14ac:dyDescent="0.35"/>
    <row r="22" spans="1:7" ht="28.8" x14ac:dyDescent="0.3">
      <c r="A22" s="70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28.8" x14ac:dyDescent="0.3">
      <c r="A23" s="71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3.8" thickBot="1" x14ac:dyDescent="0.35">
      <c r="A24" s="72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B9" zoomScale="85" zoomScaleNormal="85" workbookViewId="0">
      <selection activeCell="D21" sqref="D21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30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35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" customHeight="1" x14ac:dyDescent="0.3">
      <c r="A9" s="70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38.4" customHeight="1" x14ac:dyDescent="0.3">
      <c r="A10" s="71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" customHeight="1" thickBot="1" x14ac:dyDescent="0.35">
      <c r="A11" s="72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5.6" x14ac:dyDescent="0.3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6.8" thickBot="1" x14ac:dyDescent="0.35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" thickBot="1" x14ac:dyDescent="0.35">
      <c r="B14" s="30"/>
      <c r="C14" s="31"/>
      <c r="E14" s="30"/>
      <c r="F14" s="30"/>
      <c r="G14" s="30"/>
    </row>
    <row r="15" spans="1:7" ht="36" customHeight="1" x14ac:dyDescent="0.3">
      <c r="A15" s="70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2" customHeight="1" x14ac:dyDescent="0.3">
      <c r="A16" s="71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5">
      <c r="A17" s="72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" thickBot="1" x14ac:dyDescent="0.35">
      <c r="B18" s="30"/>
      <c r="C18" s="32"/>
      <c r="D18" s="33"/>
      <c r="E18" s="30"/>
      <c r="F18" s="30"/>
      <c r="G18" s="30"/>
    </row>
    <row r="19" spans="1:7" ht="40.950000000000003" customHeight="1" x14ac:dyDescent="0.3">
      <c r="A19" s="73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3">
      <c r="A20" s="74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28.8" x14ac:dyDescent="0.3">
      <c r="A21" s="74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5.6" x14ac:dyDescent="0.3">
      <c r="A22" s="74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5.6" x14ac:dyDescent="0.3">
      <c r="A23" s="74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3">
      <c r="A24" s="74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29.4" thickBot="1" x14ac:dyDescent="0.35">
      <c r="A25" s="75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" thickBot="1" x14ac:dyDescent="0.35"/>
    <row r="27" spans="1:7" ht="15.6" x14ac:dyDescent="0.35">
      <c r="A27" s="73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29.4" x14ac:dyDescent="0.35">
      <c r="A28" s="74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29.4" thickBot="1" x14ac:dyDescent="0.35">
      <c r="A29" s="75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F18" sqref="F18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35"/>
      <c r="B1" s="3" t="s">
        <v>3</v>
      </c>
      <c r="D1" s="30"/>
    </row>
    <row r="2" spans="1:7" x14ac:dyDescent="0.3">
      <c r="B2" s="2" t="s">
        <v>4</v>
      </c>
      <c r="D2" s="30"/>
    </row>
    <row r="3" spans="1:7" x14ac:dyDescent="0.3">
      <c r="B3" s="5" t="s">
        <v>13</v>
      </c>
      <c r="D3" s="30"/>
    </row>
    <row r="4" spans="1:7" x14ac:dyDescent="0.3">
      <c r="B4" s="1" t="s">
        <v>14</v>
      </c>
      <c r="D4" s="30"/>
    </row>
    <row r="5" spans="1:7" x14ac:dyDescent="0.3">
      <c r="D5" s="30"/>
    </row>
    <row r="6" spans="1:7" x14ac:dyDescent="0.3">
      <c r="D6" s="30"/>
    </row>
    <row r="7" spans="1:7" ht="15" thickBot="1" x14ac:dyDescent="0.35">
      <c r="D7" s="30"/>
    </row>
    <row r="8" spans="1:7" ht="15" thickBot="1" x14ac:dyDescent="0.35">
      <c r="A8" s="99"/>
      <c r="B8" s="94" t="s">
        <v>9</v>
      </c>
      <c r="C8" s="95" t="s">
        <v>21</v>
      </c>
      <c r="D8" s="76" t="s">
        <v>7</v>
      </c>
      <c r="E8" s="95" t="s">
        <v>8</v>
      </c>
      <c r="F8" s="95" t="s">
        <v>10</v>
      </c>
      <c r="G8" s="96" t="s">
        <v>14</v>
      </c>
    </row>
    <row r="9" spans="1:7" ht="28.8" customHeight="1" x14ac:dyDescent="0.3">
      <c r="A9" s="81" t="s">
        <v>100</v>
      </c>
      <c r="B9" s="97" t="s">
        <v>101</v>
      </c>
      <c r="C9" s="53" t="s">
        <v>103</v>
      </c>
      <c r="D9" s="55">
        <f>1.5*Wing!D14</f>
        <v>0.44999999999999996</v>
      </c>
      <c r="E9" s="55" t="s">
        <v>18</v>
      </c>
      <c r="F9" s="56" t="s">
        <v>106</v>
      </c>
      <c r="G9" s="57"/>
    </row>
    <row r="10" spans="1:7" x14ac:dyDescent="0.3">
      <c r="A10" s="82"/>
      <c r="B10" s="50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/>
    </row>
    <row r="11" spans="1:7" x14ac:dyDescent="0.3">
      <c r="A11" s="82"/>
      <c r="B11" s="79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ht="29.4" thickBot="1" x14ac:dyDescent="0.35">
      <c r="A12" s="83"/>
      <c r="B12" s="98" t="s">
        <v>109</v>
      </c>
      <c r="C12" s="26" t="s">
        <v>116</v>
      </c>
      <c r="D12" s="88">
        <v>0.3</v>
      </c>
      <c r="E12" s="23" t="s">
        <v>18</v>
      </c>
      <c r="F12" s="93" t="s">
        <v>110</v>
      </c>
      <c r="G12" s="24"/>
    </row>
    <row r="13" spans="1:7" x14ac:dyDescent="0.3">
      <c r="B13" s="30"/>
      <c r="C13" s="31"/>
      <c r="D13" s="30"/>
      <c r="E13" s="30"/>
      <c r="F13" s="30"/>
      <c r="G13" s="30"/>
    </row>
  </sheetData>
  <mergeCells count="1">
    <mergeCell ref="A9:A1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zoomScale="90" zoomScaleNormal="90" workbookViewId="0">
      <selection activeCell="F37" sqref="F37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8.21875" bestFit="1" customWidth="1"/>
    <col min="6" max="6" width="38" customWidth="1"/>
    <col min="7" max="7" width="41.5546875" customWidth="1"/>
  </cols>
  <sheetData>
    <row r="1" spans="1:7" x14ac:dyDescent="0.3">
      <c r="A1" s="35" t="s">
        <v>113</v>
      </c>
      <c r="B1" s="3" t="s">
        <v>3</v>
      </c>
      <c r="D1" s="30"/>
    </row>
    <row r="2" spans="1:7" x14ac:dyDescent="0.3">
      <c r="B2" s="2" t="s">
        <v>4</v>
      </c>
      <c r="D2" s="30"/>
    </row>
    <row r="3" spans="1:7" x14ac:dyDescent="0.3">
      <c r="B3" s="5" t="s">
        <v>13</v>
      </c>
      <c r="D3" s="30"/>
    </row>
    <row r="4" spans="1:7" x14ac:dyDescent="0.3">
      <c r="B4" s="1" t="s">
        <v>14</v>
      </c>
      <c r="D4" s="30"/>
    </row>
    <row r="5" spans="1:7" x14ac:dyDescent="0.3">
      <c r="D5" s="30"/>
    </row>
    <row r="6" spans="1:7" x14ac:dyDescent="0.3">
      <c r="D6" s="30"/>
    </row>
    <row r="7" spans="1:7" ht="15" thickBot="1" x14ac:dyDescent="0.35">
      <c r="D7" s="30"/>
    </row>
    <row r="8" spans="1:7" ht="14.4" customHeight="1" thickBot="1" x14ac:dyDescent="0.35">
      <c r="A8" s="84"/>
      <c r="B8" s="85" t="s">
        <v>9</v>
      </c>
      <c r="C8" s="51" t="s">
        <v>21</v>
      </c>
      <c r="D8" s="51" t="s">
        <v>7</v>
      </c>
      <c r="E8" s="51" t="s">
        <v>8</v>
      </c>
      <c r="F8" s="51" t="s">
        <v>10</v>
      </c>
      <c r="G8" s="86" t="s">
        <v>14</v>
      </c>
    </row>
    <row r="9" spans="1:7" ht="85.2" customHeight="1" x14ac:dyDescent="0.3">
      <c r="A9" s="81" t="s">
        <v>111</v>
      </c>
      <c r="B9" s="77"/>
      <c r="C9" s="14" t="s">
        <v>114</v>
      </c>
      <c r="D9" s="15">
        <f>(Fuselage!D9+(Wing!$D$14*0.25))/Wing!$D$14</f>
        <v>1.7499999999999998</v>
      </c>
      <c r="E9" s="61" t="s">
        <v>124</v>
      </c>
      <c r="F9" s="16"/>
      <c r="G9" s="17"/>
    </row>
    <row r="10" spans="1:7" ht="28.8" x14ac:dyDescent="0.3">
      <c r="A10" s="82"/>
      <c r="B10" s="78"/>
      <c r="C10" s="18" t="s">
        <v>115</v>
      </c>
      <c r="D10" s="69">
        <f>-D11*D9</f>
        <v>-9.6764591226254897</v>
      </c>
      <c r="E10" s="19" t="s">
        <v>129</v>
      </c>
      <c r="F10" s="19"/>
      <c r="G10" s="20"/>
    </row>
    <row r="11" spans="1:7" ht="43.2" x14ac:dyDescent="0.3">
      <c r="A11" s="82"/>
      <c r="B11" s="79"/>
      <c r="C11" s="18" t="s">
        <v>119</v>
      </c>
      <c r="D11" s="69">
        <f>(2*(22/7)*Wing!D19)/(2+(SQRT((Wing!D19^2)*('Overall AC'!D13)/'Overall AC'!D14+4)))</f>
        <v>5.529405212928852</v>
      </c>
      <c r="E11" s="19" t="s">
        <v>129</v>
      </c>
      <c r="F11" s="18" t="s">
        <v>117</v>
      </c>
      <c r="G11" s="20" t="s">
        <v>118</v>
      </c>
    </row>
    <row r="12" spans="1:7" ht="28.8" x14ac:dyDescent="0.3">
      <c r="A12" s="82"/>
      <c r="B12" s="78"/>
      <c r="C12" s="18" t="s">
        <v>112</v>
      </c>
      <c r="D12" s="69">
        <v>0</v>
      </c>
      <c r="E12" s="19"/>
      <c r="F12" s="18" t="s">
        <v>130</v>
      </c>
      <c r="G12" s="20"/>
    </row>
    <row r="13" spans="1:7" ht="57.6" x14ac:dyDescent="0.3">
      <c r="A13" s="82"/>
      <c r="B13" s="87" t="s">
        <v>127</v>
      </c>
      <c r="C13" s="25" t="s">
        <v>123</v>
      </c>
      <c r="D13" s="61">
        <f>1-(0.07)^2</f>
        <v>0.99509999999999998</v>
      </c>
      <c r="E13" s="61" t="s">
        <v>124</v>
      </c>
      <c r="F13" s="18" t="s">
        <v>128</v>
      </c>
      <c r="G13" s="20"/>
    </row>
    <row r="14" spans="1:7" ht="28.8" x14ac:dyDescent="0.3">
      <c r="A14" s="82"/>
      <c r="B14" s="78" t="s">
        <v>126</v>
      </c>
      <c r="C14" s="18" t="s">
        <v>122</v>
      </c>
      <c r="D14" s="69">
        <f>(1+0.75*D15)^2</f>
        <v>1.1881000000000002</v>
      </c>
      <c r="E14" s="61" t="s">
        <v>124</v>
      </c>
      <c r="F14" s="18" t="s">
        <v>131</v>
      </c>
      <c r="G14" s="20"/>
    </row>
    <row r="15" spans="1:7" ht="58.2" thickBot="1" x14ac:dyDescent="0.35">
      <c r="A15" s="83"/>
      <c r="B15" s="80" t="s">
        <v>120</v>
      </c>
      <c r="C15" s="22" t="s">
        <v>121</v>
      </c>
      <c r="D15" s="88">
        <f>(0.12*0.3)/0.3</f>
        <v>0.12</v>
      </c>
      <c r="E15" s="23" t="s">
        <v>124</v>
      </c>
      <c r="F15" s="26" t="s">
        <v>125</v>
      </c>
      <c r="G15" s="24"/>
    </row>
    <row r="16" spans="1:7" ht="15" thickBot="1" x14ac:dyDescent="0.35">
      <c r="B16" s="30"/>
      <c r="C16" s="31"/>
      <c r="D16" s="30"/>
      <c r="E16" s="30"/>
      <c r="F16" s="30"/>
      <c r="G16" s="30"/>
    </row>
    <row r="17" spans="1:7" ht="57.6" customHeight="1" x14ac:dyDescent="0.3">
      <c r="A17" s="81" t="s">
        <v>132</v>
      </c>
      <c r="B17" s="77"/>
      <c r="C17" s="14" t="s">
        <v>133</v>
      </c>
      <c r="D17" s="28">
        <f>(D18+(0.25*'V-tail'!D23))/'V-tail'!D23</f>
        <v>5.9143456312893408</v>
      </c>
      <c r="E17" s="46" t="s">
        <v>124</v>
      </c>
      <c r="F17" s="16"/>
      <c r="G17" s="17"/>
    </row>
    <row r="18" spans="1:7" ht="72" x14ac:dyDescent="0.3">
      <c r="A18" s="82"/>
      <c r="B18" s="79" t="s">
        <v>134</v>
      </c>
      <c r="C18" s="18" t="s">
        <v>135</v>
      </c>
      <c r="D18" s="69">
        <f>Fuselage!D11-'V-tail'!D23</f>
        <v>1.4024138015511693</v>
      </c>
      <c r="E18" s="19" t="s">
        <v>18</v>
      </c>
      <c r="F18" s="68" t="s">
        <v>136</v>
      </c>
      <c r="G18" s="20"/>
    </row>
    <row r="19" spans="1:7" ht="55.2" customHeight="1" x14ac:dyDescent="0.3">
      <c r="A19" s="82"/>
      <c r="B19" s="78"/>
      <c r="C19" s="18" t="s">
        <v>137</v>
      </c>
      <c r="D19" s="69">
        <f>-(D20*D21*D22)*D23*D17</f>
        <v>-2.5300219037859915</v>
      </c>
      <c r="E19" s="19" t="s">
        <v>129</v>
      </c>
      <c r="F19" s="19"/>
      <c r="G19" s="20"/>
    </row>
    <row r="20" spans="1:7" ht="42" customHeight="1" x14ac:dyDescent="0.3">
      <c r="A20" s="82"/>
      <c r="B20" s="78"/>
      <c r="C20" s="18" t="s">
        <v>141</v>
      </c>
      <c r="D20" s="69">
        <v>0.9</v>
      </c>
      <c r="E20" s="19" t="s">
        <v>124</v>
      </c>
      <c r="F20" s="68" t="s">
        <v>140</v>
      </c>
      <c r="G20" s="20"/>
    </row>
    <row r="21" spans="1:7" ht="40.799999999999997" customHeight="1" x14ac:dyDescent="0.3">
      <c r="A21" s="82"/>
      <c r="B21" s="78"/>
      <c r="C21" s="18" t="s">
        <v>142</v>
      </c>
      <c r="D21" s="69">
        <v>0.7</v>
      </c>
      <c r="E21" s="19"/>
      <c r="F21" s="68" t="s">
        <v>140</v>
      </c>
      <c r="G21" s="20"/>
    </row>
    <row r="22" spans="1:7" ht="47.4" customHeight="1" x14ac:dyDescent="0.3">
      <c r="A22" s="82"/>
      <c r="B22" s="78"/>
      <c r="C22" s="18" t="s">
        <v>143</v>
      </c>
      <c r="D22" s="69">
        <f>'V-tail'!D17/Wing!D17</f>
        <v>0.16666666666666669</v>
      </c>
      <c r="E22" s="19" t="s">
        <v>124</v>
      </c>
      <c r="F22" s="19"/>
      <c r="G22" s="20"/>
    </row>
    <row r="23" spans="1:7" ht="57.6" x14ac:dyDescent="0.3">
      <c r="A23" s="82"/>
      <c r="B23" s="79"/>
      <c r="C23" s="18" t="s">
        <v>138</v>
      </c>
      <c r="D23" s="69">
        <f>(2*(22/7)*'V-tail'!D21)/(2+(SQRT(('V-tail'!D21^2)*('Overall AC'!D25)/'Overall AC'!D26+4)))</f>
        <v>4.0740680719180196</v>
      </c>
      <c r="E23" s="19" t="s">
        <v>129</v>
      </c>
      <c r="F23" s="18" t="s">
        <v>139</v>
      </c>
      <c r="G23" s="20" t="s">
        <v>118</v>
      </c>
    </row>
    <row r="24" spans="1:7" ht="28.8" x14ac:dyDescent="0.3">
      <c r="A24" s="82"/>
      <c r="B24" s="78"/>
      <c r="C24" s="18" t="s">
        <v>112</v>
      </c>
      <c r="D24" s="69">
        <v>0</v>
      </c>
      <c r="E24" s="19"/>
      <c r="F24" s="18" t="s">
        <v>144</v>
      </c>
      <c r="G24" s="20"/>
    </row>
    <row r="25" spans="1:7" ht="57.6" x14ac:dyDescent="0.3">
      <c r="A25" s="82"/>
      <c r="B25" s="87" t="s">
        <v>127</v>
      </c>
      <c r="C25" s="25" t="s">
        <v>123</v>
      </c>
      <c r="D25" s="61">
        <f>1-(0.07)^2</f>
        <v>0.99509999999999998</v>
      </c>
      <c r="E25" s="61" t="s">
        <v>124</v>
      </c>
      <c r="F25" s="18" t="s">
        <v>128</v>
      </c>
      <c r="G25" s="20"/>
    </row>
    <row r="26" spans="1:7" ht="28.8" x14ac:dyDescent="0.3">
      <c r="A26" s="82"/>
      <c r="B26" s="78" t="s">
        <v>126</v>
      </c>
      <c r="C26" s="18" t="s">
        <v>122</v>
      </c>
      <c r="D26" s="69">
        <f>(1+0.75*D27)^2</f>
        <v>1.1881000000000002</v>
      </c>
      <c r="E26" s="61" t="s">
        <v>124</v>
      </c>
      <c r="F26" s="18" t="s">
        <v>131</v>
      </c>
      <c r="G26" s="20"/>
    </row>
    <row r="27" spans="1:7" ht="58.2" thickBot="1" x14ac:dyDescent="0.35">
      <c r="A27" s="83"/>
      <c r="B27" s="80" t="s">
        <v>120</v>
      </c>
      <c r="C27" s="22" t="s">
        <v>121</v>
      </c>
      <c r="D27" s="88">
        <f>(0.12*0.248)/0.248</f>
        <v>0.12</v>
      </c>
      <c r="E27" s="23" t="s">
        <v>124</v>
      </c>
      <c r="F27" s="26" t="s">
        <v>125</v>
      </c>
      <c r="G27" s="24"/>
    </row>
    <row r="28" spans="1:7" ht="15" thickBot="1" x14ac:dyDescent="0.35"/>
    <row r="29" spans="1:7" ht="42.6" customHeight="1" x14ac:dyDescent="0.3">
      <c r="A29" s="81" t="s">
        <v>145</v>
      </c>
      <c r="B29" s="77"/>
      <c r="C29" s="14" t="s">
        <v>146</v>
      </c>
      <c r="D29" s="89">
        <f>45*((D30*(D31^2)*Fuselage!D11)/Wing!D14*Wing!D17)</f>
        <v>0.20412193386970173</v>
      </c>
      <c r="E29" s="15" t="s">
        <v>129</v>
      </c>
      <c r="F29" s="37"/>
      <c r="G29" s="38"/>
    </row>
    <row r="30" spans="1:7" ht="30" x14ac:dyDescent="0.35">
      <c r="A30" s="82"/>
      <c r="B30" s="78" t="s">
        <v>147</v>
      </c>
      <c r="C30" s="6" t="s">
        <v>150</v>
      </c>
      <c r="D30" s="4">
        <v>0.01</v>
      </c>
      <c r="E30" s="4" t="s">
        <v>124</v>
      </c>
      <c r="F30" s="6" t="s">
        <v>154</v>
      </c>
      <c r="G30" s="11"/>
    </row>
    <row r="31" spans="1:7" ht="29.4" x14ac:dyDescent="0.35">
      <c r="A31" s="82"/>
      <c r="B31" s="78" t="s">
        <v>148</v>
      </c>
      <c r="C31" s="7" t="s">
        <v>149</v>
      </c>
      <c r="D31" s="9">
        <f>Fuselage!D12</f>
        <v>0.3</v>
      </c>
      <c r="E31" s="4" t="s">
        <v>18</v>
      </c>
      <c r="F31" s="6" t="s">
        <v>155</v>
      </c>
      <c r="G31" s="11"/>
    </row>
    <row r="32" spans="1:7" ht="15.6" x14ac:dyDescent="0.35">
      <c r="A32" s="82"/>
      <c r="B32" s="78" t="s">
        <v>151</v>
      </c>
      <c r="C32" s="7"/>
      <c r="D32" s="9">
        <f>D33/Fuselage!D11</f>
        <v>0.31818181818181812</v>
      </c>
      <c r="E32" s="4" t="s">
        <v>124</v>
      </c>
      <c r="F32" s="4"/>
      <c r="G32" s="11"/>
    </row>
    <row r="33" spans="1:7" ht="30" thickBot="1" x14ac:dyDescent="0.4">
      <c r="A33" s="83"/>
      <c r="B33" s="80" t="s">
        <v>152</v>
      </c>
      <c r="C33" s="43" t="s">
        <v>153</v>
      </c>
      <c r="D33" s="12">
        <f>Fuselage!D9+Wing!D14*0.25</f>
        <v>0.52499999999999991</v>
      </c>
      <c r="E33" s="12" t="s">
        <v>18</v>
      </c>
      <c r="F33" s="12"/>
      <c r="G33" s="13"/>
    </row>
    <row r="34" spans="1:7" ht="15" thickBot="1" x14ac:dyDescent="0.35"/>
    <row r="35" spans="1:7" ht="43.2" x14ac:dyDescent="0.3">
      <c r="A35" s="90" t="s">
        <v>156</v>
      </c>
      <c r="B35" s="77"/>
      <c r="C35" s="14" t="s">
        <v>158</v>
      </c>
      <c r="D35" s="89">
        <f>(D10-D29+D19)/D11+D23</f>
        <v>1.8295946643148437</v>
      </c>
      <c r="E35" s="37" t="s">
        <v>124</v>
      </c>
      <c r="F35" s="37"/>
      <c r="G35" s="38"/>
    </row>
    <row r="36" spans="1:7" ht="44.4" thickBot="1" x14ac:dyDescent="0.4">
      <c r="A36" s="91"/>
      <c r="B36" s="80" t="s">
        <v>157</v>
      </c>
      <c r="C36" s="43" t="s">
        <v>159</v>
      </c>
      <c r="D36" s="92">
        <f>D35*0.3</f>
        <v>0.54887839929445315</v>
      </c>
      <c r="E36" s="12" t="s">
        <v>18</v>
      </c>
      <c r="F36" s="34" t="s">
        <v>160</v>
      </c>
      <c r="G36" s="13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2:D20"/>
  <sheetViews>
    <sheetView tabSelected="1" workbookViewId="0">
      <selection activeCell="G13" sqref="G13"/>
    </sheetView>
  </sheetViews>
  <sheetFormatPr defaultRowHeight="14.4" x14ac:dyDescent="0.3"/>
  <cols>
    <col min="2" max="2" width="16.77734375" bestFit="1" customWidth="1"/>
    <col min="3" max="3" width="15" bestFit="1" customWidth="1"/>
    <col min="4" max="4" width="15.44140625" bestFit="1" customWidth="1"/>
  </cols>
  <sheetData>
    <row r="2" spans="2:4" x14ac:dyDescent="0.3">
      <c r="B2" s="4"/>
      <c r="C2" s="4" t="s">
        <v>177</v>
      </c>
      <c r="D2" s="4" t="s">
        <v>178</v>
      </c>
    </row>
    <row r="3" spans="2:4" x14ac:dyDescent="0.3">
      <c r="B3" s="100" t="s">
        <v>161</v>
      </c>
      <c r="C3" s="4"/>
      <c r="D3" s="4"/>
    </row>
    <row r="4" spans="2:4" x14ac:dyDescent="0.3">
      <c r="B4" s="100" t="s">
        <v>162</v>
      </c>
      <c r="C4" s="4"/>
      <c r="D4" s="4"/>
    </row>
    <row r="5" spans="2:4" x14ac:dyDescent="0.3">
      <c r="B5" s="100" t="s">
        <v>163</v>
      </c>
      <c r="C5" s="4"/>
      <c r="D5" s="4"/>
    </row>
    <row r="6" spans="2:4" x14ac:dyDescent="0.3">
      <c r="B6" s="100" t="s">
        <v>164</v>
      </c>
      <c r="C6" s="4"/>
      <c r="D6" s="4"/>
    </row>
    <row r="7" spans="2:4" x14ac:dyDescent="0.3">
      <c r="B7" s="100" t="s">
        <v>165</v>
      </c>
      <c r="C7" s="4"/>
      <c r="D7" s="4"/>
    </row>
    <row r="8" spans="2:4" x14ac:dyDescent="0.3">
      <c r="B8" s="100" t="s">
        <v>166</v>
      </c>
      <c r="C8" s="4"/>
      <c r="D8" s="4"/>
    </row>
    <row r="9" spans="2:4" x14ac:dyDescent="0.3">
      <c r="B9" s="100" t="s">
        <v>167</v>
      </c>
      <c r="C9" s="4"/>
      <c r="D9" s="4"/>
    </row>
    <row r="10" spans="2:4" x14ac:dyDescent="0.3">
      <c r="B10" s="100" t="s">
        <v>168</v>
      </c>
      <c r="C10" s="4"/>
      <c r="D10" s="4"/>
    </row>
    <row r="11" spans="2:4" x14ac:dyDescent="0.3">
      <c r="B11" s="100" t="s">
        <v>169</v>
      </c>
      <c r="C11" s="4"/>
      <c r="D11" s="4"/>
    </row>
    <row r="12" spans="2:4" x14ac:dyDescent="0.3">
      <c r="B12" s="100" t="s">
        <v>170</v>
      </c>
      <c r="C12" s="4"/>
      <c r="D12" s="4"/>
    </row>
    <row r="13" spans="2:4" x14ac:dyDescent="0.3">
      <c r="B13" s="100" t="s">
        <v>171</v>
      </c>
      <c r="C13" s="4"/>
      <c r="D13" s="4"/>
    </row>
    <row r="14" spans="2:4" x14ac:dyDescent="0.3">
      <c r="B14" s="100" t="s">
        <v>172</v>
      </c>
      <c r="C14" s="4"/>
      <c r="D14" s="4"/>
    </row>
    <row r="15" spans="2:4" x14ac:dyDescent="0.3">
      <c r="B15" s="4"/>
      <c r="C15" s="4"/>
      <c r="D15" s="4"/>
    </row>
    <row r="16" spans="2:4" x14ac:dyDescent="0.3">
      <c r="B16" s="4" t="s">
        <v>173</v>
      </c>
      <c r="C16" s="4"/>
      <c r="D16" s="4"/>
    </row>
    <row r="17" spans="2:4" x14ac:dyDescent="0.3">
      <c r="B17" s="100"/>
      <c r="C17" s="4"/>
      <c r="D17" s="4"/>
    </row>
    <row r="18" spans="2:4" x14ac:dyDescent="0.3">
      <c r="B18" s="100" t="s">
        <v>174</v>
      </c>
      <c r="C18" s="4"/>
      <c r="D18" s="4"/>
    </row>
    <row r="19" spans="2:4" x14ac:dyDescent="0.3">
      <c r="B19" s="100" t="s">
        <v>175</v>
      </c>
      <c r="C19" s="4"/>
      <c r="D19" s="4"/>
    </row>
    <row r="20" spans="2:4" x14ac:dyDescent="0.3">
      <c r="B20" s="100" t="s">
        <v>176</v>
      </c>
      <c r="C20" s="4"/>
      <c r="D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2026-04-04T13:32:17Z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