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1097411\Documents\GitHub\ORGOfly-CAD-model\"/>
    </mc:Choice>
  </mc:AlternateContent>
  <xr:revisionPtr revIDLastSave="0" documentId="13_ncr:1_{02002259-6CDD-402B-985A-F138DDD3CF16}" xr6:coauthVersionLast="47" xr6:coauthVersionMax="47" xr10:uidLastSave="{00000000-0000-0000-0000-000000000000}"/>
  <bookViews>
    <workbookView xWindow="-108" yWindow="-108" windowWidth="23256" windowHeight="13896" activeTab="5" xr2:uid="{9597FAC8-E3BA-4239-B29C-D9DA52C8E4BB}"/>
  </bookViews>
  <sheets>
    <sheet name="Constants" sheetId="2" r:id="rId1"/>
    <sheet name="Wing" sheetId="1" r:id="rId2"/>
    <sheet name="V-tail" sheetId="3" r:id="rId3"/>
    <sheet name="Fuselage" sheetId="4" r:id="rId4"/>
    <sheet name="Overall AC" sheetId="5" r:id="rId5"/>
    <sheet name="Weight and Balance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C19" i="7"/>
  <c r="D31" i="5"/>
  <c r="D27" i="5"/>
  <c r="D26" i="5" s="1"/>
  <c r="D25" i="5"/>
  <c r="D23" i="5" s="1"/>
  <c r="D13" i="5"/>
  <c r="D15" i="5"/>
  <c r="D14" i="5" s="1"/>
  <c r="D9" i="4"/>
  <c r="D33" i="5" s="1"/>
  <c r="D10" i="4"/>
  <c r="D20" i="1"/>
  <c r="D23" i="1"/>
  <c r="D13" i="1"/>
  <c r="D11" i="4" l="1"/>
  <c r="D9" i="5"/>
  <c r="D29" i="5"/>
  <c r="D11" i="5"/>
  <c r="D10" i="5" s="1"/>
  <c r="D17" i="1"/>
  <c r="D32" i="5" l="1"/>
  <c r="D18" i="1"/>
  <c r="D13" i="3"/>
  <c r="D17" i="3" s="1"/>
  <c r="D22" i="5" s="1"/>
  <c r="D12" i="3" l="1"/>
  <c r="D11" i="3" s="1"/>
  <c r="D20" i="3" s="1"/>
  <c r="D22" i="1"/>
  <c r="D21" i="3" l="1"/>
  <c r="D23" i="3" s="1"/>
  <c r="D24" i="3" s="1"/>
  <c r="D29" i="3" l="1"/>
  <c r="D18" i="5"/>
  <c r="D17" i="5" s="1"/>
  <c r="D19" i="5" s="1"/>
  <c r="D35" i="5" s="1"/>
  <c r="D36" i="5" s="1"/>
  <c r="C22" i="7" l="1"/>
  <c r="D22" i="7"/>
</calcChain>
</file>

<file path=xl/sharedStrings.xml><?xml version="1.0" encoding="utf-8"?>
<sst xmlns="http://schemas.openxmlformats.org/spreadsheetml/2006/main" count="303" uniqueCount="202">
  <si>
    <t>kg</t>
  </si>
  <si>
    <t>MTOW</t>
  </si>
  <si>
    <t>m/s</t>
  </si>
  <si>
    <t>Hard requirement</t>
  </si>
  <si>
    <t>Subject to change</t>
  </si>
  <si>
    <t>ρ</t>
  </si>
  <si>
    <t>kg/m³</t>
  </si>
  <si>
    <t>Value</t>
  </si>
  <si>
    <t>Unit</t>
  </si>
  <si>
    <t>Property</t>
  </si>
  <si>
    <t>Notes</t>
  </si>
  <si>
    <t>S</t>
  </si>
  <si>
    <t>g</t>
  </si>
  <si>
    <t>Results</t>
  </si>
  <si>
    <t>Used formula</t>
  </si>
  <si>
    <t xml:space="preserve">c </t>
  </si>
  <si>
    <t>ν</t>
  </si>
  <si>
    <t>Assumed average viscosity of the air at standard conditions between 10 and 15deg and SOF atmospheric pressure</t>
  </si>
  <si>
    <t>m</t>
  </si>
  <si>
    <t>𝑅𝑒 at cruse speed</t>
  </si>
  <si>
    <r>
      <t>C</t>
    </r>
    <r>
      <rPr>
        <sz val="8"/>
        <color theme="1"/>
        <rFont val="Aptos Narrow"/>
        <family val="2"/>
        <scheme val="minor"/>
      </rPr>
      <t>Lmax</t>
    </r>
    <r>
      <rPr>
        <sz val="11"/>
        <color theme="1"/>
        <rFont val="Aptos Narrow"/>
        <family val="2"/>
        <scheme val="minor"/>
      </rPr>
      <t xml:space="preserve"> </t>
    </r>
  </si>
  <si>
    <t>Definition</t>
  </si>
  <si>
    <t>kinematic viscosity of the air</t>
  </si>
  <si>
    <t>Maximum Take-off weight</t>
  </si>
  <si>
    <t>maximum lift coeff.</t>
  </si>
  <si>
    <t>air density</t>
  </si>
  <si>
    <t>for Sofia (600m)</t>
  </si>
  <si>
    <t>b</t>
  </si>
  <si>
    <t>wingspan</t>
  </si>
  <si>
    <t>AR</t>
  </si>
  <si>
    <t>aspect ratio</t>
  </si>
  <si>
    <t>mean wing chord</t>
  </si>
  <si>
    <t>wing area</t>
  </si>
  <si>
    <t>Efficient for the beginning
Could be lowered to 8-9 later if the wingspan is too wide to be build</t>
  </si>
  <si>
    <t>wing ref area</t>
  </si>
  <si>
    <t>Vertical tail volume coefficient</t>
  </si>
  <si>
    <t>moment arm to the VT from wing AC to tail AC</t>
  </si>
  <si>
    <t>area of the vertical tail</t>
  </si>
  <si>
    <t>wing span</t>
  </si>
  <si>
    <t>Horizontal tail volume coefficient</t>
  </si>
  <si>
    <t>moment arm to the HT from wing AC to tail AC</t>
  </si>
  <si>
    <t>area of the horizontal tail</t>
  </si>
  <si>
    <t>statistical data (look at tables on the right for acceptable values)</t>
  </si>
  <si>
    <t>V-tail angle</t>
  </si>
  <si>
    <t>deg</t>
  </si>
  <si>
    <t>θ</t>
  </si>
  <si>
    <t>V-tail surface area</t>
  </si>
  <si>
    <r>
      <t>m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</si>
  <si>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/s</t>
    </r>
  </si>
  <si>
    <t>Reynolds number at cruise speed</t>
  </si>
  <si>
    <t>Approximate value</t>
  </si>
  <si>
    <r>
      <t>V</t>
    </r>
    <r>
      <rPr>
        <vertAlign val="subscript"/>
        <sz val="11"/>
        <color theme="1"/>
        <rFont val="Aptos Narrow"/>
        <family val="2"/>
        <scheme val="minor"/>
      </rPr>
      <t>cruise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</si>
  <si>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stall</t>
    </r>
  </si>
  <si>
    <t>NACA2412</t>
  </si>
  <si>
    <t>NACA0009</t>
  </si>
  <si>
    <r>
      <t>(NACA2412)
α</t>
    </r>
    <r>
      <rPr>
        <vertAlign val="subscript"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 xml:space="preserve"> ≈ 15deg
Take a look at the graphs on the right (Cl vs alpha)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</si>
  <si>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V-tail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</si>
  <si>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HT</t>
    </r>
  </si>
  <si>
    <r>
      <t>L</t>
    </r>
    <r>
      <rPr>
        <vertAlign val="subscript"/>
        <sz val="11"/>
        <color theme="1"/>
        <rFont val="Aptos Narrow"/>
        <family val="2"/>
        <scheme val="minor"/>
      </rPr>
      <t>HT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</si>
  <si>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HT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</si>
  <si>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W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</si>
  <si>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VT</t>
    </r>
  </si>
  <si>
    <r>
      <t>L</t>
    </r>
    <r>
      <rPr>
        <vertAlign val="subscript"/>
        <sz val="11"/>
        <color theme="1"/>
        <rFont val="Aptos Narrow"/>
        <family val="2"/>
        <scheme val="minor"/>
      </rPr>
      <t>VT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</si>
  <si>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VT</t>
    </r>
  </si>
  <si>
    <r>
      <t>b</t>
    </r>
    <r>
      <rPr>
        <vertAlign val="subscript"/>
        <sz val="11"/>
        <color theme="1"/>
        <rFont val="Aptos Narrow"/>
        <family val="2"/>
        <scheme val="minor"/>
      </rPr>
      <t>W</t>
    </r>
  </si>
  <si>
    <t>Aspect Ratio</t>
  </si>
  <si>
    <r>
      <t>b</t>
    </r>
    <r>
      <rPr>
        <vertAlign val="subscript"/>
        <sz val="11"/>
        <color theme="1"/>
        <rFont val="Aptos Narrow"/>
        <family val="2"/>
        <scheme val="minor"/>
      </rPr>
      <t>V-tail</t>
    </r>
  </si>
  <si>
    <t>V-tail span</t>
  </si>
  <si>
    <r>
      <t>c</t>
    </r>
    <r>
      <rPr>
        <vertAlign val="subscript"/>
        <sz val="11"/>
        <color theme="1"/>
        <rFont val="Aptos Narrow"/>
        <family val="2"/>
        <scheme val="minor"/>
      </rPr>
      <t>V-tail</t>
    </r>
  </si>
  <si>
    <t>V-tail chord</t>
  </si>
  <si>
    <t>λ</t>
  </si>
  <si>
    <t>No taper for the first model.</t>
  </si>
  <si>
    <t>V-tail taper</t>
  </si>
  <si>
    <t>Aspect ration is chosen such than smaller span is achieved.</t>
  </si>
  <si>
    <t xml:space="preserve">Sweep angle </t>
  </si>
  <si>
    <t>Λ</t>
  </si>
  <si>
    <t>Negative sweep angle to begin with. Could be further increased later if needed.</t>
  </si>
  <si>
    <t>Could be lowered</t>
  </si>
  <si>
    <t>Aileron</t>
  </si>
  <si>
    <t>Single Aileron span</t>
  </si>
  <si>
    <t>Single Aileron chord</t>
  </si>
  <si>
    <t>Aileron start outbound to inbound</t>
  </si>
  <si>
    <t>This is chosen by the design. Could be lower.</t>
  </si>
  <si>
    <t>Elevon</t>
  </si>
  <si>
    <t>Single Elevon span</t>
  </si>
  <si>
    <t>Single Elevon chord</t>
  </si>
  <si>
    <t>Elevon start outbound to inbound</t>
  </si>
  <si>
    <t>40percent of the V-tail chord.
25-50 is the acceptable range.</t>
  </si>
  <si>
    <t>Almost the whole V-tail surface</t>
  </si>
  <si>
    <t>Wing</t>
  </si>
  <si>
    <t>Vertical Tail</t>
  </si>
  <si>
    <t>Horizontal Tail</t>
  </si>
  <si>
    <t>V-Tail</t>
  </si>
  <si>
    <r>
      <t>b</t>
    </r>
    <r>
      <rPr>
        <vertAlign val="subscript"/>
        <sz val="11"/>
        <color theme="1"/>
        <rFont val="Aptos Narrow"/>
        <family val="2"/>
        <scheme val="minor"/>
      </rPr>
      <t>e​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</si>
  <si>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>​</t>
    </r>
  </si>
  <si>
    <t>Elevon spans across almost the whole V-tail surface</t>
  </si>
  <si>
    <t>Aircraft Performance lecture slide on the right.</t>
  </si>
  <si>
    <t>Aerodynamic Center of the wing</t>
  </si>
  <si>
    <r>
      <t>AC</t>
    </r>
    <r>
      <rPr>
        <vertAlign val="subscript"/>
        <sz val="11"/>
        <color theme="1"/>
        <rFont val="Aptos Narrow"/>
        <family val="2"/>
        <scheme val="minor"/>
      </rPr>
      <t>W</t>
    </r>
  </si>
  <si>
    <t>Around 25% of the wing chord from the wing tip. Could be calculated at a later stage when the preliminary design is done.</t>
  </si>
  <si>
    <t>Fuselage</t>
  </si>
  <si>
    <r>
      <t>l</t>
    </r>
    <r>
      <rPr>
        <sz val="8"/>
        <color theme="1"/>
        <rFont val="Aptos Narrow"/>
        <family val="2"/>
        <scheme val="minor"/>
      </rPr>
      <t>front</t>
    </r>
  </si>
  <si>
    <r>
      <t>l</t>
    </r>
    <r>
      <rPr>
        <sz val="8"/>
        <color theme="1"/>
        <rFont val="Aptos Narrow"/>
        <family val="2"/>
        <scheme val="minor"/>
      </rPr>
      <t>aft</t>
    </r>
  </si>
  <si>
    <t>Front fuselage</t>
  </si>
  <si>
    <r>
      <t>l</t>
    </r>
    <r>
      <rPr>
        <sz val="8"/>
        <color theme="1"/>
        <rFont val="Aptos Narrow"/>
        <family val="2"/>
        <scheme val="minor"/>
      </rPr>
      <t>fus</t>
    </r>
  </si>
  <si>
    <t>Aft fuselage</t>
  </si>
  <si>
    <t>Fuselage lenght</t>
  </si>
  <si>
    <t>From moment lever arm from v-tail</t>
  </si>
  <si>
    <r>
      <t>d</t>
    </r>
    <r>
      <rPr>
        <sz val="9"/>
        <color theme="1"/>
        <rFont val="Aptos Narrow"/>
        <family val="2"/>
        <scheme val="minor"/>
      </rPr>
      <t>fus</t>
    </r>
  </si>
  <si>
    <t>Wing contribution</t>
  </si>
  <si>
    <t>50% of sweep</t>
  </si>
  <si>
    <t>Overall Aerodynamic Center</t>
  </si>
  <si>
    <t>Non-dimensional position of  Wing Aerodynamic Center</t>
  </si>
  <si>
    <t>Wing Moment coefficient slope</t>
  </si>
  <si>
    <t>Max Diameter of fuselage</t>
  </si>
  <si>
    <t>The change of pitching moment coefficient with angle of attack, caused by the wing, about your chosen aircraft reference point.</t>
  </si>
  <si>
    <t>polhamus formula (reference on the right)</t>
  </si>
  <si>
    <t>Lift coeff. Depending on the angle of attack of the wing</t>
  </si>
  <si>
    <t>t/c</t>
  </si>
  <si>
    <t>Relative thickness</t>
  </si>
  <si>
    <t>Airfoilf/Pressure Influence</t>
  </si>
  <si>
    <t>Compressibility effect</t>
  </si>
  <si>
    <t>n/a</t>
  </si>
  <si>
    <t>Used for Airfoilf/Pressure Influence
t - root overall thickness of the airfoil (12% of the chord for NACA2412)
c - wing chord</t>
  </si>
  <si>
    <r>
      <t>K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</si>
  <si>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ϐ</t>
    </r>
    <r>
      <rPr>
        <vertAlign val="superscript"/>
        <sz val="11"/>
        <color theme="1"/>
        <rFont val="Aptos Narrow"/>
        <family val="2"/>
      </rPr>
      <t>2</t>
    </r>
  </si>
  <si>
    <t>Used in Polhamus formula
Mach infinity (in the undisturbed airflow) is the Speed of the aircraft over the speed of the sound. - 0.07</t>
  </si>
  <si>
    <r>
      <t>rad</t>
    </r>
    <r>
      <rPr>
        <vertAlign val="superscript"/>
        <sz val="11"/>
        <color theme="1"/>
        <rFont val="Aptos Narrow"/>
        <family val="2"/>
        <scheme val="minor"/>
      </rPr>
      <t>-1</t>
    </r>
  </si>
  <si>
    <t>Used in Polhamus formula
Rectangular wing - no sweep angle</t>
  </si>
  <si>
    <t>Used in Polhamus formula
Formula for t/c between 8% and 12%</t>
  </si>
  <si>
    <t>Horizontal Tail contribution</t>
  </si>
  <si>
    <t>Non-dimensional position of  Horizontal Tail  Aerodynamic Center</t>
  </si>
  <si>
    <r>
      <t>x</t>
    </r>
    <r>
      <rPr>
        <vertAlign val="subscript"/>
        <sz val="11"/>
        <color theme="1"/>
        <rFont val="Aptos Narrow"/>
        <family val="2"/>
        <scheme val="minor"/>
      </rPr>
      <t>0,HT</t>
    </r>
  </si>
  <si>
    <t>Distance from the beginning of the fuselage to the beginning of the Horizontal tail</t>
  </si>
  <si>
    <t>Fuselage overall length minus chord length of the tail</t>
  </si>
  <si>
    <t>Horizontal Tail Moment coefficient slope</t>
  </si>
  <si>
    <t>Lift coeff. Depending on the angle of attack of the Horizontal Tail</t>
  </si>
  <si>
    <t>The change of pitching moment coefficient with angle of attack, caused by the horizontal tail, about your chosen aircraft reference point.</t>
  </si>
  <si>
    <t>Estimation (could be changed in the range from the slide on the right)</t>
  </si>
  <si>
    <t>Dynamic pressure correction</t>
  </si>
  <si>
    <t>Downwash correction</t>
  </si>
  <si>
    <t>Area Ratio</t>
  </si>
  <si>
    <t>Used in Polhamus formula
Assumed Rectangular wing - no sweep angle</t>
  </si>
  <si>
    <t>Fuselage contribution</t>
  </si>
  <si>
    <t>Fuselage Moment coefficient slope</t>
  </si>
  <si>
    <r>
      <t>k</t>
    </r>
    <r>
      <rPr>
        <vertAlign val="subscript"/>
        <sz val="11"/>
        <color theme="1"/>
        <rFont val="Aptos Narrow"/>
        <family val="2"/>
        <scheme val="minor"/>
      </rPr>
      <t>fus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</si>
  <si>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fus</t>
    </r>
  </si>
  <si>
    <t>Fuselage width</t>
  </si>
  <si>
    <t>Empirical pitching moment factor</t>
  </si>
  <si>
    <r>
      <t>x</t>
    </r>
    <r>
      <rPr>
        <vertAlign val="subscript"/>
        <sz val="11"/>
        <color theme="1"/>
        <rFont val="Aptos Narrow"/>
        <family val="2"/>
        <scheme val="minor"/>
      </rPr>
      <t>fus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</si>
  <si>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c,root,25</t>
    </r>
  </si>
  <si>
    <t>Position of root quarter chord</t>
  </si>
  <si>
    <r>
      <t>Estimated from the graph on the right using x</t>
    </r>
    <r>
      <rPr>
        <i/>
        <vertAlign val="subscript"/>
        <sz val="11"/>
        <color theme="1"/>
        <rFont val="Aptos Narrow"/>
        <family val="2"/>
        <scheme val="minor"/>
      </rPr>
      <t>fus</t>
    </r>
  </si>
  <si>
    <t>The maximum diameter of the fuselage is used here</t>
  </si>
  <si>
    <t>Overall results</t>
  </si>
  <si>
    <r>
      <t>x</t>
    </r>
    <r>
      <rPr>
        <vertAlign val="subscript"/>
        <sz val="11"/>
        <color theme="1"/>
        <rFont val="Aptos Narrow"/>
        <family val="2"/>
        <scheme val="minor"/>
      </rPr>
      <t>AC</t>
    </r>
  </si>
  <si>
    <t>Non-dimensional position of  Overall Aerodynamic Center</t>
  </si>
  <si>
    <t>Dimensional position of the overall Aerodynamic Center</t>
  </si>
  <si>
    <t>CG should be abfront this point so that we achieve static stability</t>
  </si>
  <si>
    <t>battery</t>
  </si>
  <si>
    <t>motors</t>
  </si>
  <si>
    <t>propellers</t>
  </si>
  <si>
    <t>ESCs</t>
  </si>
  <si>
    <t>flight controller</t>
  </si>
  <si>
    <t>payload</t>
  </si>
  <si>
    <t>landing gear</t>
  </si>
  <si>
    <t>wiring and mounts</t>
  </si>
  <si>
    <t>actual CG location</t>
  </si>
  <si>
    <t>CG travel range</t>
  </si>
  <si>
    <r>
      <t>l</t>
    </r>
    <r>
      <rPr>
        <vertAlign val="subscript"/>
        <sz val="11"/>
        <color theme="1"/>
        <rFont val="Aptos Narrow"/>
        <family val="2"/>
        <scheme val="minor"/>
      </rPr>
      <t>front</t>
    </r>
    <r>
      <rPr>
        <sz val="11"/>
        <color theme="1"/>
        <rFont val="Aptos Narrow"/>
        <family val="2"/>
        <scheme val="minor"/>
      </rPr>
      <t xml:space="preserve"> = 1.5 x wing chord</t>
    </r>
  </si>
  <si>
    <r>
      <t>l</t>
    </r>
    <r>
      <rPr>
        <vertAlign val="subscript"/>
        <sz val="11"/>
        <color theme="1"/>
        <rFont val="Aptos Narrow"/>
        <family val="2"/>
        <scheme val="minor"/>
      </rPr>
      <t>aft</t>
    </r>
    <r>
      <rPr>
        <sz val="11"/>
        <color theme="1"/>
        <rFont val="Aptos Narrow"/>
        <family val="2"/>
        <scheme val="minor"/>
      </rPr>
      <t xml:space="preserve"> = 3 x wing chord</t>
    </r>
  </si>
  <si>
    <t>from max cargo dimensions
(subject to change if too big)</t>
  </si>
  <si>
    <t>Height</t>
  </si>
  <si>
    <t>Width</t>
  </si>
  <si>
    <t>Length</t>
  </si>
  <si>
    <t>Estimated Weight (g)</t>
  </si>
  <si>
    <t xml:space="preserve">Model assumed </t>
  </si>
  <si>
    <t>BrotherHobby Avenger 3120 Motors 500KV FPV Drone Motor</t>
  </si>
  <si>
    <t>Φ37.5</t>
  </si>
  <si>
    <t>Amount</t>
  </si>
  <si>
    <t>22inch</t>
  </si>
  <si>
    <t>FLAME 80A 12S V2.0 Multi-Rotor UAVs ESC</t>
  </si>
  <si>
    <t>CF structure</t>
  </si>
  <si>
    <t>Result Weight (g)</t>
  </si>
  <si>
    <t>wing structure PLA</t>
  </si>
  <si>
    <t>fuselage structure PLA</t>
  </si>
  <si>
    <t>tail structure PLA</t>
  </si>
  <si>
    <t>Total mass</t>
  </si>
  <si>
    <t>5-10% from AC</t>
  </si>
  <si>
    <t>From SOLIDWORKS, can be exported</t>
  </si>
  <si>
    <t>Aft Diameter of fuselage</t>
  </si>
  <si>
    <t>Most aft diameter of fuselage</t>
  </si>
  <si>
    <r>
      <t>d</t>
    </r>
    <r>
      <rPr>
        <sz val="8"/>
        <color theme="1"/>
        <rFont val="Aptos Narrow"/>
        <family val="2"/>
        <scheme val="minor"/>
      </rPr>
      <t>aftfus</t>
    </r>
  </si>
  <si>
    <t>Estimated from the right picture (subject  to change)</t>
  </si>
  <si>
    <t>Horizontal tail wing span</t>
  </si>
  <si>
    <r>
      <t>b</t>
    </r>
    <r>
      <rPr>
        <sz val="8"/>
        <color theme="1"/>
        <rFont val="Aptos Narrow"/>
        <family val="2"/>
        <scheme val="minor"/>
      </rPr>
      <t>HT</t>
    </r>
  </si>
  <si>
    <t>servos flight controls</t>
  </si>
  <si>
    <t>servos motors</t>
  </si>
  <si>
    <t>Price</t>
  </si>
  <si>
    <t>with respect to the horizon</t>
  </si>
  <si>
    <t>This is the whole V-tail span. Half span is 0.495</t>
  </si>
  <si>
    <t>Arduino Mega 2560 (ArduPilot)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</si>
</sst>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</font>
    <font>
      <i/>
      <vertAlign val="subscript"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17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5" borderId="0" xfId="0" applyFill="1"/>
    <xf numFmtId="0" fontId="0" fillId="0" borderId="6" xfId="0" applyBorder="1"/>
    <xf numFmtId="0" fontId="0" fillId="0" borderId="9" xfId="0" applyBorder="1"/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4" xfId="0" applyBorder="1"/>
    <xf numFmtId="0" fontId="0" fillId="3" borderId="1" xfId="0" applyFill="1" applyBorder="1"/>
    <xf numFmtId="0" fontId="0" fillId="3" borderId="8" xfId="0" applyFill="1" applyBorder="1"/>
    <xf numFmtId="0" fontId="0" fillId="3" borderId="3" xfId="0" applyFill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4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1" fillId="0" borderId="25" xfId="0" applyFont="1" applyBorder="1" applyAlignment="1">
      <alignment vertical="center" textRotation="90"/>
    </xf>
    <xf numFmtId="0" fontId="1" fillId="0" borderId="13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0" fillId="0" borderId="17" xfId="0" applyBorder="1"/>
    <xf numFmtId="0" fontId="1" fillId="0" borderId="20" xfId="0" applyFont="1" applyBorder="1" applyAlignment="1">
      <alignment horizontal="center"/>
    </xf>
    <xf numFmtId="0" fontId="0" fillId="0" borderId="27" xfId="0" applyBorder="1"/>
    <xf numFmtId="0" fontId="1" fillId="0" borderId="28" xfId="0" applyFont="1" applyBorder="1"/>
    <xf numFmtId="0" fontId="1" fillId="0" borderId="23" xfId="0" applyFont="1" applyBorder="1"/>
    <xf numFmtId="0" fontId="1" fillId="0" borderId="27" xfId="0" applyFont="1" applyBorder="1" applyAlignment="1">
      <alignment horizontal="center"/>
    </xf>
    <xf numFmtId="0" fontId="0" fillId="0" borderId="28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16" xfId="0" applyBorder="1"/>
    <xf numFmtId="0" fontId="0" fillId="0" borderId="18" xfId="0" applyBorder="1"/>
    <xf numFmtId="0" fontId="0" fillId="0" borderId="5" xfId="0" applyBorder="1"/>
    <xf numFmtId="0" fontId="3" fillId="0" borderId="23" xfId="0" applyFont="1" applyBorder="1"/>
    <xf numFmtId="0" fontId="0" fillId="7" borderId="0" xfId="0" applyFill="1"/>
    <xf numFmtId="0" fontId="0" fillId="8" borderId="0" xfId="0" applyFill="1"/>
    <xf numFmtId="0" fontId="0" fillId="0" borderId="32" xfId="0" applyBorder="1"/>
    <xf numFmtId="0" fontId="0" fillId="0" borderId="31" xfId="0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2" xfId="0" applyBorder="1"/>
    <xf numFmtId="0" fontId="1" fillId="0" borderId="3" xfId="0" applyFont="1" applyBorder="1"/>
    <xf numFmtId="0" fontId="1" fillId="0" borderId="3" xfId="0" applyFont="1" applyBorder="1" applyAlignment="1">
      <alignment vertical="center"/>
    </xf>
    <xf numFmtId="0" fontId="1" fillId="0" borderId="4" xfId="0" applyFont="1" applyBorder="1"/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2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2" fontId="0" fillId="6" borderId="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5" borderId="8" xfId="0" applyFill="1" applyBorder="1" applyAlignment="1">
      <alignment horizontal="center" vertical="center"/>
    </xf>
    <xf numFmtId="0" fontId="1" fillId="0" borderId="37" xfId="0" applyFont="1" applyBorder="1"/>
    <xf numFmtId="0" fontId="0" fillId="0" borderId="37" xfId="0" applyBorder="1"/>
    <xf numFmtId="0" fontId="0" fillId="0" borderId="38" xfId="0" applyBorder="1"/>
    <xf numFmtId="0" fontId="0" fillId="0" borderId="33" xfId="0" applyBorder="1"/>
    <xf numFmtId="0" fontId="0" fillId="0" borderId="39" xfId="0" applyBorder="1"/>
    <xf numFmtId="0" fontId="0" fillId="0" borderId="40" xfId="0" applyBorder="1"/>
    <xf numFmtId="0" fontId="0" fillId="0" borderId="37" xfId="0" applyBorder="1" applyAlignment="1">
      <alignment horizontal="center"/>
    </xf>
    <xf numFmtId="0" fontId="1" fillId="0" borderId="27" xfId="0" applyFont="1" applyBorder="1"/>
    <xf numFmtId="0" fontId="0" fillId="0" borderId="41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7" xfId="0" applyBorder="1" applyAlignment="1">
      <alignment horizontal="center"/>
    </xf>
    <xf numFmtId="0" fontId="3" fillId="0" borderId="27" xfId="0" applyFont="1" applyBorder="1"/>
    <xf numFmtId="0" fontId="3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165" fontId="0" fillId="0" borderId="1" xfId="0" applyNumberFormat="1" applyBorder="1"/>
    <xf numFmtId="0" fontId="1" fillId="6" borderId="23" xfId="0" applyFont="1" applyFill="1" applyBorder="1"/>
    <xf numFmtId="0" fontId="1" fillId="0" borderId="41" xfId="0" applyFont="1" applyBorder="1" applyAlignment="1">
      <alignment horizontal="center"/>
    </xf>
    <xf numFmtId="0" fontId="3" fillId="0" borderId="22" xfId="0" applyFont="1" applyBorder="1"/>
    <xf numFmtId="0" fontId="3" fillId="0" borderId="24" xfId="0" applyFont="1" applyBorder="1"/>
    <xf numFmtId="0" fontId="0" fillId="0" borderId="22" xfId="0" applyBorder="1"/>
    <xf numFmtId="0" fontId="0" fillId="0" borderId="24" xfId="0" applyBorder="1"/>
    <xf numFmtId="0" fontId="1" fillId="0" borderId="2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/>
    </xf>
    <xf numFmtId="0" fontId="1" fillId="0" borderId="34" xfId="0" applyFont="1" applyBorder="1" applyAlignment="1">
      <alignment horizontal="center" vertical="center" textRotation="90"/>
    </xf>
    <xf numFmtId="0" fontId="1" fillId="0" borderId="35" xfId="0" applyFont="1" applyBorder="1" applyAlignment="1">
      <alignment horizontal="center" vertical="center" textRotation="90"/>
    </xf>
    <xf numFmtId="0" fontId="1" fillId="0" borderId="33" xfId="0" applyFont="1" applyBorder="1" applyAlignment="1">
      <alignment horizontal="center" vertical="center" textRotation="90"/>
    </xf>
    <xf numFmtId="0" fontId="1" fillId="0" borderId="22" xfId="0" applyFont="1" applyBorder="1" applyAlignment="1">
      <alignment horizontal="center" vertical="center" textRotation="90"/>
    </xf>
    <xf numFmtId="0" fontId="1" fillId="0" borderId="23" xfId="0" applyFont="1" applyBorder="1" applyAlignment="1">
      <alignment horizontal="center" vertical="center" textRotation="90"/>
    </xf>
    <xf numFmtId="0" fontId="1" fillId="0" borderId="24" xfId="0" applyFont="1" applyBorder="1" applyAlignment="1">
      <alignment horizontal="center" vertical="center" textRotation="90"/>
    </xf>
    <xf numFmtId="0" fontId="1" fillId="0" borderId="22" xfId="0" applyFont="1" applyBorder="1" applyAlignment="1">
      <alignment horizontal="center" vertical="center" textRotation="90" wrapText="1"/>
    </xf>
    <xf numFmtId="0" fontId="1" fillId="0" borderId="24" xfId="0" applyFont="1" applyBorder="1" applyAlignment="1">
      <alignment horizontal="center" vertical="center" textRotation="90" wrapText="1"/>
    </xf>
    <xf numFmtId="0" fontId="0" fillId="0" borderId="26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3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6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277010</xdr:colOff>
      <xdr:row>12</xdr:row>
      <xdr:rowOff>55805</xdr:rowOff>
    </xdr:from>
    <xdr:ext cx="1226820" cy="4121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6EBB6AF-2A16-A835-44BE-7AD586687221}"/>
                </a:ext>
              </a:extLst>
            </xdr:cNvPr>
            <xdr:cNvSpPr txBox="1"/>
          </xdr:nvSpPr>
          <xdr:spPr>
            <a:xfrm>
              <a:off x="10138186" y="3256205"/>
              <a:ext cx="1226820" cy="4121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GB" sz="1100" b="0" i="1">
                      <a:latin typeface="Cambria Math" panose="02040503050406030204" pitchFamily="18" charset="0"/>
                    </a:rPr>
                    <m:t>𝑅𝑒</m:t>
                  </m:r>
                  <m:r>
                    <a:rPr lang="en-GB" sz="11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n-GB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𝑉</m:t>
                      </m:r>
                      <m:r>
                        <a:rPr lang="en-GB" sz="11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𝑐</m:t>
                      </m:r>
                    </m:num>
                    <m:den>
                      <m:r>
                        <m:rPr>
                          <m:sty m:val="p"/>
                        </m:rPr>
                        <a:rPr lang="el-GR" i="1">
                          <a:latin typeface="Cambria Math" panose="02040503050406030204" pitchFamily="18" charset="0"/>
                        </a:rPr>
                        <m:t>ν</m:t>
                      </m:r>
                    </m:den>
                  </m:f>
                </m:oMath>
              </a14:m>
              <a:r>
                <a:rPr lang="en-GB" sz="1100"/>
                <a:t> </a:t>
              </a:r>
              <a14:m>
                <m:oMath xmlns:m="http://schemas.openxmlformats.org/officeDocument/2006/math">
                  <m:r>
                    <a:rPr lang="en-GB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≈</m:t>
                  </m:r>
                </m:oMath>
              </a14:m>
              <a:r>
                <a:rPr lang="en-GB" sz="1100"/>
                <a:t> 500000	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6EBB6AF-2A16-A835-44BE-7AD586687221}"/>
                </a:ext>
              </a:extLst>
            </xdr:cNvPr>
            <xdr:cNvSpPr txBox="1"/>
          </xdr:nvSpPr>
          <xdr:spPr>
            <a:xfrm>
              <a:off x="10138186" y="3256205"/>
              <a:ext cx="1226820" cy="4121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𝑅𝑒=  (𝑉∗𝑐)/</a:t>
              </a:r>
              <a:r>
                <a:rPr lang="el-GR" i="0"/>
                <a:t>ν</a:t>
              </a:r>
              <a:r>
                <a:rPr lang="en-GB" sz="1100"/>
                <a:t> </a:t>
              </a:r>
              <a:r>
                <a:rPr lang="en-GB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≈</a:t>
              </a:r>
              <a:r>
                <a:rPr lang="en-GB" sz="1100"/>
                <a:t> 500000	</a:t>
              </a:r>
            </a:p>
          </xdr:txBody>
        </xdr:sp>
      </mc:Fallback>
    </mc:AlternateContent>
    <xdr:clientData/>
  </xdr:oneCellAnchor>
  <xdr:oneCellAnchor>
    <xdr:from>
      <xdr:col>6</xdr:col>
      <xdr:colOff>449580</xdr:colOff>
      <xdr:row>16</xdr:row>
      <xdr:rowOff>278130</xdr:rowOff>
    </xdr:from>
    <xdr:ext cx="1242060" cy="285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F1E2619-C87F-3521-76B9-2292C71540C6}"/>
                </a:ext>
              </a:extLst>
            </xdr:cNvPr>
            <xdr:cNvSpPr txBox="1"/>
          </xdr:nvSpPr>
          <xdr:spPr>
            <a:xfrm>
              <a:off x="8542020" y="5231130"/>
              <a:ext cx="1242060" cy="285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200"/>
                <a:t>S=</a:t>
              </a:r>
              <a14:m>
                <m:oMath xmlns:m="http://schemas.openxmlformats.org/officeDocument/2006/math">
                  <m:f>
                    <m:fPr>
                      <m:ctrlPr>
                        <a:rPr lang="en-GB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200" b="0" i="1">
                          <a:latin typeface="Cambria Math" panose="02040503050406030204" pitchFamily="18" charset="0"/>
                        </a:rPr>
                        <m:t>2∗</m:t>
                      </m:r>
                      <m:r>
                        <a:rPr lang="en-GB" sz="1200" b="0" i="1">
                          <a:latin typeface="Cambria Math" panose="02040503050406030204" pitchFamily="18" charset="0"/>
                        </a:rPr>
                        <m:t>𝑀𝑇𝑂𝑊</m:t>
                      </m:r>
                      <m:r>
                        <a:rPr lang="en-GB" sz="12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n-GB" sz="1200" b="0" i="1">
                          <a:latin typeface="Cambria Math" panose="02040503050406030204" pitchFamily="18" charset="0"/>
                        </a:rPr>
                        <m:t>𝑔</m:t>
                      </m:r>
                    </m:num>
                    <m:den>
                      <m:r>
                        <a:rPr lang="el-GR" sz="1200" i="1">
                          <a:latin typeface="Cambria Math" panose="02040503050406030204" pitchFamily="18" charset="0"/>
                        </a:rPr>
                        <m:t>𝜌</m:t>
                      </m:r>
                      <m:r>
                        <a:rPr lang="en-GB" sz="1200" b="0" i="1">
                          <a:latin typeface="Cambria Math" panose="02040503050406030204" pitchFamily="18" charset="0"/>
                        </a:rPr>
                        <m:t>∗</m:t>
                      </m:r>
                      <m:sSup>
                        <m:sSupPr>
                          <m:ctrlPr>
                            <a:rPr lang="en-GB" sz="12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GB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𝑉𝑠𝑡𝑎𝑙𝑙</m:t>
                          </m:r>
                        </m:e>
                        <m:sup>
                          <m:r>
                            <a:rPr lang="en-GB" sz="12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  <m:r>
                        <a:rPr lang="en-GB" sz="1200" b="0" i="1">
                          <a:latin typeface="Cambria Math" panose="02040503050406030204" pitchFamily="18" charset="0"/>
                        </a:rPr>
                        <m:t>∗</m:t>
                      </m:r>
                      <m:sSub>
                        <m:sSubPr>
                          <m:ctrlPr>
                            <a:rPr lang="en-GB" sz="12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GB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𝐶</m:t>
                          </m:r>
                        </m:e>
                        <m:sub>
                          <m:r>
                            <a:rPr lang="en-GB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𝐿𝑚𝑎𝑥</m:t>
                          </m:r>
                        </m:sub>
                      </m:sSub>
                    </m:den>
                  </m:f>
                </m:oMath>
              </a14:m>
              <a:endParaRPr lang="en-GB" sz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F1E2619-C87F-3521-76B9-2292C71540C6}"/>
                </a:ext>
              </a:extLst>
            </xdr:cNvPr>
            <xdr:cNvSpPr txBox="1"/>
          </xdr:nvSpPr>
          <xdr:spPr>
            <a:xfrm>
              <a:off x="8542020" y="5231130"/>
              <a:ext cx="1242060" cy="285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200"/>
                <a:t>S=</a:t>
              </a:r>
              <a:r>
                <a:rPr lang="en-GB" sz="1200" i="0">
                  <a:latin typeface="Cambria Math" panose="02040503050406030204" pitchFamily="18" charset="0"/>
                </a:rPr>
                <a:t>(</a:t>
              </a:r>
              <a:r>
                <a:rPr lang="en-GB" sz="1200" b="0" i="0">
                  <a:latin typeface="Cambria Math" panose="02040503050406030204" pitchFamily="18" charset="0"/>
                </a:rPr>
                <a:t>2∗𝑀𝑇𝑂𝑊∗𝑔)/(</a:t>
              </a:r>
              <a:r>
                <a:rPr lang="el-GR" sz="1200" i="0">
                  <a:latin typeface="Cambria Math" panose="02040503050406030204" pitchFamily="18" charset="0"/>
                </a:rPr>
                <a:t>𝜌</a:t>
              </a:r>
              <a:r>
                <a:rPr lang="en-GB" sz="1200" b="0" i="0">
                  <a:latin typeface="Cambria Math" panose="02040503050406030204" pitchFamily="18" charset="0"/>
                </a:rPr>
                <a:t>∗〖</a:t>
              </a:r>
              <a:r>
                <a:rPr lang="en-GB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</a:t>
              </a:r>
              <a:r>
                <a:rPr lang="en-GB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𝑠𝑡𝑎𝑙𝑙〗^</a:t>
              </a:r>
              <a:r>
                <a:rPr lang="en-GB" sz="1200" b="0" i="0">
                  <a:latin typeface="Cambria Math" panose="02040503050406030204" pitchFamily="18" charset="0"/>
                </a:rPr>
                <a:t>2∗</a:t>
              </a:r>
              <a:r>
                <a:rPr lang="en-GB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</a:t>
              </a:r>
              <a:r>
                <a:rPr lang="en-GB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𝐿𝑚𝑎𝑥</a:t>
              </a:r>
              <a:r>
                <a:rPr lang="en-GB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n-GB" sz="1200"/>
            </a:p>
          </xdr:txBody>
        </xdr:sp>
      </mc:Fallback>
    </mc:AlternateContent>
    <xdr:clientData/>
  </xdr:oneCellAnchor>
  <xdr:twoCellAnchor editAs="oneCell">
    <xdr:from>
      <xdr:col>7</xdr:col>
      <xdr:colOff>320040</xdr:colOff>
      <xdr:row>6</xdr:row>
      <xdr:rowOff>58728</xdr:rowOff>
    </xdr:from>
    <xdr:to>
      <xdr:col>15</xdr:col>
      <xdr:colOff>163830</xdr:colOff>
      <xdr:row>16</xdr:row>
      <xdr:rowOff>682663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ADB5BC-C36B-37E1-C135-2CF92E8BC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800" y="1156008"/>
          <a:ext cx="4987290" cy="4115128"/>
        </a:xfrm>
        <a:prstGeom prst="rect">
          <a:avLst/>
        </a:prstGeom>
      </xdr:spPr>
    </xdr:pic>
    <xdr:clientData/>
  </xdr:twoCellAnchor>
  <xdr:twoCellAnchor editAs="oneCell">
    <xdr:from>
      <xdr:col>15</xdr:col>
      <xdr:colOff>213360</xdr:colOff>
      <xdr:row>8</xdr:row>
      <xdr:rowOff>137160</xdr:rowOff>
    </xdr:from>
    <xdr:to>
      <xdr:col>27</xdr:col>
      <xdr:colOff>594360</xdr:colOff>
      <xdr:row>14</xdr:row>
      <xdr:rowOff>167191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110C1-88C1-A99D-7F8D-2D0E309ED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52620" y="1600200"/>
          <a:ext cx="7696200" cy="2400300"/>
        </a:xfrm>
        <a:prstGeom prst="rect">
          <a:avLst/>
        </a:prstGeom>
      </xdr:spPr>
    </xdr:pic>
    <xdr:clientData/>
  </xdr:twoCellAnchor>
  <xdr:oneCellAnchor>
    <xdr:from>
      <xdr:col>6</xdr:col>
      <xdr:colOff>640976</xdr:colOff>
      <xdr:row>17</xdr:row>
      <xdr:rowOff>188259</xdr:rowOff>
    </xdr:from>
    <xdr:ext cx="628185" cy="1935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EE212F3-40AB-9173-A8B5-2C0EDD2FF046}"/>
                </a:ext>
              </a:extLst>
            </xdr:cNvPr>
            <xdr:cNvSpPr txBox="1"/>
          </xdr:nvSpPr>
          <xdr:spPr>
            <a:xfrm>
              <a:off x="10502152" y="5540188"/>
              <a:ext cx="628185" cy="1935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/>
                <a:t>b=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𝑆</m:t>
                      </m:r>
                      <m:r>
                        <a:rPr lang="en-GB" sz="11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𝐴𝑅</m:t>
                      </m:r>
                    </m:e>
                  </m:rad>
                </m:oMath>
              </a14:m>
              <a:endParaRPr lang="en-GB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EE212F3-40AB-9173-A8B5-2C0EDD2FF046}"/>
                </a:ext>
              </a:extLst>
            </xdr:cNvPr>
            <xdr:cNvSpPr txBox="1"/>
          </xdr:nvSpPr>
          <xdr:spPr>
            <a:xfrm>
              <a:off x="10502152" y="5540188"/>
              <a:ext cx="628185" cy="1935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/>
                <a:t>b=</a:t>
              </a:r>
              <a:r>
                <a:rPr lang="en-GB" sz="1100" i="0">
                  <a:latin typeface="Cambria Math" panose="02040503050406030204" pitchFamily="18" charset="0"/>
                </a:rPr>
                <a:t>√(</a:t>
              </a:r>
              <a:r>
                <a:rPr lang="en-GB" sz="1100" b="0" i="0">
                  <a:latin typeface="Cambria Math" panose="02040503050406030204" pitchFamily="18" charset="0"/>
                </a:rPr>
                <a:t>𝑆∗𝐴𝑅)</a:t>
              </a:r>
              <a:endParaRPr lang="en-GB" sz="1100"/>
            </a:p>
          </xdr:txBody>
        </xdr:sp>
      </mc:Fallback>
    </mc:AlternateContent>
    <xdr:clientData/>
  </xdr:oneCellAnchor>
  <xdr:twoCellAnchor editAs="oneCell">
    <xdr:from>
      <xdr:col>7</xdr:col>
      <xdr:colOff>390525</xdr:colOff>
      <xdr:row>23</xdr:row>
      <xdr:rowOff>361785</xdr:rowOff>
    </xdr:from>
    <xdr:to>
      <xdr:col>16</xdr:col>
      <xdr:colOff>220000</xdr:colOff>
      <xdr:row>41</xdr:row>
      <xdr:rowOff>95807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8B29BA-C9C7-4D74-BE72-50141DD92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58275" y="8381835"/>
          <a:ext cx="5573050" cy="3363047"/>
        </a:xfrm>
        <a:prstGeom prst="rect">
          <a:avLst/>
        </a:prstGeom>
      </xdr:spPr>
    </xdr:pic>
    <xdr:clientData/>
  </xdr:twoCellAnchor>
  <xdr:twoCellAnchor editAs="oneCell">
    <xdr:from>
      <xdr:col>7</xdr:col>
      <xdr:colOff>561975</xdr:colOff>
      <xdr:row>16</xdr:row>
      <xdr:rowOff>742950</xdr:rowOff>
    </xdr:from>
    <xdr:to>
      <xdr:col>13</xdr:col>
      <xdr:colOff>340641</xdr:colOff>
      <xdr:row>23</xdr:row>
      <xdr:rowOff>88106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F2834F5-F9D8-29DA-1825-DE761F7F5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29725" y="5324475"/>
          <a:ext cx="3693441" cy="2771775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304800</xdr:colOff>
      <xdr:row>17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688B08BC-995B-4362-E5FC-A128D600F8C1}"/>
            </a:ext>
          </a:extLst>
        </xdr:cNvPr>
        <xdr:cNvSpPr>
          <a:spLocks noChangeAspect="1" noChangeArrowheads="1"/>
        </xdr:cNvSpPr>
      </xdr:nvSpPr>
      <xdr:spPr bwMode="auto">
        <a:xfrm>
          <a:off x="15621000" y="54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304800</xdr:colOff>
      <xdr:row>21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F526B9F3-4525-9140-61C9-43985D3A3E06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711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304800</xdr:colOff>
      <xdr:row>21</xdr:row>
      <xdr:rowOff>304800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24F3F33E-8AC4-DCFA-628B-902A5D259161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711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114300</xdr:colOff>
      <xdr:row>16</xdr:row>
      <xdr:rowOff>699412</xdr:rowOff>
    </xdr:from>
    <xdr:to>
      <xdr:col>30</xdr:col>
      <xdr:colOff>285749</xdr:colOff>
      <xdr:row>23</xdr:row>
      <xdr:rowOff>154884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376B2A1-B747-AEE8-BFAC-F9580847D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183225" y="5280937"/>
          <a:ext cx="5048249" cy="2882091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304800</xdr:colOff>
      <xdr:row>17</xdr:row>
      <xdr:rowOff>304800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D8EF206B-D831-9E9E-DA95-771B1A8A2907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54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390525</xdr:colOff>
      <xdr:row>16</xdr:row>
      <xdr:rowOff>700863</xdr:rowOff>
    </xdr:from>
    <xdr:to>
      <xdr:col>21</xdr:col>
      <xdr:colOff>571499</xdr:colOff>
      <xdr:row>23</xdr:row>
      <xdr:rowOff>168973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FF2FDF2-8722-E3CD-C1A9-E16A46B83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73050" y="5282388"/>
          <a:ext cx="5057774" cy="28947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358140</xdr:colOff>
      <xdr:row>2</xdr:row>
      <xdr:rowOff>30480</xdr:rowOff>
    </xdr:from>
    <xdr:to>
      <xdr:col>13</xdr:col>
      <xdr:colOff>572637</xdr:colOff>
      <xdr:row>13</xdr:row>
      <xdr:rowOff>63942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5359A4D-915E-0AE7-EEA1-8FD509FB8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4565" y="392430"/>
          <a:ext cx="3872097" cy="2921779"/>
        </a:xfrm>
        <a:prstGeom prst="rect">
          <a:avLst/>
        </a:prstGeom>
      </xdr:spPr>
    </xdr:pic>
    <xdr:clientData/>
  </xdr:twoCellAnchor>
  <xdr:oneCellAnchor>
    <xdr:from>
      <xdr:col>6</xdr:col>
      <xdr:colOff>342900</xdr:colOff>
      <xdr:row>8</xdr:row>
      <xdr:rowOff>57150</xdr:rowOff>
    </xdr:from>
    <xdr:ext cx="978088" cy="3465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3796B73-FB85-71B5-ADBD-3DBBE5D816F6}"/>
                </a:ext>
              </a:extLst>
            </xdr:cNvPr>
            <xdr:cNvSpPr txBox="1"/>
          </xdr:nvSpPr>
          <xdr:spPr>
            <a:xfrm>
              <a:off x="8892540" y="1520190"/>
              <a:ext cx="978088" cy="3465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𝑉𝑇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𝑉𝑇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𝑉𝑇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3796B73-FB85-71B5-ADBD-3DBBE5D816F6}"/>
                </a:ext>
              </a:extLst>
            </xdr:cNvPr>
            <xdr:cNvSpPr txBox="1"/>
          </xdr:nvSpPr>
          <xdr:spPr>
            <a:xfrm>
              <a:off x="8892540" y="1520190"/>
              <a:ext cx="978088" cy="3465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𝐶_𝑉𝑇=(𝐿_𝑉𝑇∗𝑆_𝑉𝑇)/(𝑏_𝑤∗𝑆_𝑊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6</xdr:col>
      <xdr:colOff>388620</xdr:colOff>
      <xdr:row>14</xdr:row>
      <xdr:rowOff>53340</xdr:rowOff>
    </xdr:from>
    <xdr:ext cx="1008866" cy="3465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53C3C438-3E62-4F8E-A847-D92209F27933}"/>
                </a:ext>
              </a:extLst>
            </xdr:cNvPr>
            <xdr:cNvSpPr txBox="1"/>
          </xdr:nvSpPr>
          <xdr:spPr>
            <a:xfrm>
              <a:off x="8938260" y="3063240"/>
              <a:ext cx="1008866" cy="3465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𝐻𝑇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53C3C438-3E62-4F8E-A847-D92209F27933}"/>
                </a:ext>
              </a:extLst>
            </xdr:cNvPr>
            <xdr:cNvSpPr txBox="1"/>
          </xdr:nvSpPr>
          <xdr:spPr>
            <a:xfrm>
              <a:off x="8938260" y="3063240"/>
              <a:ext cx="1008866" cy="3465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𝐶_𝐻𝑇=(𝐿_𝐻𝑇∗𝑆_𝐻𝑇)/(𝐶_𝑤∗𝑆_𝑊 )</a:t>
              </a:r>
              <a:endParaRPr lang="en-GB" sz="1100"/>
            </a:p>
          </xdr:txBody>
        </xdr:sp>
      </mc:Fallback>
    </mc:AlternateContent>
    <xdr:clientData/>
  </xdr:oneCellAnchor>
  <xdr:twoCellAnchor editAs="oneCell">
    <xdr:from>
      <xdr:col>14</xdr:col>
      <xdr:colOff>273879</xdr:colOff>
      <xdr:row>0</xdr:row>
      <xdr:rowOff>0</xdr:rowOff>
    </xdr:from>
    <xdr:to>
      <xdr:col>21</xdr:col>
      <xdr:colOff>441959</xdr:colOff>
      <xdr:row>26</xdr:row>
      <xdr:rowOff>142847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41E4C1F-AC95-4510-BCF6-C581E1CD7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26199" y="0"/>
          <a:ext cx="4435280" cy="8542020"/>
        </a:xfrm>
        <a:prstGeom prst="rect">
          <a:avLst/>
        </a:prstGeom>
      </xdr:spPr>
    </xdr:pic>
    <xdr:clientData/>
  </xdr:twoCellAnchor>
  <xdr:oneCellAnchor>
    <xdr:from>
      <xdr:col>6</xdr:col>
      <xdr:colOff>304800</xdr:colOff>
      <xdr:row>16</xdr:row>
      <xdr:rowOff>91440</xdr:rowOff>
    </xdr:from>
    <xdr:ext cx="1248098" cy="3456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C3636E4-5411-4DA0-9E71-4D4CC78F371D}"/>
                </a:ext>
              </a:extLst>
            </xdr:cNvPr>
            <xdr:cNvSpPr txBox="1"/>
          </xdr:nvSpPr>
          <xdr:spPr>
            <a:xfrm>
              <a:off x="8100060" y="4206240"/>
              <a:ext cx="1248098" cy="345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𝐻𝑇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GB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GB" sz="11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e>
                            </m:acc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C3636E4-5411-4DA0-9E71-4D4CC78F371D}"/>
                </a:ext>
              </a:extLst>
            </xdr:cNvPr>
            <xdr:cNvSpPr txBox="1"/>
          </xdr:nvSpPr>
          <xdr:spPr>
            <a:xfrm>
              <a:off x="8100060" y="4206240"/>
              <a:ext cx="1248098" cy="345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𝑆_𝐻𝑇=(𝑐_𝐻𝑇∗𝑐 ̅_𝑊∗𝑆_𝑊)/𝐿_𝐻𝑇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6</xdr:col>
      <xdr:colOff>259080</xdr:colOff>
      <xdr:row>10</xdr:row>
      <xdr:rowOff>38100</xdr:rowOff>
    </xdr:from>
    <xdr:ext cx="1237710" cy="3490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C31F46B3-7450-40C8-9231-BA20E1F88A0F}"/>
                </a:ext>
              </a:extLst>
            </xdr:cNvPr>
            <xdr:cNvSpPr txBox="1"/>
          </xdr:nvSpPr>
          <xdr:spPr>
            <a:xfrm>
              <a:off x="8054340" y="2324100"/>
              <a:ext cx="1237710" cy="3490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𝑉𝑇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𝑉𝑇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𝑉𝑇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C31F46B3-7450-40C8-9231-BA20E1F88A0F}"/>
                </a:ext>
              </a:extLst>
            </xdr:cNvPr>
            <xdr:cNvSpPr txBox="1"/>
          </xdr:nvSpPr>
          <xdr:spPr>
            <a:xfrm>
              <a:off x="8054340" y="2324100"/>
              <a:ext cx="1237710" cy="3490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𝑆_𝑉𝑇=(𝑐_𝑉𝑇∗𝑏_𝑊∗𝑆_𝑊)/𝐿_𝑉𝑇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6</xdr:col>
      <xdr:colOff>373380</xdr:colOff>
      <xdr:row>19</xdr:row>
      <xdr:rowOff>72390</xdr:rowOff>
    </xdr:from>
    <xdr:ext cx="1493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739AE511-7BE1-21F0-A0ED-312C4C79873B}"/>
                </a:ext>
              </a:extLst>
            </xdr:cNvPr>
            <xdr:cNvSpPr txBox="1"/>
          </xdr:nvSpPr>
          <xdr:spPr>
            <a:xfrm>
              <a:off x="8168640" y="5276850"/>
              <a:ext cx="1493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GB" sz="1100" b="0" i="1">
                      <a:latin typeface="Cambria Math" panose="02040503050406030204" pitchFamily="18" charset="0"/>
                    </a:rPr>
                    <m:t>𝑉𝑡𝑎𝑖</m:t>
                  </m:r>
                  <m:sSub>
                    <m:sSubPr>
                      <m:ctrlPr>
                        <a:rPr lang="en-GB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𝑙</m:t>
                      </m:r>
                    </m:e>
                    <m:sub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𝑎𝑛𝑔𝑙𝑒</m:t>
                      </m:r>
                    </m:sub>
                  </m:sSub>
                </m:oMath>
              </a14:m>
              <a:r>
                <a:rPr lang="en-GB" sz="1100"/>
                <a:t>= </a:t>
              </a:r>
              <a14:m>
                <m:oMath xmlns:m="http://schemas.openxmlformats.org/officeDocument/2006/math">
                  <m:func>
                    <m:func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funcPr>
                    <m:fName>
                      <m:sSup>
                        <m:sSupPr>
                          <m:ctrlPr>
                            <a:rPr lang="en-GB" sz="110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m:rPr>
                              <m:sty m:val="p"/>
                            </m:rPr>
                            <a:rPr lang="en-GB" sz="1100" i="0">
                              <a:latin typeface="Cambria Math" panose="02040503050406030204" pitchFamily="18" charset="0"/>
                            </a:rPr>
                            <m:t>tan</m:t>
                          </m:r>
                        </m:e>
                        <m:sup>
                          <m:r>
                            <a:rPr lang="en-GB" sz="1100" i="1">
                              <a:latin typeface="Cambria Math" panose="02040503050406030204" pitchFamily="18" charset="0"/>
                            </a:rPr>
                            <m:t>−1</m:t>
                          </m:r>
                        </m:sup>
                      </m:sSup>
                    </m:fName>
                    <m:e>
                      <m:r>
                        <a:rPr lang="en-GB" sz="1100" b="0" i="1">
                          <a:latin typeface="Cambria Math" panose="02040503050406030204" pitchFamily="18" charset="0"/>
                        </a:rPr>
                        <m:t>(</m:t>
                      </m:r>
                      <m:rad>
                        <m:radPr>
                          <m:degHide m:val="on"/>
                          <m:ctrlPr>
                            <a:rPr lang="en-GB" sz="110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f>
                            <m:fPr>
                              <m:ctrlPr>
                                <a:rPr lang="en-GB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sSub>
                                <m:sSubPr>
                                  <m:ctrlPr>
                                    <a:rPr lang="en-GB" sz="110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GB" sz="1100" b="0" i="1">
                                      <a:latin typeface="Cambria Math" panose="02040503050406030204" pitchFamily="18" charset="0"/>
                                    </a:rPr>
                                    <m:t>𝑆</m:t>
                                  </m:r>
                                </m:e>
                                <m:sub>
                                  <m:r>
                                    <a:rPr lang="en-GB" sz="1100" b="0" i="1">
                                      <a:latin typeface="Cambria Math" panose="02040503050406030204" pitchFamily="18" charset="0"/>
                                    </a:rPr>
                                    <m:t>𝑉𝑇</m:t>
                                  </m:r>
                                </m:sub>
                              </m:sSub>
                            </m:num>
                            <m:den>
                              <m:sSub>
                                <m:sSubPr>
                                  <m:ctrlPr>
                                    <a:rPr lang="en-GB" sz="110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GB" sz="1100" b="0" i="1">
                                      <a:latin typeface="Cambria Math" panose="02040503050406030204" pitchFamily="18" charset="0"/>
                                    </a:rPr>
                                    <m:t>𝑆</m:t>
                                  </m:r>
                                </m:e>
                                <m:sub>
                                  <m:r>
                                    <a:rPr lang="en-GB" sz="1100" b="0" i="1">
                                      <a:latin typeface="Cambria Math" panose="02040503050406030204" pitchFamily="18" charset="0"/>
                                    </a:rPr>
                                    <m:t>𝐻𝑇</m:t>
                                  </m:r>
                                </m:sub>
                              </m:sSub>
                            </m:den>
                          </m:f>
                        </m:e>
                      </m:rad>
                    </m:e>
                  </m:func>
                  <m:r>
                    <a:rPr lang="en-GB" sz="1100" b="0" i="1">
                      <a:latin typeface="Cambria Math" panose="02040503050406030204" pitchFamily="18" charset="0"/>
                    </a:rPr>
                    <m:t> )</m:t>
                  </m:r>
                </m:oMath>
              </a14:m>
              <a:endParaRPr lang="en-GB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739AE511-7BE1-21F0-A0ED-312C4C79873B}"/>
                </a:ext>
              </a:extLst>
            </xdr:cNvPr>
            <xdr:cNvSpPr txBox="1"/>
          </xdr:nvSpPr>
          <xdr:spPr>
            <a:xfrm>
              <a:off x="8168640" y="5276850"/>
              <a:ext cx="1493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𝑉𝑡𝑎𝑖𝑙_𝑎𝑛𝑔𝑙𝑒</a:t>
              </a:r>
              <a:r>
                <a:rPr lang="en-GB" sz="1100"/>
                <a:t>= </a:t>
              </a:r>
              <a:r>
                <a:rPr lang="en-GB" sz="1100" i="0">
                  <a:latin typeface="Cambria Math" panose="02040503050406030204" pitchFamily="18" charset="0"/>
                </a:rPr>
                <a:t>tan^(−1)⁡〖</a:t>
              </a:r>
              <a:r>
                <a:rPr lang="en-GB" sz="1100" b="0" i="0">
                  <a:latin typeface="Cambria Math" panose="02040503050406030204" pitchFamily="18" charset="0"/>
                </a:rPr>
                <a:t>(√(𝑆_𝑉𝑇/𝑆_𝐻𝑇 )〗 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6</xdr:col>
      <xdr:colOff>104775</xdr:colOff>
      <xdr:row>20</xdr:row>
      <xdr:rowOff>185736</xdr:rowOff>
    </xdr:from>
    <xdr:ext cx="2324100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E9644B7-D2C0-1695-F5FC-2683CDF57196}"/>
                </a:ext>
              </a:extLst>
            </xdr:cNvPr>
            <xdr:cNvSpPr txBox="1"/>
          </xdr:nvSpPr>
          <xdr:spPr>
            <a:xfrm>
              <a:off x="7705725" y="6119811"/>
              <a:ext cx="2324100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𝑣𝑡𝑎𝑖𝑙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𝑐𝑜𝑠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𝑠𝑖𝑛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𝐻𝑇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𝑉𝑇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E9644B7-D2C0-1695-F5FC-2683CDF57196}"/>
                </a:ext>
              </a:extLst>
            </xdr:cNvPr>
            <xdr:cNvSpPr txBox="1"/>
          </xdr:nvSpPr>
          <xdr:spPr>
            <a:xfrm>
              <a:off x="7705725" y="6119811"/>
              <a:ext cx="2324100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</a:t>
              </a:r>
              <a:r>
                <a:rPr lang="bg-BG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𝑣𝑡𝑎𝑖𝑙∗(〖𝑐𝑜𝑠〗^2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𝜃+〖𝑠𝑖𝑛〗^2 𝜃)</a:t>
              </a:r>
              <a:r>
                <a:rPr lang="en-US" sz="1100" b="0" i="0">
                  <a:latin typeface="Cambria Math" panose="02040503050406030204" pitchFamily="18" charset="0"/>
                </a:rPr>
                <a:t>=𝑆_𝐻𝑇+𝑆_𝑉𝑇</a:t>
              </a:r>
              <a:endParaRPr lang="bg-BG" sz="1100"/>
            </a:p>
          </xdr:txBody>
        </xdr:sp>
      </mc:Fallback>
    </mc:AlternateContent>
    <xdr:clientData/>
  </xdr:oneCellAnchor>
  <xdr:twoCellAnchor editAs="oneCell">
    <xdr:from>
      <xdr:col>9</xdr:col>
      <xdr:colOff>0</xdr:colOff>
      <xdr:row>16</xdr:row>
      <xdr:rowOff>0</xdr:rowOff>
    </xdr:from>
    <xdr:to>
      <xdr:col>9</xdr:col>
      <xdr:colOff>304800</xdr:colOff>
      <xdr:row>16</xdr:row>
      <xdr:rowOff>304800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34EC048A-AE5F-618D-5C8F-E6720EA6C52B}"/>
            </a:ext>
          </a:extLst>
        </xdr:cNvPr>
        <xdr:cNvSpPr>
          <a:spLocks noChangeAspect="1" noChangeArrowheads="1"/>
        </xdr:cNvSpPr>
      </xdr:nvSpPr>
      <xdr:spPr bwMode="auto">
        <a:xfrm>
          <a:off x="10706100" y="416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581025</xdr:colOff>
      <xdr:row>16</xdr:row>
      <xdr:rowOff>0</xdr:rowOff>
    </xdr:from>
    <xdr:to>
      <xdr:col>9</xdr:col>
      <xdr:colOff>276225</xdr:colOff>
      <xdr:row>16</xdr:row>
      <xdr:rowOff>304800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FF0A2B44-BD6F-28D1-8210-878032004166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414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304800</xdr:colOff>
      <xdr:row>16</xdr:row>
      <xdr:rowOff>304800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951B3235-4606-C332-7BEE-8AE865C65F5A}"/>
            </a:ext>
          </a:extLst>
        </xdr:cNvPr>
        <xdr:cNvSpPr>
          <a:spLocks noChangeAspect="1" noChangeArrowheads="1"/>
        </xdr:cNvSpPr>
      </xdr:nvSpPr>
      <xdr:spPr bwMode="auto">
        <a:xfrm>
          <a:off x="10096500" y="416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38100</xdr:colOff>
      <xdr:row>14</xdr:row>
      <xdr:rowOff>201030</xdr:rowOff>
    </xdr:from>
    <xdr:to>
      <xdr:col>14</xdr:col>
      <xdr:colOff>104774</xdr:colOff>
      <xdr:row>19</xdr:row>
      <xdr:rowOff>35299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78376F-B1B0-8C9F-6AB3-189DA517B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44125" y="3525255"/>
          <a:ext cx="3724274" cy="22373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243841</xdr:colOff>
      <xdr:row>0</xdr:row>
      <xdr:rowOff>114300</xdr:rowOff>
    </xdr:from>
    <xdr:to>
      <xdr:col>14</xdr:col>
      <xdr:colOff>546913</xdr:colOff>
      <xdr:row>12</xdr:row>
      <xdr:rowOff>293370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222B88-1AD5-DABE-CEDA-F40B445B3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0741" y="114300"/>
          <a:ext cx="4570272" cy="27736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320139</xdr:colOff>
      <xdr:row>8</xdr:row>
      <xdr:rowOff>67734</xdr:rowOff>
    </xdr:from>
    <xdr:to>
      <xdr:col>18</xdr:col>
      <xdr:colOff>33867</xdr:colOff>
      <xdr:row>14</xdr:row>
      <xdr:rowOff>380687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5FC672-108B-448D-985A-A6D845653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8272" y="1566334"/>
          <a:ext cx="6419328" cy="3767353"/>
        </a:xfrm>
        <a:prstGeom prst="rect">
          <a:avLst/>
        </a:prstGeom>
      </xdr:spPr>
    </xdr:pic>
    <xdr:clientData/>
  </xdr:twoCellAnchor>
  <xdr:oneCellAnchor>
    <xdr:from>
      <xdr:col>1</xdr:col>
      <xdr:colOff>151924</xdr:colOff>
      <xdr:row>8</xdr:row>
      <xdr:rowOff>448288</xdr:rowOff>
    </xdr:from>
    <xdr:ext cx="718026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0EDCDE1-0BA2-CDE2-4DDB-6AF0AD8E70FD}"/>
                </a:ext>
              </a:extLst>
            </xdr:cNvPr>
            <xdr:cNvSpPr txBox="1"/>
          </xdr:nvSpPr>
          <xdr:spPr>
            <a:xfrm>
              <a:off x="808091" y="1972288"/>
              <a:ext cx="718026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𝐴𝐶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𝑊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0EDCDE1-0BA2-CDE2-4DDB-6AF0AD8E70FD}"/>
                </a:ext>
              </a:extLst>
            </xdr:cNvPr>
            <xdr:cNvSpPr txBox="1"/>
          </xdr:nvSpPr>
          <xdr:spPr>
            <a:xfrm>
              <a:off x="808091" y="1972288"/>
              <a:ext cx="718026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 ̅_(𝐴𝐶,𝑊)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6</xdr:col>
      <xdr:colOff>333375</xdr:colOff>
      <xdr:row>8</xdr:row>
      <xdr:rowOff>14287</xdr:rowOff>
    </xdr:from>
    <xdr:ext cx="1975284" cy="3511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D935CC-4C27-78F0-2278-2BD5BE7C93F3}"/>
                </a:ext>
              </a:extLst>
            </xdr:cNvPr>
            <xdr:cNvSpPr txBox="1"/>
          </xdr:nvSpPr>
          <xdr:spPr>
            <a:xfrm>
              <a:off x="7124700" y="2519362"/>
              <a:ext cx="1975284" cy="351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bg-BG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𝐴𝐶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0,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+(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𝐴𝐶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𝑟𝑜𝑜𝑡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𝑀𝐴𝐶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D935CC-4C27-78F0-2278-2BD5BE7C93F3}"/>
                </a:ext>
              </a:extLst>
            </xdr:cNvPr>
            <xdr:cNvSpPr txBox="1"/>
          </xdr:nvSpPr>
          <xdr:spPr>
            <a:xfrm>
              <a:off x="7124700" y="2519362"/>
              <a:ext cx="1975284" cy="351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bg-BG" sz="1100" b="0" i="0">
                  <a:latin typeface="Cambria Math" panose="02040503050406030204" pitchFamily="18" charset="0"/>
                </a:rPr>
                <a:t> ̅_(</a:t>
              </a:r>
              <a:r>
                <a:rPr lang="en-US" sz="1100" b="0" i="0">
                  <a:latin typeface="Cambria Math" panose="02040503050406030204" pitchFamily="18" charset="0"/>
                </a:rPr>
                <a:t>𝐴𝐶,𝑊</a:t>
              </a:r>
              <a:r>
                <a:rPr lang="bg-BG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=(𝑥_(0,𝑊)+(𝑛_(𝐴𝐶,𝑊)∗𝑐_(𝑟𝑜𝑜𝑡,𝑊)))/𝑐_𝑀𝐴𝐶 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5</xdr:col>
      <xdr:colOff>95250</xdr:colOff>
      <xdr:row>8</xdr:row>
      <xdr:rowOff>109537</xdr:rowOff>
    </xdr:from>
    <xdr:ext cx="830740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DE02C36-E9F2-6182-2BB2-7E1C9B780BB0}"/>
                </a:ext>
              </a:extLst>
            </xdr:cNvPr>
            <xdr:cNvSpPr txBox="1"/>
          </xdr:nvSpPr>
          <xdr:spPr>
            <a:xfrm>
              <a:off x="4352925" y="2614612"/>
              <a:ext cx="830740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𝐴𝐶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=25%</m:t>
                    </m:r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DE02C36-E9F2-6182-2BB2-7E1C9B780BB0}"/>
                </a:ext>
              </a:extLst>
            </xdr:cNvPr>
            <xdr:cNvSpPr txBox="1"/>
          </xdr:nvSpPr>
          <xdr:spPr>
            <a:xfrm>
              <a:off x="4352925" y="2614612"/>
              <a:ext cx="830740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bg-BG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𝐴𝐶,𝑊</a:t>
              </a:r>
              <a:r>
                <a:rPr lang="bg-BG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=25%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1</xdr:col>
      <xdr:colOff>38100</xdr:colOff>
      <xdr:row>9</xdr:row>
      <xdr:rowOff>90487</xdr:rowOff>
    </xdr:from>
    <xdr:ext cx="895350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BCE2798-42CE-0BC0-6D2A-E1F227C4FC36}"/>
                </a:ext>
              </a:extLst>
            </xdr:cNvPr>
            <xdr:cNvSpPr txBox="1"/>
          </xdr:nvSpPr>
          <xdr:spPr>
            <a:xfrm>
              <a:off x="695325" y="2005012"/>
              <a:ext cx="895350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𝑊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BCE2798-42CE-0BC0-6D2A-E1F227C4FC36}"/>
                </a:ext>
              </a:extLst>
            </xdr:cNvPr>
            <xdr:cNvSpPr txBox="1"/>
          </xdr:nvSpPr>
          <xdr:spPr>
            <a:xfrm>
              <a:off x="695325" y="2005012"/>
              <a:ext cx="895350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</a:t>
              </a:r>
              <a:r>
                <a:rPr lang="bg-BG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𝑀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𝛼,𝑊</a:t>
              </a:r>
              <a:r>
                <a:rPr lang="bg-B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6</xdr:col>
      <xdr:colOff>485775</xdr:colOff>
      <xdr:row>9</xdr:row>
      <xdr:rowOff>109537</xdr:rowOff>
    </xdr:from>
    <xdr:ext cx="1479892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9A67F05-2B73-47BD-DCD9-F0453439C37F}"/>
                </a:ext>
              </a:extLst>
            </xdr:cNvPr>
            <xdr:cNvSpPr txBox="1"/>
          </xdr:nvSpPr>
          <xdr:spPr>
            <a:xfrm>
              <a:off x="7277100" y="2024062"/>
              <a:ext cx="1479892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𝑊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𝑊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𝐴𝐶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9A67F05-2B73-47BD-DCD9-F0453439C37F}"/>
                </a:ext>
              </a:extLst>
            </xdr:cNvPr>
            <xdr:cNvSpPr txBox="1"/>
          </xdr:nvSpPr>
          <xdr:spPr>
            <a:xfrm>
              <a:off x="7277100" y="2024062"/>
              <a:ext cx="1479892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</a:t>
              </a:r>
              <a:r>
                <a:rPr lang="bg-BG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𝑀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𝛼,𝑊</a:t>
              </a:r>
              <a:r>
                <a:rPr lang="bg-B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=−𝐶_(𝐿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𝛼,𝑊)</a:t>
              </a:r>
              <a:r>
                <a:rPr lang="en-US" sz="1100" b="0" i="0">
                  <a:latin typeface="Cambria Math" panose="02040503050406030204" pitchFamily="18" charset="0"/>
                </a:rPr>
                <a:t>∗𝑥 ̅_(𝐴𝐶,𝑊)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1</xdr:col>
      <xdr:colOff>266700</xdr:colOff>
      <xdr:row>10</xdr:row>
      <xdr:rowOff>185737</xdr:rowOff>
    </xdr:from>
    <xdr:ext cx="360099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9BFB39D-C44A-3CA3-60AB-399BD779004F}"/>
                </a:ext>
              </a:extLst>
            </xdr:cNvPr>
            <xdr:cNvSpPr txBox="1"/>
          </xdr:nvSpPr>
          <xdr:spPr>
            <a:xfrm>
              <a:off x="923925" y="2481262"/>
              <a:ext cx="360099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𝑊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9BFB39D-C44A-3CA3-60AB-399BD779004F}"/>
                </a:ext>
              </a:extLst>
            </xdr:cNvPr>
            <xdr:cNvSpPr txBox="1"/>
          </xdr:nvSpPr>
          <xdr:spPr>
            <a:xfrm>
              <a:off x="923925" y="2481262"/>
              <a:ext cx="360099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</a:t>
              </a:r>
              <a:r>
                <a:rPr lang="bg-BG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𝐿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𝛼,𝑊</a:t>
              </a:r>
              <a:r>
                <a:rPr lang="bg-B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1</xdr:col>
      <xdr:colOff>158176</xdr:colOff>
      <xdr:row>11</xdr:row>
      <xdr:rowOff>121688</xdr:rowOff>
    </xdr:from>
    <xdr:ext cx="64485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9ED666B2-4A0F-42F6-FF67-471E7BE3BCBC}"/>
                </a:ext>
              </a:extLst>
            </xdr:cNvPr>
            <xdr:cNvSpPr txBox="1"/>
          </xdr:nvSpPr>
          <xdr:spPr>
            <a:xfrm>
              <a:off x="814343" y="3868188"/>
              <a:ext cx="64485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tan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</a:rPr>
                          <m:t>Λ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50%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9ED666B2-4A0F-42F6-FF67-471E7BE3BCBC}"/>
                </a:ext>
              </a:extLst>
            </xdr:cNvPr>
            <xdr:cNvSpPr txBox="1"/>
          </xdr:nvSpPr>
          <xdr:spPr>
            <a:xfrm>
              <a:off x="814343" y="3868188"/>
              <a:ext cx="64485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tan⁡(</a:t>
              </a:r>
              <a:r>
                <a:rPr lang="el-GR" sz="1100" b="0" i="0">
                  <a:latin typeface="Cambria Math" panose="02040503050406030204" pitchFamily="18" charset="0"/>
                </a:rPr>
                <a:t>Λ</a:t>
              </a:r>
              <a:r>
                <a:rPr lang="en-US" sz="1100" b="0" i="0">
                  <a:latin typeface="Cambria Math" panose="02040503050406030204" pitchFamily="18" charset="0"/>
                </a:rPr>
                <a:t>_(50%))</a:t>
              </a:r>
              <a:endParaRPr lang="bg-BG" sz="1100"/>
            </a:p>
          </xdr:txBody>
        </xdr:sp>
      </mc:Fallback>
    </mc:AlternateContent>
    <xdr:clientData/>
  </xdr:oneCellAnchor>
  <xdr:twoCellAnchor editAs="oneCell">
    <xdr:from>
      <xdr:col>18</xdr:col>
      <xdr:colOff>118534</xdr:colOff>
      <xdr:row>8</xdr:row>
      <xdr:rowOff>2</xdr:rowOff>
    </xdr:from>
    <xdr:to>
      <xdr:col>28</xdr:col>
      <xdr:colOff>307298</xdr:colOff>
      <xdr:row>14</xdr:row>
      <xdr:rowOff>203989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6C2CC9C-7B24-6652-5DA7-1DC31250C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42267" y="1498602"/>
          <a:ext cx="6284764" cy="3658387"/>
        </a:xfrm>
        <a:prstGeom prst="rect">
          <a:avLst/>
        </a:prstGeom>
      </xdr:spPr>
    </xdr:pic>
    <xdr:clientData/>
  </xdr:twoCellAnchor>
  <xdr:oneCellAnchor>
    <xdr:from>
      <xdr:col>1</xdr:col>
      <xdr:colOff>154041</xdr:colOff>
      <xdr:row>16</xdr:row>
      <xdr:rowOff>173122</xdr:rowOff>
    </xdr:from>
    <xdr:ext cx="718026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EA8823E-79C5-4B79-9F55-E9AE37B5D08C}"/>
                </a:ext>
              </a:extLst>
            </xdr:cNvPr>
            <xdr:cNvSpPr txBox="1"/>
          </xdr:nvSpPr>
          <xdr:spPr>
            <a:xfrm>
              <a:off x="831374" y="6057455"/>
              <a:ext cx="718026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𝐴𝐶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𝐻𝑇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EA8823E-79C5-4B79-9F55-E9AE37B5D08C}"/>
                </a:ext>
              </a:extLst>
            </xdr:cNvPr>
            <xdr:cNvSpPr txBox="1"/>
          </xdr:nvSpPr>
          <xdr:spPr>
            <a:xfrm>
              <a:off x="831374" y="6057455"/>
              <a:ext cx="718026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 ̅_(𝐴𝐶,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𝐻𝑇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6</xdr:col>
      <xdr:colOff>265642</xdr:colOff>
      <xdr:row>16</xdr:row>
      <xdr:rowOff>166687</xdr:rowOff>
    </xdr:from>
    <xdr:ext cx="2138149" cy="3511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8FAFDE84-E883-4D18-850D-3E0DD8ECA1CE}"/>
                </a:ext>
              </a:extLst>
            </xdr:cNvPr>
            <xdr:cNvSpPr txBox="1"/>
          </xdr:nvSpPr>
          <xdr:spPr>
            <a:xfrm>
              <a:off x="7386109" y="6051020"/>
              <a:ext cx="2138149" cy="351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bg-BG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𝐴𝐶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𝐻𝑇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0,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+(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𝐴𝐶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𝑟𝑜𝑜𝑡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𝑀𝐴𝐶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8FAFDE84-E883-4D18-850D-3E0DD8ECA1CE}"/>
                </a:ext>
              </a:extLst>
            </xdr:cNvPr>
            <xdr:cNvSpPr txBox="1"/>
          </xdr:nvSpPr>
          <xdr:spPr>
            <a:xfrm>
              <a:off x="7386109" y="6051020"/>
              <a:ext cx="2138149" cy="351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bg-BG" sz="1100" b="0" i="0">
                  <a:latin typeface="Cambria Math" panose="02040503050406030204" pitchFamily="18" charset="0"/>
                </a:rPr>
                <a:t> ̅_(</a:t>
              </a:r>
              <a:r>
                <a:rPr lang="en-US" sz="1100" b="0" i="0">
                  <a:latin typeface="Cambria Math" panose="02040503050406030204" pitchFamily="18" charset="0"/>
                </a:rPr>
                <a:t>𝐴𝐶,</a:t>
              </a:r>
              <a:r>
                <a:rPr lang="en-GB" sz="1100" b="0" i="0">
                  <a:latin typeface="Cambria Math" panose="02040503050406030204" pitchFamily="18" charset="0"/>
                </a:rPr>
                <a:t>𝐻𝑇</a:t>
              </a:r>
              <a:r>
                <a:rPr lang="bg-BG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=(𝑥_(0,</a:t>
              </a:r>
              <a:r>
                <a:rPr lang="en-GB" sz="1100" b="0" i="0">
                  <a:latin typeface="Cambria Math" panose="02040503050406030204" pitchFamily="18" charset="0"/>
                </a:rPr>
                <a:t>𝐻𝑇</a:t>
              </a:r>
              <a:r>
                <a:rPr lang="en-US" sz="1100" b="0" i="0">
                  <a:latin typeface="Cambria Math" panose="02040503050406030204" pitchFamily="18" charset="0"/>
                </a:rPr>
                <a:t>)+(𝑛_(𝐴𝐶,</a:t>
              </a:r>
              <a:r>
                <a:rPr lang="en-GB" sz="1100" b="0" i="0">
                  <a:latin typeface="Cambria Math" panose="02040503050406030204" pitchFamily="18" charset="0"/>
                </a:rPr>
                <a:t>𝐻𝑇</a:t>
              </a:r>
              <a:r>
                <a:rPr lang="en-US" sz="1100" b="0" i="0">
                  <a:latin typeface="Cambria Math" panose="02040503050406030204" pitchFamily="18" charset="0"/>
                </a:rPr>
                <a:t>)∗𝑐_(𝑟𝑜𝑜𝑡,</a:t>
              </a:r>
              <a:r>
                <a:rPr lang="en-GB" sz="1100" b="0" i="0">
                  <a:latin typeface="Cambria Math" panose="02040503050406030204" pitchFamily="18" charset="0"/>
                </a:rPr>
                <a:t>𝐻𝑇</a:t>
              </a:r>
              <a:r>
                <a:rPr lang="en-US" sz="1100" b="0" i="0">
                  <a:latin typeface="Cambria Math" panose="02040503050406030204" pitchFamily="18" charset="0"/>
                </a:rPr>
                <a:t>)))/𝑐_𝑀𝐴𝐶 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5</xdr:col>
      <xdr:colOff>95250</xdr:colOff>
      <xdr:row>16</xdr:row>
      <xdr:rowOff>109537</xdr:rowOff>
    </xdr:from>
    <xdr:ext cx="871457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B73E88E-CB59-4334-BAE4-120B1F44F5E2}"/>
                </a:ext>
              </a:extLst>
            </xdr:cNvPr>
            <xdr:cNvSpPr txBox="1"/>
          </xdr:nvSpPr>
          <xdr:spPr>
            <a:xfrm>
              <a:off x="4607983" y="5993870"/>
              <a:ext cx="871457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𝐴𝐶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𝐻𝑇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=25%</m:t>
                    </m:r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B73E88E-CB59-4334-BAE4-120B1F44F5E2}"/>
                </a:ext>
              </a:extLst>
            </xdr:cNvPr>
            <xdr:cNvSpPr txBox="1"/>
          </xdr:nvSpPr>
          <xdr:spPr>
            <a:xfrm>
              <a:off x="4607983" y="5993870"/>
              <a:ext cx="871457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bg-BG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𝐴𝐶,</a:t>
              </a:r>
              <a:r>
                <a:rPr lang="en-GB" sz="1100" b="0" i="0">
                  <a:latin typeface="Cambria Math" panose="02040503050406030204" pitchFamily="18" charset="0"/>
                </a:rPr>
                <a:t>𝐻𝑇</a:t>
              </a:r>
              <a:r>
                <a:rPr lang="bg-BG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=25%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1</xdr:col>
      <xdr:colOff>46566</xdr:colOff>
      <xdr:row>18</xdr:row>
      <xdr:rowOff>259820</xdr:rowOff>
    </xdr:from>
    <xdr:ext cx="895350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B57A903-C105-4FF8-B8AE-4F13D5224CA3}"/>
                </a:ext>
              </a:extLst>
            </xdr:cNvPr>
            <xdr:cNvSpPr txBox="1"/>
          </xdr:nvSpPr>
          <xdr:spPr>
            <a:xfrm>
              <a:off x="723899" y="7795153"/>
              <a:ext cx="895350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𝐻𝑇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B57A903-C105-4FF8-B8AE-4F13D5224CA3}"/>
                </a:ext>
              </a:extLst>
            </xdr:cNvPr>
            <xdr:cNvSpPr txBox="1"/>
          </xdr:nvSpPr>
          <xdr:spPr>
            <a:xfrm>
              <a:off x="723899" y="7795153"/>
              <a:ext cx="895350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</a:t>
              </a:r>
              <a:r>
                <a:rPr lang="bg-BG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𝑀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𝛼,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𝐻𝑇</a:t>
              </a:r>
              <a:r>
                <a:rPr lang="bg-B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6</xdr:col>
      <xdr:colOff>37042</xdr:colOff>
      <xdr:row>18</xdr:row>
      <xdr:rowOff>177271</xdr:rowOff>
    </xdr:from>
    <xdr:ext cx="2761269" cy="3695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BA03545-0480-4984-A9E5-7174B32BBDE4}"/>
                </a:ext>
              </a:extLst>
            </xdr:cNvPr>
            <xdr:cNvSpPr txBox="1"/>
          </xdr:nvSpPr>
          <xdr:spPr>
            <a:xfrm>
              <a:off x="7157509" y="7712604"/>
              <a:ext cx="2761269" cy="3695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𝐻𝑇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𝑞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den>
                    </m:f>
                    <m:r>
                      <a:rPr lang="en-GB" sz="1100" b="0" i="1"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𝜕𝛼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𝜕𝛼</m:t>
                        </m:r>
                      </m:den>
                    </m:f>
                    <m:r>
                      <a:rPr lang="en-GB" sz="1100" b="0" i="1"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𝑟𝑒𝑓</m:t>
                            </m:r>
                          </m:sub>
                        </m:sSub>
                      </m:den>
                    </m:f>
                    <m:r>
                      <a:rPr lang="en-GB" sz="1100" b="0" i="1">
                        <a:latin typeface="Cambria Math" panose="02040503050406030204" pitchFamily="18" charset="0"/>
                      </a:rPr>
                      <m:t>)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𝑊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𝐴𝐶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BA03545-0480-4984-A9E5-7174B32BBDE4}"/>
                </a:ext>
              </a:extLst>
            </xdr:cNvPr>
            <xdr:cNvSpPr txBox="1"/>
          </xdr:nvSpPr>
          <xdr:spPr>
            <a:xfrm>
              <a:off x="7157509" y="7712604"/>
              <a:ext cx="2761269" cy="3695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</a:t>
              </a:r>
              <a:r>
                <a:rPr lang="bg-BG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𝑀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𝛼,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𝐻𝑇</a:t>
              </a:r>
              <a:r>
                <a:rPr lang="bg-B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=−</a:t>
              </a:r>
              <a:r>
                <a:rPr lang="en-GB" sz="1100" b="0" i="0">
                  <a:latin typeface="Cambria Math" panose="02040503050406030204" pitchFamily="18" charset="0"/>
                </a:rPr>
                <a:t>(𝑞_𝐻𝑇/𝑞∗〖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𝜕𝛼〗_</a:t>
              </a:r>
              <a:r>
                <a:rPr lang="en-GB" sz="1100" b="0" i="0">
                  <a:latin typeface="Cambria Math" panose="02040503050406030204" pitchFamily="18" charset="0"/>
                </a:rPr>
                <a:t>𝐻𝑇/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𝜕𝛼</a:t>
              </a:r>
              <a:r>
                <a:rPr lang="en-GB" sz="1100" b="0" i="0">
                  <a:latin typeface="Cambria Math" panose="02040503050406030204" pitchFamily="18" charset="0"/>
                </a:rPr>
                <a:t>∗𝑆_𝐻𝑇/𝑆_𝑟𝑒𝑓 )</a:t>
              </a:r>
              <a:r>
                <a:rPr lang="en-US" sz="1100" b="0" i="0">
                  <a:latin typeface="Cambria Math" panose="02040503050406030204" pitchFamily="18" charset="0"/>
                </a:rPr>
                <a:t>〖𝐶</a:t>
              </a:r>
              <a:r>
                <a:rPr lang="en-GB" sz="1100" b="0" i="0">
                  <a:latin typeface="Cambria Math" panose="02040503050406030204" pitchFamily="18" charset="0"/>
                </a:rPr>
                <a:t>′</a:t>
              </a:r>
              <a:r>
                <a:rPr lang="en-US" sz="1100" b="0" i="0">
                  <a:latin typeface="Cambria Math" panose="02040503050406030204" pitchFamily="18" charset="0"/>
                </a:rPr>
                <a:t>〗_(𝐿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𝛼,𝑊)</a:t>
              </a:r>
              <a:r>
                <a:rPr lang="en-US" sz="1100" b="0" i="0">
                  <a:latin typeface="Cambria Math" panose="02040503050406030204" pitchFamily="18" charset="0"/>
                </a:rPr>
                <a:t>∗𝑥 ̅_(𝐴𝐶,𝑊)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1</xdr:col>
      <xdr:colOff>266700</xdr:colOff>
      <xdr:row>22</xdr:row>
      <xdr:rowOff>185737</xdr:rowOff>
    </xdr:from>
    <xdr:ext cx="445507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09CB0D-B78D-4465-967F-553CF6B26967}"/>
                </a:ext>
              </a:extLst>
            </xdr:cNvPr>
            <xdr:cNvSpPr txBox="1"/>
          </xdr:nvSpPr>
          <xdr:spPr>
            <a:xfrm>
              <a:off x="944033" y="10532004"/>
              <a:ext cx="445507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𝐻𝑇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09CB0D-B78D-4465-967F-553CF6B26967}"/>
                </a:ext>
              </a:extLst>
            </xdr:cNvPr>
            <xdr:cNvSpPr txBox="1"/>
          </xdr:nvSpPr>
          <xdr:spPr>
            <a:xfrm>
              <a:off x="944033" y="10532004"/>
              <a:ext cx="445507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bg-BG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𝐶</a:t>
              </a:r>
              <a:r>
                <a:rPr lang="en-GB" sz="1100" b="0" i="0">
                  <a:latin typeface="Cambria Math" panose="02040503050406030204" pitchFamily="18" charset="0"/>
                </a:rPr>
                <a:t>′</a:t>
              </a:r>
              <a:r>
                <a:rPr lang="bg-BG" sz="1100" b="0" i="0">
                  <a:latin typeface="Cambria Math" panose="02040503050406030204" pitchFamily="18" charset="0"/>
                </a:rPr>
                <a:t>〗_(</a:t>
              </a:r>
              <a:r>
                <a:rPr lang="en-US" sz="1100" b="0" i="0">
                  <a:latin typeface="Cambria Math" panose="02040503050406030204" pitchFamily="18" charset="0"/>
                </a:rPr>
                <a:t>𝐿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𝛼,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𝐻𝑇</a:t>
              </a:r>
              <a:r>
                <a:rPr lang="bg-B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1</xdr:col>
      <xdr:colOff>196276</xdr:colOff>
      <xdr:row>23</xdr:row>
      <xdr:rowOff>117455</xdr:rowOff>
    </xdr:from>
    <xdr:ext cx="64485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B8F4025-D4F6-4053-A257-8D08F59FEB43}"/>
                </a:ext>
              </a:extLst>
            </xdr:cNvPr>
            <xdr:cNvSpPr txBox="1"/>
          </xdr:nvSpPr>
          <xdr:spPr>
            <a:xfrm>
              <a:off x="873609" y="9083655"/>
              <a:ext cx="64485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tan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</a:rPr>
                          <m:t>Λ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50%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B8F4025-D4F6-4053-A257-8D08F59FEB43}"/>
                </a:ext>
              </a:extLst>
            </xdr:cNvPr>
            <xdr:cNvSpPr txBox="1"/>
          </xdr:nvSpPr>
          <xdr:spPr>
            <a:xfrm>
              <a:off x="873609" y="9083655"/>
              <a:ext cx="64485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tan⁡(</a:t>
              </a:r>
              <a:r>
                <a:rPr lang="el-GR" sz="1100" b="0" i="0">
                  <a:latin typeface="Cambria Math" panose="02040503050406030204" pitchFamily="18" charset="0"/>
                </a:rPr>
                <a:t>Λ</a:t>
              </a:r>
              <a:r>
                <a:rPr lang="en-US" sz="1100" b="0" i="0">
                  <a:latin typeface="Cambria Math" panose="02040503050406030204" pitchFamily="18" charset="0"/>
                </a:rPr>
                <a:t>_(50%))</a:t>
              </a:r>
              <a:endParaRPr lang="bg-BG" sz="1100"/>
            </a:p>
          </xdr:txBody>
        </xdr:sp>
      </mc:Fallback>
    </mc:AlternateContent>
    <xdr:clientData/>
  </xdr:oneCellAnchor>
  <xdr:twoCellAnchor editAs="oneCell">
    <xdr:from>
      <xdr:col>7</xdr:col>
      <xdr:colOff>355601</xdr:colOff>
      <xdr:row>16</xdr:row>
      <xdr:rowOff>681428</xdr:rowOff>
    </xdr:from>
    <xdr:to>
      <xdr:col>17</xdr:col>
      <xdr:colOff>567653</xdr:colOff>
      <xdr:row>22</xdr:row>
      <xdr:rowOff>201886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7C39244-63D2-713E-B3D4-A93A164F0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73734" y="6565761"/>
          <a:ext cx="6308052" cy="3516725"/>
        </a:xfrm>
        <a:prstGeom prst="rect">
          <a:avLst/>
        </a:prstGeom>
      </xdr:spPr>
    </xdr:pic>
    <xdr:clientData/>
  </xdr:twoCellAnchor>
  <xdr:oneCellAnchor>
    <xdr:from>
      <xdr:col>1</xdr:col>
      <xdr:colOff>372534</xdr:colOff>
      <xdr:row>19</xdr:row>
      <xdr:rowOff>110066</xdr:rowOff>
    </xdr:from>
    <xdr:ext cx="249107" cy="3184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7D2E609-EDED-3453-F59B-262C31FBB688}"/>
                </a:ext>
              </a:extLst>
            </xdr:cNvPr>
            <xdr:cNvSpPr txBox="1"/>
          </xdr:nvSpPr>
          <xdr:spPr>
            <a:xfrm>
              <a:off x="1049867" y="8348133"/>
              <a:ext cx="249107" cy="3184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𝑞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7D2E609-EDED-3453-F59B-262C31FBB688}"/>
                </a:ext>
              </a:extLst>
            </xdr:cNvPr>
            <xdr:cNvSpPr txBox="1"/>
          </xdr:nvSpPr>
          <xdr:spPr>
            <a:xfrm>
              <a:off x="1049867" y="8348133"/>
              <a:ext cx="249107" cy="3184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𝑞_𝐻𝑇/𝑞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321734</xdr:colOff>
      <xdr:row>20</xdr:row>
      <xdr:rowOff>76200</xdr:rowOff>
    </xdr:from>
    <xdr:ext cx="338939" cy="3207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77213E0-AE5B-2798-DF87-767FF743D6AF}"/>
                </a:ext>
              </a:extLst>
            </xdr:cNvPr>
            <xdr:cNvSpPr txBox="1"/>
          </xdr:nvSpPr>
          <xdr:spPr>
            <a:xfrm>
              <a:off x="999067" y="8847667"/>
              <a:ext cx="338939" cy="3207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𝜕𝛼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</m:num>
                      <m:den>
                        <m:r>
                          <a:rPr lang="en-GB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𝜕𝛼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77213E0-AE5B-2798-DF87-767FF743D6AF}"/>
                </a:ext>
              </a:extLst>
            </xdr:cNvPr>
            <xdr:cNvSpPr txBox="1"/>
          </xdr:nvSpPr>
          <xdr:spPr>
            <a:xfrm>
              <a:off x="999067" y="8847667"/>
              <a:ext cx="338939" cy="3207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i="0">
                  <a:latin typeface="Cambria Math" panose="02040503050406030204" pitchFamily="18" charset="0"/>
                </a:rPr>
                <a:t>〖</a:t>
              </a:r>
              <a:r>
                <a:rPr lang="en-GB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𝜕𝛼〗_</a:t>
              </a:r>
              <a:r>
                <a:rPr lang="en-GB" sz="1100" b="0" i="0">
                  <a:latin typeface="Cambria Math" panose="02040503050406030204" pitchFamily="18" charset="0"/>
                </a:rPr>
                <a:t>𝐻𝑇/</a:t>
              </a:r>
              <a:r>
                <a:rPr lang="en-GB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𝜕𝛼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364067</xdr:colOff>
      <xdr:row>21</xdr:row>
      <xdr:rowOff>93133</xdr:rowOff>
    </xdr:from>
    <xdr:ext cx="275525" cy="3656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8474259-19C5-6C47-F996-64CE0D778AD4}"/>
                </a:ext>
              </a:extLst>
            </xdr:cNvPr>
            <xdr:cNvSpPr txBox="1"/>
          </xdr:nvSpPr>
          <xdr:spPr>
            <a:xfrm>
              <a:off x="1041400" y="9381066"/>
              <a:ext cx="275525" cy="3656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𝐻𝑇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𝑟𝑒𝑓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8474259-19C5-6C47-F996-64CE0D778AD4}"/>
                </a:ext>
              </a:extLst>
            </xdr:cNvPr>
            <xdr:cNvSpPr txBox="1"/>
          </xdr:nvSpPr>
          <xdr:spPr>
            <a:xfrm>
              <a:off x="1041400" y="9381066"/>
              <a:ext cx="275525" cy="3656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𝑆_𝐻𝑇/𝑆_𝑟𝑒𝑓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67733</xdr:colOff>
      <xdr:row>28</xdr:row>
      <xdr:rowOff>160867</xdr:rowOff>
    </xdr:from>
    <xdr:ext cx="895350" cy="1828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F5A4FB95-4132-4894-BF27-8F85890B7308}"/>
                </a:ext>
              </a:extLst>
            </xdr:cNvPr>
            <xdr:cNvSpPr txBox="1"/>
          </xdr:nvSpPr>
          <xdr:spPr>
            <a:xfrm>
              <a:off x="745066" y="13148734"/>
              <a:ext cx="895350" cy="1828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𝑓𝑢𝑠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F5A4FB95-4132-4894-BF27-8F85890B7308}"/>
                </a:ext>
              </a:extLst>
            </xdr:cNvPr>
            <xdr:cNvSpPr txBox="1"/>
          </xdr:nvSpPr>
          <xdr:spPr>
            <a:xfrm>
              <a:off x="745066" y="13148734"/>
              <a:ext cx="895350" cy="1828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</a:t>
              </a:r>
              <a:r>
                <a:rPr lang="bg-BG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𝑀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𝛼,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𝑓𝑢𝑠</a:t>
              </a:r>
              <a:r>
                <a:rPr lang="bg-B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bg-BG" sz="1100"/>
            </a:p>
          </xdr:txBody>
        </xdr:sp>
      </mc:Fallback>
    </mc:AlternateContent>
    <xdr:clientData/>
  </xdr:oneCellAnchor>
  <xdr:twoCellAnchor editAs="oneCell">
    <xdr:from>
      <xdr:col>7</xdr:col>
      <xdr:colOff>237068</xdr:colOff>
      <xdr:row>26</xdr:row>
      <xdr:rowOff>452204</xdr:rowOff>
    </xdr:from>
    <xdr:to>
      <xdr:col>16</xdr:col>
      <xdr:colOff>198319</xdr:colOff>
      <xdr:row>34</xdr:row>
      <xdr:rowOff>437887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914BEC6-EEA1-5483-8747-DABDA9FF0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10801" y="12517204"/>
          <a:ext cx="5447651" cy="2940550"/>
        </a:xfrm>
        <a:prstGeom prst="rect">
          <a:avLst/>
        </a:prstGeom>
      </xdr:spPr>
    </xdr:pic>
    <xdr:clientData/>
  </xdr:twoCellAnchor>
  <xdr:oneCellAnchor>
    <xdr:from>
      <xdr:col>6</xdr:col>
      <xdr:colOff>347134</xdr:colOff>
      <xdr:row>28</xdr:row>
      <xdr:rowOff>67733</xdr:rowOff>
    </xdr:from>
    <xdr:ext cx="1960152" cy="4026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728635E-8C6D-45A6-A421-6941025058ED}"/>
                </a:ext>
              </a:extLst>
            </xdr:cNvPr>
            <xdr:cNvSpPr txBox="1"/>
          </xdr:nvSpPr>
          <xdr:spPr>
            <a:xfrm>
              <a:off x="7467601" y="13055600"/>
              <a:ext cx="1960152" cy="4026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𝑓𝑢𝑠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45∗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𝑓𝑢𝑠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Sup>
                          <m:sSubSup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𝑓𝑢𝑠</m:t>
                            </m:r>
                          </m:sub>
                          <m:sup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𝑙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𝑓𝑢𝑠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𝑀𝐴𝐶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𝑟𝑒𝑓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728635E-8C6D-45A6-A421-6941025058ED}"/>
                </a:ext>
              </a:extLst>
            </xdr:cNvPr>
            <xdr:cNvSpPr txBox="1"/>
          </xdr:nvSpPr>
          <xdr:spPr>
            <a:xfrm>
              <a:off x="7467601" y="13055600"/>
              <a:ext cx="1960152" cy="4026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</a:t>
              </a:r>
              <a:r>
                <a:rPr lang="bg-BG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𝑀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𝛼,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𝑓𝑢𝑠</a:t>
              </a:r>
              <a:r>
                <a:rPr lang="bg-B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r>
                <a:rPr lang="en-GB" sz="1100" b="0" i="0">
                  <a:latin typeface="Cambria Math" panose="02040503050406030204" pitchFamily="18" charset="0"/>
                </a:rPr>
                <a:t>45∗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GB" sz="1100" b="0" i="0">
                  <a:latin typeface="Cambria Math" panose="02040503050406030204" pitchFamily="18" charset="0"/>
                </a:rPr>
                <a:t>𝑘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en-GB" sz="1100" b="0" i="0">
                  <a:latin typeface="Cambria Math" panose="02040503050406030204" pitchFamily="18" charset="0"/>
                </a:rPr>
                <a:t>𝑓𝑢𝑠∗𝑤_𝑓𝑢𝑠^2∗𝑙_𝑓𝑢𝑠</a:t>
              </a:r>
              <a:r>
                <a:rPr lang="en-US" sz="1100" b="0" i="0">
                  <a:latin typeface="Cambria Math" panose="02040503050406030204" pitchFamily="18" charset="0"/>
                </a:rPr>
                <a:t>)/(</a:t>
              </a:r>
              <a:r>
                <a:rPr lang="en-GB" sz="1100" b="0" i="0">
                  <a:latin typeface="Cambria Math" panose="02040503050406030204" pitchFamily="18" charset="0"/>
                </a:rPr>
                <a:t>𝑐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en-GB" sz="1100" b="0" i="0">
                  <a:latin typeface="Cambria Math" panose="02040503050406030204" pitchFamily="18" charset="0"/>
                </a:rPr>
                <a:t>𝑀𝐴𝐶∗𝑆_𝑟𝑒𝑓</a:t>
              </a:r>
              <a:r>
                <a:rPr lang="en-US" sz="1100" b="0" i="0">
                  <a:latin typeface="Cambria Math" panose="02040503050406030204" pitchFamily="18" charset="0"/>
                </a:rPr>
                <a:t> )</a:t>
              </a:r>
              <a:endParaRPr lang="bg-BG" sz="1100"/>
            </a:p>
          </xdr:txBody>
        </xdr:sp>
      </mc:Fallback>
    </mc:AlternateContent>
    <xdr:clientData/>
  </xdr:oneCellAnchor>
  <xdr:twoCellAnchor editAs="oneCell">
    <xdr:from>
      <xdr:col>7</xdr:col>
      <xdr:colOff>143933</xdr:colOff>
      <xdr:row>35</xdr:row>
      <xdr:rowOff>245533</xdr:rowOff>
    </xdr:from>
    <xdr:to>
      <xdr:col>16</xdr:col>
      <xdr:colOff>238902</xdr:colOff>
      <xdr:row>51</xdr:row>
      <xdr:rowOff>80433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4326404-6D80-F8DF-FCCE-FEF2D5E12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17666" y="15722600"/>
          <a:ext cx="5581369" cy="3175000"/>
        </a:xfrm>
        <a:prstGeom prst="rect">
          <a:avLst/>
        </a:prstGeom>
      </xdr:spPr>
    </xdr:pic>
    <xdr:clientData/>
  </xdr:twoCellAnchor>
  <xdr:oneCellAnchor>
    <xdr:from>
      <xdr:col>1</xdr:col>
      <xdr:colOff>118533</xdr:colOff>
      <xdr:row>34</xdr:row>
      <xdr:rowOff>127000</xdr:rowOff>
    </xdr:from>
    <xdr:ext cx="718026" cy="1766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C62E548-CA12-4676-9288-77D9329AF3AE}"/>
                </a:ext>
              </a:extLst>
            </xdr:cNvPr>
            <xdr:cNvSpPr txBox="1"/>
          </xdr:nvSpPr>
          <xdr:spPr>
            <a:xfrm>
              <a:off x="795866" y="15189200"/>
              <a:ext cx="718026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𝐴𝐶</m:t>
                        </m:r>
                      </m:sub>
                    </m:sSub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C62E548-CA12-4676-9288-77D9329AF3AE}"/>
                </a:ext>
              </a:extLst>
            </xdr:cNvPr>
            <xdr:cNvSpPr txBox="1"/>
          </xdr:nvSpPr>
          <xdr:spPr>
            <a:xfrm>
              <a:off x="795866" y="15189200"/>
              <a:ext cx="718026" cy="1766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 ̅_𝐴𝐶</a:t>
              </a:r>
              <a:endParaRPr lang="bg-BG" sz="1100"/>
            </a:p>
          </xdr:txBody>
        </xdr:sp>
      </mc:Fallback>
    </mc:AlternateContent>
    <xdr:clientData/>
  </xdr:oneCellAnchor>
  <xdr:oneCellAnchor>
    <xdr:from>
      <xdr:col>6</xdr:col>
      <xdr:colOff>321733</xdr:colOff>
      <xdr:row>34</xdr:row>
      <xdr:rowOff>110067</xdr:rowOff>
    </xdr:from>
    <xdr:ext cx="1955800" cy="3642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EB7F621F-FB65-461F-A15D-07C03ACCC0CB}"/>
                </a:ext>
              </a:extLst>
            </xdr:cNvPr>
            <xdr:cNvSpPr txBox="1"/>
          </xdr:nvSpPr>
          <xdr:spPr>
            <a:xfrm>
              <a:off x="7442200" y="15163800"/>
              <a:ext cx="1955800" cy="364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𝐴𝐶</m:t>
                        </m:r>
                      </m:sub>
                    </m:sSub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𝑀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𝛼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𝑊</m:t>
                            </m:r>
                          </m:sub>
                        </m:sSub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𝑀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𝛼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𝑓𝑢𝑠</m:t>
                            </m:r>
                          </m:sub>
                        </m:sSub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𝑀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𝛼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𝐻𝑇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𝛼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𝑊</m:t>
                            </m:r>
                          </m:sub>
                        </m:sSub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𝛼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𝐻𝑇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bg-BG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EB7F621F-FB65-461F-A15D-07C03ACCC0CB}"/>
                </a:ext>
              </a:extLst>
            </xdr:cNvPr>
            <xdr:cNvSpPr txBox="1"/>
          </xdr:nvSpPr>
          <xdr:spPr>
            <a:xfrm>
              <a:off x="7442200" y="15163800"/>
              <a:ext cx="1955800" cy="364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 ̅_𝐴𝐶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=(𝐶_(𝑀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𝛼,𝑊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)−𝐶_(𝑀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𝛼,𝑓𝑢𝑠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)+𝐶_(𝑀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𝛼,𝐻𝑇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))/(𝐶_(𝐿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𝛼,𝑊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)+𝐶_(𝐿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𝛼,𝐻𝑇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)</a:t>
              </a:r>
              <a:endParaRPr lang="bg-BG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280035</xdr:colOff>
      <xdr:row>0</xdr:row>
      <xdr:rowOff>159003</xdr:rowOff>
    </xdr:from>
    <xdr:to>
      <xdr:col>19</xdr:col>
      <xdr:colOff>106779</xdr:colOff>
      <xdr:row>24</xdr:row>
      <xdr:rowOff>49529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7FBB58-2B84-B60A-B919-40159FB0E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92915" y="159003"/>
          <a:ext cx="5313144" cy="4310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18A4-7FF2-4E68-A485-08C5C78F0065}">
  <dimension ref="B6:D6"/>
  <sheetViews>
    <sheetView workbookViewId="0">
      <selection activeCell="E6" sqref="E6"/>
    </sheetView>
  </sheetViews>
  <sheetFormatPr defaultRowHeight="14.4" x14ac:dyDescent="0.3"/>
  <sheetData>
    <row r="6" spans="2:4" x14ac:dyDescent="0.3">
      <c r="B6" t="s">
        <v>12</v>
      </c>
      <c r="C6">
        <v>9.8066499999999994</v>
      </c>
      <c r="D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1C97-B0A7-4FD8-8682-2CCA08648534}">
  <dimension ref="A1:G24"/>
  <sheetViews>
    <sheetView topLeftCell="A8" zoomScale="80" zoomScaleNormal="80" workbookViewId="0">
      <selection activeCell="D24" sqref="D24"/>
    </sheetView>
  </sheetViews>
  <sheetFormatPr defaultRowHeight="14.4" x14ac:dyDescent="0.3"/>
  <cols>
    <col min="1" max="1" width="10" bestFit="1" customWidth="1"/>
    <col min="2" max="2" width="15.5546875" bestFit="1" customWidth="1"/>
    <col min="3" max="3" width="15.5546875" customWidth="1"/>
    <col min="4" max="4" width="12.44140625" customWidth="1"/>
    <col min="5" max="5" width="6.33203125" bestFit="1" customWidth="1"/>
    <col min="6" max="6" width="38" customWidth="1"/>
    <col min="7" max="7" width="28.33203125" customWidth="1"/>
    <col min="9" max="9" width="12.6640625" customWidth="1"/>
  </cols>
  <sheetData>
    <row r="1" spans="1:7" x14ac:dyDescent="0.3">
      <c r="A1" s="12" t="s">
        <v>53</v>
      </c>
      <c r="B1" s="3" t="s">
        <v>3</v>
      </c>
    </row>
    <row r="2" spans="1:7" x14ac:dyDescent="0.3">
      <c r="B2" s="2" t="s">
        <v>4</v>
      </c>
    </row>
    <row r="3" spans="1:7" x14ac:dyDescent="0.3">
      <c r="B3" s="5" t="s">
        <v>13</v>
      </c>
    </row>
    <row r="4" spans="1:7" x14ac:dyDescent="0.3">
      <c r="B4" s="1" t="s">
        <v>14</v>
      </c>
    </row>
    <row r="7" spans="1:7" ht="15" thickBot="1" x14ac:dyDescent="0.35">
      <c r="C7" s="12"/>
    </row>
    <row r="8" spans="1:7" ht="15" thickBot="1" x14ac:dyDescent="0.35">
      <c r="B8" s="17" t="s">
        <v>9</v>
      </c>
      <c r="C8" s="18" t="s">
        <v>21</v>
      </c>
      <c r="D8" s="18" t="s">
        <v>7</v>
      </c>
      <c r="E8" s="18" t="s">
        <v>8</v>
      </c>
      <c r="F8" s="18" t="s">
        <v>10</v>
      </c>
      <c r="G8" s="19" t="s">
        <v>14</v>
      </c>
    </row>
    <row r="9" spans="1:7" ht="28.8" x14ac:dyDescent="0.3">
      <c r="A9" s="127" t="s">
        <v>89</v>
      </c>
      <c r="B9" s="55" t="s">
        <v>1</v>
      </c>
      <c r="C9" s="64" t="s">
        <v>23</v>
      </c>
      <c r="D9" s="56">
        <v>15</v>
      </c>
      <c r="E9" s="56" t="s">
        <v>0</v>
      </c>
      <c r="F9" s="91"/>
      <c r="G9" s="13"/>
    </row>
    <row r="10" spans="1:7" ht="15.6" x14ac:dyDescent="0.3">
      <c r="A10" s="128"/>
      <c r="B10" s="52" t="s">
        <v>52</v>
      </c>
      <c r="C10" s="65"/>
      <c r="D10" s="57">
        <v>14</v>
      </c>
      <c r="E10" s="57" t="s">
        <v>2</v>
      </c>
      <c r="F10" s="92"/>
      <c r="G10" s="6"/>
    </row>
    <row r="11" spans="1:7" ht="15.6" x14ac:dyDescent="0.3">
      <c r="A11" s="128"/>
      <c r="B11" s="52" t="s">
        <v>51</v>
      </c>
      <c r="C11" s="65"/>
      <c r="D11" s="57">
        <v>24</v>
      </c>
      <c r="E11" s="57" t="s">
        <v>2</v>
      </c>
      <c r="F11" s="92"/>
      <c r="G11" s="6"/>
    </row>
    <row r="12" spans="1:7" ht="58.8" x14ac:dyDescent="0.3">
      <c r="A12" s="128"/>
      <c r="B12" s="52" t="s">
        <v>20</v>
      </c>
      <c r="C12" s="66" t="s">
        <v>24</v>
      </c>
      <c r="D12" s="57">
        <v>1.4</v>
      </c>
      <c r="E12" s="57"/>
      <c r="F12" s="93" t="s">
        <v>55</v>
      </c>
      <c r="G12" s="6"/>
    </row>
    <row r="13" spans="1:7" ht="28.2" customHeight="1" x14ac:dyDescent="0.3">
      <c r="A13" s="128"/>
      <c r="B13" s="53" t="s">
        <v>19</v>
      </c>
      <c r="C13" s="66" t="s">
        <v>49</v>
      </c>
      <c r="D13" s="57">
        <f>(D11*D14)/D15</f>
        <v>500000</v>
      </c>
      <c r="E13" s="57"/>
      <c r="F13" s="92" t="s">
        <v>50</v>
      </c>
      <c r="G13" s="6"/>
    </row>
    <row r="14" spans="1:7" ht="40.200000000000003" customHeight="1" x14ac:dyDescent="0.3">
      <c r="A14" s="128"/>
      <c r="B14" s="52" t="s">
        <v>15</v>
      </c>
      <c r="C14" s="65" t="s">
        <v>31</v>
      </c>
      <c r="D14" s="57">
        <v>0.3</v>
      </c>
      <c r="E14" s="57" t="s">
        <v>18</v>
      </c>
      <c r="F14" s="92"/>
      <c r="G14" s="6"/>
    </row>
    <row r="15" spans="1:7" ht="43.2" x14ac:dyDescent="0.3">
      <c r="A15" s="128"/>
      <c r="B15" s="52" t="s">
        <v>16</v>
      </c>
      <c r="C15" s="66" t="s">
        <v>22</v>
      </c>
      <c r="D15" s="57">
        <v>1.4399999999999999E-5</v>
      </c>
      <c r="E15" s="57" t="s">
        <v>48</v>
      </c>
      <c r="F15" s="93" t="s">
        <v>17</v>
      </c>
      <c r="G15" s="6"/>
    </row>
    <row r="16" spans="1:7" x14ac:dyDescent="0.3">
      <c r="A16" s="128"/>
      <c r="B16" s="52" t="s">
        <v>5</v>
      </c>
      <c r="C16" s="65" t="s">
        <v>25</v>
      </c>
      <c r="D16" s="57">
        <v>1.17</v>
      </c>
      <c r="E16" s="57" t="s">
        <v>6</v>
      </c>
      <c r="F16" s="92" t="s">
        <v>26</v>
      </c>
      <c r="G16" s="6"/>
    </row>
    <row r="17" spans="1:7" ht="67.95" customHeight="1" x14ac:dyDescent="0.3">
      <c r="A17" s="128"/>
      <c r="B17" s="53" t="s">
        <v>11</v>
      </c>
      <c r="C17" s="65" t="s">
        <v>34</v>
      </c>
      <c r="D17" s="58">
        <f>(2*D9*Constants!C6)/(Wing!D16*Wing!D12*Wing!D10*Wing!D10)</f>
        <v>0.91637231815803244</v>
      </c>
      <c r="E17" s="57" t="s">
        <v>47</v>
      </c>
      <c r="F17" s="92"/>
      <c r="G17" s="6"/>
    </row>
    <row r="18" spans="1:7" ht="43.95" customHeight="1" x14ac:dyDescent="0.3">
      <c r="A18" s="128"/>
      <c r="B18" s="53" t="s">
        <v>27</v>
      </c>
      <c r="C18" s="65" t="s">
        <v>28</v>
      </c>
      <c r="D18" s="59">
        <f>SQRT(D19*D17)</f>
        <v>3.0271642145051074</v>
      </c>
      <c r="E18" s="57" t="s">
        <v>18</v>
      </c>
      <c r="F18" s="92"/>
      <c r="G18" s="6"/>
    </row>
    <row r="19" spans="1:7" ht="43.2" x14ac:dyDescent="0.3">
      <c r="A19" s="128"/>
      <c r="B19" s="52" t="s">
        <v>29</v>
      </c>
      <c r="C19" s="65" t="s">
        <v>30</v>
      </c>
      <c r="D19" s="57">
        <v>10</v>
      </c>
      <c r="E19" s="57"/>
      <c r="F19" s="93" t="s">
        <v>33</v>
      </c>
      <c r="G19" s="6"/>
    </row>
    <row r="20" spans="1:7" ht="43.8" thickBot="1" x14ac:dyDescent="0.35">
      <c r="A20" s="129"/>
      <c r="B20" s="53" t="s">
        <v>98</v>
      </c>
      <c r="C20" s="67" t="s">
        <v>97</v>
      </c>
      <c r="D20" s="60">
        <f>0.25*D14</f>
        <v>7.4999999999999997E-2</v>
      </c>
      <c r="E20" s="60" t="s">
        <v>18</v>
      </c>
      <c r="F20" s="94" t="s">
        <v>99</v>
      </c>
      <c r="G20" s="90" t="s">
        <v>96</v>
      </c>
    </row>
    <row r="21" spans="1:7" ht="15" thickBot="1" x14ac:dyDescent="0.35">
      <c r="C21" s="61"/>
      <c r="D21" s="61"/>
      <c r="E21" s="61"/>
      <c r="F21" s="95"/>
    </row>
    <row r="22" spans="1:7" ht="28.8" x14ac:dyDescent="0.3">
      <c r="A22" s="127" t="s">
        <v>78</v>
      </c>
      <c r="B22" s="16"/>
      <c r="C22" s="64" t="s">
        <v>79</v>
      </c>
      <c r="D22" s="62">
        <f>D18/4</f>
        <v>0.75679105362627686</v>
      </c>
      <c r="E22" s="56" t="s">
        <v>18</v>
      </c>
      <c r="F22" s="91"/>
      <c r="G22" s="13"/>
    </row>
    <row r="23" spans="1:7" ht="28.8" x14ac:dyDescent="0.3">
      <c r="A23" s="128"/>
      <c r="B23" s="14"/>
      <c r="C23" s="66" t="s">
        <v>80</v>
      </c>
      <c r="D23" s="57">
        <f>D14/4</f>
        <v>7.4999999999999997E-2</v>
      </c>
      <c r="E23" s="57" t="s">
        <v>18</v>
      </c>
      <c r="F23" s="92"/>
      <c r="G23" s="6"/>
    </row>
    <row r="24" spans="1:7" ht="43.8" thickBot="1" x14ac:dyDescent="0.35">
      <c r="A24" s="129"/>
      <c r="B24" s="15"/>
      <c r="C24" s="67" t="s">
        <v>81</v>
      </c>
      <c r="D24" s="63">
        <f>0.05*D18</f>
        <v>0.15135821072525538</v>
      </c>
      <c r="E24" s="60" t="s">
        <v>18</v>
      </c>
      <c r="F24" s="94" t="s">
        <v>82</v>
      </c>
      <c r="G24" s="7"/>
    </row>
  </sheetData>
  <mergeCells count="2">
    <mergeCell ref="A22:A24"/>
    <mergeCell ref="A9:A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35A4-45F1-46FF-93DA-944832471E2E}">
  <dimension ref="A1:G30"/>
  <sheetViews>
    <sheetView topLeftCell="A7" zoomScale="70" zoomScaleNormal="70" workbookViewId="0">
      <selection activeCell="H21" sqref="H21"/>
    </sheetView>
  </sheetViews>
  <sheetFormatPr defaultRowHeight="14.4" x14ac:dyDescent="0.3"/>
  <cols>
    <col min="1" max="1" width="9.88671875" bestFit="1" customWidth="1"/>
    <col min="2" max="2" width="15.5546875" bestFit="1" customWidth="1"/>
    <col min="3" max="3" width="19.6640625" customWidth="1"/>
    <col min="4" max="4" width="12.44140625" style="11" customWidth="1"/>
    <col min="5" max="5" width="6.33203125" bestFit="1" customWidth="1"/>
    <col min="6" max="6" width="38" customWidth="1"/>
    <col min="7" max="7" width="36.44140625" customWidth="1"/>
  </cols>
  <sheetData>
    <row r="1" spans="1:7" x14ac:dyDescent="0.3">
      <c r="A1" s="12" t="s">
        <v>54</v>
      </c>
      <c r="B1" s="3" t="s">
        <v>3</v>
      </c>
    </row>
    <row r="2" spans="1:7" x14ac:dyDescent="0.3">
      <c r="B2" s="2" t="s">
        <v>4</v>
      </c>
    </row>
    <row r="3" spans="1:7" x14ac:dyDescent="0.3">
      <c r="B3" s="5" t="s">
        <v>13</v>
      </c>
    </row>
    <row r="4" spans="1:7" x14ac:dyDescent="0.3">
      <c r="B4" s="1" t="s">
        <v>14</v>
      </c>
    </row>
    <row r="7" spans="1:7" ht="15" thickBot="1" x14ac:dyDescent="0.35"/>
    <row r="8" spans="1:7" ht="15" thickBot="1" x14ac:dyDescent="0.35">
      <c r="B8" s="17" t="s">
        <v>9</v>
      </c>
      <c r="C8" s="18" t="s">
        <v>21</v>
      </c>
      <c r="D8" s="20" t="s">
        <v>7</v>
      </c>
      <c r="E8" s="18" t="s">
        <v>8</v>
      </c>
      <c r="F8" s="18" t="s">
        <v>10</v>
      </c>
      <c r="G8" s="19" t="s">
        <v>14</v>
      </c>
    </row>
    <row r="9" spans="1:7" ht="35.4" customHeight="1" x14ac:dyDescent="0.3">
      <c r="A9" s="127" t="s">
        <v>90</v>
      </c>
      <c r="B9" s="68" t="s">
        <v>61</v>
      </c>
      <c r="C9" s="64" t="s">
        <v>35</v>
      </c>
      <c r="D9" s="56">
        <v>0.03</v>
      </c>
      <c r="E9" s="56"/>
      <c r="F9" s="149" t="s">
        <v>42</v>
      </c>
      <c r="G9" s="8"/>
    </row>
    <row r="10" spans="1:7" ht="38.4" customHeight="1" x14ac:dyDescent="0.3">
      <c r="A10" s="128"/>
      <c r="B10" s="69" t="s">
        <v>62</v>
      </c>
      <c r="C10" s="66" t="s">
        <v>36</v>
      </c>
      <c r="D10" s="57">
        <v>0.9</v>
      </c>
      <c r="E10" s="57" t="s">
        <v>18</v>
      </c>
      <c r="F10" s="150" t="s">
        <v>77</v>
      </c>
      <c r="G10" s="9"/>
    </row>
    <row r="11" spans="1:7" ht="35.4" customHeight="1" thickBot="1" x14ac:dyDescent="0.35">
      <c r="A11" s="129"/>
      <c r="B11" s="70" t="s">
        <v>63</v>
      </c>
      <c r="C11" s="71" t="s">
        <v>37</v>
      </c>
      <c r="D11" s="72">
        <f>(D9*D12*D13)/D10</f>
        <v>9.2466982956369487E-2</v>
      </c>
      <c r="E11" s="60" t="s">
        <v>47</v>
      </c>
      <c r="F11" s="151"/>
      <c r="G11" s="10"/>
    </row>
    <row r="12" spans="1:7" ht="15.6" x14ac:dyDescent="0.3">
      <c r="B12" s="73" t="s">
        <v>64</v>
      </c>
      <c r="C12" s="74" t="s">
        <v>38</v>
      </c>
      <c r="D12" s="75">
        <f>Wing!D18</f>
        <v>3.0271642145051074</v>
      </c>
      <c r="E12" s="76" t="s">
        <v>18</v>
      </c>
      <c r="F12" s="152"/>
      <c r="G12" s="21"/>
    </row>
    <row r="13" spans="1:7" ht="16.8" thickBot="1" x14ac:dyDescent="0.35">
      <c r="B13" s="77" t="s">
        <v>60</v>
      </c>
      <c r="C13" s="71" t="s">
        <v>32</v>
      </c>
      <c r="D13" s="78">
        <f>Wing!D17</f>
        <v>0.91637231815803244</v>
      </c>
      <c r="E13" s="60" t="s">
        <v>47</v>
      </c>
      <c r="F13" s="151"/>
      <c r="G13" s="10"/>
    </row>
    <row r="14" spans="1:7" ht="15" thickBot="1" x14ac:dyDescent="0.35">
      <c r="B14" s="61"/>
      <c r="C14" s="46"/>
      <c r="D14" s="61"/>
      <c r="E14" s="61"/>
      <c r="F14" s="153"/>
      <c r="G14" s="11"/>
    </row>
    <row r="15" spans="1:7" ht="36" customHeight="1" x14ac:dyDescent="0.3">
      <c r="A15" s="133" t="s">
        <v>91</v>
      </c>
      <c r="B15" s="85" t="s">
        <v>57</v>
      </c>
      <c r="C15" s="64" t="s">
        <v>39</v>
      </c>
      <c r="D15" s="79">
        <v>0.5</v>
      </c>
      <c r="E15" s="56"/>
      <c r="F15" s="149" t="s">
        <v>42</v>
      </c>
      <c r="G15" s="8"/>
    </row>
    <row r="16" spans="1:7" ht="42" customHeight="1" x14ac:dyDescent="0.3">
      <c r="A16" s="134"/>
      <c r="B16" s="52" t="s">
        <v>58</v>
      </c>
      <c r="C16" s="66" t="s">
        <v>40</v>
      </c>
      <c r="D16" s="57">
        <v>0.9</v>
      </c>
      <c r="E16" s="57" t="s">
        <v>18</v>
      </c>
      <c r="F16" s="150" t="s">
        <v>77</v>
      </c>
      <c r="G16" s="9"/>
    </row>
    <row r="17" spans="1:7" ht="48.6" customHeight="1" x14ac:dyDescent="0.3">
      <c r="A17" s="134"/>
      <c r="B17" s="53" t="s">
        <v>59</v>
      </c>
      <c r="C17" s="66" t="s">
        <v>41</v>
      </c>
      <c r="D17" s="58">
        <f>(D15*Wing!D14*'V-tail'!D13)/'V-tail'!D16</f>
        <v>0.15272871969300542</v>
      </c>
      <c r="E17" s="57" t="s">
        <v>47</v>
      </c>
      <c r="F17" s="150"/>
      <c r="G17" s="9"/>
    </row>
    <row r="18" spans="1:7" ht="48.6" customHeight="1" thickBot="1" x14ac:dyDescent="0.35">
      <c r="A18" s="135"/>
      <c r="B18" s="101" t="s">
        <v>195</v>
      </c>
      <c r="C18" s="67" t="s">
        <v>194</v>
      </c>
      <c r="D18" s="78">
        <v>0.78129899999999997</v>
      </c>
      <c r="E18" s="60" t="s">
        <v>18</v>
      </c>
      <c r="F18" s="151"/>
      <c r="G18" s="10"/>
    </row>
    <row r="19" spans="1:7" ht="15" thickBot="1" x14ac:dyDescent="0.35">
      <c r="B19" s="61"/>
      <c r="C19" s="47"/>
      <c r="D19" s="80"/>
      <c r="E19" s="61"/>
      <c r="F19" s="153"/>
      <c r="G19" s="11"/>
    </row>
    <row r="20" spans="1:7" ht="40.950000000000003" customHeight="1" x14ac:dyDescent="0.3">
      <c r="A20" s="130" t="s">
        <v>92</v>
      </c>
      <c r="B20" s="81" t="s">
        <v>45</v>
      </c>
      <c r="C20" s="64" t="s">
        <v>43</v>
      </c>
      <c r="D20" s="147">
        <f>DEGREES(ATAN(SQRT(D11/D17)))</f>
        <v>37.886329893038969</v>
      </c>
      <c r="E20" s="56" t="s">
        <v>44</v>
      </c>
      <c r="F20" s="148" t="s">
        <v>199</v>
      </c>
      <c r="G20" s="8"/>
    </row>
    <row r="21" spans="1:7" ht="46.5" customHeight="1" x14ac:dyDescent="0.3">
      <c r="A21" s="131"/>
      <c r="B21" s="53" t="s">
        <v>56</v>
      </c>
      <c r="C21" s="65" t="s">
        <v>46</v>
      </c>
      <c r="D21" s="58">
        <f>D17+D11</f>
        <v>0.2451957026493749</v>
      </c>
      <c r="E21" s="57" t="s">
        <v>47</v>
      </c>
      <c r="F21" s="150"/>
      <c r="G21" s="9"/>
    </row>
    <row r="22" spans="1:7" ht="28.8" x14ac:dyDescent="0.3">
      <c r="A22" s="131"/>
      <c r="B22" s="52" t="s">
        <v>29</v>
      </c>
      <c r="C22" s="66" t="s">
        <v>65</v>
      </c>
      <c r="D22" s="57">
        <v>4</v>
      </c>
      <c r="E22" s="57"/>
      <c r="F22" s="98" t="s">
        <v>73</v>
      </c>
      <c r="G22" s="6"/>
    </row>
    <row r="23" spans="1:7" ht="28.8" x14ac:dyDescent="0.3">
      <c r="A23" s="131"/>
      <c r="B23" s="53" t="s">
        <v>66</v>
      </c>
      <c r="C23" s="66" t="s">
        <v>67</v>
      </c>
      <c r="D23" s="83">
        <f>SQRT(D21*D22)</f>
        <v>0.99034479379532236</v>
      </c>
      <c r="E23" s="57" t="s">
        <v>18</v>
      </c>
      <c r="F23" s="98" t="s">
        <v>200</v>
      </c>
      <c r="G23" s="6"/>
    </row>
    <row r="24" spans="1:7" ht="15.6" x14ac:dyDescent="0.3">
      <c r="A24" s="131"/>
      <c r="B24" s="53" t="s">
        <v>68</v>
      </c>
      <c r="C24" s="66" t="s">
        <v>69</v>
      </c>
      <c r="D24" s="83">
        <f>D23/D22</f>
        <v>0.24758619844883059</v>
      </c>
      <c r="E24" s="57" t="s">
        <v>18</v>
      </c>
      <c r="F24" s="150"/>
      <c r="G24" s="6"/>
    </row>
    <row r="25" spans="1:7" x14ac:dyDescent="0.3">
      <c r="A25" s="131"/>
      <c r="B25" s="52" t="s">
        <v>70</v>
      </c>
      <c r="C25" s="66" t="s">
        <v>72</v>
      </c>
      <c r="D25" s="57">
        <v>0</v>
      </c>
      <c r="E25" s="57"/>
      <c r="F25" s="150" t="s">
        <v>71</v>
      </c>
      <c r="G25" s="6"/>
    </row>
    <row r="26" spans="1:7" ht="29.4" thickBot="1" x14ac:dyDescent="0.35">
      <c r="A26" s="132"/>
      <c r="B26" s="84" t="s">
        <v>75</v>
      </c>
      <c r="C26" s="67" t="s">
        <v>74</v>
      </c>
      <c r="D26" s="60">
        <v>-10</v>
      </c>
      <c r="E26" s="60" t="s">
        <v>44</v>
      </c>
      <c r="F26" s="99" t="s">
        <v>76</v>
      </c>
      <c r="G26" s="7"/>
    </row>
    <row r="27" spans="1:7" ht="15" thickBot="1" x14ac:dyDescent="0.35">
      <c r="B27" s="61"/>
      <c r="C27" s="61"/>
      <c r="D27" s="61"/>
      <c r="E27" s="61"/>
      <c r="F27" s="153"/>
    </row>
    <row r="28" spans="1:7" ht="15.6" x14ac:dyDescent="0.3">
      <c r="A28" s="130" t="s">
        <v>83</v>
      </c>
      <c r="B28" s="85" t="s">
        <v>93</v>
      </c>
      <c r="C28" s="64" t="s">
        <v>84</v>
      </c>
      <c r="D28" s="62"/>
      <c r="E28" s="56" t="s">
        <v>18</v>
      </c>
      <c r="F28" s="148" t="s">
        <v>88</v>
      </c>
      <c r="G28" s="13"/>
    </row>
    <row r="29" spans="1:7" ht="28.8" x14ac:dyDescent="0.3">
      <c r="A29" s="131"/>
      <c r="B29" s="52" t="s">
        <v>94</v>
      </c>
      <c r="C29" s="66" t="s">
        <v>85</v>
      </c>
      <c r="D29" s="83">
        <f>0.4*D24</f>
        <v>9.9034479379532248E-2</v>
      </c>
      <c r="E29" s="57" t="s">
        <v>18</v>
      </c>
      <c r="F29" s="98" t="s">
        <v>87</v>
      </c>
      <c r="G29" s="6"/>
    </row>
    <row r="30" spans="1:7" ht="29.4" thickBot="1" x14ac:dyDescent="0.35">
      <c r="A30" s="132"/>
      <c r="B30" s="84"/>
      <c r="C30" s="67" t="s">
        <v>86</v>
      </c>
      <c r="D30" s="60">
        <v>0</v>
      </c>
      <c r="E30" s="60" t="s">
        <v>18</v>
      </c>
      <c r="F30" s="99" t="s">
        <v>95</v>
      </c>
      <c r="G30" s="7"/>
    </row>
  </sheetData>
  <mergeCells count="4">
    <mergeCell ref="A28:A30"/>
    <mergeCell ref="A9:A11"/>
    <mergeCell ref="A20:A26"/>
    <mergeCell ref="A15:A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412D-E6C6-4698-8307-A04D3DB6C7A6}">
  <dimension ref="A1:G13"/>
  <sheetViews>
    <sheetView zoomScaleNormal="100" workbookViewId="0">
      <selection activeCell="F21" sqref="F21"/>
    </sheetView>
  </sheetViews>
  <sheetFormatPr defaultRowHeight="14.4" x14ac:dyDescent="0.3"/>
  <cols>
    <col min="1" max="1" width="9.88671875" bestFit="1" customWidth="1"/>
    <col min="2" max="2" width="15.5546875" bestFit="1" customWidth="1"/>
    <col min="3" max="3" width="19.6640625" customWidth="1"/>
    <col min="4" max="4" width="12.44140625" customWidth="1"/>
    <col min="5" max="5" width="6.33203125" bestFit="1" customWidth="1"/>
    <col min="6" max="6" width="38" customWidth="1"/>
    <col min="7" max="7" width="36.44140625" customWidth="1"/>
  </cols>
  <sheetData>
    <row r="1" spans="1:7" x14ac:dyDescent="0.3">
      <c r="A1" s="12"/>
      <c r="B1" s="3" t="s">
        <v>3</v>
      </c>
      <c r="D1" s="11"/>
    </row>
    <row r="2" spans="1:7" x14ac:dyDescent="0.3">
      <c r="B2" s="2" t="s">
        <v>4</v>
      </c>
      <c r="D2" s="11"/>
    </row>
    <row r="3" spans="1:7" x14ac:dyDescent="0.3">
      <c r="B3" s="5" t="s">
        <v>13</v>
      </c>
      <c r="D3" s="11"/>
    </row>
    <row r="4" spans="1:7" x14ac:dyDescent="0.3">
      <c r="B4" s="1" t="s">
        <v>14</v>
      </c>
      <c r="D4" s="11"/>
    </row>
    <row r="5" spans="1:7" x14ac:dyDescent="0.3">
      <c r="D5" s="11"/>
    </row>
    <row r="6" spans="1:7" x14ac:dyDescent="0.3">
      <c r="D6" s="11"/>
    </row>
    <row r="7" spans="1:7" ht="15" thickBot="1" x14ac:dyDescent="0.35">
      <c r="D7" s="11"/>
    </row>
    <row r="8" spans="1:7" x14ac:dyDescent="0.3">
      <c r="A8" s="48"/>
      <c r="B8" s="49" t="s">
        <v>9</v>
      </c>
      <c r="C8" s="49" t="s">
        <v>21</v>
      </c>
      <c r="D8" s="50" t="s">
        <v>7</v>
      </c>
      <c r="E8" s="49" t="s">
        <v>8</v>
      </c>
      <c r="F8" s="49" t="s">
        <v>10</v>
      </c>
      <c r="G8" s="51" t="s">
        <v>14</v>
      </c>
    </row>
    <row r="9" spans="1:7" ht="28.95" customHeight="1" x14ac:dyDescent="0.3">
      <c r="A9" s="136" t="s">
        <v>100</v>
      </c>
      <c r="B9" s="52" t="s">
        <v>101</v>
      </c>
      <c r="C9" s="66" t="s">
        <v>103</v>
      </c>
      <c r="D9" s="57">
        <f>1.5*Wing!D14</f>
        <v>0.44999999999999996</v>
      </c>
      <c r="E9" s="57" t="s">
        <v>18</v>
      </c>
      <c r="F9" s="93" t="s">
        <v>193</v>
      </c>
      <c r="G9" s="9" t="s">
        <v>169</v>
      </c>
    </row>
    <row r="10" spans="1:7" ht="15.6" x14ac:dyDescent="0.3">
      <c r="A10" s="134"/>
      <c r="B10" s="52" t="s">
        <v>102</v>
      </c>
      <c r="C10" s="66" t="s">
        <v>105</v>
      </c>
      <c r="D10" s="57">
        <f>3*Wing!D14</f>
        <v>0.89999999999999991</v>
      </c>
      <c r="E10" s="57" t="s">
        <v>18</v>
      </c>
      <c r="F10" s="92" t="s">
        <v>107</v>
      </c>
      <c r="G10" s="9" t="s">
        <v>170</v>
      </c>
    </row>
    <row r="11" spans="1:7" x14ac:dyDescent="0.3">
      <c r="A11" s="134"/>
      <c r="B11" s="53" t="s">
        <v>104</v>
      </c>
      <c r="C11" s="65" t="s">
        <v>106</v>
      </c>
      <c r="D11" s="83">
        <f>D9+D10+Wing!D14</f>
        <v>1.65</v>
      </c>
      <c r="E11" s="57" t="s">
        <v>18</v>
      </c>
      <c r="F11" s="92"/>
      <c r="G11" s="9"/>
    </row>
    <row r="12" spans="1:7" ht="28.8" x14ac:dyDescent="0.3">
      <c r="A12" s="134"/>
      <c r="B12" s="52" t="s">
        <v>108</v>
      </c>
      <c r="C12" s="66" t="s">
        <v>114</v>
      </c>
      <c r="D12" s="59">
        <v>0.3</v>
      </c>
      <c r="E12" s="57" t="s">
        <v>18</v>
      </c>
      <c r="F12" s="93" t="s">
        <v>171</v>
      </c>
      <c r="G12" s="9"/>
    </row>
    <row r="13" spans="1:7" ht="29.4" thickBot="1" x14ac:dyDescent="0.35">
      <c r="A13" s="135"/>
      <c r="B13" s="54" t="s">
        <v>192</v>
      </c>
      <c r="C13" s="67" t="s">
        <v>190</v>
      </c>
      <c r="D13" s="60">
        <v>0.1</v>
      </c>
      <c r="E13" s="60" t="s">
        <v>18</v>
      </c>
      <c r="F13" s="97" t="s">
        <v>191</v>
      </c>
      <c r="G13" s="10"/>
    </row>
  </sheetData>
  <mergeCells count="1">
    <mergeCell ref="A9:A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79866-2160-4925-834D-A41ED5331C38}">
  <dimension ref="A1:G36"/>
  <sheetViews>
    <sheetView topLeftCell="A24" zoomScale="90" zoomScaleNormal="90" workbookViewId="0">
      <selection activeCell="D36" sqref="D36"/>
    </sheetView>
  </sheetViews>
  <sheetFormatPr defaultRowHeight="14.4" x14ac:dyDescent="0.3"/>
  <cols>
    <col min="1" max="1" width="9.88671875" bestFit="1" customWidth="1"/>
    <col min="2" max="2" width="15.5546875" bestFit="1" customWidth="1"/>
    <col min="3" max="3" width="19.6640625" customWidth="1"/>
    <col min="4" max="4" width="12.44140625" customWidth="1"/>
    <col min="5" max="5" width="8.33203125" bestFit="1" customWidth="1"/>
    <col min="6" max="6" width="38" customWidth="1"/>
    <col min="7" max="7" width="41.5546875" customWidth="1"/>
  </cols>
  <sheetData>
    <row r="1" spans="1:7" x14ac:dyDescent="0.3">
      <c r="A1" s="12" t="s">
        <v>111</v>
      </c>
      <c r="B1" s="3" t="s">
        <v>3</v>
      </c>
      <c r="D1" s="11"/>
    </row>
    <row r="2" spans="1:7" x14ac:dyDescent="0.3">
      <c r="B2" s="2" t="s">
        <v>4</v>
      </c>
      <c r="D2" s="11"/>
    </row>
    <row r="3" spans="1:7" x14ac:dyDescent="0.3">
      <c r="B3" s="5" t="s">
        <v>13</v>
      </c>
      <c r="D3" s="11"/>
    </row>
    <row r="4" spans="1:7" x14ac:dyDescent="0.3">
      <c r="B4" s="1" t="s">
        <v>14</v>
      </c>
      <c r="D4" s="11"/>
    </row>
    <row r="5" spans="1:7" x14ac:dyDescent="0.3">
      <c r="D5" s="11"/>
    </row>
    <row r="6" spans="1:7" x14ac:dyDescent="0.3">
      <c r="D6" s="11"/>
    </row>
    <row r="7" spans="1:7" ht="15" thickBot="1" x14ac:dyDescent="0.35">
      <c r="D7" s="11"/>
    </row>
    <row r="8" spans="1:7" ht="14.4" customHeight="1" thickBot="1" x14ac:dyDescent="0.35">
      <c r="A8" s="22"/>
      <c r="B8" s="23" t="s">
        <v>9</v>
      </c>
      <c r="C8" s="20" t="s">
        <v>21</v>
      </c>
      <c r="D8" s="20" t="s">
        <v>7</v>
      </c>
      <c r="E8" s="20" t="s">
        <v>8</v>
      </c>
      <c r="F8" s="20" t="s">
        <v>10</v>
      </c>
      <c r="G8" s="24" t="s">
        <v>14</v>
      </c>
    </row>
    <row r="9" spans="1:7" ht="85.2" customHeight="1" x14ac:dyDescent="0.3">
      <c r="A9" s="137" t="s">
        <v>109</v>
      </c>
      <c r="B9" s="86"/>
      <c r="C9" s="64" t="s">
        <v>112</v>
      </c>
      <c r="D9" s="56">
        <f>(Fuselage!D9+(Wing!$D$14*0.25))/Wing!$D$14</f>
        <v>1.7499999999999998</v>
      </c>
      <c r="E9" s="58" t="s">
        <v>122</v>
      </c>
      <c r="F9" s="96"/>
      <c r="G9" s="8"/>
    </row>
    <row r="10" spans="1:7" ht="28.8" x14ac:dyDescent="0.3">
      <c r="A10" s="138"/>
      <c r="B10" s="87"/>
      <c r="C10" s="66" t="s">
        <v>113</v>
      </c>
      <c r="D10" s="59">
        <f>-D11*D9</f>
        <v>-9.6764591226254897</v>
      </c>
      <c r="E10" s="57" t="s">
        <v>127</v>
      </c>
      <c r="F10" s="92"/>
      <c r="G10" s="9"/>
    </row>
    <row r="11" spans="1:7" ht="43.2" x14ac:dyDescent="0.3">
      <c r="A11" s="138"/>
      <c r="B11" s="87"/>
      <c r="C11" s="66" t="s">
        <v>117</v>
      </c>
      <c r="D11" s="59">
        <f>(2*(22/7)*Wing!D19)/(2+(SQRT((Wing!D19^2)*('Overall AC'!D13)/'Overall AC'!D14+4)))</f>
        <v>5.529405212928852</v>
      </c>
      <c r="E11" s="57" t="s">
        <v>127</v>
      </c>
      <c r="F11" s="98" t="s">
        <v>115</v>
      </c>
      <c r="G11" s="100" t="s">
        <v>116</v>
      </c>
    </row>
    <row r="12" spans="1:7" ht="28.8" x14ac:dyDescent="0.3">
      <c r="A12" s="138"/>
      <c r="B12" s="87"/>
      <c r="C12" s="66" t="s">
        <v>110</v>
      </c>
      <c r="D12" s="59">
        <v>0</v>
      </c>
      <c r="E12" s="57"/>
      <c r="F12" s="98" t="s">
        <v>128</v>
      </c>
      <c r="G12" s="9"/>
    </row>
    <row r="13" spans="1:7" ht="57.6" x14ac:dyDescent="0.3">
      <c r="A13" s="138"/>
      <c r="B13" s="88" t="s">
        <v>125</v>
      </c>
      <c r="C13" s="65" t="s">
        <v>121</v>
      </c>
      <c r="D13" s="58">
        <f>1-(0.07)^2</f>
        <v>0.99509999999999998</v>
      </c>
      <c r="E13" s="58" t="s">
        <v>122</v>
      </c>
      <c r="F13" s="98" t="s">
        <v>126</v>
      </c>
      <c r="G13" s="9"/>
    </row>
    <row r="14" spans="1:7" ht="28.8" x14ac:dyDescent="0.3">
      <c r="A14" s="138"/>
      <c r="B14" s="87" t="s">
        <v>124</v>
      </c>
      <c r="C14" s="66" t="s">
        <v>120</v>
      </c>
      <c r="D14" s="59">
        <f>(1+0.75*D15)^2</f>
        <v>1.1881000000000002</v>
      </c>
      <c r="E14" s="58" t="s">
        <v>122</v>
      </c>
      <c r="F14" s="98" t="s">
        <v>129</v>
      </c>
      <c r="G14" s="9"/>
    </row>
    <row r="15" spans="1:7" ht="58.2" thickBot="1" x14ac:dyDescent="0.35">
      <c r="A15" s="139"/>
      <c r="B15" s="70" t="s">
        <v>118</v>
      </c>
      <c r="C15" s="71" t="s">
        <v>119</v>
      </c>
      <c r="D15" s="63">
        <f>(0.12*0.3)/0.3</f>
        <v>0.12</v>
      </c>
      <c r="E15" s="60" t="s">
        <v>122</v>
      </c>
      <c r="F15" s="99" t="s">
        <v>123</v>
      </c>
      <c r="G15" s="10"/>
    </row>
    <row r="16" spans="1:7" ht="15" thickBot="1" x14ac:dyDescent="0.35">
      <c r="B16" s="61"/>
      <c r="C16" s="46"/>
      <c r="D16" s="61"/>
      <c r="E16" s="61"/>
      <c r="F16" s="95"/>
      <c r="G16" s="11"/>
    </row>
    <row r="17" spans="1:7" ht="57.6" customHeight="1" x14ac:dyDescent="0.3">
      <c r="A17" s="137" t="s">
        <v>130</v>
      </c>
      <c r="B17" s="86"/>
      <c r="C17" s="64" t="s">
        <v>131</v>
      </c>
      <c r="D17" s="82">
        <f>(D18+(0.25*'V-tail'!D24))/'V-tail'!D24</f>
        <v>5.9143456312893408</v>
      </c>
      <c r="E17" s="62" t="s">
        <v>122</v>
      </c>
      <c r="F17" s="96"/>
      <c r="G17" s="8"/>
    </row>
    <row r="18" spans="1:7" ht="72" x14ac:dyDescent="0.3">
      <c r="A18" s="138"/>
      <c r="B18" s="87" t="s">
        <v>132</v>
      </c>
      <c r="C18" s="66" t="s">
        <v>133</v>
      </c>
      <c r="D18" s="59">
        <f>Fuselage!D11-'V-tail'!D24</f>
        <v>1.4024138015511693</v>
      </c>
      <c r="E18" s="57" t="s">
        <v>18</v>
      </c>
      <c r="F18" s="93" t="s">
        <v>134</v>
      </c>
      <c r="G18" s="9"/>
    </row>
    <row r="19" spans="1:7" ht="55.2" customHeight="1" x14ac:dyDescent="0.3">
      <c r="A19" s="138"/>
      <c r="B19" s="87"/>
      <c r="C19" s="66" t="s">
        <v>135</v>
      </c>
      <c r="D19" s="59">
        <f>-(D20*D21*D22)*D23*D17</f>
        <v>-2.5300219037859915</v>
      </c>
      <c r="E19" s="57" t="s">
        <v>127</v>
      </c>
      <c r="F19" s="92"/>
      <c r="G19" s="9"/>
    </row>
    <row r="20" spans="1:7" ht="42" customHeight="1" x14ac:dyDescent="0.3">
      <c r="A20" s="138"/>
      <c r="B20" s="87"/>
      <c r="C20" s="66" t="s">
        <v>139</v>
      </c>
      <c r="D20" s="59">
        <v>0.9</v>
      </c>
      <c r="E20" s="57" t="s">
        <v>122</v>
      </c>
      <c r="F20" s="93" t="s">
        <v>138</v>
      </c>
      <c r="G20" s="9"/>
    </row>
    <row r="21" spans="1:7" ht="40.950000000000003" customHeight="1" x14ac:dyDescent="0.3">
      <c r="A21" s="138"/>
      <c r="B21" s="87"/>
      <c r="C21" s="66" t="s">
        <v>140</v>
      </c>
      <c r="D21" s="59">
        <v>0.7</v>
      </c>
      <c r="E21" s="57"/>
      <c r="F21" s="93" t="s">
        <v>138</v>
      </c>
      <c r="G21" s="9"/>
    </row>
    <row r="22" spans="1:7" ht="47.4" customHeight="1" x14ac:dyDescent="0.3">
      <c r="A22" s="138"/>
      <c r="B22" s="87"/>
      <c r="C22" s="66" t="s">
        <v>141</v>
      </c>
      <c r="D22" s="59">
        <f>'V-tail'!D17/Wing!D17</f>
        <v>0.16666666666666669</v>
      </c>
      <c r="E22" s="57" t="s">
        <v>122</v>
      </c>
      <c r="F22" s="92"/>
      <c r="G22" s="9"/>
    </row>
    <row r="23" spans="1:7" ht="57.6" x14ac:dyDescent="0.3">
      <c r="A23" s="138"/>
      <c r="B23" s="87"/>
      <c r="C23" s="66" t="s">
        <v>136</v>
      </c>
      <c r="D23" s="59">
        <f>(2*(22/7)*'V-tail'!D22)/(2+(SQRT(('V-tail'!D22^2)*('Overall AC'!D25)/'Overall AC'!D26+4)))</f>
        <v>4.0740680719180196</v>
      </c>
      <c r="E23" s="57" t="s">
        <v>127</v>
      </c>
      <c r="F23" s="98" t="s">
        <v>137</v>
      </c>
      <c r="G23" s="100" t="s">
        <v>116</v>
      </c>
    </row>
    <row r="24" spans="1:7" ht="28.8" x14ac:dyDescent="0.3">
      <c r="A24" s="138"/>
      <c r="B24" s="87"/>
      <c r="C24" s="66" t="s">
        <v>110</v>
      </c>
      <c r="D24" s="59">
        <v>0</v>
      </c>
      <c r="E24" s="57"/>
      <c r="F24" s="98" t="s">
        <v>142</v>
      </c>
      <c r="G24" s="9"/>
    </row>
    <row r="25" spans="1:7" ht="57.6" x14ac:dyDescent="0.3">
      <c r="A25" s="138"/>
      <c r="B25" s="88" t="s">
        <v>125</v>
      </c>
      <c r="C25" s="65" t="s">
        <v>121</v>
      </c>
      <c r="D25" s="58">
        <f>1-(0.07)^2</f>
        <v>0.99509999999999998</v>
      </c>
      <c r="E25" s="58" t="s">
        <v>122</v>
      </c>
      <c r="F25" s="98" t="s">
        <v>126</v>
      </c>
      <c r="G25" s="9"/>
    </row>
    <row r="26" spans="1:7" ht="28.8" x14ac:dyDescent="0.3">
      <c r="A26" s="138"/>
      <c r="B26" s="87" t="s">
        <v>124</v>
      </c>
      <c r="C26" s="66" t="s">
        <v>120</v>
      </c>
      <c r="D26" s="59">
        <f>(1+0.75*D27)^2</f>
        <v>1.1881000000000002</v>
      </c>
      <c r="E26" s="58" t="s">
        <v>122</v>
      </c>
      <c r="F26" s="98" t="s">
        <v>129</v>
      </c>
      <c r="G26" s="9"/>
    </row>
    <row r="27" spans="1:7" ht="58.2" thickBot="1" x14ac:dyDescent="0.35">
      <c r="A27" s="139"/>
      <c r="B27" s="70" t="s">
        <v>118</v>
      </c>
      <c r="C27" s="71" t="s">
        <v>119</v>
      </c>
      <c r="D27" s="63">
        <f>(0.12*0.248)/0.248</f>
        <v>0.12</v>
      </c>
      <c r="E27" s="60" t="s">
        <v>122</v>
      </c>
      <c r="F27" s="99" t="s">
        <v>123</v>
      </c>
      <c r="G27" s="10"/>
    </row>
    <row r="28" spans="1:7" ht="15" thickBot="1" x14ac:dyDescent="0.35">
      <c r="B28" s="61"/>
      <c r="C28" s="61"/>
      <c r="D28" s="61"/>
      <c r="E28" s="61"/>
      <c r="F28" s="95"/>
    </row>
    <row r="29" spans="1:7" ht="42.6" customHeight="1" x14ac:dyDescent="0.3">
      <c r="A29" s="137" t="s">
        <v>143</v>
      </c>
      <c r="B29" s="86"/>
      <c r="C29" s="64" t="s">
        <v>144</v>
      </c>
      <c r="D29" s="82">
        <f>45*((D30*(D31^2)*Fuselage!D11)/Wing!D14*Wing!D17)</f>
        <v>0.20412193386970173</v>
      </c>
      <c r="E29" s="56" t="s">
        <v>127</v>
      </c>
      <c r="F29" s="91"/>
      <c r="G29" s="13"/>
    </row>
    <row r="30" spans="1:7" ht="30" x14ac:dyDescent="0.3">
      <c r="A30" s="138"/>
      <c r="B30" s="87" t="s">
        <v>145</v>
      </c>
      <c r="C30" s="66" t="s">
        <v>148</v>
      </c>
      <c r="D30" s="57">
        <v>0.01</v>
      </c>
      <c r="E30" s="57" t="s">
        <v>122</v>
      </c>
      <c r="F30" s="98" t="s">
        <v>152</v>
      </c>
      <c r="G30" s="6"/>
    </row>
    <row r="31" spans="1:7" ht="28.8" x14ac:dyDescent="0.3">
      <c r="A31" s="138"/>
      <c r="B31" s="87" t="s">
        <v>146</v>
      </c>
      <c r="C31" s="65" t="s">
        <v>147</v>
      </c>
      <c r="D31" s="59">
        <f>Fuselage!D12</f>
        <v>0.3</v>
      </c>
      <c r="E31" s="57" t="s">
        <v>18</v>
      </c>
      <c r="F31" s="98" t="s">
        <v>153</v>
      </c>
      <c r="G31" s="6"/>
    </row>
    <row r="32" spans="1:7" ht="15.6" x14ac:dyDescent="0.3">
      <c r="A32" s="138"/>
      <c r="B32" s="87" t="s">
        <v>149</v>
      </c>
      <c r="C32" s="65"/>
      <c r="D32" s="59">
        <f>D33/Fuselage!D11</f>
        <v>0.31818181818181812</v>
      </c>
      <c r="E32" s="57" t="s">
        <v>122</v>
      </c>
      <c r="F32" s="92"/>
      <c r="G32" s="6"/>
    </row>
    <row r="33" spans="1:7" ht="29.4" thickBot="1" x14ac:dyDescent="0.35">
      <c r="A33" s="139"/>
      <c r="B33" s="70" t="s">
        <v>150</v>
      </c>
      <c r="C33" s="67" t="s">
        <v>151</v>
      </c>
      <c r="D33" s="60">
        <f>Fuselage!D9+Wing!D14*0.25</f>
        <v>0.52499999999999991</v>
      </c>
      <c r="E33" s="60" t="s">
        <v>18</v>
      </c>
      <c r="F33" s="97"/>
      <c r="G33" s="7"/>
    </row>
    <row r="34" spans="1:7" ht="15" thickBot="1" x14ac:dyDescent="0.35">
      <c r="B34" s="61"/>
      <c r="C34" s="61"/>
      <c r="D34" s="61"/>
      <c r="E34" s="61"/>
      <c r="F34" s="95"/>
    </row>
    <row r="35" spans="1:7" ht="43.2" x14ac:dyDescent="0.3">
      <c r="A35" s="140" t="s">
        <v>154</v>
      </c>
      <c r="B35" s="86"/>
      <c r="C35" s="64" t="s">
        <v>156</v>
      </c>
      <c r="D35" s="82">
        <f>(D10-D29+D19)/D11+D23</f>
        <v>1.8295946643148437</v>
      </c>
      <c r="E35" s="56" t="s">
        <v>122</v>
      </c>
      <c r="F35" s="91"/>
      <c r="G35" s="13"/>
    </row>
    <row r="36" spans="1:7" ht="43.8" thickBot="1" x14ac:dyDescent="0.35">
      <c r="A36" s="141"/>
      <c r="B36" s="70" t="s">
        <v>155</v>
      </c>
      <c r="C36" s="67" t="s">
        <v>157</v>
      </c>
      <c r="D36" s="89">
        <f>D35*0.3</f>
        <v>0.54887839929445315</v>
      </c>
      <c r="E36" s="60" t="s">
        <v>18</v>
      </c>
      <c r="F36" s="94" t="s">
        <v>158</v>
      </c>
      <c r="G36" s="7"/>
    </row>
  </sheetData>
  <mergeCells count="4">
    <mergeCell ref="A29:A33"/>
    <mergeCell ref="A35:A36"/>
    <mergeCell ref="A9:A15"/>
    <mergeCell ref="A17:A2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FC13-65B8-4ADF-8133-431E42F1A0C9}">
  <dimension ref="B1:J22"/>
  <sheetViews>
    <sheetView tabSelected="1" workbookViewId="0">
      <selection activeCell="G11" sqref="G11"/>
    </sheetView>
  </sheetViews>
  <sheetFormatPr defaultRowHeight="14.4" x14ac:dyDescent="0.3"/>
  <cols>
    <col min="2" max="2" width="21.5546875" bestFit="1" customWidth="1"/>
    <col min="3" max="3" width="19.33203125" bestFit="1" customWidth="1"/>
    <col min="4" max="4" width="19.33203125" customWidth="1"/>
    <col min="5" max="5" width="6.5546875" bestFit="1" customWidth="1"/>
    <col min="6" max="6" width="6.109375" bestFit="1" customWidth="1"/>
    <col min="7" max="7" width="6.6640625" bestFit="1" customWidth="1"/>
    <col min="8" max="8" width="8" style="34" bestFit="1" customWidth="1"/>
    <col min="9" max="9" width="64" customWidth="1"/>
  </cols>
  <sheetData>
    <row r="1" spans="2:10" x14ac:dyDescent="0.3">
      <c r="B1" s="42"/>
    </row>
    <row r="2" spans="2:10" x14ac:dyDescent="0.3">
      <c r="B2" s="43"/>
    </row>
    <row r="3" spans="2:10" ht="15" thickBot="1" x14ac:dyDescent="0.35"/>
    <row r="4" spans="2:10" ht="15" thickBot="1" x14ac:dyDescent="0.35">
      <c r="B4" s="27"/>
      <c r="C4" s="30" t="s">
        <v>175</v>
      </c>
      <c r="D4" s="30" t="s">
        <v>183</v>
      </c>
      <c r="E4" s="36" t="s">
        <v>172</v>
      </c>
      <c r="F4" s="26" t="s">
        <v>173</v>
      </c>
      <c r="G4" s="37" t="s">
        <v>174</v>
      </c>
      <c r="H4" s="30" t="s">
        <v>179</v>
      </c>
      <c r="I4" s="122" t="s">
        <v>176</v>
      </c>
      <c r="J4" s="30" t="s">
        <v>198</v>
      </c>
    </row>
    <row r="5" spans="2:10" x14ac:dyDescent="0.3">
      <c r="B5" s="28" t="s">
        <v>159</v>
      </c>
      <c r="C5" s="31">
        <v>773</v>
      </c>
      <c r="D5" s="44"/>
      <c r="E5" s="38">
        <v>51</v>
      </c>
      <c r="F5" s="25">
        <v>51</v>
      </c>
      <c r="G5" s="39">
        <v>149</v>
      </c>
      <c r="H5" s="35">
        <v>4</v>
      </c>
      <c r="I5" s="123"/>
      <c r="J5" s="125"/>
    </row>
    <row r="6" spans="2:10" x14ac:dyDescent="0.3">
      <c r="B6" s="29" t="s">
        <v>160</v>
      </c>
      <c r="C6" s="33">
        <v>142.69999999999999</v>
      </c>
      <c r="D6" s="45"/>
      <c r="E6" s="40">
        <v>53.2</v>
      </c>
      <c r="F6" s="142" t="s">
        <v>178</v>
      </c>
      <c r="G6" s="143"/>
      <c r="H6" s="32">
        <v>4</v>
      </c>
      <c r="I6" s="41" t="s">
        <v>177</v>
      </c>
      <c r="J6" s="33"/>
    </row>
    <row r="7" spans="2:10" x14ac:dyDescent="0.3">
      <c r="B7" s="29" t="s">
        <v>161</v>
      </c>
      <c r="C7" s="33">
        <v>180</v>
      </c>
      <c r="D7" s="45"/>
      <c r="E7" s="144" t="s">
        <v>180</v>
      </c>
      <c r="F7" s="145"/>
      <c r="G7" s="143"/>
      <c r="H7" s="32">
        <v>4</v>
      </c>
      <c r="I7" s="41"/>
      <c r="J7" s="33"/>
    </row>
    <row r="8" spans="2:10" x14ac:dyDescent="0.3">
      <c r="B8" s="29" t="s">
        <v>162</v>
      </c>
      <c r="C8" s="33">
        <v>110</v>
      </c>
      <c r="D8" s="45"/>
      <c r="E8" s="40">
        <v>19.5</v>
      </c>
      <c r="F8" s="4">
        <v>35.5</v>
      </c>
      <c r="G8" s="6">
        <v>84</v>
      </c>
      <c r="H8" s="32">
        <v>4</v>
      </c>
      <c r="I8" s="41" t="s">
        <v>181</v>
      </c>
      <c r="J8" s="33"/>
    </row>
    <row r="9" spans="2:10" x14ac:dyDescent="0.3">
      <c r="B9" s="121" t="s">
        <v>197</v>
      </c>
      <c r="C9" s="33">
        <v>70</v>
      </c>
      <c r="D9" s="45"/>
      <c r="E9" s="40">
        <v>38.700000000000003</v>
      </c>
      <c r="F9" s="4">
        <v>20.2</v>
      </c>
      <c r="G9" s="6">
        <v>40.299999999999997</v>
      </c>
      <c r="H9" s="32">
        <v>4</v>
      </c>
      <c r="I9" s="41"/>
      <c r="J9" s="33"/>
    </row>
    <row r="10" spans="2:10" x14ac:dyDescent="0.3">
      <c r="B10" s="121" t="s">
        <v>196</v>
      </c>
      <c r="C10" s="33">
        <v>70</v>
      </c>
      <c r="D10" s="45"/>
      <c r="E10" s="40">
        <v>38.700000000000003</v>
      </c>
      <c r="F10" s="4">
        <v>20.2</v>
      </c>
      <c r="G10" s="6">
        <v>40.299999999999997</v>
      </c>
      <c r="H10" s="32">
        <v>4</v>
      </c>
      <c r="I10" s="41"/>
      <c r="J10" s="33"/>
    </row>
    <row r="11" spans="2:10" x14ac:dyDescent="0.3">
      <c r="B11" s="29" t="s">
        <v>163</v>
      </c>
      <c r="C11" s="33">
        <v>37</v>
      </c>
      <c r="D11" s="45"/>
      <c r="E11" s="40"/>
      <c r="F11" s="4"/>
      <c r="G11" s="6"/>
      <c r="H11" s="32">
        <v>1</v>
      </c>
      <c r="I11" s="41" t="s">
        <v>201</v>
      </c>
      <c r="J11" s="33"/>
    </row>
    <row r="12" spans="2:10" x14ac:dyDescent="0.3">
      <c r="B12" s="29" t="s">
        <v>164</v>
      </c>
      <c r="C12" s="33">
        <v>3000</v>
      </c>
      <c r="D12" s="45"/>
      <c r="E12" s="40">
        <v>230</v>
      </c>
      <c r="F12" s="4">
        <v>300</v>
      </c>
      <c r="G12" s="6">
        <v>200</v>
      </c>
      <c r="H12" s="32">
        <v>1</v>
      </c>
      <c r="I12" s="41"/>
      <c r="J12" s="33"/>
    </row>
    <row r="13" spans="2:10" x14ac:dyDescent="0.3">
      <c r="B13" s="29" t="s">
        <v>165</v>
      </c>
      <c r="C13" s="33">
        <v>200</v>
      </c>
      <c r="D13" s="45"/>
      <c r="E13" s="40"/>
      <c r="F13" s="4"/>
      <c r="G13" s="6"/>
      <c r="H13" s="32">
        <v>1</v>
      </c>
      <c r="I13" s="41"/>
      <c r="J13" s="33"/>
    </row>
    <row r="14" spans="2:10" x14ac:dyDescent="0.3">
      <c r="B14" s="29" t="s">
        <v>184</v>
      </c>
      <c r="C14" s="33">
        <v>1200</v>
      </c>
      <c r="D14" s="45"/>
      <c r="E14" s="40"/>
      <c r="F14" s="4"/>
      <c r="G14" s="6"/>
      <c r="H14" s="32">
        <v>1</v>
      </c>
      <c r="I14" s="41"/>
      <c r="J14" s="33"/>
    </row>
    <row r="15" spans="2:10" x14ac:dyDescent="0.3">
      <c r="B15" s="29" t="s">
        <v>185</v>
      </c>
      <c r="C15" s="33">
        <v>1000</v>
      </c>
      <c r="D15" s="45"/>
      <c r="E15" s="40"/>
      <c r="F15" s="4"/>
      <c r="G15" s="6"/>
      <c r="H15" s="32">
        <v>1</v>
      </c>
      <c r="I15" s="41"/>
      <c r="J15" s="33"/>
    </row>
    <row r="16" spans="2:10" x14ac:dyDescent="0.3">
      <c r="B16" s="29" t="s">
        <v>186</v>
      </c>
      <c r="C16" s="33">
        <v>400</v>
      </c>
      <c r="D16" s="45"/>
      <c r="E16" s="40"/>
      <c r="F16" s="4"/>
      <c r="G16" s="6"/>
      <c r="H16" s="32">
        <v>1</v>
      </c>
      <c r="I16" s="41"/>
      <c r="J16" s="33"/>
    </row>
    <row r="17" spans="2:10" x14ac:dyDescent="0.3">
      <c r="B17" s="29" t="s">
        <v>166</v>
      </c>
      <c r="C17" s="33">
        <v>250</v>
      </c>
      <c r="D17" s="45"/>
      <c r="E17" s="40"/>
      <c r="F17" s="4"/>
      <c r="G17" s="6"/>
      <c r="H17" s="32">
        <v>4</v>
      </c>
      <c r="I17" s="41"/>
      <c r="J17" s="33"/>
    </row>
    <row r="18" spans="2:10" ht="15" thickBot="1" x14ac:dyDescent="0.35">
      <c r="B18" s="102" t="s">
        <v>182</v>
      </c>
      <c r="C18" s="103">
        <v>2000</v>
      </c>
      <c r="D18" s="104"/>
      <c r="E18" s="105"/>
      <c r="F18" s="106"/>
      <c r="G18" s="107"/>
      <c r="H18" s="108">
        <v>1</v>
      </c>
      <c r="I18" s="124"/>
      <c r="J18" s="126"/>
    </row>
    <row r="19" spans="2:10" ht="15" thickBot="1" x14ac:dyDescent="0.35">
      <c r="B19" s="109" t="s">
        <v>187</v>
      </c>
      <c r="C19" s="27">
        <f>C5*H5+C6*H6+C7*H7+C8*H8+C9*H9+C11+C12+C13+C14+C15+C16+C17*H17</f>
        <v>11939.8</v>
      </c>
      <c r="D19" s="110"/>
      <c r="E19" s="111"/>
      <c r="F19" s="112"/>
      <c r="G19" s="113"/>
      <c r="H19" s="114" t="s">
        <v>122</v>
      </c>
      <c r="I19" s="115"/>
      <c r="J19" s="27"/>
    </row>
    <row r="20" spans="2:10" x14ac:dyDescent="0.3">
      <c r="B20" s="12"/>
      <c r="I20" s="116"/>
    </row>
    <row r="21" spans="2:10" x14ac:dyDescent="0.3">
      <c r="B21" s="117" t="s">
        <v>167</v>
      </c>
      <c r="C21" s="142"/>
      <c r="D21" s="146"/>
      <c r="E21" s="118" t="s">
        <v>122</v>
      </c>
      <c r="F21" s="118" t="s">
        <v>122</v>
      </c>
      <c r="G21" s="118" t="s">
        <v>122</v>
      </c>
      <c r="H21" s="118" t="s">
        <v>122</v>
      </c>
      <c r="I21" s="119" t="s">
        <v>189</v>
      </c>
    </row>
    <row r="22" spans="2:10" x14ac:dyDescent="0.3">
      <c r="B22" s="117" t="s">
        <v>168</v>
      </c>
      <c r="C22" s="120">
        <f>'Overall AC'!D36-0.05*'Overall AC'!D36</f>
        <v>0.52143447932973053</v>
      </c>
      <c r="D22" s="120">
        <f>'Overall AC'!D36-0.1*'Overall AC'!D36</f>
        <v>0.4939905593650078</v>
      </c>
      <c r="E22" s="118" t="s">
        <v>122</v>
      </c>
      <c r="F22" s="118" t="s">
        <v>122</v>
      </c>
      <c r="G22" s="118" t="s">
        <v>122</v>
      </c>
      <c r="H22" s="118" t="s">
        <v>122</v>
      </c>
      <c r="I22" s="119" t="s">
        <v>188</v>
      </c>
    </row>
  </sheetData>
  <mergeCells count="3">
    <mergeCell ref="F6:G6"/>
    <mergeCell ref="E7:G7"/>
    <mergeCell ref="C21:D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Constants</vt:lpstr>
      <vt:lpstr>Wing</vt:lpstr>
      <vt:lpstr>V-tail</vt:lpstr>
      <vt:lpstr>Fuselage</vt:lpstr>
      <vt:lpstr>Overall AC</vt:lpstr>
      <vt:lpstr>Weight and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Nikolov, Aleksandar</dc:creator>
  <cp:lastModifiedBy>Nikolov, Aleksandar</cp:lastModifiedBy>
  <dcterms:created xsi:type="dcterms:W3CDTF">2026-03-22T14:24:49Z</dcterms:created>
  <dcterms:modified xsi:type="dcterms:W3CDTF">2026-05-01T09:47:03Z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116a5-35f0-4733-81bd-339106ca795f_Enabled">
    <vt:lpwstr>true</vt:lpwstr>
  </property>
  <property fmtid="{D5CDD505-2E9C-101B-9397-08002B2CF9AE}" pid="3" name="MSIP_Label_dad116a5-35f0-4733-81bd-339106ca795f_SetDate">
    <vt:lpwstr>2026-03-22T15:13:24Z</vt:lpwstr>
  </property>
  <property fmtid="{D5CDD505-2E9C-101B-9397-08002B2CF9AE}" pid="4" name="MSIP_Label_dad116a5-35f0-4733-81bd-339106ca795f_Method">
    <vt:lpwstr>Standard</vt:lpwstr>
  </property>
  <property fmtid="{D5CDD505-2E9C-101B-9397-08002B2CF9AE}" pid="5" name="MSIP_Label_dad116a5-35f0-4733-81bd-339106ca795f_Name">
    <vt:lpwstr>Sensata Internal</vt:lpwstr>
  </property>
  <property fmtid="{D5CDD505-2E9C-101B-9397-08002B2CF9AE}" pid="6" name="MSIP_Label_dad116a5-35f0-4733-81bd-339106ca795f_SiteId">
    <vt:lpwstr>8fe11266-3a2b-494f-b7ce-92bc201dc2ab</vt:lpwstr>
  </property>
  <property fmtid="{D5CDD505-2E9C-101B-9397-08002B2CF9AE}" pid="7" name="MSIP_Label_dad116a5-35f0-4733-81bd-339106ca795f_ActionId">
    <vt:lpwstr>e532a56b-97f8-484a-98d7-4e5d9ab0c435</vt:lpwstr>
  </property>
  <property fmtid="{D5CDD505-2E9C-101B-9397-08002B2CF9AE}" pid="8" name="MSIP_Label_dad116a5-35f0-4733-81bd-339106ca795f_ContentBits">
    <vt:lpwstr>0</vt:lpwstr>
  </property>
  <property fmtid="{D5CDD505-2E9C-101B-9397-08002B2CF9AE}" pid="9" name="MSIP_Label_dad116a5-35f0-4733-81bd-339106ca795f_Tag">
    <vt:lpwstr>10, 3, 0, 1</vt:lpwstr>
  </property>
</Properties>
</file>