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rones\ORGOfly-CAD-model\"/>
    </mc:Choice>
  </mc:AlternateContent>
  <xr:revisionPtr revIDLastSave="0" documentId="13_ncr:1_{4FECD7D6-3258-47D2-A1AF-00D033C89B7E}" xr6:coauthVersionLast="47" xr6:coauthVersionMax="47" xr10:uidLastSave="{00000000-0000-0000-0000-000000000000}"/>
  <bookViews>
    <workbookView xWindow="-120" yWindow="-120" windowWidth="29040" windowHeight="15720" activeTab="4" xr2:uid="{9597FAC8-E3BA-4239-B29C-D9DA52C8E4BB}"/>
  </bookViews>
  <sheets>
    <sheet name="Constants" sheetId="2" r:id="rId1"/>
    <sheet name="Wing" sheetId="1" r:id="rId2"/>
    <sheet name="V-tail" sheetId="3" r:id="rId3"/>
    <sheet name="Fuselage" sheetId="4" r:id="rId4"/>
    <sheet name="Neutral point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5" l="1"/>
  <c r="D9" i="5"/>
  <c r="D11" i="4"/>
  <c r="D9" i="4"/>
  <c r="D10" i="4"/>
  <c r="D20" i="1"/>
  <c r="D23" i="1"/>
  <c r="D13" i="1"/>
  <c r="D17" i="1" l="1"/>
  <c r="D18" i="1" l="1"/>
  <c r="D13" i="3"/>
  <c r="D17" i="3" s="1"/>
  <c r="D12" i="3" l="1"/>
  <c r="D24" i="1"/>
  <c r="D22" i="1"/>
  <c r="D11" i="3"/>
  <c r="D19" i="3" s="1"/>
  <c r="D20" i="3" l="1"/>
  <c r="D22" i="3" s="1"/>
  <c r="D23" i="3" s="1"/>
  <c r="D28" i="3" s="1"/>
</calcChain>
</file>

<file path=xl/sharedStrings.xml><?xml version="1.0" encoding="utf-8"?>
<sst xmlns="http://schemas.openxmlformats.org/spreadsheetml/2006/main" count="177" uniqueCount="119">
  <si>
    <t>kg</t>
  </si>
  <si>
    <t>MTOW</t>
  </si>
  <si>
    <t>m/s</t>
  </si>
  <si>
    <t>Hard requirement</t>
  </si>
  <si>
    <t>Subject to change</t>
  </si>
  <si>
    <t>ρ</t>
  </si>
  <si>
    <t>kg/m³</t>
  </si>
  <si>
    <t>Value</t>
  </si>
  <si>
    <t>Unit</t>
  </si>
  <si>
    <t>Property</t>
  </si>
  <si>
    <t>Notes</t>
  </si>
  <si>
    <t>S</t>
  </si>
  <si>
    <t>g</t>
  </si>
  <si>
    <t>Results</t>
  </si>
  <si>
    <t>Used formula</t>
  </si>
  <si>
    <t xml:space="preserve">c </t>
  </si>
  <si>
    <t>ν</t>
  </si>
  <si>
    <t>Assumed average viscosity of the air at standard conditions between 10 and 15deg and SOF atmospheric pressure</t>
  </si>
  <si>
    <t>m</t>
  </si>
  <si>
    <t>𝑅𝑒 at cruse speed</t>
  </si>
  <si>
    <r>
      <t>C</t>
    </r>
    <r>
      <rPr>
        <sz val="8"/>
        <color theme="1"/>
        <rFont val="Aptos Narrow"/>
        <family val="2"/>
        <scheme val="minor"/>
      </rPr>
      <t>Lmax</t>
    </r>
    <r>
      <rPr>
        <sz val="11"/>
        <color theme="1"/>
        <rFont val="Aptos Narrow"/>
        <family val="2"/>
        <scheme val="minor"/>
      </rPr>
      <t xml:space="preserve"> </t>
    </r>
  </si>
  <si>
    <t>Definition</t>
  </si>
  <si>
    <t>kinematic viscosity of the air</t>
  </si>
  <si>
    <t>Maximum Take-off weight</t>
  </si>
  <si>
    <t>maximum lift coeff.</t>
  </si>
  <si>
    <t>air density</t>
  </si>
  <si>
    <t>for Sofia (600m)</t>
  </si>
  <si>
    <t>b</t>
  </si>
  <si>
    <t>wingspan</t>
  </si>
  <si>
    <t>AR</t>
  </si>
  <si>
    <t>aspect ratio</t>
  </si>
  <si>
    <t>mean wing chord</t>
  </si>
  <si>
    <t>wing area</t>
  </si>
  <si>
    <t>Efficient for the beginning
Could be lowered to 8-9 later if the wingspan is too wide to be build</t>
  </si>
  <si>
    <t>wing ref area</t>
  </si>
  <si>
    <t>Vertical tail volume coefficient</t>
  </si>
  <si>
    <t>moment arm to the VT from wing AC to tail AC</t>
  </si>
  <si>
    <t>area of the vertical tail</t>
  </si>
  <si>
    <t>wing span</t>
  </si>
  <si>
    <t>Horizontal tail volume coefficient</t>
  </si>
  <si>
    <t>moment arm to the HT from wing AC to tail AC</t>
  </si>
  <si>
    <t>area of the horizontal tail</t>
  </si>
  <si>
    <t>statistical data (look at tables on the right for acceptable values)</t>
  </si>
  <si>
    <t>V-tail angle</t>
  </si>
  <si>
    <t>deg</t>
  </si>
  <si>
    <t>θ</t>
  </si>
  <si>
    <t>V-tail surface area</t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</si>
  <si>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</si>
  <si>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/s</t>
    </r>
  </si>
  <si>
    <t>Reynolds number at cruise speed</t>
  </si>
  <si>
    <t>Approximate value</t>
  </si>
  <si>
    <r>
      <t>V</t>
    </r>
    <r>
      <rPr>
        <vertAlign val="subscript"/>
        <sz val="11"/>
        <color theme="1"/>
        <rFont val="Aptos Narrow"/>
        <family val="2"/>
        <scheme val="minor"/>
      </rPr>
      <t>cruise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</si>
  <si>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stall</t>
    </r>
  </si>
  <si>
    <t>NACA2412</t>
  </si>
  <si>
    <t>NACA0009</t>
  </si>
  <si>
    <r>
      <t>(NACA2412)
α</t>
    </r>
    <r>
      <rPr>
        <vertAlign val="subscript"/>
        <sz val="11"/>
        <color theme="1"/>
        <rFont val="Aptos Narrow"/>
        <family val="2"/>
        <scheme val="minor"/>
      </rPr>
      <t>max</t>
    </r>
    <r>
      <rPr>
        <sz val="11"/>
        <color theme="1"/>
        <rFont val="Aptos Narrow"/>
        <family val="2"/>
        <scheme val="minor"/>
      </rPr>
      <t xml:space="preserve"> ≈ 15deg
Take a look at the graphs on the right (Cl vs alpha)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</si>
  <si>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V-tail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</si>
  <si>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</si>
  <si>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</si>
  <si>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</si>
  <si>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W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</si>
  <si>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</si>
  <si>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</si>
  <si>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</si>
  <si>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b</t>
    </r>
    <r>
      <rPr>
        <vertAlign val="subscript"/>
        <sz val="11"/>
        <color theme="1"/>
        <rFont val="Aptos Narrow"/>
        <family val="2"/>
        <scheme val="minor"/>
      </rPr>
      <t>W</t>
    </r>
  </si>
  <si>
    <t>Aspect Ratio</t>
  </si>
  <si>
    <r>
      <t>b</t>
    </r>
    <r>
      <rPr>
        <vertAlign val="subscript"/>
        <sz val="11"/>
        <color theme="1"/>
        <rFont val="Aptos Narrow"/>
        <family val="2"/>
        <scheme val="minor"/>
      </rPr>
      <t>V-tail</t>
    </r>
  </si>
  <si>
    <t>V-tail span</t>
  </si>
  <si>
    <r>
      <t>c</t>
    </r>
    <r>
      <rPr>
        <vertAlign val="subscript"/>
        <sz val="11"/>
        <color theme="1"/>
        <rFont val="Aptos Narrow"/>
        <family val="2"/>
        <scheme val="minor"/>
      </rPr>
      <t>V-tail</t>
    </r>
  </si>
  <si>
    <t>V-tail chord</t>
  </si>
  <si>
    <t>λ</t>
  </si>
  <si>
    <t>No taper for the first model.</t>
  </si>
  <si>
    <t>V-tail taper</t>
  </si>
  <si>
    <t>Aspect ration is chosen such than smaller span is achieved.</t>
  </si>
  <si>
    <t xml:space="preserve">Sweep angle </t>
  </si>
  <si>
    <t>Λ</t>
  </si>
  <si>
    <t>Negative sweep angle to begin with. Could be further increased later if needed.</t>
  </si>
  <si>
    <t>Could be lowered</t>
  </si>
  <si>
    <t>Aileron</t>
  </si>
  <si>
    <t>Single Aileron span</t>
  </si>
  <si>
    <t>Single Aileron chord</t>
  </si>
  <si>
    <t>Aileron start outbound to inbound</t>
  </si>
  <si>
    <t>This is chosen by the design. Could be lower.</t>
  </si>
  <si>
    <t>Elevon</t>
  </si>
  <si>
    <t>Single Elevon span</t>
  </si>
  <si>
    <t>Single Elevon chord</t>
  </si>
  <si>
    <t>Elevon start outbound to inbound</t>
  </si>
  <si>
    <t>40percent of the V-tail chord.
25-50 is the acceptable range.</t>
  </si>
  <si>
    <t>Almost the whole V-tail surface</t>
  </si>
  <si>
    <t>Wing</t>
  </si>
  <si>
    <t>Vertical Tail</t>
  </si>
  <si>
    <t>Horizontal Tail</t>
  </si>
  <si>
    <t>V-Tail</t>
  </si>
  <si>
    <r>
      <t>b</t>
    </r>
    <r>
      <rPr>
        <vertAlign val="subscript"/>
        <sz val="11"/>
        <color theme="1"/>
        <rFont val="Aptos Narrow"/>
        <family val="2"/>
        <scheme val="minor"/>
      </rPr>
      <t>e​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</si>
  <si>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e</t>
    </r>
    <r>
      <rPr>
        <sz val="11"/>
        <color theme="1"/>
        <rFont val="Aptos Narrow"/>
        <family val="2"/>
        <scheme val="minor"/>
      </rPr>
      <t>​</t>
    </r>
  </si>
  <si>
    <t>Elevon spans across almost the whole V-tail surface</t>
  </si>
  <si>
    <t>Aircraft Performance lecture slide on the right.</t>
  </si>
  <si>
    <t>Aerodynamic Center of the wing</t>
  </si>
  <si>
    <r>
      <t>AC</t>
    </r>
    <r>
      <rPr>
        <vertAlign val="subscript"/>
        <sz val="11"/>
        <color theme="1"/>
        <rFont val="Aptos Narrow"/>
        <family val="2"/>
        <scheme val="minor"/>
      </rPr>
      <t>W</t>
    </r>
  </si>
  <si>
    <t>Around 25% of the wing chord from the wing tip. Could be calculated at a later stage when the preliminary design is done.</t>
  </si>
  <si>
    <t>Fuselage</t>
  </si>
  <si>
    <r>
      <t>l</t>
    </r>
    <r>
      <rPr>
        <sz val="8"/>
        <color theme="1"/>
        <rFont val="Aptos Narrow"/>
        <family val="2"/>
        <scheme val="minor"/>
      </rPr>
      <t>front</t>
    </r>
  </si>
  <si>
    <r>
      <t>l</t>
    </r>
    <r>
      <rPr>
        <sz val="8"/>
        <color theme="1"/>
        <rFont val="Aptos Narrow"/>
        <family val="2"/>
        <scheme val="minor"/>
      </rPr>
      <t>aft</t>
    </r>
  </si>
  <si>
    <t>Front fuselage</t>
  </si>
  <si>
    <r>
      <t>l</t>
    </r>
    <r>
      <rPr>
        <sz val="8"/>
        <color theme="1"/>
        <rFont val="Aptos Narrow"/>
        <family val="2"/>
        <scheme val="minor"/>
      </rPr>
      <t>fus</t>
    </r>
  </si>
  <si>
    <t>Aft fuselage</t>
  </si>
  <si>
    <t>estimated from the right picture (subject  to change)</t>
  </si>
  <si>
    <t>Fuselage lenght</t>
  </si>
  <si>
    <t>From moment lever arm from v-tail</t>
  </si>
  <si>
    <r>
      <t>d</t>
    </r>
    <r>
      <rPr>
        <sz val="9"/>
        <color theme="1"/>
        <rFont val="Aptos Narrow"/>
        <family val="2"/>
        <scheme val="minor"/>
      </rPr>
      <t>fus</t>
    </r>
  </si>
  <si>
    <t>Diameter of fuselage</t>
  </si>
  <si>
    <t>from LxWxH (subject to change if too big)</t>
  </si>
  <si>
    <t>Wing contribution</t>
  </si>
  <si>
    <t>Position of Aerodynamic Center</t>
  </si>
  <si>
    <t>Moment Coeff. Of the wing</t>
  </si>
  <si>
    <t>Lift coeff. Depending on the angle of attack</t>
  </si>
  <si>
    <t>polhamus formula</t>
  </si>
  <si>
    <t>50% of sweep</t>
  </si>
  <si>
    <t>For Polhamus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</si>
</sst>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vertAlign val="superscript"/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7171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9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5" borderId="0" xfId="0" applyFill="1"/>
    <xf numFmtId="0" fontId="3" fillId="0" borderId="1" xfId="0" applyFont="1" applyBorder="1" applyAlignment="1">
      <alignment wrapText="1"/>
    </xf>
    <xf numFmtId="0" fontId="3" fillId="0" borderId="1" xfId="0" applyFont="1" applyBorder="1"/>
    <xf numFmtId="164" fontId="0" fillId="0" borderId="1" xfId="0" applyNumberFormat="1" applyBorder="1"/>
    <xf numFmtId="2" fontId="0" fillId="0" borderId="1" xfId="0" applyNumberFormat="1" applyBorder="1"/>
    <xf numFmtId="0" fontId="0" fillId="0" borderId="1" xfId="0" applyBorder="1" applyAlignment="1">
      <alignment wrapText="1"/>
    </xf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3" fillId="0" borderId="3" xfId="0" applyFont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5" borderId="7" xfId="0" applyFill="1" applyBorder="1" applyAlignment="1">
      <alignment vertical="center"/>
    </xf>
    <xf numFmtId="0" fontId="3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8" xfId="0" applyFont="1" applyBorder="1" applyAlignment="1">
      <alignment vertical="center" wrapText="1"/>
    </xf>
    <xf numFmtId="164" fontId="0" fillId="0" borderId="8" xfId="0" applyNumberFormat="1" applyBorder="1" applyAlignment="1">
      <alignment vertical="center"/>
    </xf>
    <xf numFmtId="2" fontId="0" fillId="0" borderId="3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2" fontId="0" fillId="0" borderId="0" xfId="0" applyNumberFormat="1" applyAlignment="1">
      <alignment vertical="center"/>
    </xf>
    <xf numFmtId="0" fontId="0" fillId="0" borderId="8" xfId="0" applyBorder="1" applyAlignment="1">
      <alignment wrapText="1"/>
    </xf>
    <xf numFmtId="0" fontId="1" fillId="0" borderId="0" xfId="0" applyFont="1"/>
    <xf numFmtId="0" fontId="0" fillId="5" borderId="11" xfId="0" applyFill="1" applyBorder="1" applyAlignment="1">
      <alignment vertical="center"/>
    </xf>
    <xf numFmtId="0" fontId="0" fillId="0" borderId="3" xfId="0" applyBorder="1"/>
    <xf numFmtId="0" fontId="0" fillId="0" borderId="4" xfId="0" applyBorder="1"/>
    <xf numFmtId="0" fontId="0" fillId="3" borderId="1" xfId="0" applyFill="1" applyBorder="1"/>
    <xf numFmtId="0" fontId="3" fillId="0" borderId="3" xfId="0" applyFont="1" applyBorder="1" applyAlignment="1">
      <alignment wrapText="1"/>
    </xf>
    <xf numFmtId="164" fontId="0" fillId="0" borderId="3" xfId="0" applyNumberFormat="1" applyBorder="1"/>
    <xf numFmtId="0" fontId="0" fillId="3" borderId="8" xfId="0" applyFill="1" applyBorder="1"/>
    <xf numFmtId="0" fontId="3" fillId="0" borderId="8" xfId="0" applyFont="1" applyBorder="1" applyAlignment="1">
      <alignment wrapText="1"/>
    </xf>
    <xf numFmtId="2" fontId="0" fillId="0" borderId="8" xfId="0" applyNumberFormat="1" applyBorder="1"/>
    <xf numFmtId="0" fontId="0" fillId="3" borderId="3" xfId="0" applyFill="1" applyBorder="1"/>
    <xf numFmtId="164" fontId="0" fillId="0" borderId="3" xfId="0" applyNumberFormat="1" applyBorder="1" applyAlignment="1">
      <alignment vertical="center"/>
    </xf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0" fillId="3" borderId="12" xfId="0" applyFill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0" fillId="5" borderId="16" xfId="0" applyFill="1" applyBorder="1" applyAlignment="1">
      <alignment vertical="center"/>
    </xf>
    <xf numFmtId="0" fontId="3" fillId="0" borderId="17" xfId="0" applyFont="1" applyBorder="1" applyAlignment="1">
      <alignment vertical="center" wrapText="1"/>
    </xf>
    <xf numFmtId="2" fontId="0" fillId="0" borderId="17" xfId="0" applyNumberFormat="1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17" xfId="0" applyBorder="1" applyAlignment="1">
      <alignment vertical="center" wrapText="1"/>
    </xf>
    <xf numFmtId="0" fontId="0" fillId="0" borderId="18" xfId="0" applyBorder="1" applyAlignment="1">
      <alignment vertical="center"/>
    </xf>
    <xf numFmtId="0" fontId="0" fillId="3" borderId="10" xfId="0" applyFill="1" applyBorder="1" applyAlignment="1">
      <alignment vertical="center"/>
    </xf>
    <xf numFmtId="165" fontId="0" fillId="0" borderId="8" xfId="0" applyNumberFormat="1" applyBorder="1" applyAlignment="1">
      <alignment vertical="center"/>
    </xf>
    <xf numFmtId="0" fontId="0" fillId="5" borderId="1" xfId="0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4" fillId="5" borderId="3" xfId="0" applyFont="1" applyFill="1" applyBorder="1" applyAlignment="1">
      <alignment vertical="center"/>
    </xf>
    <xf numFmtId="0" fontId="0" fillId="3" borderId="8" xfId="0" applyFill="1" applyBorder="1" applyAlignment="1">
      <alignment vertical="center"/>
    </xf>
    <xf numFmtId="0" fontId="0" fillId="5" borderId="1" xfId="0" applyFill="1" applyBorder="1"/>
    <xf numFmtId="0" fontId="0" fillId="4" borderId="3" xfId="0" applyFill="1" applyBorder="1"/>
    <xf numFmtId="0" fontId="0" fillId="0" borderId="9" xfId="0" applyBorder="1" applyAlignment="1">
      <alignment wrapText="1"/>
    </xf>
    <xf numFmtId="0" fontId="0" fillId="0" borderId="1" xfId="0" applyBorder="1" applyAlignment="1">
      <alignment vertical="center" wrapText="1"/>
    </xf>
    <xf numFmtId="2" fontId="0" fillId="0" borderId="1" xfId="0" applyNumberFormat="1" applyBorder="1" applyAlignment="1">
      <alignment vertical="center"/>
    </xf>
    <xf numFmtId="0" fontId="1" fillId="0" borderId="2" xfId="0" applyFont="1" applyBorder="1"/>
    <xf numFmtId="0" fontId="1" fillId="0" borderId="3" xfId="0" applyFont="1" applyBorder="1"/>
    <xf numFmtId="0" fontId="1" fillId="0" borderId="3" xfId="0" applyFont="1" applyBorder="1" applyAlignment="1">
      <alignment vertical="center"/>
    </xf>
    <xf numFmtId="0" fontId="1" fillId="0" borderId="4" xfId="0" applyFont="1" applyBorder="1"/>
    <xf numFmtId="0" fontId="0" fillId="3" borderId="5" xfId="0" applyFill="1" applyBorder="1" applyAlignment="1">
      <alignment vertical="center"/>
    </xf>
    <xf numFmtId="0" fontId="0" fillId="5" borderId="5" xfId="0" applyFill="1" applyBorder="1" applyAlignment="1">
      <alignment vertical="center"/>
    </xf>
    <xf numFmtId="0" fontId="0" fillId="3" borderId="5" xfId="0" applyFill="1" applyBorder="1"/>
    <xf numFmtId="0" fontId="0" fillId="0" borderId="23" xfId="0" applyBorder="1"/>
    <xf numFmtId="0" fontId="1" fillId="0" borderId="2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2" xfId="0" applyFont="1" applyBorder="1" applyAlignment="1">
      <alignment horizontal="center" vertical="center" textRotation="90"/>
    </xf>
    <xf numFmtId="0" fontId="1" fillId="0" borderId="5" xfId="0" applyFont="1" applyBorder="1" applyAlignment="1">
      <alignment horizontal="center" vertical="center" textRotation="90"/>
    </xf>
    <xf numFmtId="0" fontId="1" fillId="0" borderId="7" xfId="0" applyFont="1" applyBorder="1" applyAlignment="1">
      <alignment horizontal="center" vertical="center" textRotation="90"/>
    </xf>
    <xf numFmtId="0" fontId="1" fillId="0" borderId="2" xfId="0" applyFont="1" applyBorder="1" applyAlignment="1">
      <alignment horizontal="center" vertical="center" textRotation="90" wrapText="1"/>
    </xf>
    <xf numFmtId="0" fontId="1" fillId="0" borderId="5" xfId="0" applyFont="1" applyBorder="1" applyAlignment="1">
      <alignment horizontal="center" vertical="center" textRotation="90" wrapText="1"/>
    </xf>
    <xf numFmtId="0" fontId="1" fillId="0" borderId="7" xfId="0" applyFont="1" applyBorder="1" applyAlignment="1">
      <alignment horizontal="center" vertical="center" textRotation="90" wrapText="1"/>
    </xf>
    <xf numFmtId="0" fontId="1" fillId="0" borderId="22" xfId="0" applyFont="1" applyBorder="1" applyAlignment="1">
      <alignment horizontal="center" vertical="center" textRotation="90"/>
    </xf>
    <xf numFmtId="0" fontId="1" fillId="0" borderId="24" xfId="0" applyFont="1" applyBorder="1" applyAlignment="1">
      <alignment horizontal="center" vertical="center" textRotation="90"/>
    </xf>
    <xf numFmtId="0" fontId="1" fillId="0" borderId="19" xfId="0" applyFont="1" applyBorder="1" applyAlignment="1">
      <alignment horizontal="center" vertical="center" textRotation="90"/>
    </xf>
    <xf numFmtId="0" fontId="1" fillId="0" borderId="20" xfId="0" applyFont="1" applyBorder="1" applyAlignment="1">
      <alignment horizontal="center" vertical="center" textRotation="90"/>
    </xf>
    <xf numFmtId="0" fontId="1" fillId="0" borderId="21" xfId="0" applyFont="1" applyBorder="1" applyAlignment="1">
      <alignment horizontal="center" vertical="center" textRotation="9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277010</xdr:colOff>
      <xdr:row>12</xdr:row>
      <xdr:rowOff>55805</xdr:rowOff>
    </xdr:from>
    <xdr:ext cx="1226820" cy="4121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𝑅𝑒</m:t>
                  </m:r>
                  <m:r>
                    <a:rPr lang="en-GB" sz="1100" b="0" i="1">
                      <a:latin typeface="Cambria Math" panose="02040503050406030204" pitchFamily="18" charset="0"/>
                    </a:rPr>
                    <m:t>= </m:t>
                  </m:r>
                  <m:f>
                    <m:f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𝑉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𝑐</m:t>
                      </m:r>
                    </m:num>
                    <m:den>
                      <m:r>
                        <m:rPr>
                          <m:sty m:val="p"/>
                        </m:rPr>
                        <a:rPr lang="el-GR" i="1">
                          <a:latin typeface="Cambria Math" panose="02040503050406030204" pitchFamily="18" charset="0"/>
                        </a:rPr>
                        <m:t>ν</m:t>
                      </m:r>
                    </m:den>
                  </m:f>
                </m:oMath>
              </a14:m>
              <a:r>
                <a:rPr lang="en-GB" sz="1100"/>
                <a:t> </a:t>
              </a:r>
              <a14:m>
                <m:oMath xmlns:m="http://schemas.openxmlformats.org/officeDocument/2006/math">
                  <m:r>
                    <a:rPr lang="en-GB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≈</m:t>
                  </m:r>
                </m:oMath>
              </a14:m>
              <a:r>
                <a:rPr lang="en-GB" sz="1100"/>
                <a:t> 500000	</a:t>
              </a: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𝑅𝑒=  (𝑉∗𝑐)/</a:t>
              </a:r>
              <a:r>
                <a:rPr lang="el-GR" i="0"/>
                <a:t>ν</a:t>
              </a:r>
              <a:r>
                <a:rPr lang="en-GB" sz="1100"/>
                <a:t> 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≈</a:t>
              </a:r>
              <a:r>
                <a:rPr lang="en-GB" sz="1100"/>
                <a:t> 500000	</a:t>
              </a:r>
            </a:p>
          </xdr:txBody>
        </xdr:sp>
      </mc:Fallback>
    </mc:AlternateContent>
    <xdr:clientData/>
  </xdr:oneCellAnchor>
  <xdr:oneCellAnchor>
    <xdr:from>
      <xdr:col>6</xdr:col>
      <xdr:colOff>449580</xdr:colOff>
      <xdr:row>16</xdr:row>
      <xdr:rowOff>278130</xdr:rowOff>
    </xdr:from>
    <xdr:ext cx="1242060" cy="2859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14:m>
                <m:oMath xmlns:m="http://schemas.openxmlformats.org/officeDocument/2006/math">
                  <m:f>
                    <m:fPr>
                      <m:ctrlPr>
                        <a:rPr lang="en-GB" sz="12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200" b="0" i="1">
                          <a:latin typeface="Cambria Math" panose="02040503050406030204" pitchFamily="18" charset="0"/>
                        </a:rPr>
                        <m:t>2∗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𝑀𝑇𝑂𝑊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𝑔</m:t>
                      </m:r>
                    </m:num>
                    <m:den>
                      <m:r>
                        <a:rPr lang="el-GR" sz="1200" i="1">
                          <a:latin typeface="Cambria Math" panose="02040503050406030204" pitchFamily="18" charset="0"/>
                        </a:rPr>
                        <m:t>𝜌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p>
                        <m:sSup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𝑉𝑠𝑡𝑎𝑙𝑙</m:t>
                          </m:r>
                        </m:e>
                        <m:sup>
                          <m:r>
                            <a:rPr lang="en-GB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b>
                        <m:sSub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𝐶</m:t>
                          </m:r>
                        </m:e>
                        <m:sub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𝐿𝑚𝑎𝑥</m:t>
                          </m:r>
                        </m:sub>
                      </m:sSub>
                    </m:den>
                  </m:f>
                </m:oMath>
              </a14:m>
              <a:endParaRPr lang="en-GB" sz="12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:r>
                <a:rPr lang="en-GB" sz="1200" i="0">
                  <a:latin typeface="Cambria Math" panose="02040503050406030204" pitchFamily="18" charset="0"/>
                </a:rPr>
                <a:t>(</a:t>
              </a:r>
              <a:r>
                <a:rPr lang="en-GB" sz="1200" b="0" i="0">
                  <a:latin typeface="Cambria Math" panose="02040503050406030204" pitchFamily="18" charset="0"/>
                </a:rPr>
                <a:t>2∗𝑀𝑇𝑂𝑊∗𝑔)/(</a:t>
              </a:r>
              <a:r>
                <a:rPr lang="el-GR" sz="1200" i="0">
                  <a:latin typeface="Cambria Math" panose="02040503050406030204" pitchFamily="18" charset="0"/>
                </a:rPr>
                <a:t>𝜌</a:t>
              </a:r>
              <a:r>
                <a:rPr lang="en-GB" sz="1200" b="0" i="0">
                  <a:latin typeface="Cambria Math" panose="02040503050406030204" pitchFamily="18" charset="0"/>
                </a:rPr>
                <a:t>∗〖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𝑉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𝑠𝑡𝑎𝑙𝑙〗^</a:t>
              </a:r>
              <a:r>
                <a:rPr lang="en-GB" sz="1200" b="0" i="0">
                  <a:latin typeface="Cambria Math" panose="02040503050406030204" pitchFamily="18" charset="0"/>
                </a:rPr>
                <a:t>2∗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𝐿𝑚𝑎𝑥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en-GB" sz="1200"/>
            </a:p>
          </xdr:txBody>
        </xdr:sp>
      </mc:Fallback>
    </mc:AlternateContent>
    <xdr:clientData/>
  </xdr:oneCellAnchor>
  <xdr:twoCellAnchor editAs="oneCell">
    <xdr:from>
      <xdr:col>7</xdr:col>
      <xdr:colOff>320040</xdr:colOff>
      <xdr:row>6</xdr:row>
      <xdr:rowOff>58728</xdr:rowOff>
    </xdr:from>
    <xdr:to>
      <xdr:col>15</xdr:col>
      <xdr:colOff>163830</xdr:colOff>
      <xdr:row>16</xdr:row>
      <xdr:rowOff>682663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BADB5BC-C36B-37E1-C135-2CF92E8BC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15800" y="1156008"/>
          <a:ext cx="4987290" cy="4115128"/>
        </a:xfrm>
        <a:prstGeom prst="rect">
          <a:avLst/>
        </a:prstGeom>
      </xdr:spPr>
    </xdr:pic>
    <xdr:clientData/>
  </xdr:twoCellAnchor>
  <xdr:twoCellAnchor editAs="oneCell">
    <xdr:from>
      <xdr:col>15</xdr:col>
      <xdr:colOff>213360</xdr:colOff>
      <xdr:row>8</xdr:row>
      <xdr:rowOff>137160</xdr:rowOff>
    </xdr:from>
    <xdr:to>
      <xdr:col>27</xdr:col>
      <xdr:colOff>594360</xdr:colOff>
      <xdr:row>14</xdr:row>
      <xdr:rowOff>167191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E6110C1-88C1-A99D-7F8D-2D0E309ED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52620" y="1600200"/>
          <a:ext cx="7696200" cy="2400300"/>
        </a:xfrm>
        <a:prstGeom prst="rect">
          <a:avLst/>
        </a:prstGeom>
      </xdr:spPr>
    </xdr:pic>
    <xdr:clientData/>
  </xdr:twoCellAnchor>
  <xdr:oneCellAnchor>
    <xdr:from>
      <xdr:col>6</xdr:col>
      <xdr:colOff>640976</xdr:colOff>
      <xdr:row>17</xdr:row>
      <xdr:rowOff>188259</xdr:rowOff>
    </xdr:from>
    <xdr:ext cx="628185" cy="1935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radPr>
                    <m:deg/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𝑆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𝐴𝑅</m:t>
                      </m:r>
                    </m:e>
                  </m:rad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:r>
                <a:rPr lang="en-GB" sz="1100" i="0">
                  <a:latin typeface="Cambria Math" panose="02040503050406030204" pitchFamily="18" charset="0"/>
                </a:rPr>
                <a:t>√(</a:t>
              </a:r>
              <a:r>
                <a:rPr lang="en-GB" sz="1100" b="0" i="0">
                  <a:latin typeface="Cambria Math" panose="02040503050406030204" pitchFamily="18" charset="0"/>
                </a:rPr>
                <a:t>𝑆∗𝐴𝑅)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7</xdr:col>
      <xdr:colOff>390525</xdr:colOff>
      <xdr:row>23</xdr:row>
      <xdr:rowOff>361785</xdr:rowOff>
    </xdr:from>
    <xdr:to>
      <xdr:col>16</xdr:col>
      <xdr:colOff>220000</xdr:colOff>
      <xdr:row>41</xdr:row>
      <xdr:rowOff>95807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88B29BA-C9C7-4D74-BE72-50141DD92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58275" y="8381835"/>
          <a:ext cx="5573050" cy="3363047"/>
        </a:xfrm>
        <a:prstGeom prst="rect">
          <a:avLst/>
        </a:prstGeom>
      </xdr:spPr>
    </xdr:pic>
    <xdr:clientData/>
  </xdr:twoCellAnchor>
  <xdr:twoCellAnchor editAs="oneCell">
    <xdr:from>
      <xdr:col>7</xdr:col>
      <xdr:colOff>561975</xdr:colOff>
      <xdr:row>16</xdr:row>
      <xdr:rowOff>742950</xdr:rowOff>
    </xdr:from>
    <xdr:to>
      <xdr:col>13</xdr:col>
      <xdr:colOff>340641</xdr:colOff>
      <xdr:row>23</xdr:row>
      <xdr:rowOff>76200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F2834F5-F9D8-29DA-1825-DE761F7F5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29725" y="5324475"/>
          <a:ext cx="3693441" cy="2771775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17</xdr:row>
      <xdr:rowOff>0</xdr:rowOff>
    </xdr:from>
    <xdr:to>
      <xdr:col>18</xdr:col>
      <xdr:colOff>304800</xdr:colOff>
      <xdr:row>17</xdr:row>
      <xdr:rowOff>304800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688B08BC-995B-4362-E5FC-A128D600F8C1}"/>
            </a:ext>
          </a:extLst>
        </xdr:cNvPr>
        <xdr:cNvSpPr>
          <a:spLocks noChangeAspect="1" noChangeArrowheads="1"/>
        </xdr:cNvSpPr>
      </xdr:nvSpPr>
      <xdr:spPr bwMode="auto">
        <a:xfrm>
          <a:off x="15621000" y="544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21</xdr:row>
      <xdr:rowOff>304800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F526B9F3-4525-9140-61C9-43985D3A3E06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711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21</xdr:row>
      <xdr:rowOff>304800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24F3F33E-8AC4-DCFA-628B-902A5D259161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711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114300</xdr:colOff>
      <xdr:row>16</xdr:row>
      <xdr:rowOff>699412</xdr:rowOff>
    </xdr:from>
    <xdr:to>
      <xdr:col>30</xdr:col>
      <xdr:colOff>285749</xdr:colOff>
      <xdr:row>23</xdr:row>
      <xdr:rowOff>142978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376B2A1-B747-AEE8-BFAC-F9580847D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8183225" y="5280937"/>
          <a:ext cx="5048249" cy="2882091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17</xdr:row>
      <xdr:rowOff>0</xdr:rowOff>
    </xdr:from>
    <xdr:to>
      <xdr:col>17</xdr:col>
      <xdr:colOff>304800</xdr:colOff>
      <xdr:row>17</xdr:row>
      <xdr:rowOff>304800</xdr:rowOff>
    </xdr:to>
    <xdr:sp macro="" textlink="">
      <xdr:nvSpPr>
        <xdr:cNvPr id="1028" name="AutoShape 4">
          <a:extLst>
            <a:ext uri="{FF2B5EF4-FFF2-40B4-BE49-F238E27FC236}">
              <a16:creationId xmlns:a16="http://schemas.microsoft.com/office/drawing/2014/main" id="{D8EF206B-D831-9E9E-DA95-771B1A8A2907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544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390525</xdr:colOff>
      <xdr:row>16</xdr:row>
      <xdr:rowOff>700863</xdr:rowOff>
    </xdr:from>
    <xdr:to>
      <xdr:col>21</xdr:col>
      <xdr:colOff>571499</xdr:colOff>
      <xdr:row>23</xdr:row>
      <xdr:rowOff>157067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FF2FDF2-8722-E3CD-C1A9-E16A46B83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973050" y="5282388"/>
          <a:ext cx="5057774" cy="28947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358140</xdr:colOff>
      <xdr:row>2</xdr:row>
      <xdr:rowOff>30480</xdr:rowOff>
    </xdr:from>
    <xdr:to>
      <xdr:col>13</xdr:col>
      <xdr:colOff>572637</xdr:colOff>
      <xdr:row>13</xdr:row>
      <xdr:rowOff>180484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85359A4D-915E-0AE7-EEA1-8FD509FB8C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54565" y="392430"/>
          <a:ext cx="3872097" cy="2921779"/>
        </a:xfrm>
        <a:prstGeom prst="rect">
          <a:avLst/>
        </a:prstGeom>
      </xdr:spPr>
    </xdr:pic>
    <xdr:clientData/>
  </xdr:twoCellAnchor>
  <xdr:oneCellAnchor>
    <xdr:from>
      <xdr:col>6</xdr:col>
      <xdr:colOff>342900</xdr:colOff>
      <xdr:row>8</xdr:row>
      <xdr:rowOff>57150</xdr:rowOff>
    </xdr:from>
    <xdr:ext cx="978088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𝐶_𝑉𝑇=(𝐿_𝑉𝑇∗𝑆_𝑉𝑇)/(𝑏_𝑤∗𝑆_𝑊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388620</xdr:colOff>
      <xdr:row>14</xdr:row>
      <xdr:rowOff>53340</xdr:rowOff>
    </xdr:from>
    <xdr:ext cx="1008866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𝐶_𝐻𝑇=(𝐿_𝐻𝑇∗𝑆_𝐻𝑇)/(𝐶_𝑤∗𝑆_𝑊 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14</xdr:col>
      <xdr:colOff>273879</xdr:colOff>
      <xdr:row>0</xdr:row>
      <xdr:rowOff>0</xdr:rowOff>
    </xdr:from>
    <xdr:to>
      <xdr:col>21</xdr:col>
      <xdr:colOff>441959</xdr:colOff>
      <xdr:row>29</xdr:row>
      <xdr:rowOff>12859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41E4C1F-AC95-4510-BCF6-C581E1CD72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26199" y="0"/>
          <a:ext cx="4435280" cy="8542020"/>
        </a:xfrm>
        <a:prstGeom prst="rect">
          <a:avLst/>
        </a:prstGeom>
      </xdr:spPr>
    </xdr:pic>
    <xdr:clientData/>
  </xdr:twoCellAnchor>
  <xdr:oneCellAnchor>
    <xdr:from>
      <xdr:col>6</xdr:col>
      <xdr:colOff>304800</xdr:colOff>
      <xdr:row>16</xdr:row>
      <xdr:rowOff>91440</xdr:rowOff>
    </xdr:from>
    <xdr:ext cx="1248098" cy="3456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  <m:t>𝑐</m:t>
                                </m:r>
                              </m:e>
                            </m:acc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𝑆_𝐻𝑇=(𝑐_𝐻𝑇∗𝑐 ̅_𝑊∗𝑆_𝑊)/𝐿_𝐻𝑇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259080</xdr:colOff>
      <xdr:row>10</xdr:row>
      <xdr:rowOff>38100</xdr:rowOff>
    </xdr:from>
    <xdr:ext cx="1237710" cy="3490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𝑆_𝑉𝑇=(𝑐_𝑉𝑇∗𝑏_𝑊∗𝑆_𝑊)/𝐿_𝑉𝑇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373380</xdr:colOff>
      <xdr:row>18</xdr:row>
      <xdr:rowOff>72390</xdr:rowOff>
    </xdr:from>
    <xdr:ext cx="1493358" cy="3444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𝑉𝑡𝑎𝑖</m:t>
                  </m:r>
                  <m:sSub>
                    <m:sSub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𝑙</m:t>
                      </m:r>
                    </m:e>
                    <m:sub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𝑎𝑛𝑔𝑙𝑒</m:t>
                      </m:r>
                    </m:sub>
                  </m:sSub>
                </m:oMath>
              </a14:m>
              <a:r>
                <a:rPr lang="en-GB" sz="1100"/>
                <a:t>= </a:t>
              </a:r>
              <a14:m>
                <m:oMath xmlns:m="http://schemas.openxmlformats.org/officeDocument/2006/math">
                  <m:func>
                    <m:funcPr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sSup>
                        <m:sSupPr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m:rPr>
                              <m:sty m:val="p"/>
                            </m:rPr>
                            <a:rPr lang="en-GB" sz="1100" i="0">
                              <a:latin typeface="Cambria Math" panose="02040503050406030204" pitchFamily="18" charset="0"/>
                            </a:rPr>
                            <m:t>tan</m:t>
                          </m:r>
                        </m:e>
                        <m:sup>
                          <m:r>
                            <a:rPr lang="en-GB" sz="1100" i="1">
                              <a:latin typeface="Cambria Math" panose="02040503050406030204" pitchFamily="18" charset="0"/>
                            </a:rPr>
                            <m:t>−1</m:t>
                          </m:r>
                        </m:sup>
                      </m:sSup>
                    </m:fName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(</m:t>
                      </m:r>
                      <m:rad>
                        <m:radPr>
                          <m:degHide m:val="on"/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radPr>
                        <m:deg/>
                        <m:e>
                          <m:f>
                            <m:fPr>
                              <m:ctrlPr>
                                <a:rPr lang="en-GB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𝑉𝑇</m:t>
                                  </m:r>
                                </m:sub>
                              </m:sSub>
                            </m:num>
                            <m:den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𝐻𝑇</m:t>
                                  </m:r>
                                </m:sub>
                              </m:sSub>
                            </m:den>
                          </m:f>
                        </m:e>
                      </m:rad>
                    </m:e>
                  </m:func>
                  <m:r>
                    <a:rPr lang="en-GB" sz="1100" b="0" i="1">
                      <a:latin typeface="Cambria Math" panose="02040503050406030204" pitchFamily="18" charset="0"/>
                    </a:rPr>
                    <m:t> )</m:t>
                  </m:r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𝑉𝑡𝑎𝑖𝑙_𝑎𝑛𝑔𝑙𝑒</a:t>
              </a:r>
              <a:r>
                <a:rPr lang="en-GB" sz="1100"/>
                <a:t>= </a:t>
              </a:r>
              <a:r>
                <a:rPr lang="en-GB" sz="1100" i="0">
                  <a:latin typeface="Cambria Math" panose="02040503050406030204" pitchFamily="18" charset="0"/>
                </a:rPr>
                <a:t>tan^(−1)⁡〖</a:t>
              </a:r>
              <a:r>
                <a:rPr lang="en-GB" sz="1100" b="0" i="0">
                  <a:latin typeface="Cambria Math" panose="02040503050406030204" pitchFamily="18" charset="0"/>
                </a:rPr>
                <a:t>(√(𝑆_𝑉𝑇/𝑆_𝐻𝑇 )〗 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104775</xdr:colOff>
      <xdr:row>19</xdr:row>
      <xdr:rowOff>185736</xdr:rowOff>
    </xdr:from>
    <xdr:ext cx="2324100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𝑣𝑡𝑎𝑖𝑙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𝑐𝑜𝑠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+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𝑠𝑖𝑛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</a:t>
              </a:r>
              <a:r>
                <a:rPr lang="bg-BG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𝑣𝑡𝑎𝑖𝑙∗(〖𝑐𝑜𝑠〗^2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𝜃+〖𝑠𝑖𝑛〗^2 𝜃)</a:t>
              </a:r>
              <a:r>
                <a:rPr lang="en-US" sz="1100" b="0" i="0">
                  <a:latin typeface="Cambria Math" panose="02040503050406030204" pitchFamily="18" charset="0"/>
                </a:rPr>
                <a:t>=𝑆_𝐻𝑇+𝑆_𝑉𝑇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9</xdr:col>
      <xdr:colOff>0</xdr:colOff>
      <xdr:row>16</xdr:row>
      <xdr:rowOff>0</xdr:rowOff>
    </xdr:from>
    <xdr:to>
      <xdr:col>9</xdr:col>
      <xdr:colOff>304800</xdr:colOff>
      <xdr:row>16</xdr:row>
      <xdr:rowOff>304800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34EC048A-AE5F-618D-5C8F-E6720EA6C52B}"/>
            </a:ext>
          </a:extLst>
        </xdr:cNvPr>
        <xdr:cNvSpPr>
          <a:spLocks noChangeAspect="1" noChangeArrowheads="1"/>
        </xdr:cNvSpPr>
      </xdr:nvSpPr>
      <xdr:spPr bwMode="auto">
        <a:xfrm>
          <a:off x="10706100" y="41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581025</xdr:colOff>
      <xdr:row>16</xdr:row>
      <xdr:rowOff>0</xdr:rowOff>
    </xdr:from>
    <xdr:to>
      <xdr:col>9</xdr:col>
      <xdr:colOff>276225</xdr:colOff>
      <xdr:row>16</xdr:row>
      <xdr:rowOff>304800</xdr:rowOff>
    </xdr:to>
    <xdr:sp macro="" textlink="">
      <xdr:nvSpPr>
        <xdr:cNvPr id="2051" name="AutoShape 3">
          <a:extLst>
            <a:ext uri="{FF2B5EF4-FFF2-40B4-BE49-F238E27FC236}">
              <a16:creationId xmlns:a16="http://schemas.microsoft.com/office/drawing/2014/main" id="{FF0A2B44-BD6F-28D1-8210-878032004166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4143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16</xdr:row>
      <xdr:rowOff>0</xdr:rowOff>
    </xdr:from>
    <xdr:to>
      <xdr:col>8</xdr:col>
      <xdr:colOff>304800</xdr:colOff>
      <xdr:row>16</xdr:row>
      <xdr:rowOff>304800</xdr:rowOff>
    </xdr:to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951B3235-4606-C332-7BEE-8AE865C65F5A}"/>
            </a:ext>
          </a:extLst>
        </xdr:cNvPr>
        <xdr:cNvSpPr>
          <a:spLocks noChangeAspect="1" noChangeArrowheads="1"/>
        </xdr:cNvSpPr>
      </xdr:nvSpPr>
      <xdr:spPr bwMode="auto">
        <a:xfrm>
          <a:off x="10096500" y="41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38100</xdr:colOff>
      <xdr:row>14</xdr:row>
      <xdr:rowOff>201030</xdr:rowOff>
    </xdr:from>
    <xdr:to>
      <xdr:col>14</xdr:col>
      <xdr:colOff>104774</xdr:colOff>
      <xdr:row>19</xdr:row>
      <xdr:rowOff>295275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478376F-B1B0-8C9F-6AB3-189DA517B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144125" y="3525255"/>
          <a:ext cx="3724274" cy="223737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579120</xdr:colOff>
      <xdr:row>6</xdr:row>
      <xdr:rowOff>91440</xdr:rowOff>
    </xdr:from>
    <xdr:to>
      <xdr:col>20</xdr:col>
      <xdr:colOff>503845</xdr:colOff>
      <xdr:row>23</xdr:row>
      <xdr:rowOff>69138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222B88-1AD5-DABE-CEDA-F40B445B3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65520" y="1188720"/>
          <a:ext cx="6630325" cy="400105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320138</xdr:colOff>
      <xdr:row>1</xdr:row>
      <xdr:rowOff>0</xdr:rowOff>
    </xdr:from>
    <xdr:to>
      <xdr:col>18</xdr:col>
      <xdr:colOff>535727</xdr:colOff>
      <xdr:row>19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FC672-108B-448D-985A-A6D845653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40338" y="190500"/>
          <a:ext cx="6921189" cy="4371975"/>
        </a:xfrm>
        <a:prstGeom prst="rect">
          <a:avLst/>
        </a:prstGeom>
      </xdr:spPr>
    </xdr:pic>
    <xdr:clientData/>
  </xdr:twoCellAnchor>
  <xdr:oneCellAnchor>
    <xdr:from>
      <xdr:col>1</xdr:col>
      <xdr:colOff>120174</xdr:colOff>
      <xdr:row>8</xdr:row>
      <xdr:rowOff>88455</xdr:rowOff>
    </xdr:from>
    <xdr:ext cx="718026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0EDCDE1-0BA2-CDE2-4DDB-6AF0AD8E70FD}"/>
                </a:ext>
              </a:extLst>
            </xdr:cNvPr>
            <xdr:cNvSpPr txBox="1"/>
          </xdr:nvSpPr>
          <xdr:spPr>
            <a:xfrm>
              <a:off x="777399" y="2593530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,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0EDCDE1-0BA2-CDE2-4DDB-6AF0AD8E70FD}"/>
                </a:ext>
              </a:extLst>
            </xdr:cNvPr>
            <xdr:cNvSpPr txBox="1"/>
          </xdr:nvSpPr>
          <xdr:spPr>
            <a:xfrm>
              <a:off x="777399" y="2593530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𝑥 ̅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𝐴𝐶,𝑊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333375</xdr:colOff>
      <xdr:row>8</xdr:row>
      <xdr:rowOff>14287</xdr:rowOff>
    </xdr:from>
    <xdr:ext cx="1975284" cy="3511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D935CC-4C27-78F0-2278-2BD5BE7C93F3}"/>
                </a:ext>
              </a:extLst>
            </xdr:cNvPr>
            <xdr:cNvSpPr txBox="1"/>
          </xdr:nvSpPr>
          <xdr:spPr>
            <a:xfrm>
              <a:off x="7124700" y="2519362"/>
              <a:ext cx="1975284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bg-BG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+(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𝐴𝐶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𝑟𝑜𝑜𝑡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𝑀𝐴𝐶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D935CC-4C27-78F0-2278-2BD5BE7C93F3}"/>
                </a:ext>
              </a:extLst>
            </xdr:cNvPr>
            <xdr:cNvSpPr txBox="1"/>
          </xdr:nvSpPr>
          <xdr:spPr>
            <a:xfrm>
              <a:off x="7124700" y="2519362"/>
              <a:ext cx="1975284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𝑥</a:t>
              </a:r>
              <a:r>
                <a:rPr lang="bg-BG" sz="1100" b="0" i="0">
                  <a:latin typeface="Cambria Math" panose="02040503050406030204" pitchFamily="18" charset="0"/>
                </a:rPr>
                <a:t> ̅_(</a:t>
              </a:r>
              <a:r>
                <a:rPr lang="en-US" sz="1100" b="0" i="0">
                  <a:latin typeface="Cambria Math" panose="02040503050406030204" pitchFamily="18" charset="0"/>
                </a:rPr>
                <a:t>𝐴𝐶,𝑊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=(𝑥_(0,𝑊)+(𝑛_(𝐴𝐶,𝑊)∗𝑐_(𝑟𝑜𝑜𝑡,𝑊)))/𝑐_𝑀𝐴𝐶 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5</xdr:col>
      <xdr:colOff>95250</xdr:colOff>
      <xdr:row>8</xdr:row>
      <xdr:rowOff>109537</xdr:rowOff>
    </xdr:from>
    <xdr:ext cx="830740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DE02C36-E9F2-6182-2BB2-7E1C9B780BB0}"/>
                </a:ext>
              </a:extLst>
            </xdr:cNvPr>
            <xdr:cNvSpPr txBox="1"/>
          </xdr:nvSpPr>
          <xdr:spPr>
            <a:xfrm>
              <a:off x="4352925" y="2614612"/>
              <a:ext cx="83074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=25%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DE02C36-E9F2-6182-2BB2-7E1C9B780BB0}"/>
                </a:ext>
              </a:extLst>
            </xdr:cNvPr>
            <xdr:cNvSpPr txBox="1"/>
          </xdr:nvSpPr>
          <xdr:spPr>
            <a:xfrm>
              <a:off x="4352925" y="2614612"/>
              <a:ext cx="83074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𝐴𝐶,𝑊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=25%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38100</xdr:colOff>
      <xdr:row>9</xdr:row>
      <xdr:rowOff>90487</xdr:rowOff>
    </xdr:from>
    <xdr:ext cx="895350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EBCE2798-42CE-0BC0-6D2A-E1F227C4FC36}"/>
                </a:ext>
              </a:extLst>
            </xdr:cNvPr>
            <xdr:cNvSpPr txBox="1"/>
          </xdr:nvSpPr>
          <xdr:spPr>
            <a:xfrm>
              <a:off x="695325" y="2005012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EBCE2798-42CE-0BC0-6D2A-E1F227C4FC36}"/>
                </a:ext>
              </a:extLst>
            </xdr:cNvPr>
            <xdr:cNvSpPr txBox="1"/>
          </xdr:nvSpPr>
          <xdr:spPr>
            <a:xfrm>
              <a:off x="695325" y="2005012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485775</xdr:colOff>
      <xdr:row>9</xdr:row>
      <xdr:rowOff>109537</xdr:rowOff>
    </xdr:from>
    <xdr:ext cx="1479892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9A67F05-2B73-47BD-DCD9-F0453439C37F}"/>
                </a:ext>
              </a:extLst>
            </xdr:cNvPr>
            <xdr:cNvSpPr txBox="1"/>
          </xdr:nvSpPr>
          <xdr:spPr>
            <a:xfrm>
              <a:off x="7277100" y="2024062"/>
              <a:ext cx="1479892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9A67F05-2B73-47BD-DCD9-F0453439C37F}"/>
                </a:ext>
              </a:extLst>
            </xdr:cNvPr>
            <xdr:cNvSpPr txBox="1"/>
          </xdr:nvSpPr>
          <xdr:spPr>
            <a:xfrm>
              <a:off x="7277100" y="2024062"/>
              <a:ext cx="1479892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=−𝐶_(𝐿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𝛼,𝑊)</a:t>
              </a:r>
              <a:r>
                <a:rPr lang="en-US" sz="1100" b="0" i="0">
                  <a:latin typeface="Cambria Math" panose="02040503050406030204" pitchFamily="18" charset="0"/>
                </a:rPr>
                <a:t>∗𝑥 ̅_(𝐴𝐶,𝑊)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266700</xdr:colOff>
      <xdr:row>10</xdr:row>
      <xdr:rowOff>185737</xdr:rowOff>
    </xdr:from>
    <xdr:ext cx="360099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9BFB39D-C44A-3CA3-60AB-399BD779004F}"/>
                </a:ext>
              </a:extLst>
            </xdr:cNvPr>
            <xdr:cNvSpPr txBox="1"/>
          </xdr:nvSpPr>
          <xdr:spPr>
            <a:xfrm>
              <a:off x="923925" y="2481262"/>
              <a:ext cx="360099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9BFB39D-C44A-3CA3-60AB-399BD779004F}"/>
                </a:ext>
              </a:extLst>
            </xdr:cNvPr>
            <xdr:cNvSpPr txBox="1"/>
          </xdr:nvSpPr>
          <xdr:spPr>
            <a:xfrm>
              <a:off x="923925" y="2481262"/>
              <a:ext cx="360099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7</xdr:col>
      <xdr:colOff>361949</xdr:colOff>
      <xdr:row>19</xdr:row>
      <xdr:rowOff>184350</xdr:rowOff>
    </xdr:from>
    <xdr:to>
      <xdr:col>19</xdr:col>
      <xdr:colOff>77572</xdr:colOff>
      <xdr:row>39</xdr:row>
      <xdr:rowOff>19764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43F4123-1600-4B68-6085-9DD864FDF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82149" y="4613475"/>
          <a:ext cx="7030823" cy="3654939"/>
        </a:xfrm>
        <a:prstGeom prst="rect">
          <a:avLst/>
        </a:prstGeom>
      </xdr:spPr>
    </xdr:pic>
    <xdr:clientData/>
  </xdr:twoCellAnchor>
  <xdr:twoCellAnchor editAs="oneCell">
    <xdr:from>
      <xdr:col>18</xdr:col>
      <xdr:colOff>598713</xdr:colOff>
      <xdr:row>2</xdr:row>
      <xdr:rowOff>53563</xdr:rowOff>
    </xdr:from>
    <xdr:to>
      <xdr:col>29</xdr:col>
      <xdr:colOff>159222</xdr:colOff>
      <xdr:row>15</xdr:row>
      <xdr:rowOff>183083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1C0A1A5-0C11-4AA4-C82C-F3C462A8C6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559892" y="434563"/>
          <a:ext cx="6296044" cy="3408841"/>
        </a:xfrm>
        <a:prstGeom prst="rect">
          <a:avLst/>
        </a:prstGeom>
      </xdr:spPr>
    </xdr:pic>
    <xdr:clientData/>
  </xdr:twoCellAnchor>
  <xdr:oneCellAnchor>
    <xdr:from>
      <xdr:col>1</xdr:col>
      <xdr:colOff>179343</xdr:colOff>
      <xdr:row>10</xdr:row>
      <xdr:rowOff>566188</xdr:rowOff>
    </xdr:from>
    <xdr:ext cx="64485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9ED666B2-4A0F-42F6-FF67-471E7BE3BCBC}"/>
                </a:ext>
              </a:extLst>
            </xdr:cNvPr>
            <xdr:cNvSpPr txBox="1"/>
          </xdr:nvSpPr>
          <xdr:spPr>
            <a:xfrm>
              <a:off x="833669" y="2860471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tan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⁡(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sz="1100" b="0" i="1">
                            <a:latin typeface="Cambria Math" panose="02040503050406030204" pitchFamily="18" charset="0"/>
                          </a:rPr>
                          <m:t>Λ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50%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9ED666B2-4A0F-42F6-FF67-471E7BE3BCBC}"/>
                </a:ext>
              </a:extLst>
            </xdr:cNvPr>
            <xdr:cNvSpPr txBox="1"/>
          </xdr:nvSpPr>
          <xdr:spPr>
            <a:xfrm>
              <a:off x="833669" y="2860471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tan⁡(</a:t>
              </a:r>
              <a:r>
                <a:rPr lang="el-GR" sz="1100" b="0" i="0">
                  <a:latin typeface="Cambria Math" panose="02040503050406030204" pitchFamily="18" charset="0"/>
                </a:rPr>
                <a:t>Λ</a:t>
              </a:r>
              <a:r>
                <a:rPr lang="en-US" sz="1100" b="0" i="0">
                  <a:latin typeface="Cambria Math" panose="02040503050406030204" pitchFamily="18" charset="0"/>
                </a:rPr>
                <a:t>_(50%))</a:t>
              </a:r>
              <a:endParaRPr lang="bg-BG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018A4-7FF2-4E68-A485-08C5C78F0065}">
  <dimension ref="B6:D6"/>
  <sheetViews>
    <sheetView workbookViewId="0">
      <selection activeCell="E6" sqref="E6"/>
    </sheetView>
  </sheetViews>
  <sheetFormatPr defaultRowHeight="15" x14ac:dyDescent="0.25"/>
  <sheetData>
    <row r="6" spans="2:4" x14ac:dyDescent="0.25">
      <c r="B6" t="s">
        <v>12</v>
      </c>
      <c r="C6">
        <v>9.8066499999999994</v>
      </c>
      <c r="D6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91C97-B0A7-4FD8-8682-2CCA08648534}">
  <dimension ref="A1:G24"/>
  <sheetViews>
    <sheetView topLeftCell="A7" zoomScale="80" zoomScaleNormal="80" workbookViewId="0">
      <selection activeCell="D14" sqref="D14"/>
    </sheetView>
  </sheetViews>
  <sheetFormatPr defaultRowHeight="15" x14ac:dyDescent="0.25"/>
  <cols>
    <col min="1" max="1" width="10" bestFit="1" customWidth="1"/>
    <col min="2" max="2" width="15.5703125" bestFit="1" customWidth="1"/>
    <col min="3" max="3" width="15.5703125" customWidth="1"/>
    <col min="4" max="4" width="12.42578125" customWidth="1"/>
    <col min="5" max="5" width="6.28515625" bestFit="1" customWidth="1"/>
    <col min="6" max="6" width="38" customWidth="1"/>
    <col min="7" max="7" width="28.28515625" customWidth="1"/>
    <col min="9" max="9" width="12.7109375" customWidth="1"/>
  </cols>
  <sheetData>
    <row r="1" spans="1:7" x14ac:dyDescent="0.25">
      <c r="A1" s="35" t="s">
        <v>53</v>
      </c>
      <c r="B1" s="3" t="s">
        <v>3</v>
      </c>
    </row>
    <row r="2" spans="1:7" x14ac:dyDescent="0.25">
      <c r="B2" s="2" t="s">
        <v>4</v>
      </c>
    </row>
    <row r="3" spans="1:7" x14ac:dyDescent="0.25">
      <c r="B3" s="5" t="s">
        <v>13</v>
      </c>
    </row>
    <row r="4" spans="1:7" x14ac:dyDescent="0.25">
      <c r="B4" s="1" t="s">
        <v>14</v>
      </c>
    </row>
    <row r="7" spans="1:7" ht="15.75" thickBot="1" x14ac:dyDescent="0.3">
      <c r="C7" s="35"/>
    </row>
    <row r="8" spans="1:7" ht="15.75" thickBot="1" x14ac:dyDescent="0.3">
      <c r="B8" s="47" t="s">
        <v>9</v>
      </c>
      <c r="C8" s="48" t="s">
        <v>21</v>
      </c>
      <c r="D8" s="48" t="s">
        <v>7</v>
      </c>
      <c r="E8" s="48" t="s">
        <v>8</v>
      </c>
      <c r="F8" s="48" t="s">
        <v>10</v>
      </c>
      <c r="G8" s="49" t="s">
        <v>14</v>
      </c>
    </row>
    <row r="9" spans="1:7" ht="30" x14ac:dyDescent="0.25">
      <c r="A9" s="80" t="s">
        <v>89</v>
      </c>
      <c r="B9" s="66" t="s">
        <v>1</v>
      </c>
      <c r="C9" s="40" t="s">
        <v>23</v>
      </c>
      <c r="D9" s="37">
        <v>15</v>
      </c>
      <c r="E9" s="37" t="s">
        <v>0</v>
      </c>
      <c r="F9" s="37"/>
      <c r="G9" s="38"/>
    </row>
    <row r="10" spans="1:7" ht="18" x14ac:dyDescent="0.35">
      <c r="A10" s="81"/>
      <c r="B10" s="39" t="s">
        <v>52</v>
      </c>
      <c r="C10" s="7"/>
      <c r="D10" s="4">
        <v>14</v>
      </c>
      <c r="E10" s="4" t="s">
        <v>2</v>
      </c>
      <c r="F10" s="4"/>
      <c r="G10" s="11"/>
    </row>
    <row r="11" spans="1:7" ht="18" x14ac:dyDescent="0.35">
      <c r="A11" s="81"/>
      <c r="B11" s="39" t="s">
        <v>51</v>
      </c>
      <c r="C11" s="7"/>
      <c r="D11" s="4">
        <v>24</v>
      </c>
      <c r="E11" s="4" t="s">
        <v>2</v>
      </c>
      <c r="F11" s="4"/>
      <c r="G11" s="11"/>
    </row>
    <row r="12" spans="1:7" ht="63" x14ac:dyDescent="0.25">
      <c r="A12" s="81"/>
      <c r="B12" s="39" t="s">
        <v>20</v>
      </c>
      <c r="C12" s="6" t="s">
        <v>24</v>
      </c>
      <c r="D12" s="4">
        <v>1.4</v>
      </c>
      <c r="E12" s="4"/>
      <c r="F12" s="10" t="s">
        <v>55</v>
      </c>
      <c r="G12" s="11"/>
    </row>
    <row r="13" spans="1:7" ht="28.15" customHeight="1" x14ac:dyDescent="0.25">
      <c r="A13" s="81"/>
      <c r="B13" s="39" t="s">
        <v>19</v>
      </c>
      <c r="C13" s="6" t="s">
        <v>49</v>
      </c>
      <c r="D13" s="4">
        <f>(D11*D14)/D15</f>
        <v>500000</v>
      </c>
      <c r="E13" s="4"/>
      <c r="F13" s="4" t="s">
        <v>50</v>
      </c>
      <c r="G13" s="11"/>
    </row>
    <row r="14" spans="1:7" ht="40.15" customHeight="1" x14ac:dyDescent="0.25">
      <c r="A14" s="81"/>
      <c r="B14" s="39" t="s">
        <v>15</v>
      </c>
      <c r="C14" s="7" t="s">
        <v>31</v>
      </c>
      <c r="D14" s="4">
        <v>0.3</v>
      </c>
      <c r="E14" s="4" t="s">
        <v>18</v>
      </c>
      <c r="F14" s="4"/>
      <c r="G14" s="11"/>
    </row>
    <row r="15" spans="1:7" ht="45" x14ac:dyDescent="0.25">
      <c r="A15" s="81"/>
      <c r="B15" s="39" t="s">
        <v>16</v>
      </c>
      <c r="C15" s="6" t="s">
        <v>22</v>
      </c>
      <c r="D15" s="4">
        <v>1.4399999999999999E-5</v>
      </c>
      <c r="E15" s="4" t="s">
        <v>48</v>
      </c>
      <c r="F15" s="10" t="s">
        <v>17</v>
      </c>
      <c r="G15" s="11"/>
    </row>
    <row r="16" spans="1:7" x14ac:dyDescent="0.25">
      <c r="A16" s="81"/>
      <c r="B16" s="39" t="s">
        <v>5</v>
      </c>
      <c r="C16" s="7" t="s">
        <v>25</v>
      </c>
      <c r="D16" s="4">
        <v>1.17</v>
      </c>
      <c r="E16" s="4" t="s">
        <v>6</v>
      </c>
      <c r="F16" s="4" t="s">
        <v>26</v>
      </c>
      <c r="G16" s="11"/>
    </row>
    <row r="17" spans="1:7" ht="67.900000000000006" customHeight="1" x14ac:dyDescent="0.25">
      <c r="A17" s="81"/>
      <c r="B17" s="65" t="s">
        <v>11</v>
      </c>
      <c r="C17" s="7" t="s">
        <v>34</v>
      </c>
      <c r="D17" s="8">
        <f>(2*D9*Constants!C6)/(Wing!D16*Wing!D12*Wing!D10*Wing!D10)</f>
        <v>0.91637231815803244</v>
      </c>
      <c r="E17" s="4" t="s">
        <v>47</v>
      </c>
      <c r="F17" s="4"/>
      <c r="G17" s="11"/>
    </row>
    <row r="18" spans="1:7" ht="43.9" customHeight="1" x14ac:dyDescent="0.25">
      <c r="A18" s="81"/>
      <c r="B18" s="65" t="s">
        <v>27</v>
      </c>
      <c r="C18" s="7" t="s">
        <v>28</v>
      </c>
      <c r="D18" s="9">
        <f>SQRT(D19*D17)</f>
        <v>3.0271642145051074</v>
      </c>
      <c r="E18" s="4" t="s">
        <v>18</v>
      </c>
      <c r="F18" s="4"/>
      <c r="G18" s="11"/>
    </row>
    <row r="19" spans="1:7" ht="45" x14ac:dyDescent="0.25">
      <c r="A19" s="81"/>
      <c r="B19" s="39" t="s">
        <v>29</v>
      </c>
      <c r="C19" s="7" t="s">
        <v>30</v>
      </c>
      <c r="D19" s="4">
        <v>10</v>
      </c>
      <c r="E19" s="4"/>
      <c r="F19" s="10" t="s">
        <v>33</v>
      </c>
      <c r="G19" s="11"/>
    </row>
    <row r="20" spans="1:7" ht="62.25" thickBot="1" x14ac:dyDescent="0.4">
      <c r="A20" s="82"/>
      <c r="B20" s="42" t="s">
        <v>98</v>
      </c>
      <c r="C20" s="43" t="s">
        <v>97</v>
      </c>
      <c r="D20" s="12">
        <f>0.25*D14</f>
        <v>7.4999999999999997E-2</v>
      </c>
      <c r="E20" s="12" t="s">
        <v>18</v>
      </c>
      <c r="F20" s="34" t="s">
        <v>99</v>
      </c>
      <c r="G20" s="67" t="s">
        <v>96</v>
      </c>
    </row>
    <row r="21" spans="1:7" ht="15.75" thickBot="1" x14ac:dyDescent="0.3"/>
    <row r="22" spans="1:7" ht="30" x14ac:dyDescent="0.25">
      <c r="A22" s="80" t="s">
        <v>78</v>
      </c>
      <c r="B22" s="45"/>
      <c r="C22" s="40" t="s">
        <v>79</v>
      </c>
      <c r="D22" s="41">
        <f>D18/4</f>
        <v>0.75679105362627686</v>
      </c>
      <c r="E22" s="37" t="s">
        <v>18</v>
      </c>
      <c r="F22" s="37"/>
      <c r="G22" s="38"/>
    </row>
    <row r="23" spans="1:7" ht="30" x14ac:dyDescent="0.25">
      <c r="A23" s="81"/>
      <c r="B23" s="39"/>
      <c r="C23" s="6" t="s">
        <v>80</v>
      </c>
      <c r="D23" s="4">
        <f>D14/4</f>
        <v>7.4999999999999997E-2</v>
      </c>
      <c r="E23" s="4" t="s">
        <v>18</v>
      </c>
      <c r="F23" s="4"/>
      <c r="G23" s="11"/>
    </row>
    <row r="24" spans="1:7" ht="45.75" thickBot="1" x14ac:dyDescent="0.3">
      <c r="A24" s="82"/>
      <c r="B24" s="42"/>
      <c r="C24" s="43" t="s">
        <v>81</v>
      </c>
      <c r="D24" s="44">
        <f>0.1*D18</f>
        <v>0.30271642145051075</v>
      </c>
      <c r="E24" s="12" t="s">
        <v>18</v>
      </c>
      <c r="F24" s="34" t="s">
        <v>82</v>
      </c>
      <c r="G24" s="13"/>
    </row>
  </sheetData>
  <mergeCells count="2">
    <mergeCell ref="A22:A24"/>
    <mergeCell ref="A9:A2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935A4-45F1-46FF-93DA-944832471E2E}">
  <dimension ref="A1:G29"/>
  <sheetViews>
    <sheetView topLeftCell="A9" zoomScale="85" zoomScaleNormal="85" workbookViewId="0">
      <selection activeCell="D22" sqref="D22"/>
    </sheetView>
  </sheetViews>
  <sheetFormatPr defaultRowHeight="15" x14ac:dyDescent="0.25"/>
  <cols>
    <col min="1" max="1" width="9.85546875" bestFit="1" customWidth="1"/>
    <col min="2" max="2" width="15.5703125" bestFit="1" customWidth="1"/>
    <col min="3" max="3" width="19.7109375" customWidth="1"/>
    <col min="4" max="4" width="12.42578125" style="30" customWidth="1"/>
    <col min="5" max="5" width="6.28515625" bestFit="1" customWidth="1"/>
    <col min="6" max="6" width="38" customWidth="1"/>
    <col min="7" max="7" width="36.42578125" customWidth="1"/>
  </cols>
  <sheetData>
    <row r="1" spans="1:7" x14ac:dyDescent="0.25">
      <c r="A1" s="35" t="s">
        <v>54</v>
      </c>
      <c r="B1" s="3" t="s">
        <v>3</v>
      </c>
    </row>
    <row r="2" spans="1:7" x14ac:dyDescent="0.25">
      <c r="B2" s="2" t="s">
        <v>4</v>
      </c>
    </row>
    <row r="3" spans="1:7" x14ac:dyDescent="0.25">
      <c r="B3" s="5" t="s">
        <v>13</v>
      </c>
    </row>
    <row r="4" spans="1:7" x14ac:dyDescent="0.25">
      <c r="B4" s="1" t="s">
        <v>14</v>
      </c>
    </row>
    <row r="7" spans="1:7" ht="15.75" thickBot="1" x14ac:dyDescent="0.3"/>
    <row r="8" spans="1:7" ht="15.75" thickBot="1" x14ac:dyDescent="0.3">
      <c r="B8" s="47" t="s">
        <v>9</v>
      </c>
      <c r="C8" s="48" t="s">
        <v>21</v>
      </c>
      <c r="D8" s="51" t="s">
        <v>7</v>
      </c>
      <c r="E8" s="48" t="s">
        <v>8</v>
      </c>
      <c r="F8" s="48" t="s">
        <v>10</v>
      </c>
      <c r="G8" s="49" t="s">
        <v>14</v>
      </c>
    </row>
    <row r="9" spans="1:7" ht="35.450000000000003" customHeight="1" x14ac:dyDescent="0.25">
      <c r="A9" s="80" t="s">
        <v>90</v>
      </c>
      <c r="B9" s="58" t="s">
        <v>61</v>
      </c>
      <c r="C9" s="14" t="s">
        <v>35</v>
      </c>
      <c r="D9" s="15">
        <v>0.03</v>
      </c>
      <c r="E9" s="15"/>
      <c r="F9" s="16" t="s">
        <v>42</v>
      </c>
      <c r="G9" s="17"/>
    </row>
    <row r="10" spans="1:7" ht="45" x14ac:dyDescent="0.25">
      <c r="A10" s="81"/>
      <c r="B10" s="50" t="s">
        <v>62</v>
      </c>
      <c r="C10" s="18" t="s">
        <v>36</v>
      </c>
      <c r="D10" s="19">
        <v>0.9</v>
      </c>
      <c r="E10" s="19" t="s">
        <v>18</v>
      </c>
      <c r="F10" s="19" t="s">
        <v>77</v>
      </c>
      <c r="G10" s="20"/>
    </row>
    <row r="11" spans="1:7" ht="35.450000000000003" customHeight="1" thickBot="1" x14ac:dyDescent="0.3">
      <c r="A11" s="82"/>
      <c r="B11" s="36" t="s">
        <v>63</v>
      </c>
      <c r="C11" s="22" t="s">
        <v>37</v>
      </c>
      <c r="D11" s="59">
        <f>(D9*D12*D13)/D10</f>
        <v>9.2466982956369487E-2</v>
      </c>
      <c r="E11" s="23" t="s">
        <v>47</v>
      </c>
      <c r="F11" s="23"/>
      <c r="G11" s="24"/>
    </row>
    <row r="12" spans="1:7" ht="18" x14ac:dyDescent="0.25">
      <c r="B12" s="52" t="s">
        <v>64</v>
      </c>
      <c r="C12" s="53" t="s">
        <v>38</v>
      </c>
      <c r="D12" s="54">
        <f>Wing!D18</f>
        <v>3.0271642145051074</v>
      </c>
      <c r="E12" s="55" t="s">
        <v>18</v>
      </c>
      <c r="F12" s="56"/>
      <c r="G12" s="57"/>
    </row>
    <row r="13" spans="1:7" ht="18.75" thickBot="1" x14ac:dyDescent="0.3">
      <c r="B13" s="21" t="s">
        <v>60</v>
      </c>
      <c r="C13" s="22" t="s">
        <v>32</v>
      </c>
      <c r="D13" s="27">
        <f>Wing!D17</f>
        <v>0.91637231815803244</v>
      </c>
      <c r="E13" s="23" t="s">
        <v>47</v>
      </c>
      <c r="F13" s="23"/>
      <c r="G13" s="24"/>
    </row>
    <row r="14" spans="1:7" ht="15.75" thickBot="1" x14ac:dyDescent="0.3">
      <c r="B14" s="30"/>
      <c r="C14" s="31"/>
      <c r="E14" s="30"/>
      <c r="F14" s="30"/>
      <c r="G14" s="30"/>
    </row>
    <row r="15" spans="1:7" ht="36" customHeight="1" x14ac:dyDescent="0.25">
      <c r="A15" s="80" t="s">
        <v>91</v>
      </c>
      <c r="B15" s="58" t="s">
        <v>57</v>
      </c>
      <c r="C15" s="14" t="s">
        <v>39</v>
      </c>
      <c r="D15" s="16">
        <v>0.5</v>
      </c>
      <c r="E15" s="15"/>
      <c r="F15" s="16" t="s">
        <v>42</v>
      </c>
      <c r="G15" s="17"/>
    </row>
    <row r="16" spans="1:7" ht="45" x14ac:dyDescent="0.25">
      <c r="A16" s="81"/>
      <c r="B16" s="50" t="s">
        <v>58</v>
      </c>
      <c r="C16" s="18" t="s">
        <v>40</v>
      </c>
      <c r="D16" s="19">
        <v>0.9</v>
      </c>
      <c r="E16" s="19" t="s">
        <v>18</v>
      </c>
      <c r="F16" s="19" t="s">
        <v>77</v>
      </c>
      <c r="G16" s="20"/>
    </row>
    <row r="17" spans="1:7" ht="48.6" customHeight="1" thickBot="1" x14ac:dyDescent="0.3">
      <c r="A17" s="82"/>
      <c r="B17" s="36" t="s">
        <v>59</v>
      </c>
      <c r="C17" s="26" t="s">
        <v>41</v>
      </c>
      <c r="D17" s="27">
        <f>(D15*Wing!D14*'V-tail'!D13)/'V-tail'!D16</f>
        <v>0.15272871969300542</v>
      </c>
      <c r="E17" s="23" t="s">
        <v>47</v>
      </c>
      <c r="F17" s="23"/>
      <c r="G17" s="24"/>
    </row>
    <row r="18" spans="1:7" ht="15.75" thickBot="1" x14ac:dyDescent="0.3">
      <c r="B18" s="30"/>
      <c r="C18" s="32"/>
      <c r="D18" s="33"/>
      <c r="E18" s="30"/>
      <c r="F18" s="30"/>
      <c r="G18" s="30"/>
    </row>
    <row r="19" spans="1:7" ht="40.9" customHeight="1" x14ac:dyDescent="0.25">
      <c r="A19" s="83" t="s">
        <v>92</v>
      </c>
      <c r="B19" s="63" t="s">
        <v>45</v>
      </c>
      <c r="C19" s="14" t="s">
        <v>43</v>
      </c>
      <c r="D19" s="28">
        <f>DEGREES(ATAN(SQRT(D11/D17)))</f>
        <v>37.886329893038969</v>
      </c>
      <c r="E19" s="15" t="s">
        <v>44</v>
      </c>
      <c r="F19" s="15"/>
      <c r="G19" s="17"/>
    </row>
    <row r="20" spans="1:7" ht="46.5" customHeight="1" x14ac:dyDescent="0.25">
      <c r="A20" s="84"/>
      <c r="B20" s="60" t="s">
        <v>56</v>
      </c>
      <c r="C20" s="25" t="s">
        <v>46</v>
      </c>
      <c r="D20" s="61">
        <f>D17+D11</f>
        <v>0.2451957026493749</v>
      </c>
      <c r="E20" s="19" t="s">
        <v>47</v>
      </c>
      <c r="F20" s="19"/>
      <c r="G20" s="20"/>
    </row>
    <row r="21" spans="1:7" ht="30" x14ac:dyDescent="0.25">
      <c r="A21" s="84"/>
      <c r="B21" s="62" t="s">
        <v>29</v>
      </c>
      <c r="C21" s="18" t="s">
        <v>65</v>
      </c>
      <c r="D21" s="19">
        <v>4</v>
      </c>
      <c r="E21" s="4"/>
      <c r="F21" s="10" t="s">
        <v>73</v>
      </c>
      <c r="G21" s="11"/>
    </row>
    <row r="22" spans="1:7" ht="18" x14ac:dyDescent="0.25">
      <c r="A22" s="84"/>
      <c r="B22" s="60" t="s">
        <v>66</v>
      </c>
      <c r="C22" s="18" t="s">
        <v>67</v>
      </c>
      <c r="D22" s="29">
        <f>SQRT(D20*D21)</f>
        <v>0.99034479379532236</v>
      </c>
      <c r="E22" s="4" t="s">
        <v>18</v>
      </c>
      <c r="F22" s="4"/>
      <c r="G22" s="11"/>
    </row>
    <row r="23" spans="1:7" ht="18" x14ac:dyDescent="0.25">
      <c r="A23" s="84"/>
      <c r="B23" s="60" t="s">
        <v>68</v>
      </c>
      <c r="C23" s="18" t="s">
        <v>69</v>
      </c>
      <c r="D23" s="29">
        <f>D22/D21</f>
        <v>0.24758619844883059</v>
      </c>
      <c r="E23" s="4" t="s">
        <v>18</v>
      </c>
      <c r="F23" s="4"/>
      <c r="G23" s="11"/>
    </row>
    <row r="24" spans="1:7" x14ac:dyDescent="0.25">
      <c r="A24" s="84"/>
      <c r="B24" s="62" t="s">
        <v>70</v>
      </c>
      <c r="C24" s="18" t="s">
        <v>72</v>
      </c>
      <c r="D24" s="19">
        <v>0</v>
      </c>
      <c r="E24" s="4"/>
      <c r="F24" s="4" t="s">
        <v>71</v>
      </c>
      <c r="G24" s="11"/>
    </row>
    <row r="25" spans="1:7" ht="45.75" thickBot="1" x14ac:dyDescent="0.3">
      <c r="A25" s="85"/>
      <c r="B25" s="64" t="s">
        <v>75</v>
      </c>
      <c r="C25" s="26" t="s">
        <v>74</v>
      </c>
      <c r="D25" s="23">
        <v>-10</v>
      </c>
      <c r="E25" s="23" t="s">
        <v>44</v>
      </c>
      <c r="F25" s="34" t="s">
        <v>76</v>
      </c>
      <c r="G25" s="13"/>
    </row>
    <row r="26" spans="1:7" ht="15.75" thickBot="1" x14ac:dyDescent="0.3"/>
    <row r="27" spans="1:7" ht="18" x14ac:dyDescent="0.35">
      <c r="A27" s="83" t="s">
        <v>83</v>
      </c>
      <c r="B27" s="45" t="s">
        <v>93</v>
      </c>
      <c r="C27" s="40" t="s">
        <v>84</v>
      </c>
      <c r="D27" s="46"/>
      <c r="E27" s="15" t="s">
        <v>18</v>
      </c>
      <c r="F27" s="37" t="s">
        <v>88</v>
      </c>
      <c r="G27" s="38"/>
    </row>
    <row r="28" spans="1:7" ht="31.5" x14ac:dyDescent="0.35">
      <c r="A28" s="84"/>
      <c r="B28" s="39" t="s">
        <v>94</v>
      </c>
      <c r="C28" s="6" t="s">
        <v>85</v>
      </c>
      <c r="D28" s="29">
        <f>0.4*D23</f>
        <v>9.9034479379532248E-2</v>
      </c>
      <c r="E28" s="19" t="s">
        <v>18</v>
      </c>
      <c r="F28" s="10" t="s">
        <v>87</v>
      </c>
      <c r="G28" s="11"/>
    </row>
    <row r="29" spans="1:7" ht="45.75" thickBot="1" x14ac:dyDescent="0.3">
      <c r="A29" s="85"/>
      <c r="B29" s="42"/>
      <c r="C29" s="43" t="s">
        <v>86</v>
      </c>
      <c r="D29" s="23">
        <v>0</v>
      </c>
      <c r="E29" s="23" t="s">
        <v>18</v>
      </c>
      <c r="F29" s="34" t="s">
        <v>95</v>
      </c>
      <c r="G29" s="13"/>
    </row>
  </sheetData>
  <mergeCells count="4">
    <mergeCell ref="A27:A29"/>
    <mergeCell ref="A9:A11"/>
    <mergeCell ref="A15:A17"/>
    <mergeCell ref="A19:A2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5412D-E6C6-4698-8307-A04D3DB6C7A6}">
  <dimension ref="A1:G25"/>
  <sheetViews>
    <sheetView workbookViewId="0"/>
  </sheetViews>
  <sheetFormatPr defaultRowHeight="15" x14ac:dyDescent="0.25"/>
  <cols>
    <col min="1" max="1" width="9.85546875" bestFit="1" customWidth="1"/>
    <col min="2" max="2" width="15.5703125" bestFit="1" customWidth="1"/>
    <col min="3" max="3" width="19.7109375" customWidth="1"/>
    <col min="4" max="4" width="12.42578125" customWidth="1"/>
    <col min="5" max="5" width="6.28515625" bestFit="1" customWidth="1"/>
    <col min="6" max="6" width="38" customWidth="1"/>
    <col min="7" max="7" width="36.42578125" customWidth="1"/>
  </cols>
  <sheetData>
    <row r="1" spans="1:7" x14ac:dyDescent="0.25">
      <c r="A1" s="35"/>
      <c r="B1" s="3" t="s">
        <v>3</v>
      </c>
      <c r="D1" s="30"/>
    </row>
    <row r="2" spans="1:7" x14ac:dyDescent="0.25">
      <c r="B2" s="2" t="s">
        <v>4</v>
      </c>
      <c r="D2" s="30"/>
    </row>
    <row r="3" spans="1:7" x14ac:dyDescent="0.25">
      <c r="B3" s="5" t="s">
        <v>13</v>
      </c>
      <c r="D3" s="30"/>
    </row>
    <row r="4" spans="1:7" x14ac:dyDescent="0.25">
      <c r="B4" s="1" t="s">
        <v>14</v>
      </c>
      <c r="D4" s="30"/>
    </row>
    <row r="5" spans="1:7" x14ac:dyDescent="0.25">
      <c r="D5" s="30"/>
    </row>
    <row r="6" spans="1:7" x14ac:dyDescent="0.25">
      <c r="D6" s="30"/>
    </row>
    <row r="7" spans="1:7" ht="15.75" thickBot="1" x14ac:dyDescent="0.3">
      <c r="D7" s="30"/>
    </row>
    <row r="8" spans="1:7" ht="15.75" thickBot="1" x14ac:dyDescent="0.3">
      <c r="B8" s="70" t="s">
        <v>9</v>
      </c>
      <c r="C8" s="71" t="s">
        <v>21</v>
      </c>
      <c r="D8" s="72" t="s">
        <v>7</v>
      </c>
      <c r="E8" s="71" t="s">
        <v>8</v>
      </c>
      <c r="F8" s="71" t="s">
        <v>10</v>
      </c>
      <c r="G8" s="73" t="s">
        <v>14</v>
      </c>
    </row>
    <row r="9" spans="1:7" ht="30" x14ac:dyDescent="0.25">
      <c r="A9" s="88" t="s">
        <v>100</v>
      </c>
      <c r="B9" s="74" t="s">
        <v>101</v>
      </c>
      <c r="C9" s="18" t="s">
        <v>103</v>
      </c>
      <c r="D9" s="19">
        <f>1.5*Wing!D14</f>
        <v>0.44999999999999996</v>
      </c>
      <c r="E9" s="19" t="s">
        <v>18</v>
      </c>
      <c r="F9" s="68" t="s">
        <v>106</v>
      </c>
      <c r="G9" s="20"/>
    </row>
    <row r="10" spans="1:7" x14ac:dyDescent="0.25">
      <c r="A10" s="89"/>
      <c r="B10" s="74" t="s">
        <v>102</v>
      </c>
      <c r="C10" s="18" t="s">
        <v>105</v>
      </c>
      <c r="D10" s="19">
        <f>3*Wing!D14</f>
        <v>0.89999999999999991</v>
      </c>
      <c r="E10" s="19" t="s">
        <v>18</v>
      </c>
      <c r="F10" s="19" t="s">
        <v>108</v>
      </c>
      <c r="G10" s="20"/>
    </row>
    <row r="11" spans="1:7" ht="15.75" thickBot="1" x14ac:dyDescent="0.3">
      <c r="A11" s="90"/>
      <c r="B11" s="75" t="s">
        <v>104</v>
      </c>
      <c r="C11" s="25" t="s">
        <v>107</v>
      </c>
      <c r="D11" s="29">
        <f>D9+D10+Wing!D14</f>
        <v>1.65</v>
      </c>
      <c r="E11" s="19" t="s">
        <v>18</v>
      </c>
      <c r="F11" s="19"/>
      <c r="G11" s="20"/>
    </row>
    <row r="12" spans="1:7" x14ac:dyDescent="0.25">
      <c r="B12" s="76" t="s">
        <v>109</v>
      </c>
      <c r="C12" s="18" t="s">
        <v>110</v>
      </c>
      <c r="D12" s="69">
        <v>0.3</v>
      </c>
      <c r="E12" s="19" t="s">
        <v>18</v>
      </c>
      <c r="F12" s="68" t="s">
        <v>111</v>
      </c>
      <c r="G12" s="20"/>
    </row>
    <row r="13" spans="1:7" ht="15.75" thickBot="1" x14ac:dyDescent="0.3">
      <c r="C13" s="22"/>
      <c r="D13" s="27"/>
      <c r="E13" s="23"/>
      <c r="F13" s="23"/>
      <c r="G13" s="24"/>
    </row>
    <row r="14" spans="1:7" ht="15.75" thickBot="1" x14ac:dyDescent="0.3">
      <c r="B14" s="30"/>
      <c r="C14" s="31"/>
      <c r="D14" s="30"/>
      <c r="E14" s="30"/>
      <c r="F14" s="30"/>
      <c r="G14" s="30"/>
    </row>
    <row r="15" spans="1:7" x14ac:dyDescent="0.25">
      <c r="A15" s="80"/>
      <c r="B15" s="58"/>
      <c r="C15" s="14"/>
      <c r="D15" s="16"/>
      <c r="E15" s="15"/>
      <c r="F15" s="16"/>
      <c r="G15" s="17"/>
    </row>
    <row r="16" spans="1:7" x14ac:dyDescent="0.25">
      <c r="A16" s="81"/>
      <c r="B16" s="50"/>
      <c r="C16" s="18"/>
      <c r="D16" s="19"/>
      <c r="E16" s="19"/>
      <c r="F16" s="19"/>
      <c r="G16" s="20"/>
    </row>
    <row r="17" spans="1:7" ht="15.75" thickBot="1" x14ac:dyDescent="0.3">
      <c r="A17" s="82"/>
      <c r="B17" s="36"/>
      <c r="C17" s="26"/>
      <c r="D17" s="27"/>
      <c r="E17" s="23"/>
      <c r="F17" s="23"/>
      <c r="G17" s="24"/>
    </row>
    <row r="18" spans="1:7" ht="15.75" thickBot="1" x14ac:dyDescent="0.3">
      <c r="B18" s="30"/>
      <c r="C18" s="32"/>
      <c r="D18" s="33"/>
      <c r="E18" s="30"/>
      <c r="F18" s="30"/>
      <c r="G18" s="30"/>
    </row>
    <row r="19" spans="1:7" ht="29.25" customHeight="1" x14ac:dyDescent="0.25">
      <c r="A19" s="83"/>
      <c r="B19" s="63"/>
      <c r="C19" s="14"/>
      <c r="D19" s="28"/>
      <c r="E19" s="15"/>
      <c r="F19" s="15"/>
      <c r="G19" s="17"/>
    </row>
    <row r="20" spans="1:7" ht="55.5" customHeight="1" x14ac:dyDescent="0.25">
      <c r="A20" s="84"/>
      <c r="B20" s="60"/>
      <c r="C20" s="25"/>
      <c r="D20" s="61"/>
      <c r="E20" s="19"/>
      <c r="F20" s="19"/>
      <c r="G20" s="20"/>
    </row>
    <row r="21" spans="1:7" x14ac:dyDescent="0.25">
      <c r="A21" s="84"/>
      <c r="B21" s="62"/>
      <c r="C21" s="18"/>
      <c r="D21" s="19"/>
      <c r="E21" s="4"/>
      <c r="F21" s="10"/>
      <c r="G21" s="11"/>
    </row>
    <row r="22" spans="1:7" x14ac:dyDescent="0.25">
      <c r="A22" s="84"/>
      <c r="B22" s="60"/>
      <c r="C22" s="18"/>
      <c r="D22" s="29"/>
      <c r="E22" s="4"/>
      <c r="F22" s="4"/>
      <c r="G22" s="11"/>
    </row>
    <row r="23" spans="1:7" x14ac:dyDescent="0.25">
      <c r="A23" s="84"/>
      <c r="B23" s="60"/>
      <c r="C23" s="18"/>
      <c r="D23" s="29"/>
      <c r="E23" s="4"/>
      <c r="F23" s="4"/>
      <c r="G23" s="11"/>
    </row>
    <row r="24" spans="1:7" x14ac:dyDescent="0.25">
      <c r="A24" s="84"/>
      <c r="B24" s="62"/>
      <c r="C24" s="18"/>
      <c r="D24" s="19"/>
      <c r="E24" s="4"/>
      <c r="F24" s="4"/>
      <c r="G24" s="11"/>
    </row>
    <row r="25" spans="1:7" ht="15.75" thickBot="1" x14ac:dyDescent="0.3">
      <c r="A25" s="85"/>
      <c r="B25" s="64"/>
      <c r="C25" s="26"/>
      <c r="D25" s="23"/>
      <c r="E25" s="23"/>
      <c r="F25" s="34"/>
      <c r="G25" s="13"/>
    </row>
  </sheetData>
  <mergeCells count="3">
    <mergeCell ref="A9:A11"/>
    <mergeCell ref="A15:A17"/>
    <mergeCell ref="A19:A25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79866-2160-4925-834D-A41ED5331C38}">
  <dimension ref="A1:G25"/>
  <sheetViews>
    <sheetView tabSelected="1" zoomScale="90" zoomScaleNormal="90" workbookViewId="0">
      <selection activeCell="G32" sqref="G32"/>
    </sheetView>
  </sheetViews>
  <sheetFormatPr defaultRowHeight="15" x14ac:dyDescent="0.25"/>
  <cols>
    <col min="1" max="1" width="9.85546875" bestFit="1" customWidth="1"/>
    <col min="2" max="2" width="15.5703125" bestFit="1" customWidth="1"/>
    <col min="3" max="3" width="19.7109375" customWidth="1"/>
    <col min="4" max="4" width="12.42578125" customWidth="1"/>
    <col min="5" max="5" width="6.28515625" bestFit="1" customWidth="1"/>
    <col min="6" max="6" width="38" customWidth="1"/>
    <col min="7" max="7" width="36.42578125" customWidth="1"/>
  </cols>
  <sheetData>
    <row r="1" spans="1:7" x14ac:dyDescent="0.25">
      <c r="A1" s="35"/>
      <c r="B1" s="3" t="s">
        <v>3</v>
      </c>
      <c r="D1" s="30"/>
    </row>
    <row r="2" spans="1:7" x14ac:dyDescent="0.25">
      <c r="B2" s="2" t="s">
        <v>4</v>
      </c>
      <c r="D2" s="30"/>
    </row>
    <row r="3" spans="1:7" x14ac:dyDescent="0.25">
      <c r="B3" s="5" t="s">
        <v>13</v>
      </c>
      <c r="D3" s="30"/>
    </row>
    <row r="4" spans="1:7" x14ac:dyDescent="0.25">
      <c r="B4" s="1" t="s">
        <v>14</v>
      </c>
      <c r="D4" s="30"/>
    </row>
    <row r="5" spans="1:7" x14ac:dyDescent="0.25">
      <c r="D5" s="30"/>
    </row>
    <row r="6" spans="1:7" x14ac:dyDescent="0.25">
      <c r="D6" s="30"/>
    </row>
    <row r="7" spans="1:7" ht="15.75" thickBot="1" x14ac:dyDescent="0.3">
      <c r="D7" s="30"/>
    </row>
    <row r="8" spans="1:7" x14ac:dyDescent="0.25">
      <c r="A8" s="86" t="s">
        <v>112</v>
      </c>
      <c r="B8" s="78" t="s">
        <v>9</v>
      </c>
      <c r="C8" s="72" t="s">
        <v>21</v>
      </c>
      <c r="D8" s="72" t="s">
        <v>7</v>
      </c>
      <c r="E8" s="72" t="s">
        <v>8</v>
      </c>
      <c r="F8" s="72" t="s">
        <v>10</v>
      </c>
      <c r="G8" s="79" t="s">
        <v>14</v>
      </c>
    </row>
    <row r="9" spans="1:7" ht="30" x14ac:dyDescent="0.25">
      <c r="A9" s="87"/>
      <c r="B9" s="65"/>
      <c r="C9" s="18" t="s">
        <v>113</v>
      </c>
      <c r="D9" s="19">
        <f>(Fuselage!D9+Wing!$D$14*0.25)/Wing!$D$14</f>
        <v>1.7499999999999998</v>
      </c>
      <c r="E9" s="19"/>
      <c r="F9" s="68"/>
      <c r="G9" s="19"/>
    </row>
    <row r="10" spans="1:7" ht="30" x14ac:dyDescent="0.25">
      <c r="A10" s="87"/>
      <c r="B10" s="65"/>
      <c r="C10" s="18" t="s">
        <v>114</v>
      </c>
      <c r="D10" s="19"/>
      <c r="E10" s="19"/>
      <c r="F10" s="19"/>
      <c r="G10" s="19"/>
    </row>
    <row r="11" spans="1:7" ht="45" x14ac:dyDescent="0.25">
      <c r="A11" s="87"/>
      <c r="B11" s="60"/>
      <c r="C11" s="18" t="s">
        <v>115</v>
      </c>
      <c r="D11" s="29"/>
      <c r="E11" s="19"/>
      <c r="F11" s="19"/>
      <c r="G11" s="19" t="s">
        <v>116</v>
      </c>
    </row>
    <row r="12" spans="1:7" x14ac:dyDescent="0.25">
      <c r="A12" s="87"/>
      <c r="B12" s="65"/>
      <c r="C12" s="18" t="s">
        <v>117</v>
      </c>
      <c r="D12" s="69">
        <f>TAN(0)-((4/10)*(50/100))</f>
        <v>-0.2</v>
      </c>
      <c r="E12" s="19"/>
      <c r="F12" s="68" t="s">
        <v>118</v>
      </c>
      <c r="G12" s="19"/>
    </row>
    <row r="13" spans="1:7" ht="15.75" thickBot="1" x14ac:dyDescent="0.3">
      <c r="A13" s="77"/>
      <c r="B13" s="4"/>
      <c r="C13" s="25"/>
      <c r="D13" s="61"/>
      <c r="E13" s="19"/>
      <c r="F13" s="19"/>
      <c r="G13" s="19"/>
    </row>
    <row r="14" spans="1:7" ht="15.75" thickBot="1" x14ac:dyDescent="0.3">
      <c r="B14" s="30"/>
      <c r="C14" s="31"/>
      <c r="D14" s="30"/>
      <c r="E14" s="30"/>
      <c r="F14" s="30"/>
      <c r="G14" s="30"/>
    </row>
    <row r="15" spans="1:7" x14ac:dyDescent="0.25">
      <c r="A15" s="80"/>
      <c r="B15" s="58"/>
      <c r="C15" s="14"/>
      <c r="D15" s="16"/>
      <c r="E15" s="15"/>
      <c r="F15" s="16"/>
      <c r="G15" s="17"/>
    </row>
    <row r="16" spans="1:7" x14ac:dyDescent="0.25">
      <c r="A16" s="81"/>
      <c r="B16" s="50"/>
      <c r="C16" s="18"/>
      <c r="D16" s="19"/>
      <c r="E16" s="19"/>
      <c r="F16" s="19"/>
      <c r="G16" s="20"/>
    </row>
    <row r="17" spans="1:7" ht="15.75" thickBot="1" x14ac:dyDescent="0.3">
      <c r="A17" s="82"/>
      <c r="B17" s="36"/>
      <c r="C17" s="26"/>
      <c r="D17" s="27"/>
      <c r="E17" s="23"/>
      <c r="F17" s="23"/>
      <c r="G17" s="24"/>
    </row>
    <row r="18" spans="1:7" ht="15.75" thickBot="1" x14ac:dyDescent="0.3">
      <c r="B18" s="30"/>
      <c r="C18" s="32"/>
      <c r="D18" s="33"/>
      <c r="E18" s="30"/>
      <c r="F18" s="30"/>
      <c r="G18" s="30"/>
    </row>
    <row r="19" spans="1:7" x14ac:dyDescent="0.25">
      <c r="A19" s="83"/>
      <c r="B19" s="63"/>
      <c r="C19" s="14"/>
      <c r="D19" s="28"/>
      <c r="E19" s="15"/>
      <c r="F19" s="15"/>
      <c r="G19" s="17"/>
    </row>
    <row r="20" spans="1:7" x14ac:dyDescent="0.25">
      <c r="A20" s="84"/>
      <c r="B20" s="60"/>
      <c r="C20" s="25"/>
      <c r="D20" s="61"/>
      <c r="E20" s="19"/>
      <c r="F20" s="19"/>
      <c r="G20" s="20"/>
    </row>
    <row r="21" spans="1:7" x14ac:dyDescent="0.25">
      <c r="A21" s="84"/>
      <c r="B21" s="62"/>
      <c r="C21" s="18"/>
      <c r="D21" s="19"/>
      <c r="E21" s="4"/>
      <c r="F21" s="10"/>
      <c r="G21" s="11"/>
    </row>
    <row r="22" spans="1:7" x14ac:dyDescent="0.25">
      <c r="A22" s="84"/>
      <c r="B22" s="60"/>
      <c r="C22" s="18"/>
      <c r="D22" s="29"/>
      <c r="E22" s="4"/>
      <c r="F22" s="4"/>
      <c r="G22" s="11"/>
    </row>
    <row r="23" spans="1:7" x14ac:dyDescent="0.25">
      <c r="A23" s="84"/>
      <c r="B23" s="60"/>
      <c r="C23" s="18"/>
      <c r="D23" s="29"/>
      <c r="E23" s="4"/>
      <c r="F23" s="4"/>
      <c r="G23" s="11"/>
    </row>
    <row r="24" spans="1:7" x14ac:dyDescent="0.25">
      <c r="A24" s="84"/>
      <c r="B24" s="62"/>
      <c r="C24" s="18"/>
      <c r="D24" s="19"/>
      <c r="E24" s="4"/>
      <c r="F24" s="4"/>
      <c r="G24" s="11"/>
    </row>
    <row r="25" spans="1:7" ht="15.75" thickBot="1" x14ac:dyDescent="0.3">
      <c r="A25" s="85"/>
      <c r="B25" s="64"/>
      <c r="C25" s="26"/>
      <c r="D25" s="23"/>
      <c r="E25" s="23"/>
      <c r="F25" s="34"/>
      <c r="G25" s="13"/>
    </row>
  </sheetData>
  <mergeCells count="3">
    <mergeCell ref="A15:A17"/>
    <mergeCell ref="A19:A25"/>
    <mergeCell ref="A8:A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Constants</vt:lpstr>
      <vt:lpstr>Wing</vt:lpstr>
      <vt:lpstr>V-tail</vt:lpstr>
      <vt:lpstr>Fuselage</vt:lpstr>
      <vt:lpstr>Neutral point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Nikola Nikolov</cp:lastModifiedBy>
  <dcterms:created xsi:type="dcterms:W3CDTF">2026-03-22T14:24:49Z</dcterms:created>
  <dcterms:modified xsi:type="dcterms:W3CDTF">2026-03-29T15:15:53Z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2026-03-22T15:13:24Z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e532a56b-97f8-484a-98d7-4e5d9ab0c435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