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40" yWindow="100" windowWidth="26640" windowHeight="17560"/>
  </bookViews>
  <sheets>
    <sheet name="Skull_badge" sheetId="1" r:id="rId1"/>
  </sheets>
  <definedNames>
    <definedName name="BoardQty">Skull_badge!$I$1</definedName>
    <definedName name="digikey_part_data">Skull_badge!$J$5:$O$61</definedName>
    <definedName name="global_part_data">Skull_badge!$A$5:$I$61</definedName>
    <definedName name="TotalCost">Skull_badge!$I$2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7" i="1" l="1" a="1"/>
  <c r="M117" i="1"/>
  <c r="L117" i="1" a="1"/>
  <c r="L117" i="1"/>
  <c r="K117" i="1" a="1"/>
  <c r="K117" i="1"/>
  <c r="M116" i="1" a="1"/>
  <c r="M116" i="1"/>
  <c r="L116" i="1" a="1"/>
  <c r="L116" i="1"/>
  <c r="K116" i="1" a="1"/>
  <c r="K116" i="1"/>
  <c r="M115" i="1" a="1"/>
  <c r="M115" i="1"/>
  <c r="L115" i="1" a="1"/>
  <c r="L115" i="1"/>
  <c r="K115" i="1" a="1"/>
  <c r="K115" i="1"/>
  <c r="M114" i="1" a="1"/>
  <c r="M114" i="1"/>
  <c r="L114" i="1" a="1"/>
  <c r="L114" i="1"/>
  <c r="K114" i="1" a="1"/>
  <c r="K114" i="1"/>
  <c r="M113" i="1" a="1"/>
  <c r="M113" i="1"/>
  <c r="L113" i="1" a="1"/>
  <c r="L113" i="1"/>
  <c r="K113" i="1" a="1"/>
  <c r="K113" i="1"/>
  <c r="M112" i="1" a="1"/>
  <c r="M112" i="1"/>
  <c r="L112" i="1" a="1"/>
  <c r="L112" i="1"/>
  <c r="K112" i="1" a="1"/>
  <c r="K112" i="1"/>
  <c r="M111" i="1" a="1"/>
  <c r="M111" i="1"/>
  <c r="L111" i="1" a="1"/>
  <c r="L111" i="1"/>
  <c r="K111" i="1" a="1"/>
  <c r="K111" i="1"/>
  <c r="M110" i="1" a="1"/>
  <c r="M110" i="1"/>
  <c r="L110" i="1" a="1"/>
  <c r="L110" i="1"/>
  <c r="K110" i="1" a="1"/>
  <c r="K110" i="1"/>
  <c r="M109" i="1" a="1"/>
  <c r="M109" i="1"/>
  <c r="L109" i="1" a="1"/>
  <c r="L109" i="1"/>
  <c r="K109" i="1" a="1"/>
  <c r="K109" i="1"/>
  <c r="M108" i="1" a="1"/>
  <c r="M108" i="1"/>
  <c r="L108" i="1" a="1"/>
  <c r="L108" i="1"/>
  <c r="K108" i="1" a="1"/>
  <c r="K108" i="1"/>
  <c r="M107" i="1" a="1"/>
  <c r="M107" i="1"/>
  <c r="L107" i="1" a="1"/>
  <c r="L107" i="1"/>
  <c r="K107" i="1" a="1"/>
  <c r="K107" i="1"/>
  <c r="M106" i="1" a="1"/>
  <c r="M106" i="1"/>
  <c r="L106" i="1" a="1"/>
  <c r="L106" i="1"/>
  <c r="K106" i="1" a="1"/>
  <c r="K106" i="1"/>
  <c r="M105" i="1" a="1"/>
  <c r="M105" i="1"/>
  <c r="L105" i="1" a="1"/>
  <c r="L105" i="1"/>
  <c r="K105" i="1" a="1"/>
  <c r="K105" i="1"/>
  <c r="M104" i="1" a="1"/>
  <c r="M104" i="1"/>
  <c r="L104" i="1" a="1"/>
  <c r="L104" i="1"/>
  <c r="K104" i="1" a="1"/>
  <c r="K104" i="1"/>
  <c r="M103" i="1" a="1"/>
  <c r="M103" i="1"/>
  <c r="L103" i="1" a="1"/>
  <c r="L103" i="1"/>
  <c r="K103" i="1" a="1"/>
  <c r="K103" i="1"/>
  <c r="M102" i="1" a="1"/>
  <c r="M102" i="1"/>
  <c r="L102" i="1" a="1"/>
  <c r="L102" i="1"/>
  <c r="K102" i="1" a="1"/>
  <c r="K102" i="1"/>
  <c r="M101" i="1" a="1"/>
  <c r="M101" i="1"/>
  <c r="L101" i="1" a="1"/>
  <c r="L101" i="1"/>
  <c r="K101" i="1" a="1"/>
  <c r="K101" i="1"/>
  <c r="M100" i="1" a="1"/>
  <c r="M100" i="1"/>
  <c r="L100" i="1" a="1"/>
  <c r="L100" i="1"/>
  <c r="K100" i="1" a="1"/>
  <c r="K100" i="1"/>
  <c r="M99" i="1" a="1"/>
  <c r="M99" i="1"/>
  <c r="L99" i="1" a="1"/>
  <c r="L99" i="1"/>
  <c r="K99" i="1" a="1"/>
  <c r="K99" i="1"/>
  <c r="M98" i="1" a="1"/>
  <c r="M98" i="1"/>
  <c r="L98" i="1" a="1"/>
  <c r="L98" i="1"/>
  <c r="K98" i="1" a="1"/>
  <c r="K98" i="1"/>
  <c r="M97" i="1" a="1"/>
  <c r="M97" i="1"/>
  <c r="L97" i="1" a="1"/>
  <c r="L97" i="1"/>
  <c r="K97" i="1" a="1"/>
  <c r="K97" i="1"/>
  <c r="M96" i="1" a="1"/>
  <c r="M96" i="1"/>
  <c r="L96" i="1" a="1"/>
  <c r="L96" i="1"/>
  <c r="K96" i="1" a="1"/>
  <c r="K96" i="1"/>
  <c r="M95" i="1" a="1"/>
  <c r="M95" i="1"/>
  <c r="L95" i="1" a="1"/>
  <c r="L95" i="1"/>
  <c r="K95" i="1" a="1"/>
  <c r="K95" i="1"/>
  <c r="M94" i="1" a="1"/>
  <c r="M94" i="1"/>
  <c r="L94" i="1" a="1"/>
  <c r="L94" i="1"/>
  <c r="K94" i="1" a="1"/>
  <c r="K94" i="1"/>
  <c r="M93" i="1" a="1"/>
  <c r="M93" i="1"/>
  <c r="L93" i="1" a="1"/>
  <c r="L93" i="1"/>
  <c r="K93" i="1" a="1"/>
  <c r="K93" i="1"/>
  <c r="M92" i="1" a="1"/>
  <c r="M92" i="1"/>
  <c r="L92" i="1" a="1"/>
  <c r="L92" i="1"/>
  <c r="K92" i="1" a="1"/>
  <c r="K92" i="1"/>
  <c r="M91" i="1" a="1"/>
  <c r="M91" i="1"/>
  <c r="L91" i="1" a="1"/>
  <c r="L91" i="1"/>
  <c r="K91" i="1" a="1"/>
  <c r="K91" i="1"/>
  <c r="M90" i="1" a="1"/>
  <c r="M90" i="1"/>
  <c r="L90" i="1" a="1"/>
  <c r="L90" i="1"/>
  <c r="K90" i="1" a="1"/>
  <c r="K90" i="1"/>
  <c r="M89" i="1" a="1"/>
  <c r="M89" i="1"/>
  <c r="L89" i="1" a="1"/>
  <c r="L89" i="1"/>
  <c r="K89" i="1" a="1"/>
  <c r="K89" i="1"/>
  <c r="M88" i="1" a="1"/>
  <c r="M88" i="1"/>
  <c r="L88" i="1" a="1"/>
  <c r="L88" i="1"/>
  <c r="K88" i="1" a="1"/>
  <c r="K88" i="1"/>
  <c r="M87" i="1" a="1"/>
  <c r="M87" i="1"/>
  <c r="L87" i="1" a="1"/>
  <c r="L87" i="1"/>
  <c r="K87" i="1" a="1"/>
  <c r="K87" i="1"/>
  <c r="M86" i="1" a="1"/>
  <c r="M86" i="1"/>
  <c r="L86" i="1" a="1"/>
  <c r="L86" i="1"/>
  <c r="K86" i="1" a="1"/>
  <c r="K86" i="1"/>
  <c r="M85" i="1" a="1"/>
  <c r="M85" i="1"/>
  <c r="L85" i="1" a="1"/>
  <c r="L85" i="1"/>
  <c r="K85" i="1" a="1"/>
  <c r="K85" i="1"/>
  <c r="M84" i="1" a="1"/>
  <c r="M84" i="1"/>
  <c r="L84" i="1" a="1"/>
  <c r="L84" i="1"/>
  <c r="K84" i="1" a="1"/>
  <c r="K84" i="1"/>
  <c r="M83" i="1" a="1"/>
  <c r="M83" i="1"/>
  <c r="L83" i="1" a="1"/>
  <c r="L83" i="1"/>
  <c r="K83" i="1" a="1"/>
  <c r="K83" i="1"/>
  <c r="M82" i="1" a="1"/>
  <c r="M82" i="1"/>
  <c r="L82" i="1" a="1"/>
  <c r="L82" i="1"/>
  <c r="K82" i="1" a="1"/>
  <c r="K82" i="1"/>
  <c r="M81" i="1" a="1"/>
  <c r="M81" i="1"/>
  <c r="L81" i="1" a="1"/>
  <c r="L81" i="1"/>
  <c r="K81" i="1" a="1"/>
  <c r="K81" i="1"/>
  <c r="M80" i="1" a="1"/>
  <c r="M80" i="1"/>
  <c r="L80" i="1" a="1"/>
  <c r="L80" i="1"/>
  <c r="K80" i="1" a="1"/>
  <c r="K80" i="1"/>
  <c r="M79" i="1" a="1"/>
  <c r="M79" i="1"/>
  <c r="L79" i="1" a="1"/>
  <c r="L79" i="1"/>
  <c r="K79" i="1" a="1"/>
  <c r="K79" i="1"/>
  <c r="M78" i="1" a="1"/>
  <c r="M78" i="1"/>
  <c r="L78" i="1" a="1"/>
  <c r="L78" i="1"/>
  <c r="K78" i="1" a="1"/>
  <c r="K78" i="1"/>
  <c r="M77" i="1" a="1"/>
  <c r="M77" i="1"/>
  <c r="L77" i="1" a="1"/>
  <c r="L77" i="1"/>
  <c r="K77" i="1" a="1"/>
  <c r="K77" i="1"/>
  <c r="M76" i="1" a="1"/>
  <c r="M76" i="1"/>
  <c r="L76" i="1" a="1"/>
  <c r="L76" i="1"/>
  <c r="K76" i="1" a="1"/>
  <c r="K76" i="1"/>
  <c r="M75" i="1" a="1"/>
  <c r="M75" i="1"/>
  <c r="L75" i="1" a="1"/>
  <c r="L75" i="1"/>
  <c r="K75" i="1" a="1"/>
  <c r="K75" i="1"/>
  <c r="M74" i="1" a="1"/>
  <c r="M74" i="1"/>
  <c r="L74" i="1" a="1"/>
  <c r="L74" i="1"/>
  <c r="K74" i="1" a="1"/>
  <c r="K74" i="1"/>
  <c r="M73" i="1" a="1"/>
  <c r="M73" i="1"/>
  <c r="L73" i="1" a="1"/>
  <c r="L73" i="1"/>
  <c r="K73" i="1" a="1"/>
  <c r="K73" i="1"/>
  <c r="M72" i="1" a="1"/>
  <c r="M72" i="1"/>
  <c r="L72" i="1" a="1"/>
  <c r="L72" i="1"/>
  <c r="K72" i="1" a="1"/>
  <c r="K72" i="1"/>
  <c r="M71" i="1" a="1"/>
  <c r="M71" i="1"/>
  <c r="L71" i="1" a="1"/>
  <c r="L71" i="1"/>
  <c r="K71" i="1" a="1"/>
  <c r="K71" i="1"/>
  <c r="M70" i="1" a="1"/>
  <c r="M70" i="1"/>
  <c r="L70" i="1" a="1"/>
  <c r="L70" i="1"/>
  <c r="K70" i="1" a="1"/>
  <c r="K70" i="1"/>
  <c r="M69" i="1" a="1"/>
  <c r="M69" i="1"/>
  <c r="L69" i="1" a="1"/>
  <c r="L69" i="1"/>
  <c r="K69" i="1" a="1"/>
  <c r="K69" i="1"/>
  <c r="M68" i="1" a="1"/>
  <c r="M68" i="1"/>
  <c r="L68" i="1" a="1"/>
  <c r="L68" i="1"/>
  <c r="K68" i="1" a="1"/>
  <c r="K68" i="1"/>
  <c r="M67" i="1" a="1"/>
  <c r="M67" i="1"/>
  <c r="L67" i="1" a="1"/>
  <c r="L67" i="1"/>
  <c r="K67" i="1" a="1"/>
  <c r="K67" i="1"/>
  <c r="M66" i="1" a="1"/>
  <c r="M66" i="1"/>
  <c r="L66" i="1" a="1"/>
  <c r="L66" i="1"/>
  <c r="K66" i="1" a="1"/>
  <c r="K66" i="1"/>
  <c r="M65" i="1" a="1"/>
  <c r="M65" i="1"/>
  <c r="L65" i="1" a="1"/>
  <c r="L65" i="1"/>
  <c r="K65" i="1" a="1"/>
  <c r="K65" i="1"/>
  <c r="M64" i="1" a="1"/>
  <c r="M64" i="1"/>
  <c r="L64" i="1" a="1"/>
  <c r="L64" i="1"/>
  <c r="K64" i="1" a="1"/>
  <c r="K64" i="1"/>
  <c r="M63" i="1" a="1"/>
  <c r="M63" i="1"/>
  <c r="L63" i="1" a="1"/>
  <c r="L63" i="1"/>
  <c r="K63" i="1" a="1"/>
  <c r="K63" i="1"/>
  <c r="G61" i="1"/>
  <c r="H61" i="1"/>
  <c r="I61" i="1"/>
  <c r="G60" i="1"/>
  <c r="H60" i="1"/>
  <c r="I60" i="1"/>
  <c r="G59" i="1"/>
  <c r="H59" i="1"/>
  <c r="I59" i="1"/>
  <c r="G58" i="1"/>
  <c r="H58" i="1"/>
  <c r="I58" i="1"/>
  <c r="G57" i="1"/>
  <c r="H57" i="1"/>
  <c r="I57" i="1"/>
  <c r="G56" i="1"/>
  <c r="H56" i="1"/>
  <c r="I56" i="1"/>
  <c r="G55" i="1"/>
  <c r="H55" i="1"/>
  <c r="I55" i="1"/>
  <c r="G54" i="1"/>
  <c r="H54" i="1"/>
  <c r="I54" i="1"/>
  <c r="G53" i="1"/>
  <c r="H53" i="1"/>
  <c r="I53" i="1"/>
  <c r="G52" i="1"/>
  <c r="L52" i="1"/>
  <c r="M52" i="1"/>
  <c r="H52" i="1"/>
  <c r="I52" i="1"/>
  <c r="G51" i="1"/>
  <c r="H51" i="1"/>
  <c r="I51" i="1"/>
  <c r="G50" i="1"/>
  <c r="H50" i="1"/>
  <c r="I50" i="1"/>
  <c r="G49" i="1"/>
  <c r="H49" i="1"/>
  <c r="I49" i="1"/>
  <c r="G48" i="1"/>
  <c r="H48" i="1"/>
  <c r="I48" i="1"/>
  <c r="G47" i="1"/>
  <c r="H47" i="1"/>
  <c r="I47" i="1"/>
  <c r="G46" i="1"/>
  <c r="H46" i="1"/>
  <c r="I46" i="1"/>
  <c r="G45" i="1"/>
  <c r="H45" i="1"/>
  <c r="I45" i="1"/>
  <c r="G44" i="1"/>
  <c r="H44" i="1"/>
  <c r="I44" i="1"/>
  <c r="G43" i="1"/>
  <c r="H43" i="1"/>
  <c r="I43" i="1"/>
  <c r="G42" i="1"/>
  <c r="H42" i="1"/>
  <c r="I42" i="1"/>
  <c r="G41" i="1"/>
  <c r="H41" i="1"/>
  <c r="I41" i="1"/>
  <c r="G40" i="1"/>
  <c r="H40" i="1"/>
  <c r="I40" i="1"/>
  <c r="G39" i="1"/>
  <c r="H39" i="1"/>
  <c r="I39" i="1"/>
  <c r="G38" i="1"/>
  <c r="H38" i="1"/>
  <c r="I38" i="1"/>
  <c r="G37" i="1"/>
  <c r="H37" i="1"/>
  <c r="I37" i="1"/>
  <c r="G36" i="1"/>
  <c r="L36" i="1"/>
  <c r="M36" i="1"/>
  <c r="H36" i="1"/>
  <c r="I36" i="1"/>
  <c r="G35" i="1"/>
  <c r="H35" i="1"/>
  <c r="I35" i="1"/>
  <c r="G34" i="1"/>
  <c r="H34" i="1"/>
  <c r="I34" i="1"/>
  <c r="G33" i="1"/>
  <c r="H33" i="1"/>
  <c r="I33" i="1"/>
  <c r="G32" i="1"/>
  <c r="H32" i="1"/>
  <c r="I32" i="1"/>
  <c r="G31" i="1"/>
  <c r="H31" i="1"/>
  <c r="I31" i="1"/>
  <c r="G30" i="1"/>
  <c r="L30" i="1"/>
  <c r="M30" i="1"/>
  <c r="H30" i="1"/>
  <c r="I30" i="1"/>
  <c r="G29" i="1"/>
  <c r="H29" i="1"/>
  <c r="I29" i="1"/>
  <c r="G28" i="1"/>
  <c r="H28" i="1"/>
  <c r="I28" i="1"/>
  <c r="G27" i="1"/>
  <c r="L27" i="1"/>
  <c r="M27" i="1"/>
  <c r="H27" i="1"/>
  <c r="I27" i="1"/>
  <c r="G26" i="1"/>
  <c r="L26" i="1"/>
  <c r="M26" i="1"/>
  <c r="H26" i="1"/>
  <c r="I26" i="1"/>
  <c r="G25" i="1"/>
  <c r="H25" i="1"/>
  <c r="I25" i="1"/>
  <c r="G24" i="1"/>
  <c r="L24" i="1"/>
  <c r="M24" i="1"/>
  <c r="H24" i="1"/>
  <c r="I24" i="1"/>
  <c r="G23" i="1"/>
  <c r="L23" i="1"/>
  <c r="M23" i="1"/>
  <c r="H23" i="1"/>
  <c r="I23" i="1"/>
  <c r="G22" i="1"/>
  <c r="H22" i="1"/>
  <c r="I22" i="1"/>
  <c r="G21" i="1"/>
  <c r="H21" i="1"/>
  <c r="I21" i="1"/>
  <c r="G20" i="1"/>
  <c r="H20" i="1"/>
  <c r="I20" i="1"/>
  <c r="G19" i="1"/>
  <c r="L19" i="1"/>
  <c r="M19" i="1"/>
  <c r="H19" i="1"/>
  <c r="I19" i="1"/>
  <c r="G18" i="1"/>
  <c r="H18" i="1"/>
  <c r="I18" i="1"/>
  <c r="G17" i="1"/>
  <c r="H17" i="1"/>
  <c r="I17" i="1"/>
  <c r="G16" i="1"/>
  <c r="L16" i="1"/>
  <c r="M16" i="1"/>
  <c r="H16" i="1"/>
  <c r="I16" i="1"/>
  <c r="G15" i="1"/>
  <c r="H15" i="1"/>
  <c r="I15" i="1"/>
  <c r="G14" i="1"/>
  <c r="H14" i="1"/>
  <c r="I14" i="1"/>
  <c r="G13" i="1"/>
  <c r="L13" i="1"/>
  <c r="M13" i="1"/>
  <c r="H13" i="1"/>
  <c r="I13" i="1"/>
  <c r="G12" i="1"/>
  <c r="H12" i="1"/>
  <c r="I12" i="1"/>
  <c r="G11" i="1"/>
  <c r="L11" i="1"/>
  <c r="M11" i="1"/>
  <c r="H11" i="1"/>
  <c r="I11" i="1"/>
  <c r="G10" i="1"/>
  <c r="H10" i="1"/>
  <c r="I10" i="1"/>
  <c r="G9" i="1"/>
  <c r="H9" i="1"/>
  <c r="I9" i="1"/>
  <c r="G8" i="1"/>
  <c r="H8" i="1"/>
  <c r="I8" i="1"/>
  <c r="G7" i="1"/>
  <c r="L7" i="1"/>
  <c r="M7" i="1"/>
  <c r="H7" i="1"/>
  <c r="I7" i="1"/>
  <c r="I2" i="1"/>
  <c r="I3" i="1"/>
  <c r="M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<sst xmlns="http://schemas.openxmlformats.org/spreadsheetml/2006/main" count="243" uniqueCount="174">
  <si>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</si>
  <si>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</si>
  <si>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</si>
  <si>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</si>
  <si>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</si>
  <si>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</si>
  <si>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</si>
  <si>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</si>
  <si>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</si>
  <si>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</si>
  <si>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D4</t>
  </si>
  <si>
    <t>150080YS75000</t>
  </si>
  <si>
    <t>Skull_badge:LED_0805</t>
  </si>
  <si>
    <t>L</t>
  </si>
  <si>
    <t>J5</t>
  </si>
  <si>
    <t>Skull_badge:Wire_Pads_1x2_4x3mm_Extended</t>
  </si>
  <si>
    <t>BtmR</t>
  </si>
  <si>
    <t>U9-U24</t>
  </si>
  <si>
    <t>1655</t>
  </si>
  <si>
    <t>Skull_badge:LED_WS2812B-PLCC4</t>
  </si>
  <si>
    <t>WS2812B</t>
  </si>
  <si>
    <t>R1,R2</t>
  </si>
  <si>
    <t>Skull_badge:R_0805</t>
  </si>
  <si>
    <t>22</t>
  </si>
  <si>
    <t>R21</t>
  </si>
  <si>
    <t>RC0805JR-07300RL</t>
  </si>
  <si>
    <t>300</t>
  </si>
  <si>
    <t>J4</t>
  </si>
  <si>
    <t>BtmL</t>
  </si>
  <si>
    <t>U1</t>
  </si>
  <si>
    <t>ATMEGA32U4-AUR</t>
  </si>
  <si>
    <t>Skull_badge:TQFP-44_10x10mm_Pitch0.8mm</t>
  </si>
  <si>
    <t>ATMEGA32U4-AU</t>
  </si>
  <si>
    <t>C2,C3</t>
  </si>
  <si>
    <t>Skull_badge:C_0805</t>
  </si>
  <si>
    <t>22pF</t>
  </si>
  <si>
    <t>J8</t>
  </si>
  <si>
    <t>Pin_Headers:Pin_Header_Straight_1x03_Pitch2.54mm</t>
  </si>
  <si>
    <t>SPI</t>
  </si>
  <si>
    <t>SW1</t>
  </si>
  <si>
    <t>MJTP1106STR</t>
  </si>
  <si>
    <t>Skull_badge:smd_push</t>
  </si>
  <si>
    <t>RESET</t>
  </si>
  <si>
    <t>J2</t>
  </si>
  <si>
    <t>Skull_badge:JST_PH_S2B-PH-K_02x2.00mm_Angled</t>
  </si>
  <si>
    <t>LiPo</t>
  </si>
  <si>
    <t>R7-R9,R12-R19</t>
  </si>
  <si>
    <t>1K</t>
  </si>
  <si>
    <t>SW3</t>
  </si>
  <si>
    <t>MHSS1105</t>
  </si>
  <si>
    <t>Skull_badge:switch_MHSS1105</t>
  </si>
  <si>
    <t>FLT CTRL SW</t>
  </si>
  <si>
    <t>U6</t>
  </si>
  <si>
    <t>Skull_badge:lime_pepper</t>
  </si>
  <si>
    <t>Lime_pepper</t>
  </si>
  <si>
    <t>LS1</t>
  </si>
  <si>
    <t>KLJ-1325</t>
  </si>
  <si>
    <t>Skull_badge:piezo_KJL_1325</t>
  </si>
  <si>
    <t>Speaker_Crystal</t>
  </si>
  <si>
    <t>C4,C6</t>
  </si>
  <si>
    <t>100nF</t>
  </si>
  <si>
    <t>D1</t>
  </si>
  <si>
    <t>RX</t>
  </si>
  <si>
    <t>L2</t>
  </si>
  <si>
    <t>VLF4012AT-2R2M1R5</t>
  </si>
  <si>
    <t>Skull_badge:VLF4012A</t>
  </si>
  <si>
    <t>2.2uH</t>
  </si>
  <si>
    <t>R3,R6</t>
  </si>
  <si>
    <t>10K</t>
  </si>
  <si>
    <t>J1</t>
  </si>
  <si>
    <t>10103594-0001LF</t>
  </si>
  <si>
    <t>Skull_badge:USB_Micro-B_10103594-0001LF</t>
  </si>
  <si>
    <t>USB_OTG</t>
  </si>
  <si>
    <t>F1</t>
  </si>
  <si>
    <t>2920L500/16MR</t>
  </si>
  <si>
    <t>Skull_badge:Fuse_SMD2920</t>
  </si>
  <si>
    <t>Fuse</t>
  </si>
  <si>
    <t>X1</t>
  </si>
  <si>
    <t>Skull_badge:Badgelife-Shitty-2x2</t>
  </si>
  <si>
    <t>Badgelife_shitty_connector</t>
  </si>
  <si>
    <t>C5,C8-C11</t>
  </si>
  <si>
    <t>1uF</t>
  </si>
  <si>
    <t>L1</t>
  </si>
  <si>
    <t>BLM21AG601SN1D</t>
  </si>
  <si>
    <t>Inductors_SMD:L_0805</t>
  </si>
  <si>
    <t>R4,R10,R20</t>
  </si>
  <si>
    <t>1M</t>
  </si>
  <si>
    <t>C28</t>
  </si>
  <si>
    <t>885012207052</t>
  </si>
  <si>
    <t>0.1uF</t>
  </si>
  <si>
    <t>C14,C21</t>
  </si>
  <si>
    <t>885012207053</t>
  </si>
  <si>
    <t>C20</t>
  </si>
  <si>
    <t>885012207050</t>
  </si>
  <si>
    <t>C24</t>
  </si>
  <si>
    <t>885012207051</t>
  </si>
  <si>
    <t>C18</t>
  </si>
  <si>
    <t>885012207056</t>
  </si>
  <si>
    <t>C22</t>
  </si>
  <si>
    <t>885012207057</t>
  </si>
  <si>
    <t>C25</t>
  </si>
  <si>
    <t>885012207054</t>
  </si>
  <si>
    <t>C29</t>
  </si>
  <si>
    <t>885012207055</t>
  </si>
  <si>
    <t>C26</t>
  </si>
  <si>
    <t>885012207058</t>
  </si>
  <si>
    <t>C30</t>
  </si>
  <si>
    <t>885012207059</t>
  </si>
  <si>
    <t>C15</t>
  </si>
  <si>
    <t>885012207060</t>
  </si>
  <si>
    <t>C16</t>
  </si>
  <si>
    <t>885012207049</t>
  </si>
  <si>
    <t>C27</t>
  </si>
  <si>
    <t>885012207048</t>
  </si>
  <si>
    <t>C17</t>
  </si>
  <si>
    <t>885012207045</t>
  </si>
  <si>
    <t>C23</t>
  </si>
  <si>
    <t>885012207047</t>
  </si>
  <si>
    <t>C19</t>
  </si>
  <si>
    <t>885012207046</t>
  </si>
  <si>
    <t>D3</t>
  </si>
  <si>
    <t>PWR</t>
  </si>
  <si>
    <t>U5</t>
  </si>
  <si>
    <t>Skull_badge:Skull18_150x150</t>
  </si>
  <si>
    <t>LOGO</t>
  </si>
  <si>
    <t>J6</t>
  </si>
  <si>
    <t>TopL</t>
  </si>
  <si>
    <t>C1,C7,C12,C13</t>
  </si>
  <si>
    <t>10uF</t>
  </si>
  <si>
    <t>SW2</t>
  </si>
  <si>
    <t>ARD_SW</t>
  </si>
  <si>
    <t>R5</t>
  </si>
  <si>
    <t>100</t>
  </si>
  <si>
    <t>Y1</t>
  </si>
  <si>
    <t>ABLS-16.000MHZ-B4-T</t>
  </si>
  <si>
    <t>Skull_badge:Q_49U3HMS</t>
  </si>
  <si>
    <t>16MHz</t>
  </si>
  <si>
    <t>J3</t>
  </si>
  <si>
    <t>TopR</t>
  </si>
  <si>
    <t>U2</t>
  </si>
  <si>
    <t>TPS63002DRCT</t>
  </si>
  <si>
    <t>Housings_SON:VSON-10-1EP_3x3mm_Pitch0.5mm_ThermalPad</t>
  </si>
  <si>
    <t>TPS63001</t>
  </si>
  <si>
    <t>J7</t>
  </si>
  <si>
    <t>Skull_badge:Socket_Strip_Straight_2x05_Pitch2.54mm</t>
  </si>
  <si>
    <t>Flight Controller Board</t>
  </si>
  <si>
    <t>XA1</t>
  </si>
  <si>
    <t>Skull_badge:UNO_headersICSP</t>
  </si>
  <si>
    <t>Arduino_Uno_Shield</t>
  </si>
  <si>
    <t>R11</t>
  </si>
  <si>
    <t>2M</t>
  </si>
  <si>
    <t>SW4-SW9</t>
  </si>
  <si>
    <t>SW_Push</t>
  </si>
  <si>
    <t>D2</t>
  </si>
  <si>
    <t>TX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</si>
  <si>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</si>
  <si>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</si>
  <si>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</si>
  <si>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</si>
  <si>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</si>
  <si>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</si>
  <si>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</si>
  <si>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</si>
  <si>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</si>
  <si>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732-4987-1-ND</t>
  </si>
  <si>
    <t>311-300ARCT-ND</t>
  </si>
  <si>
    <t>ATMEGA32U4-AURCT-ND</t>
  </si>
  <si>
    <t>679-2395-1-ND</t>
  </si>
  <si>
    <t>679-1849-ND</t>
  </si>
  <si>
    <t>445-3233-1-ND</t>
  </si>
  <si>
    <t>609-4050-1-ND</t>
  </si>
  <si>
    <t>F6136CT-ND</t>
  </si>
  <si>
    <t>490-1040-1-ND</t>
  </si>
  <si>
    <t>732-8048-1-ND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</si>
</sst>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24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wurth-electronics-inc/885012207056/732-8048-1-ND/5454675" TargetMode="External"/><Relationship Id="rId12" Type="http://schemas.openxmlformats.org/officeDocument/2006/relationships/hyperlink" Target="http://www.digikey.com/product-detail/en/apem-inc/MHSS1105/679-1849-ND/1949465" TargetMode="External"/><Relationship Id="rId13" Type="http://schemas.openxmlformats.org/officeDocument/2006/relationships/vmlDrawing" Target="../drawings/vmlDrawing1.vml"/><Relationship Id="rId14" Type="http://schemas.openxmlformats.org/officeDocument/2006/relationships/comments" Target="../comments1.xml"/><Relationship Id="rId1" Type="http://schemas.openxmlformats.org/officeDocument/2006/relationships/hyperlink" Target="http://www.digikey.com/product-detail/en/wurth-electronics-inc/150080YS75000/732-4987-1-ND/4489925" TargetMode="External"/><Relationship Id="rId2" Type="http://schemas.openxmlformats.org/officeDocument/2006/relationships/hyperlink" Target="http://www.digikey.com/product-detail/en/yageo/RC0805JR-07300RL/311-300ARCT-ND/731254" TargetMode="External"/><Relationship Id="rId3" Type="http://schemas.openxmlformats.org/officeDocument/2006/relationships/hyperlink" Target="http://www.digikey.com/product-detail/en/microchip-technology/ATMEGA32U4-AUR/ATMEGA32U4-AURCT-ND/3440960" TargetMode="External"/><Relationship Id="rId4" Type="http://schemas.openxmlformats.org/officeDocument/2006/relationships/hyperlink" Target="http://www.digikey.com/product-detail/en/apem-inc/MJTP1106STR/679-2395-1-ND/2344159" TargetMode="External"/><Relationship Id="rId5" Type="http://schemas.openxmlformats.org/officeDocument/2006/relationships/hyperlink" Target="http://www.digikey.com/product-detail/en/apem-inc/MHSS1105/679-1849-ND/1949465" TargetMode="External"/><Relationship Id="rId6" Type="http://schemas.openxmlformats.org/officeDocument/2006/relationships/hyperlink" Target="http://www.digikey.com/product-detail/en/wurth-electronics-inc/150080YS75000/732-4987-1-ND/4489925" TargetMode="External"/><Relationship Id="rId7" Type="http://schemas.openxmlformats.org/officeDocument/2006/relationships/hyperlink" Target="http://www.digikey.com/product-detail/en/tdk-corporation/VLF4012AT-2R2M1R5/445-3233-1-ND/1132874" TargetMode="External"/><Relationship Id="rId8" Type="http://schemas.openxmlformats.org/officeDocument/2006/relationships/hyperlink" Target="http://www.digikey.com/product-detail/en/amphenol-fci/10103594-0001LF/609-4050-1-ND/2350357" TargetMode="External"/><Relationship Id="rId9" Type="http://schemas.openxmlformats.org/officeDocument/2006/relationships/hyperlink" Target="http://www.digikey.com/product-detail/en/littelfuse-inc/2920L500-16MR/F6136CT-ND/4147146" TargetMode="External"/><Relationship Id="rId10" Type="http://schemas.openxmlformats.org/officeDocument/2006/relationships/hyperlink" Target="http://www.digikey.com/product-detail/en/murata-electronics-north-america/BLM21AG601SN1D/490-1040-1-ND/584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F31" sqref="F31"/>
    </sheetView>
  </sheetViews>
  <sheetFormatPr baseColWidth="10" defaultColWidth="8.83203125" defaultRowHeight="14" outlineLevelCol="2" x14ac:dyDescent="0"/>
  <cols>
    <col min="6" max="6" width="18.1640625" bestFit="1" customWidth="1"/>
    <col min="9" max="9" width="15.6640625" customWidth="1"/>
    <col min="10" max="10" width="8.83203125" outlineLevel="1"/>
    <col min="11" max="12" width="8.83203125" outlineLevel="2"/>
    <col min="13" max="13" width="15.6640625" customWidth="1"/>
    <col min="14" max="14" width="20.5" bestFit="1" customWidth="1" outlineLevel="2"/>
    <col min="15" max="15" width="8.83203125" outlineLevel="2"/>
  </cols>
  <sheetData>
    <row r="1" spans="1:15" ht="16">
      <c r="H1" s="1" t="s">
        <v>155</v>
      </c>
      <c r="I1" s="1">
        <v>100</v>
      </c>
    </row>
    <row r="2" spans="1:15" ht="16">
      <c r="H2" s="2" t="s">
        <v>156</v>
      </c>
      <c r="I2" s="3">
        <f ca="1">SUM(I7:I61)</f>
        <v>748.15999999999985</v>
      </c>
      <c r="M2" s="3">
        <f>SUM(M7:M61)</f>
        <v>748.15999999999985</v>
      </c>
    </row>
    <row r="3" spans="1:15" ht="16">
      <c r="H3" s="2" t="s">
        <v>157</v>
      </c>
      <c r="I3" s="4">
        <f ca="1">TotalCost/BoardQty</f>
        <v>7.4815999999999985</v>
      </c>
    </row>
    <row r="5" spans="1:15" ht="18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158</v>
      </c>
      <c r="K5" s="9"/>
      <c r="L5" s="9"/>
      <c r="M5" s="9"/>
      <c r="N5" s="9"/>
      <c r="O5" s="9"/>
    </row>
    <row r="6" spans="1:15" ht="30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160</v>
      </c>
      <c r="K6" s="5" t="s">
        <v>161</v>
      </c>
      <c r="L6" s="5" t="s">
        <v>3</v>
      </c>
      <c r="M6" s="5" t="s">
        <v>2</v>
      </c>
      <c r="N6" s="5" t="s">
        <v>162</v>
      </c>
      <c r="O6" s="5" t="s">
        <v>159</v>
      </c>
    </row>
    <row r="7" spans="1:15">
      <c r="A7" t="s">
        <v>10</v>
      </c>
      <c r="B7" t="s">
        <v>13</v>
      </c>
      <c r="D7" t="s">
        <v>12</v>
      </c>
      <c r="F7" t="s">
        <v>11</v>
      </c>
      <c r="G7">
        <f>BoardQty*1</f>
        <v>100</v>
      </c>
      <c r="H7" s="6">
        <f t="shared" ref="H7:H38" ca="1" si="0">MINA(INDIRECT(ADDRESS(ROW(),COLUMN(digikey_part_data)+2)))</f>
        <v>0.13700000000000001</v>
      </c>
      <c r="I7" s="6">
        <f t="shared" ref="I7:I38" ca="1" si="1">IFERROR(G7*H7,"")</f>
        <v>13.700000000000001</v>
      </c>
      <c r="J7">
        <v>11297</v>
      </c>
      <c r="L7" s="6">
        <f>IFERROR(LOOKUP(IF(K7="",G7,K7),{0,1,50,100,500,4000},{0,0.17,0.16,0.137,0.118,0.118}),"")</f>
        <v>0.13700000000000001</v>
      </c>
      <c r="M7" s="6">
        <f>IFERROR(IF(K7="",G7,K7)*L7,"")</f>
        <v>13.700000000000001</v>
      </c>
      <c r="N7" t="s">
        <v>164</v>
      </c>
      <c r="O7" s="7" t="s">
        <v>163</v>
      </c>
    </row>
    <row r="8" spans="1:15">
      <c r="A8" t="s">
        <v>14</v>
      </c>
      <c r="B8" t="s">
        <v>16</v>
      </c>
      <c r="D8" t="s">
        <v>15</v>
      </c>
      <c r="G8">
        <f>BoardQty*1</f>
        <v>100</v>
      </c>
      <c r="H8" s="6">
        <f t="shared" ca="1" si="0"/>
        <v>0</v>
      </c>
      <c r="I8" s="6">
        <f t="shared" ca="1" si="1"/>
        <v>0</v>
      </c>
    </row>
    <row r="9" spans="1:15">
      <c r="A9" t="s">
        <v>17</v>
      </c>
      <c r="B9" t="s">
        <v>20</v>
      </c>
      <c r="D9" t="s">
        <v>19</v>
      </c>
      <c r="F9" t="s">
        <v>18</v>
      </c>
      <c r="G9">
        <f>BoardQty*16</f>
        <v>1600</v>
      </c>
      <c r="H9" s="6">
        <f t="shared" ca="1" si="0"/>
        <v>0</v>
      </c>
      <c r="I9" s="6">
        <f t="shared" ca="1" si="1"/>
        <v>0</v>
      </c>
    </row>
    <row r="10" spans="1:15">
      <c r="A10" t="s">
        <v>21</v>
      </c>
      <c r="B10" t="s">
        <v>23</v>
      </c>
      <c r="D10" t="s">
        <v>22</v>
      </c>
      <c r="G10">
        <f>BoardQty*2</f>
        <v>200</v>
      </c>
      <c r="H10" s="6">
        <f t="shared" ca="1" si="0"/>
        <v>0</v>
      </c>
      <c r="I10" s="6">
        <f t="shared" ca="1" si="1"/>
        <v>0</v>
      </c>
    </row>
    <row r="11" spans="1:15">
      <c r="A11" t="s">
        <v>24</v>
      </c>
      <c r="B11" t="s">
        <v>26</v>
      </c>
      <c r="D11" t="s">
        <v>22</v>
      </c>
      <c r="F11" t="s">
        <v>25</v>
      </c>
      <c r="G11">
        <f>BoardQty*1</f>
        <v>100</v>
      </c>
      <c r="H11" s="6">
        <f t="shared" ca="1" si="0"/>
        <v>7.6E-3</v>
      </c>
      <c r="I11" s="6">
        <f t="shared" ca="1" si="1"/>
        <v>0.76</v>
      </c>
      <c r="J11">
        <v>95913</v>
      </c>
      <c r="L11" s="6">
        <f>IFERROR(LOOKUP(IF(K11="",G11,K11),{0,1,10,100,1000,2500,5000,10000,25000,50000,125000},{0,0.1,0.019,0.0076,0.00341,0.00296,0.00245,0.00213,0.00187,0.00171,0.00168}),"")</f>
        <v>7.6E-3</v>
      </c>
      <c r="M11" s="6">
        <f>IFERROR(IF(K11="",G11,K11)*L11,"")</f>
        <v>0.76</v>
      </c>
      <c r="N11" t="s">
        <v>165</v>
      </c>
      <c r="O11" s="7" t="s">
        <v>163</v>
      </c>
    </row>
    <row r="12" spans="1:15">
      <c r="A12" t="s">
        <v>27</v>
      </c>
      <c r="B12" t="s">
        <v>28</v>
      </c>
      <c r="D12" t="s">
        <v>15</v>
      </c>
      <c r="G12">
        <f>BoardQty*1</f>
        <v>100</v>
      </c>
      <c r="H12" s="6">
        <f t="shared" ca="1" si="0"/>
        <v>0</v>
      </c>
      <c r="I12" s="6">
        <f t="shared" ca="1" si="1"/>
        <v>0</v>
      </c>
    </row>
    <row r="13" spans="1:15">
      <c r="A13" t="s">
        <v>29</v>
      </c>
      <c r="B13" t="s">
        <v>32</v>
      </c>
      <c r="D13" t="s">
        <v>31</v>
      </c>
      <c r="F13" t="s">
        <v>30</v>
      </c>
      <c r="G13">
        <f>BoardQty*1</f>
        <v>100</v>
      </c>
      <c r="H13" s="6">
        <f t="shared" ca="1" si="0"/>
        <v>3.4916999999999998</v>
      </c>
      <c r="I13" s="6">
        <f t="shared" ca="1" si="1"/>
        <v>349.16999999999996</v>
      </c>
      <c r="J13">
        <v>13471</v>
      </c>
      <c r="L13" s="6">
        <f>IFERROR(LOOKUP(IF(K13="",G13,K13),{0,1,25,100,1500},{0,4.2,3.8524,3.4917,3.49171}),"")</f>
        <v>3.4916999999999998</v>
      </c>
      <c r="M13" s="6">
        <f>IFERROR(IF(K13="",G13,K13)*L13,"")</f>
        <v>349.16999999999996</v>
      </c>
      <c r="N13" t="s">
        <v>166</v>
      </c>
      <c r="O13" s="7" t="s">
        <v>163</v>
      </c>
    </row>
    <row r="14" spans="1:15">
      <c r="A14" t="s">
        <v>33</v>
      </c>
      <c r="B14" t="s">
        <v>35</v>
      </c>
      <c r="D14" t="s">
        <v>34</v>
      </c>
      <c r="G14">
        <f>BoardQty*2</f>
        <v>200</v>
      </c>
      <c r="H14" s="6">
        <f t="shared" ca="1" si="0"/>
        <v>0</v>
      </c>
      <c r="I14" s="6">
        <f t="shared" ca="1" si="1"/>
        <v>0</v>
      </c>
    </row>
    <row r="15" spans="1:15">
      <c r="A15" t="s">
        <v>36</v>
      </c>
      <c r="B15" t="s">
        <v>38</v>
      </c>
      <c r="D15" t="s">
        <v>37</v>
      </c>
      <c r="G15">
        <f>BoardQty*1</f>
        <v>100</v>
      </c>
      <c r="H15" s="6">
        <f t="shared" ca="1" si="0"/>
        <v>0</v>
      </c>
      <c r="I15" s="6">
        <f t="shared" ca="1" si="1"/>
        <v>0</v>
      </c>
    </row>
    <row r="16" spans="1:15">
      <c r="A16" t="s">
        <v>39</v>
      </c>
      <c r="B16" t="s">
        <v>42</v>
      </c>
      <c r="D16" t="s">
        <v>41</v>
      </c>
      <c r="F16" t="s">
        <v>40</v>
      </c>
      <c r="G16">
        <f>BoardQty*1</f>
        <v>100</v>
      </c>
      <c r="H16" s="6">
        <f t="shared" ca="1" si="0"/>
        <v>0.51060000000000005</v>
      </c>
      <c r="I16" s="6">
        <f t="shared" ca="1" si="1"/>
        <v>51.06</v>
      </c>
      <c r="J16">
        <v>10429</v>
      </c>
      <c r="L16" s="6">
        <f>IFERROR(LOOKUP(IF(K16="",G16,K16),{0,1,10,25,50,1800,2000,5400,45000},{0,0.56,0.541,0.5304,0.5106,0.273,0.1819,0.2548,0.2184}),"")</f>
        <v>0.51060000000000005</v>
      </c>
      <c r="M16" s="6">
        <f>IFERROR(IF(K16="",G16,K16)*L16,"")</f>
        <v>51.06</v>
      </c>
      <c r="N16" t="s">
        <v>167</v>
      </c>
      <c r="O16" s="7" t="s">
        <v>163</v>
      </c>
    </row>
    <row r="17" spans="1:15">
      <c r="A17" t="s">
        <v>43</v>
      </c>
      <c r="B17" t="s">
        <v>45</v>
      </c>
      <c r="D17" t="s">
        <v>44</v>
      </c>
      <c r="G17">
        <f>BoardQty*1</f>
        <v>100</v>
      </c>
      <c r="H17" s="6">
        <f t="shared" ca="1" si="0"/>
        <v>0</v>
      </c>
      <c r="I17" s="6">
        <f t="shared" ca="1" si="1"/>
        <v>0</v>
      </c>
    </row>
    <row r="18" spans="1:15">
      <c r="A18" t="s">
        <v>46</v>
      </c>
      <c r="B18" t="s">
        <v>47</v>
      </c>
      <c r="D18" t="s">
        <v>22</v>
      </c>
      <c r="G18">
        <f>BoardQty*11</f>
        <v>1100</v>
      </c>
      <c r="H18" s="6">
        <f t="shared" ca="1" si="0"/>
        <v>0</v>
      </c>
      <c r="I18" s="6">
        <f t="shared" ca="1" si="1"/>
        <v>0</v>
      </c>
    </row>
    <row r="19" spans="1:15">
      <c r="A19" t="s">
        <v>48</v>
      </c>
      <c r="B19" t="s">
        <v>51</v>
      </c>
      <c r="D19" t="s">
        <v>50</v>
      </c>
      <c r="F19" t="s">
        <v>49</v>
      </c>
      <c r="G19">
        <f>BoardQty*1</f>
        <v>100</v>
      </c>
      <c r="H19" s="6">
        <f t="shared" ca="1" si="0"/>
        <v>0.42799999999999999</v>
      </c>
      <c r="I19" s="6">
        <f t="shared" ca="1" si="1"/>
        <v>42.8</v>
      </c>
      <c r="J19">
        <v>18880</v>
      </c>
      <c r="L19" s="6">
        <f>IFERROR(LOOKUP(IF(K19="",G19,K19),{0,1,50,100,500,1000,5000},{0,0.54,0.5058,0.428,0.3531,0.3424,0.2996}),"")</f>
        <v>0.42799999999999999</v>
      </c>
      <c r="M19" s="6">
        <f>IFERROR(IF(K19="",G19,K19)*L19,"")</f>
        <v>42.8</v>
      </c>
      <c r="N19" t="s">
        <v>168</v>
      </c>
      <c r="O19" s="7" t="s">
        <v>163</v>
      </c>
    </row>
    <row r="20" spans="1:15">
      <c r="A20" t="s">
        <v>52</v>
      </c>
      <c r="B20" t="s">
        <v>54</v>
      </c>
      <c r="D20" t="s">
        <v>53</v>
      </c>
      <c r="G20">
        <f>BoardQty*1</f>
        <v>100</v>
      </c>
      <c r="H20" s="6">
        <f t="shared" ca="1" si="0"/>
        <v>0</v>
      </c>
      <c r="I20" s="6">
        <f t="shared" ca="1" si="1"/>
        <v>0</v>
      </c>
    </row>
    <row r="21" spans="1:15">
      <c r="A21" t="s">
        <v>55</v>
      </c>
      <c r="B21" t="s">
        <v>58</v>
      </c>
      <c r="D21" t="s">
        <v>57</v>
      </c>
      <c r="F21" t="s">
        <v>56</v>
      </c>
      <c r="G21">
        <f>BoardQty*1</f>
        <v>100</v>
      </c>
      <c r="H21" s="6">
        <f t="shared" ca="1" si="0"/>
        <v>0</v>
      </c>
      <c r="I21" s="6">
        <f t="shared" ca="1" si="1"/>
        <v>0</v>
      </c>
    </row>
    <row r="22" spans="1:15">
      <c r="A22" t="s">
        <v>59</v>
      </c>
      <c r="B22" t="s">
        <v>60</v>
      </c>
      <c r="D22" t="s">
        <v>34</v>
      </c>
      <c r="G22">
        <f>BoardQty*2</f>
        <v>200</v>
      </c>
      <c r="H22" s="6">
        <f t="shared" ca="1" si="0"/>
        <v>0</v>
      </c>
      <c r="I22" s="6">
        <f t="shared" ca="1" si="1"/>
        <v>0</v>
      </c>
    </row>
    <row r="23" spans="1:15">
      <c r="A23" t="s">
        <v>61</v>
      </c>
      <c r="B23" t="s">
        <v>62</v>
      </c>
      <c r="D23" t="s">
        <v>12</v>
      </c>
      <c r="F23" t="s">
        <v>11</v>
      </c>
      <c r="G23">
        <f>BoardQty*1</f>
        <v>100</v>
      </c>
      <c r="H23" s="6">
        <f t="shared" ca="1" si="0"/>
        <v>0.13700000000000001</v>
      </c>
      <c r="I23" s="6">
        <f t="shared" ca="1" si="1"/>
        <v>13.700000000000001</v>
      </c>
      <c r="J23">
        <v>11297</v>
      </c>
      <c r="L23" s="6">
        <f>IFERROR(LOOKUP(IF(K23="",G23,K23),{0,1,50,100,500,4000},{0,0.17,0.16,0.137,0.118,0.118}),"")</f>
        <v>0.13700000000000001</v>
      </c>
      <c r="M23" s="6">
        <f>IFERROR(IF(K23="",G23,K23)*L23,"")</f>
        <v>13.700000000000001</v>
      </c>
      <c r="N23" t="s">
        <v>164</v>
      </c>
      <c r="O23" s="7" t="s">
        <v>163</v>
      </c>
    </row>
    <row r="24" spans="1:15">
      <c r="A24" t="s">
        <v>63</v>
      </c>
      <c r="B24" t="s">
        <v>66</v>
      </c>
      <c r="D24" t="s">
        <v>65</v>
      </c>
      <c r="F24" t="s">
        <v>64</v>
      </c>
      <c r="G24">
        <f>BoardQty*1</f>
        <v>100</v>
      </c>
      <c r="H24" s="6">
        <f t="shared" ca="1" si="0"/>
        <v>0.51749999999999996</v>
      </c>
      <c r="I24" s="6">
        <f t="shared" ca="1" si="1"/>
        <v>51.749999999999993</v>
      </c>
      <c r="J24">
        <v>48078</v>
      </c>
      <c r="L24" s="6">
        <f>IFERROR(LOOKUP(IF(K24="",G24,K24),{0,1,10,100,500,1000,3000,5000,10000,25000},{0,0.83,0.725,0.5175,0.4347,0.306,0.288,0.279,0.27,0.261}),"")</f>
        <v>0.51749999999999996</v>
      </c>
      <c r="M24" s="6">
        <f>IFERROR(IF(K24="",G24,K24)*L24,"")</f>
        <v>51.749999999999993</v>
      </c>
      <c r="N24" t="s">
        <v>169</v>
      </c>
      <c r="O24" s="7" t="s">
        <v>163</v>
      </c>
    </row>
    <row r="25" spans="1:15">
      <c r="A25" t="s">
        <v>67</v>
      </c>
      <c r="B25" t="s">
        <v>68</v>
      </c>
      <c r="D25" t="s">
        <v>22</v>
      </c>
      <c r="G25">
        <f>BoardQty*2</f>
        <v>200</v>
      </c>
      <c r="H25" s="6">
        <f t="shared" ca="1" si="0"/>
        <v>0</v>
      </c>
      <c r="I25" s="6">
        <f t="shared" ca="1" si="1"/>
        <v>0</v>
      </c>
    </row>
    <row r="26" spans="1:15">
      <c r="A26" t="s">
        <v>69</v>
      </c>
      <c r="B26" t="s">
        <v>72</v>
      </c>
      <c r="D26" t="s">
        <v>71</v>
      </c>
      <c r="F26" t="s">
        <v>70</v>
      </c>
      <c r="G26">
        <f>BoardQty*1</f>
        <v>100</v>
      </c>
      <c r="H26" s="6">
        <f t="shared" ca="1" si="0"/>
        <v>0.55030000000000001</v>
      </c>
      <c r="I26" s="6">
        <f t="shared" ca="1" si="1"/>
        <v>55.03</v>
      </c>
      <c r="J26">
        <v>64462</v>
      </c>
      <c r="L26" s="6">
        <f>IFERROR(LOOKUP(IF(K26="",G26,K26),{0,1,10,25,50,100,250,500,1500,3000,7500,10500,15000},{0,0.77,0.718,0.646,0.5742,0.5503,0.50244,0.4785,0.348,0.32625,0.31537,0.29362,0.28928}),"")</f>
        <v>0.55030000000000001</v>
      </c>
      <c r="M26" s="6">
        <f>IFERROR(IF(K26="",G26,K26)*L26,"")</f>
        <v>55.03</v>
      </c>
      <c r="N26" t="s">
        <v>170</v>
      </c>
      <c r="O26" s="7" t="s">
        <v>163</v>
      </c>
    </row>
    <row r="27" spans="1:15">
      <c r="A27" t="s">
        <v>73</v>
      </c>
      <c r="B27" t="s">
        <v>76</v>
      </c>
      <c r="D27" t="s">
        <v>75</v>
      </c>
      <c r="F27" t="s">
        <v>74</v>
      </c>
      <c r="G27">
        <f>BoardQty*1</f>
        <v>100</v>
      </c>
      <c r="H27" s="6">
        <f t="shared" ca="1" si="0"/>
        <v>1.1712</v>
      </c>
      <c r="I27" s="6">
        <f t="shared" ca="1" si="1"/>
        <v>117.12</v>
      </c>
      <c r="J27">
        <v>15805</v>
      </c>
      <c r="L27" s="6">
        <f>IFERROR(LOOKUP(IF(K27="",G27,K27),{0,1,5,10,50,100,250,500,1000,2000,3000,5000},{0,1.89,1.802,1.712,1.3814,1.1712,1.14116,0.96096,0.77805,0.7371,0.7098,0.6825}),"")</f>
        <v>1.1712</v>
      </c>
      <c r="M27" s="6">
        <f>IFERROR(IF(K27="",G27,K27)*L27,"")</f>
        <v>117.12</v>
      </c>
      <c r="N27" t="s">
        <v>171</v>
      </c>
      <c r="O27" s="7" t="s">
        <v>163</v>
      </c>
    </row>
    <row r="28" spans="1:15">
      <c r="A28" t="s">
        <v>77</v>
      </c>
      <c r="B28" t="s">
        <v>79</v>
      </c>
      <c r="D28" t="s">
        <v>78</v>
      </c>
      <c r="G28">
        <f>BoardQty*1</f>
        <v>100</v>
      </c>
      <c r="H28" s="6">
        <f t="shared" ca="1" si="0"/>
        <v>0</v>
      </c>
      <c r="I28" s="6">
        <f t="shared" ca="1" si="1"/>
        <v>0</v>
      </c>
    </row>
    <row r="29" spans="1:15">
      <c r="A29" t="s">
        <v>80</v>
      </c>
      <c r="B29" t="s">
        <v>81</v>
      </c>
      <c r="D29" t="s">
        <v>34</v>
      </c>
      <c r="G29">
        <f>BoardQty*5</f>
        <v>500</v>
      </c>
      <c r="H29" s="6">
        <f t="shared" ca="1" si="0"/>
        <v>0</v>
      </c>
      <c r="I29" s="6">
        <f t="shared" ca="1" si="1"/>
        <v>0</v>
      </c>
    </row>
    <row r="30" spans="1:15">
      <c r="A30" t="s">
        <v>82</v>
      </c>
      <c r="B30" t="s">
        <v>13</v>
      </c>
      <c r="D30" t="s">
        <v>84</v>
      </c>
      <c r="F30" t="s">
        <v>83</v>
      </c>
      <c r="G30">
        <f>BoardQty*1</f>
        <v>100</v>
      </c>
      <c r="H30" s="6">
        <f t="shared" ca="1" si="0"/>
        <v>6.6799999999999998E-2</v>
      </c>
      <c r="I30" s="6">
        <f t="shared" ca="1" si="1"/>
        <v>6.68</v>
      </c>
      <c r="J30">
        <v>988892</v>
      </c>
      <c r="L30" s="6">
        <f>IFERROR(LOOKUP(IF(K30="",G30,K30),{0,1,10,25,50,100,250,500,1000,4000,8000,12000,28000},{0,0.15,0.12,0.0936,0.0776,0.0668,0.05348,0.04812,0.0401,0.03524,0.03281,0.03123,0.03038}),"")</f>
        <v>6.6799999999999998E-2</v>
      </c>
      <c r="M30" s="6">
        <f>IFERROR(IF(K30="",G30,K30)*L30,"")</f>
        <v>6.68</v>
      </c>
      <c r="N30" t="s">
        <v>172</v>
      </c>
      <c r="O30" s="7" t="s">
        <v>163</v>
      </c>
    </row>
    <row r="31" spans="1:15">
      <c r="A31" t="s">
        <v>85</v>
      </c>
      <c r="B31" t="s">
        <v>86</v>
      </c>
      <c r="D31" t="s">
        <v>22</v>
      </c>
      <c r="G31">
        <f>BoardQty*3</f>
        <v>300</v>
      </c>
      <c r="H31" s="6">
        <f t="shared" ca="1" si="0"/>
        <v>0</v>
      </c>
      <c r="I31" s="6">
        <f t="shared" ca="1" si="1"/>
        <v>0</v>
      </c>
    </row>
    <row r="32" spans="1:15">
      <c r="A32" t="s">
        <v>87</v>
      </c>
      <c r="B32" t="s">
        <v>89</v>
      </c>
      <c r="D32" t="s">
        <v>34</v>
      </c>
      <c r="F32" t="s">
        <v>88</v>
      </c>
      <c r="G32">
        <f>BoardQty*1</f>
        <v>100</v>
      </c>
      <c r="H32" s="6">
        <f t="shared" ca="1" si="0"/>
        <v>0</v>
      </c>
      <c r="I32" s="6">
        <f t="shared" ca="1" si="1"/>
        <v>0</v>
      </c>
    </row>
    <row r="33" spans="1:15">
      <c r="A33" t="s">
        <v>90</v>
      </c>
      <c r="B33" t="s">
        <v>89</v>
      </c>
      <c r="D33" t="s">
        <v>34</v>
      </c>
      <c r="F33" t="s">
        <v>91</v>
      </c>
      <c r="G33">
        <f>BoardQty*2</f>
        <v>200</v>
      </c>
      <c r="H33" s="6">
        <f t="shared" ca="1" si="0"/>
        <v>0</v>
      </c>
      <c r="I33" s="6">
        <f t="shared" ca="1" si="1"/>
        <v>0</v>
      </c>
    </row>
    <row r="34" spans="1:15">
      <c r="A34" t="s">
        <v>92</v>
      </c>
      <c r="B34" t="s">
        <v>89</v>
      </c>
      <c r="D34" t="s">
        <v>34</v>
      </c>
      <c r="F34" t="s">
        <v>93</v>
      </c>
      <c r="G34">
        <f t="shared" ref="G34:G50" si="2">BoardQty*1</f>
        <v>100</v>
      </c>
      <c r="H34" s="6">
        <f t="shared" ca="1" si="0"/>
        <v>0</v>
      </c>
      <c r="I34" s="6">
        <f t="shared" ca="1" si="1"/>
        <v>0</v>
      </c>
    </row>
    <row r="35" spans="1:15">
      <c r="A35" t="s">
        <v>94</v>
      </c>
      <c r="B35" t="s">
        <v>89</v>
      </c>
      <c r="D35" t="s">
        <v>34</v>
      </c>
      <c r="F35" t="s">
        <v>95</v>
      </c>
      <c r="G35">
        <f t="shared" si="2"/>
        <v>100</v>
      </c>
      <c r="H35" s="6">
        <f t="shared" ca="1" si="0"/>
        <v>0</v>
      </c>
      <c r="I35" s="6">
        <f t="shared" ca="1" si="1"/>
        <v>0</v>
      </c>
    </row>
    <row r="36" spans="1:15">
      <c r="A36" t="s">
        <v>96</v>
      </c>
      <c r="B36" t="s">
        <v>89</v>
      </c>
      <c r="D36" t="s">
        <v>34</v>
      </c>
      <c r="F36" t="s">
        <v>97</v>
      </c>
      <c r="G36">
        <f t="shared" si="2"/>
        <v>100</v>
      </c>
      <c r="H36" s="6">
        <f t="shared" ca="1" si="0"/>
        <v>3.5900000000000001E-2</v>
      </c>
      <c r="I36" s="6">
        <f t="shared" ca="1" si="1"/>
        <v>3.5900000000000003</v>
      </c>
      <c r="J36">
        <v>2831</v>
      </c>
      <c r="L36" s="6">
        <f>IFERROR(LOOKUP(IF(K36="",G36,K36),{0,1,10,100,500,4000},{0,0.1,0.04,0.0359,0.03172,0.0262}),"")</f>
        <v>3.5900000000000001E-2</v>
      </c>
      <c r="M36" s="6">
        <f>IFERROR(IF(K36="",G36,K36)*L36,"")</f>
        <v>3.5900000000000003</v>
      </c>
      <c r="N36" t="s">
        <v>173</v>
      </c>
      <c r="O36" s="7" t="s">
        <v>163</v>
      </c>
    </row>
    <row r="37" spans="1:15">
      <c r="A37" t="s">
        <v>98</v>
      </c>
      <c r="B37" t="s">
        <v>89</v>
      </c>
      <c r="D37" t="s">
        <v>34</v>
      </c>
      <c r="F37" t="s">
        <v>99</v>
      </c>
      <c r="G37">
        <f t="shared" si="2"/>
        <v>100</v>
      </c>
      <c r="H37" s="6">
        <f t="shared" ca="1" si="0"/>
        <v>0</v>
      </c>
      <c r="I37" s="6">
        <f t="shared" ca="1" si="1"/>
        <v>0</v>
      </c>
    </row>
    <row r="38" spans="1:15">
      <c r="A38" t="s">
        <v>100</v>
      </c>
      <c r="B38" t="s">
        <v>89</v>
      </c>
      <c r="D38" t="s">
        <v>34</v>
      </c>
      <c r="F38" t="s">
        <v>101</v>
      </c>
      <c r="G38">
        <f t="shared" si="2"/>
        <v>100</v>
      </c>
      <c r="H38" s="6">
        <f t="shared" ca="1" si="0"/>
        <v>0</v>
      </c>
      <c r="I38" s="6">
        <f t="shared" ca="1" si="1"/>
        <v>0</v>
      </c>
    </row>
    <row r="39" spans="1:15">
      <c r="A39" t="s">
        <v>102</v>
      </c>
      <c r="B39" t="s">
        <v>89</v>
      </c>
      <c r="D39" t="s">
        <v>34</v>
      </c>
      <c r="F39" t="s">
        <v>103</v>
      </c>
      <c r="G39">
        <f t="shared" si="2"/>
        <v>100</v>
      </c>
      <c r="H39" s="6">
        <f t="shared" ref="H39:H61" ca="1" si="3">MINA(INDIRECT(ADDRESS(ROW(),COLUMN(digikey_part_data)+2)))</f>
        <v>0</v>
      </c>
      <c r="I39" s="6">
        <f t="shared" ref="I39:I70" ca="1" si="4">IFERROR(G39*H39,"")</f>
        <v>0</v>
      </c>
    </row>
    <row r="40" spans="1:15">
      <c r="A40" t="s">
        <v>104</v>
      </c>
      <c r="B40" t="s">
        <v>89</v>
      </c>
      <c r="D40" t="s">
        <v>34</v>
      </c>
      <c r="F40" t="s">
        <v>105</v>
      </c>
      <c r="G40">
        <f t="shared" si="2"/>
        <v>100</v>
      </c>
      <c r="H40" s="6">
        <f t="shared" ca="1" si="3"/>
        <v>0</v>
      </c>
      <c r="I40" s="6">
        <f t="shared" ca="1" si="4"/>
        <v>0</v>
      </c>
    </row>
    <row r="41" spans="1:15">
      <c r="A41" t="s">
        <v>106</v>
      </c>
      <c r="B41" t="s">
        <v>89</v>
      </c>
      <c r="D41" t="s">
        <v>34</v>
      </c>
      <c r="F41" t="s">
        <v>107</v>
      </c>
      <c r="G41">
        <f t="shared" si="2"/>
        <v>100</v>
      </c>
      <c r="H41" s="6">
        <f t="shared" ca="1" si="3"/>
        <v>0</v>
      </c>
      <c r="I41" s="6">
        <f t="shared" ca="1" si="4"/>
        <v>0</v>
      </c>
    </row>
    <row r="42" spans="1:15">
      <c r="A42" t="s">
        <v>108</v>
      </c>
      <c r="B42" t="s">
        <v>89</v>
      </c>
      <c r="D42" t="s">
        <v>34</v>
      </c>
      <c r="F42" t="s">
        <v>109</v>
      </c>
      <c r="G42">
        <f t="shared" si="2"/>
        <v>100</v>
      </c>
      <c r="H42" s="6">
        <f t="shared" ca="1" si="3"/>
        <v>0</v>
      </c>
      <c r="I42" s="6">
        <f t="shared" ca="1" si="4"/>
        <v>0</v>
      </c>
    </row>
    <row r="43" spans="1:15">
      <c r="A43" t="s">
        <v>110</v>
      </c>
      <c r="B43" t="s">
        <v>89</v>
      </c>
      <c r="D43" t="s">
        <v>34</v>
      </c>
      <c r="F43" t="s">
        <v>111</v>
      </c>
      <c r="G43">
        <f t="shared" si="2"/>
        <v>100</v>
      </c>
      <c r="H43" s="6">
        <f t="shared" ca="1" si="3"/>
        <v>0</v>
      </c>
      <c r="I43" s="6">
        <f t="shared" ca="1" si="4"/>
        <v>0</v>
      </c>
    </row>
    <row r="44" spans="1:15">
      <c r="A44" t="s">
        <v>112</v>
      </c>
      <c r="B44" t="s">
        <v>89</v>
      </c>
      <c r="D44" t="s">
        <v>34</v>
      </c>
      <c r="F44" t="s">
        <v>113</v>
      </c>
      <c r="G44">
        <f t="shared" si="2"/>
        <v>100</v>
      </c>
      <c r="H44" s="6">
        <f t="shared" ca="1" si="3"/>
        <v>0</v>
      </c>
      <c r="I44" s="6">
        <f t="shared" ca="1" si="4"/>
        <v>0</v>
      </c>
    </row>
    <row r="45" spans="1:15">
      <c r="A45" t="s">
        <v>114</v>
      </c>
      <c r="B45" t="s">
        <v>89</v>
      </c>
      <c r="D45" t="s">
        <v>34</v>
      </c>
      <c r="F45" t="s">
        <v>115</v>
      </c>
      <c r="G45">
        <f t="shared" si="2"/>
        <v>100</v>
      </c>
      <c r="H45" s="6">
        <f t="shared" ca="1" si="3"/>
        <v>0</v>
      </c>
      <c r="I45" s="6">
        <f t="shared" ca="1" si="4"/>
        <v>0</v>
      </c>
    </row>
    <row r="46" spans="1:15">
      <c r="A46" t="s">
        <v>116</v>
      </c>
      <c r="B46" t="s">
        <v>89</v>
      </c>
      <c r="D46" t="s">
        <v>34</v>
      </c>
      <c r="F46" t="s">
        <v>117</v>
      </c>
      <c r="G46">
        <f t="shared" si="2"/>
        <v>100</v>
      </c>
      <c r="H46" s="6">
        <f t="shared" ca="1" si="3"/>
        <v>0</v>
      </c>
      <c r="I46" s="6">
        <f t="shared" ca="1" si="4"/>
        <v>0</v>
      </c>
    </row>
    <row r="47" spans="1:15">
      <c r="A47" t="s">
        <v>118</v>
      </c>
      <c r="B47" t="s">
        <v>89</v>
      </c>
      <c r="D47" t="s">
        <v>34</v>
      </c>
      <c r="F47" t="s">
        <v>119</v>
      </c>
      <c r="G47">
        <f t="shared" si="2"/>
        <v>100</v>
      </c>
      <c r="H47" s="6">
        <f t="shared" ca="1" si="3"/>
        <v>0</v>
      </c>
      <c r="I47" s="6">
        <f t="shared" ca="1" si="4"/>
        <v>0</v>
      </c>
    </row>
    <row r="48" spans="1:15">
      <c r="A48" t="s">
        <v>120</v>
      </c>
      <c r="B48" t="s">
        <v>121</v>
      </c>
      <c r="D48" t="s">
        <v>12</v>
      </c>
      <c r="F48" t="s">
        <v>11</v>
      </c>
      <c r="G48">
        <f t="shared" si="2"/>
        <v>100</v>
      </c>
      <c r="H48" s="6">
        <f t="shared" ca="1" si="3"/>
        <v>0</v>
      </c>
      <c r="I48" s="6">
        <f t="shared" ca="1" si="4"/>
        <v>0</v>
      </c>
    </row>
    <row r="49" spans="1:15">
      <c r="A49" t="s">
        <v>122</v>
      </c>
      <c r="B49" t="s">
        <v>124</v>
      </c>
      <c r="D49" t="s">
        <v>123</v>
      </c>
      <c r="G49">
        <f t="shared" si="2"/>
        <v>100</v>
      </c>
      <c r="H49" s="6">
        <f t="shared" ca="1" si="3"/>
        <v>0</v>
      </c>
      <c r="I49" s="6">
        <f t="shared" ca="1" si="4"/>
        <v>0</v>
      </c>
    </row>
    <row r="50" spans="1:15">
      <c r="A50" t="s">
        <v>125</v>
      </c>
      <c r="B50" t="s">
        <v>126</v>
      </c>
      <c r="D50" t="s">
        <v>15</v>
      </c>
      <c r="G50">
        <f t="shared" si="2"/>
        <v>100</v>
      </c>
      <c r="H50" s="6">
        <f t="shared" ca="1" si="3"/>
        <v>0</v>
      </c>
      <c r="I50" s="6">
        <f t="shared" ca="1" si="4"/>
        <v>0</v>
      </c>
    </row>
    <row r="51" spans="1:15">
      <c r="A51" t="s">
        <v>127</v>
      </c>
      <c r="B51" t="s">
        <v>128</v>
      </c>
      <c r="D51" t="s">
        <v>34</v>
      </c>
      <c r="G51">
        <f>BoardQty*4</f>
        <v>400</v>
      </c>
      <c r="H51" s="6">
        <f t="shared" ca="1" si="3"/>
        <v>0</v>
      </c>
      <c r="I51" s="6">
        <f t="shared" ca="1" si="4"/>
        <v>0</v>
      </c>
    </row>
    <row r="52" spans="1:15">
      <c r="A52" t="s">
        <v>129</v>
      </c>
      <c r="B52" t="s">
        <v>130</v>
      </c>
      <c r="D52" t="s">
        <v>50</v>
      </c>
      <c r="F52" t="s">
        <v>49</v>
      </c>
      <c r="G52">
        <f t="shared" ref="G52:G59" si="5">BoardQty*1</f>
        <v>100</v>
      </c>
      <c r="H52" s="6">
        <f t="shared" ca="1" si="3"/>
        <v>0.42799999999999999</v>
      </c>
      <c r="I52" s="6">
        <f t="shared" ca="1" si="4"/>
        <v>42.8</v>
      </c>
      <c r="J52">
        <v>18880</v>
      </c>
      <c r="L52" s="6">
        <f>IFERROR(LOOKUP(IF(K52="",G52,K52),{0,1,50,100,500,1000,5000},{0,0.54,0.5058,0.428,0.3531,0.3424,0.2996}),"")</f>
        <v>0.42799999999999999</v>
      </c>
      <c r="M52" s="6">
        <f>IFERROR(IF(K52="",G52,K52)*L52,"")</f>
        <v>42.8</v>
      </c>
      <c r="N52" t="s">
        <v>168</v>
      </c>
      <c r="O52" s="7" t="s">
        <v>163</v>
      </c>
    </row>
    <row r="53" spans="1:15">
      <c r="A53" t="s">
        <v>131</v>
      </c>
      <c r="B53" t="s">
        <v>132</v>
      </c>
      <c r="D53" t="s">
        <v>22</v>
      </c>
      <c r="G53">
        <f t="shared" si="5"/>
        <v>100</v>
      </c>
      <c r="H53" s="6">
        <f t="shared" ca="1" si="3"/>
        <v>0</v>
      </c>
      <c r="I53" s="6">
        <f t="shared" ca="1" si="4"/>
        <v>0</v>
      </c>
    </row>
    <row r="54" spans="1:15">
      <c r="A54" t="s">
        <v>133</v>
      </c>
      <c r="B54" t="s">
        <v>136</v>
      </c>
      <c r="D54" t="s">
        <v>135</v>
      </c>
      <c r="F54" t="s">
        <v>134</v>
      </c>
      <c r="G54">
        <f t="shared" si="5"/>
        <v>100</v>
      </c>
      <c r="H54" s="6">
        <f t="shared" ca="1" si="3"/>
        <v>0</v>
      </c>
      <c r="I54" s="6">
        <f t="shared" ca="1" si="4"/>
        <v>0</v>
      </c>
    </row>
    <row r="55" spans="1:15">
      <c r="A55" t="s">
        <v>137</v>
      </c>
      <c r="B55" t="s">
        <v>138</v>
      </c>
      <c r="D55" t="s">
        <v>15</v>
      </c>
      <c r="G55">
        <f t="shared" si="5"/>
        <v>100</v>
      </c>
      <c r="H55" s="6">
        <f t="shared" ca="1" si="3"/>
        <v>0</v>
      </c>
      <c r="I55" s="6">
        <f t="shared" ca="1" si="4"/>
        <v>0</v>
      </c>
    </row>
    <row r="56" spans="1:15">
      <c r="A56" t="s">
        <v>139</v>
      </c>
      <c r="B56" t="s">
        <v>142</v>
      </c>
      <c r="D56" t="s">
        <v>141</v>
      </c>
      <c r="F56" t="s">
        <v>140</v>
      </c>
      <c r="G56">
        <f t="shared" si="5"/>
        <v>100</v>
      </c>
      <c r="H56" s="6">
        <f t="shared" ca="1" si="3"/>
        <v>0</v>
      </c>
      <c r="I56" s="6">
        <f t="shared" ca="1" si="4"/>
        <v>0</v>
      </c>
    </row>
    <row r="57" spans="1:15">
      <c r="A57" t="s">
        <v>143</v>
      </c>
      <c r="B57" t="s">
        <v>145</v>
      </c>
      <c r="D57" t="s">
        <v>144</v>
      </c>
      <c r="G57">
        <f t="shared" si="5"/>
        <v>100</v>
      </c>
      <c r="H57" s="6">
        <f t="shared" ca="1" si="3"/>
        <v>0</v>
      </c>
      <c r="I57" s="6">
        <f t="shared" ca="1" si="4"/>
        <v>0</v>
      </c>
    </row>
    <row r="58" spans="1:15">
      <c r="A58" t="s">
        <v>146</v>
      </c>
      <c r="B58" t="s">
        <v>148</v>
      </c>
      <c r="D58" t="s">
        <v>147</v>
      </c>
      <c r="G58">
        <f t="shared" si="5"/>
        <v>100</v>
      </c>
      <c r="H58" s="6">
        <f t="shared" ca="1" si="3"/>
        <v>0</v>
      </c>
      <c r="I58" s="6">
        <f t="shared" ca="1" si="4"/>
        <v>0</v>
      </c>
    </row>
    <row r="59" spans="1:15">
      <c r="A59" t="s">
        <v>149</v>
      </c>
      <c r="B59" t="s">
        <v>150</v>
      </c>
      <c r="D59" t="s">
        <v>22</v>
      </c>
      <c r="G59">
        <f t="shared" si="5"/>
        <v>100</v>
      </c>
      <c r="H59" s="6">
        <f t="shared" ca="1" si="3"/>
        <v>0</v>
      </c>
      <c r="I59" s="6">
        <f t="shared" ca="1" si="4"/>
        <v>0</v>
      </c>
    </row>
    <row r="60" spans="1:15">
      <c r="A60" t="s">
        <v>151</v>
      </c>
      <c r="B60" t="s">
        <v>152</v>
      </c>
      <c r="D60" t="s">
        <v>41</v>
      </c>
      <c r="F60" t="s">
        <v>40</v>
      </c>
      <c r="G60">
        <f>BoardQty*6</f>
        <v>600</v>
      </c>
      <c r="H60" s="6">
        <f t="shared" ca="1" si="3"/>
        <v>0</v>
      </c>
      <c r="I60" s="6">
        <f t="shared" ca="1" si="4"/>
        <v>0</v>
      </c>
    </row>
    <row r="61" spans="1:15">
      <c r="A61" t="s">
        <v>153</v>
      </c>
      <c r="B61" t="s">
        <v>154</v>
      </c>
      <c r="D61" t="s">
        <v>12</v>
      </c>
      <c r="F61" t="s">
        <v>11</v>
      </c>
      <c r="G61">
        <f>BoardQty*1</f>
        <v>100</v>
      </c>
      <c r="H61" s="6">
        <f t="shared" ca="1" si="3"/>
        <v>0</v>
      </c>
      <c r="I61" s="6">
        <f t="shared" ca="1" si="4"/>
        <v>0</v>
      </c>
    </row>
    <row r="63" spans="1:15">
      <c r="K63" t="str">
        <f t="array" ref="K63">IFERROR(CONCATENATE(TEXT(INDEX($K$7:$K$61,SMALL(IF($N$7:$N$61&lt;&gt;"",IF($K$7:$K$61&lt;&gt;"",ROW($K$7:$K$61)-MIN(ROW($K$7:$K$61))+1,""),""),ROW()-ROW(A$63)+1)),"##0"),","),"")</f>
        <v/>
      </c>
      <c r="L63" t="str">
        <f t="array" ref="L63">IFERROR(CONCATENATE((INDEX($N$7:$N$61,SMALL(IF($N$7:$N$61&lt;&gt;"",IF($K$7:$K$61&lt;&gt;"",ROW($K$7:$K$61)-MIN(ROW($K$7:$K$61))+1,""),""),ROW()-ROW(A$63)+1))),","),"")</f>
        <v/>
      </c>
      <c r="M63" t="str">
        <f t="array" ref="M63">IFERROR(CONCATENATE((INDEX($A$7:$A$61,SMALL(IF($N$7:$N$61&lt;&gt;"",IF($K$7:$K$61&lt;&gt;"",ROW($K$7:$K$61)-MIN(ROW($K$7:$K$61))+1,""),""),ROW()-ROW(A$63)+1))),),"")</f>
        <v/>
      </c>
    </row>
    <row r="64" spans="1:15">
      <c r="K64" t="str">
        <f t="array" ref="K64">IFERROR(CONCATENATE(TEXT(INDEX($K$7:$K$61,SMALL(IF($N$7:$N$61&lt;&gt;"",IF($K$7:$K$61&lt;&gt;"",ROW($K$7:$K$61)-MIN(ROW($K$7:$K$61))+1,""),""),ROW()-ROW(A$63)+1)),"##0"),","),"")</f>
        <v/>
      </c>
      <c r="L64" t="str">
        <f t="array" ref="L64">IFERROR(CONCATENATE((INDEX($N$7:$N$61,SMALL(IF($N$7:$N$61&lt;&gt;"",IF($K$7:$K$61&lt;&gt;"",ROW($K$7:$K$61)-MIN(ROW($K$7:$K$61))+1,""),""),ROW()-ROW(A$63)+1))),","),"")</f>
        <v/>
      </c>
      <c r="M64" t="str">
        <f t="array" ref="M64">IFERROR(CONCATENATE((INDEX($A$7:$A$61,SMALL(IF($N$7:$N$61&lt;&gt;"",IF($K$7:$K$61&lt;&gt;"",ROW($K$7:$K$61)-MIN(ROW($K$7:$K$61))+1,""),""),ROW()-ROW(A$63)+1))),),"")</f>
        <v/>
      </c>
    </row>
    <row r="65" spans="11:13">
      <c r="K65" t="str">
        <f t="array" ref="K65">IFERROR(CONCATENATE(TEXT(INDEX($K$7:$K$61,SMALL(IF($N$7:$N$61&lt;&gt;"",IF($K$7:$K$61&lt;&gt;"",ROW($K$7:$K$61)-MIN(ROW($K$7:$K$61))+1,""),""),ROW()-ROW(A$63)+1)),"##0"),","),"")</f>
        <v/>
      </c>
      <c r="L65" t="str">
        <f t="array" ref="L65">IFERROR(CONCATENATE((INDEX($N$7:$N$61,SMALL(IF($N$7:$N$61&lt;&gt;"",IF($K$7:$K$61&lt;&gt;"",ROW($K$7:$K$61)-MIN(ROW($K$7:$K$61))+1,""),""),ROW()-ROW(A$63)+1))),","),"")</f>
        <v/>
      </c>
      <c r="M65" t="str">
        <f t="array" ref="M65">IFERROR(CONCATENATE((INDEX($A$7:$A$61,SMALL(IF($N$7:$N$61&lt;&gt;"",IF($K$7:$K$61&lt;&gt;"",ROW($K$7:$K$61)-MIN(ROW($K$7:$K$61))+1,""),""),ROW()-ROW(A$63)+1))),),"")</f>
        <v/>
      </c>
    </row>
    <row r="66" spans="11:13">
      <c r="K66" t="str">
        <f t="array" ref="K66">IFERROR(CONCATENATE(TEXT(INDEX($K$7:$K$61,SMALL(IF($N$7:$N$61&lt;&gt;"",IF($K$7:$K$61&lt;&gt;"",ROW($K$7:$K$61)-MIN(ROW($K$7:$K$61))+1,""),""),ROW()-ROW(A$63)+1)),"##0"),","),"")</f>
        <v/>
      </c>
      <c r="L66" t="str">
        <f t="array" ref="L66">IFERROR(CONCATENATE((INDEX($N$7:$N$61,SMALL(IF($N$7:$N$61&lt;&gt;"",IF($K$7:$K$61&lt;&gt;"",ROW($K$7:$K$61)-MIN(ROW($K$7:$K$61))+1,""),""),ROW()-ROW(A$63)+1))),","),"")</f>
        <v/>
      </c>
      <c r="M66" t="str">
        <f t="array" ref="M66">IFERROR(CONCATENATE((INDEX($A$7:$A$61,SMALL(IF($N$7:$N$61&lt;&gt;"",IF($K$7:$K$61&lt;&gt;"",ROW($K$7:$K$61)-MIN(ROW($K$7:$K$61))+1,""),""),ROW()-ROW(A$63)+1))),),"")</f>
        <v/>
      </c>
    </row>
    <row r="67" spans="11:13">
      <c r="K67" t="str">
        <f t="array" ref="K67">IFERROR(CONCATENATE(TEXT(INDEX($K$7:$K$61,SMALL(IF($N$7:$N$61&lt;&gt;"",IF($K$7:$K$61&lt;&gt;"",ROW($K$7:$K$61)-MIN(ROW($K$7:$K$61))+1,""),""),ROW()-ROW(A$63)+1)),"##0"),","),"")</f>
        <v/>
      </c>
      <c r="L67" t="str">
        <f t="array" ref="L67">IFERROR(CONCATENATE((INDEX($N$7:$N$61,SMALL(IF($N$7:$N$61&lt;&gt;"",IF($K$7:$K$61&lt;&gt;"",ROW($K$7:$K$61)-MIN(ROW($K$7:$K$61))+1,""),""),ROW()-ROW(A$63)+1))),","),"")</f>
        <v/>
      </c>
      <c r="M67" t="str">
        <f t="array" ref="M67">IFERROR(CONCATENATE((INDEX($A$7:$A$61,SMALL(IF($N$7:$N$61&lt;&gt;"",IF($K$7:$K$61&lt;&gt;"",ROW($K$7:$K$61)-MIN(ROW($K$7:$K$61))+1,""),""),ROW()-ROW(A$63)+1))),),"")</f>
        <v/>
      </c>
    </row>
    <row r="68" spans="11:13">
      <c r="K68" t="str">
        <f t="array" ref="K68">IFERROR(CONCATENATE(TEXT(INDEX($K$7:$K$61,SMALL(IF($N$7:$N$61&lt;&gt;"",IF($K$7:$K$61&lt;&gt;"",ROW($K$7:$K$61)-MIN(ROW($K$7:$K$61))+1,""),""),ROW()-ROW(A$63)+1)),"##0"),","),"")</f>
        <v/>
      </c>
      <c r="L68" t="str">
        <f t="array" ref="L68">IFERROR(CONCATENATE((INDEX($N$7:$N$61,SMALL(IF($N$7:$N$61&lt;&gt;"",IF($K$7:$K$61&lt;&gt;"",ROW($K$7:$K$61)-MIN(ROW($K$7:$K$61))+1,""),""),ROW()-ROW(A$63)+1))),","),"")</f>
        <v/>
      </c>
      <c r="M68" t="str">
        <f t="array" ref="M68">IFERROR(CONCATENATE((INDEX($A$7:$A$61,SMALL(IF($N$7:$N$61&lt;&gt;"",IF($K$7:$K$61&lt;&gt;"",ROW($K$7:$K$61)-MIN(ROW($K$7:$K$61))+1,""),""),ROW()-ROW(A$63)+1))),),"")</f>
        <v/>
      </c>
    </row>
    <row r="69" spans="11:13">
      <c r="K69" t="str">
        <f t="array" ref="K69">IFERROR(CONCATENATE(TEXT(INDEX($K$7:$K$61,SMALL(IF($N$7:$N$61&lt;&gt;"",IF($K$7:$K$61&lt;&gt;"",ROW($K$7:$K$61)-MIN(ROW($K$7:$K$61))+1,""),""),ROW()-ROW(A$63)+1)),"##0"),","),"")</f>
        <v/>
      </c>
      <c r="L69" t="str">
        <f t="array" ref="L69">IFERROR(CONCATENATE((INDEX($N$7:$N$61,SMALL(IF($N$7:$N$61&lt;&gt;"",IF($K$7:$K$61&lt;&gt;"",ROW($K$7:$K$61)-MIN(ROW($K$7:$K$61))+1,""),""),ROW()-ROW(A$63)+1))),","),"")</f>
        <v/>
      </c>
      <c r="M69" t="str">
        <f t="array" ref="M69">IFERROR(CONCATENATE((INDEX($A$7:$A$61,SMALL(IF($N$7:$N$61&lt;&gt;"",IF($K$7:$K$61&lt;&gt;"",ROW($K$7:$K$61)-MIN(ROW($K$7:$K$61))+1,""),""),ROW()-ROW(A$63)+1))),),"")</f>
        <v/>
      </c>
    </row>
    <row r="70" spans="11:13">
      <c r="K70" t="str">
        <f t="array" ref="K70">IFERROR(CONCATENATE(TEXT(INDEX($K$7:$K$61,SMALL(IF($N$7:$N$61&lt;&gt;"",IF($K$7:$K$61&lt;&gt;"",ROW($K$7:$K$61)-MIN(ROW($K$7:$K$61))+1,""),""),ROW()-ROW(A$63)+1)),"##0"),","),"")</f>
        <v/>
      </c>
      <c r="L70" t="str">
        <f t="array" ref="L70">IFERROR(CONCATENATE((INDEX($N$7:$N$61,SMALL(IF($N$7:$N$61&lt;&gt;"",IF($K$7:$K$61&lt;&gt;"",ROW($K$7:$K$61)-MIN(ROW($K$7:$K$61))+1,""),""),ROW()-ROW(A$63)+1))),","),"")</f>
        <v/>
      </c>
      <c r="M70" t="str">
        <f t="array" ref="M70">IFERROR(CONCATENATE((INDEX($A$7:$A$61,SMALL(IF($N$7:$N$61&lt;&gt;"",IF($K$7:$K$61&lt;&gt;"",ROW($K$7:$K$61)-MIN(ROW($K$7:$K$61))+1,""),""),ROW()-ROW(A$63)+1))),),"")</f>
        <v/>
      </c>
    </row>
    <row r="71" spans="11:13">
      <c r="K71" t="str">
        <f t="array" ref="K71">IFERROR(CONCATENATE(TEXT(INDEX($K$7:$K$61,SMALL(IF($N$7:$N$61&lt;&gt;"",IF($K$7:$K$61&lt;&gt;"",ROW($K$7:$K$61)-MIN(ROW($K$7:$K$61))+1,""),""),ROW()-ROW(A$63)+1)),"##0"),","),"")</f>
        <v/>
      </c>
      <c r="L71" t="str">
        <f t="array" ref="L71">IFERROR(CONCATENATE((INDEX($N$7:$N$61,SMALL(IF($N$7:$N$61&lt;&gt;"",IF($K$7:$K$61&lt;&gt;"",ROW($K$7:$K$61)-MIN(ROW($K$7:$K$61))+1,""),""),ROW()-ROW(A$63)+1))),","),"")</f>
        <v/>
      </c>
      <c r="M71" t="str">
        <f t="array" ref="M71">IFERROR(CONCATENATE((INDEX($A$7:$A$61,SMALL(IF($N$7:$N$61&lt;&gt;"",IF($K$7:$K$61&lt;&gt;"",ROW($K$7:$K$61)-MIN(ROW($K$7:$K$61))+1,""),""),ROW()-ROW(A$63)+1))),),"")</f>
        <v/>
      </c>
    </row>
    <row r="72" spans="11:13">
      <c r="K72" t="str">
        <f t="array" ref="K72">IFERROR(CONCATENATE(TEXT(INDEX($K$7:$K$61,SMALL(IF($N$7:$N$61&lt;&gt;"",IF($K$7:$K$61&lt;&gt;"",ROW($K$7:$K$61)-MIN(ROW($K$7:$K$61))+1,""),""),ROW()-ROW(A$63)+1)),"##0"),","),"")</f>
        <v/>
      </c>
      <c r="L72" t="str">
        <f t="array" ref="L72">IFERROR(CONCATENATE((INDEX($N$7:$N$61,SMALL(IF($N$7:$N$61&lt;&gt;"",IF($K$7:$K$61&lt;&gt;"",ROW($K$7:$K$61)-MIN(ROW($K$7:$K$61))+1,""),""),ROW()-ROW(A$63)+1))),","),"")</f>
        <v/>
      </c>
      <c r="M72" t="str">
        <f t="array" ref="M72">IFERROR(CONCATENATE((INDEX($A$7:$A$61,SMALL(IF($N$7:$N$61&lt;&gt;"",IF($K$7:$K$61&lt;&gt;"",ROW($K$7:$K$61)-MIN(ROW($K$7:$K$61))+1,""),""),ROW()-ROW(A$63)+1))),),"")</f>
        <v/>
      </c>
    </row>
    <row r="73" spans="11:13">
      <c r="K73" t="str">
        <f t="array" ref="K73">IFERROR(CONCATENATE(TEXT(INDEX($K$7:$K$61,SMALL(IF($N$7:$N$61&lt;&gt;"",IF($K$7:$K$61&lt;&gt;"",ROW($K$7:$K$61)-MIN(ROW($K$7:$K$61))+1,""),""),ROW()-ROW(A$63)+1)),"##0"),","),"")</f>
        <v/>
      </c>
      <c r="L73" t="str">
        <f t="array" ref="L73">IFERROR(CONCATENATE((INDEX($N$7:$N$61,SMALL(IF($N$7:$N$61&lt;&gt;"",IF($K$7:$K$61&lt;&gt;"",ROW($K$7:$K$61)-MIN(ROW($K$7:$K$61))+1,""),""),ROW()-ROW(A$63)+1))),","),"")</f>
        <v/>
      </c>
      <c r="M73" t="str">
        <f t="array" ref="M73">IFERROR(CONCATENATE((INDEX($A$7:$A$61,SMALL(IF($N$7:$N$61&lt;&gt;"",IF($K$7:$K$61&lt;&gt;"",ROW($K$7:$K$61)-MIN(ROW($K$7:$K$61))+1,""),""),ROW()-ROW(A$63)+1))),),"")</f>
        <v/>
      </c>
    </row>
    <row r="74" spans="11:13">
      <c r="K74" t="str">
        <f t="array" ref="K74">IFERROR(CONCATENATE(TEXT(INDEX($K$7:$K$61,SMALL(IF($N$7:$N$61&lt;&gt;"",IF($K$7:$K$61&lt;&gt;"",ROW($K$7:$K$61)-MIN(ROW($K$7:$K$61))+1,""),""),ROW()-ROW(A$63)+1)),"##0"),","),"")</f>
        <v/>
      </c>
      <c r="L74" t="str">
        <f t="array" ref="L74">IFERROR(CONCATENATE((INDEX($N$7:$N$61,SMALL(IF($N$7:$N$61&lt;&gt;"",IF($K$7:$K$61&lt;&gt;"",ROW($K$7:$K$61)-MIN(ROW($K$7:$K$61))+1,""),""),ROW()-ROW(A$63)+1))),","),"")</f>
        <v/>
      </c>
      <c r="M74" t="str">
        <f t="array" ref="M74">IFERROR(CONCATENATE((INDEX($A$7:$A$61,SMALL(IF($N$7:$N$61&lt;&gt;"",IF($K$7:$K$61&lt;&gt;"",ROW($K$7:$K$61)-MIN(ROW($K$7:$K$61))+1,""),""),ROW()-ROW(A$63)+1))),),"")</f>
        <v/>
      </c>
    </row>
    <row r="75" spans="11:13">
      <c r="K75" t="str">
        <f t="array" ref="K75">IFERROR(CONCATENATE(TEXT(INDEX($K$7:$K$61,SMALL(IF($N$7:$N$61&lt;&gt;"",IF($K$7:$K$61&lt;&gt;"",ROW($K$7:$K$61)-MIN(ROW($K$7:$K$61))+1,""),""),ROW()-ROW(A$63)+1)),"##0"),","),"")</f>
        <v/>
      </c>
      <c r="L75" t="str">
        <f t="array" ref="L75">IFERROR(CONCATENATE((INDEX($N$7:$N$61,SMALL(IF($N$7:$N$61&lt;&gt;"",IF($K$7:$K$61&lt;&gt;"",ROW($K$7:$K$61)-MIN(ROW($K$7:$K$61))+1,""),""),ROW()-ROW(A$63)+1))),","),"")</f>
        <v/>
      </c>
      <c r="M75" t="str">
        <f t="array" ref="M75">IFERROR(CONCATENATE((INDEX($A$7:$A$61,SMALL(IF($N$7:$N$61&lt;&gt;"",IF($K$7:$K$61&lt;&gt;"",ROW($K$7:$K$61)-MIN(ROW($K$7:$K$61))+1,""),""),ROW()-ROW(A$63)+1))),),"")</f>
        <v/>
      </c>
    </row>
    <row r="76" spans="11:13">
      <c r="K76" t="str">
        <f t="array" ref="K76">IFERROR(CONCATENATE(TEXT(INDEX($K$7:$K$61,SMALL(IF($N$7:$N$61&lt;&gt;"",IF($K$7:$K$61&lt;&gt;"",ROW($K$7:$K$61)-MIN(ROW($K$7:$K$61))+1,""),""),ROW()-ROW(A$63)+1)),"##0"),","),"")</f>
        <v/>
      </c>
      <c r="L76" t="str">
        <f t="array" ref="L76">IFERROR(CONCATENATE((INDEX($N$7:$N$61,SMALL(IF($N$7:$N$61&lt;&gt;"",IF($K$7:$K$61&lt;&gt;"",ROW($K$7:$K$61)-MIN(ROW($K$7:$K$61))+1,""),""),ROW()-ROW(A$63)+1))),","),"")</f>
        <v/>
      </c>
      <c r="M76" t="str">
        <f t="array" ref="M76">IFERROR(CONCATENATE((INDEX($A$7:$A$61,SMALL(IF($N$7:$N$61&lt;&gt;"",IF($K$7:$K$61&lt;&gt;"",ROW($K$7:$K$61)-MIN(ROW($K$7:$K$61))+1,""),""),ROW()-ROW(A$63)+1))),),"")</f>
        <v/>
      </c>
    </row>
    <row r="77" spans="11:13">
      <c r="K77" t="str">
        <f t="array" ref="K77">IFERROR(CONCATENATE(TEXT(INDEX($K$7:$K$61,SMALL(IF($N$7:$N$61&lt;&gt;"",IF($K$7:$K$61&lt;&gt;"",ROW($K$7:$K$61)-MIN(ROW($K$7:$K$61))+1,""),""),ROW()-ROW(A$63)+1)),"##0"),","),"")</f>
        <v/>
      </c>
      <c r="L77" t="str">
        <f t="array" ref="L77">IFERROR(CONCATENATE((INDEX($N$7:$N$61,SMALL(IF($N$7:$N$61&lt;&gt;"",IF($K$7:$K$61&lt;&gt;"",ROW($K$7:$K$61)-MIN(ROW($K$7:$K$61))+1,""),""),ROW()-ROW(A$63)+1))),","),"")</f>
        <v/>
      </c>
      <c r="M77" t="str">
        <f t="array" ref="M77">IFERROR(CONCATENATE((INDEX($A$7:$A$61,SMALL(IF($N$7:$N$61&lt;&gt;"",IF($K$7:$K$61&lt;&gt;"",ROW($K$7:$K$61)-MIN(ROW($K$7:$K$61))+1,""),""),ROW()-ROW(A$63)+1))),),"")</f>
        <v/>
      </c>
    </row>
    <row r="78" spans="11:13">
      <c r="K78" t="str">
        <f t="array" ref="K78">IFERROR(CONCATENATE(TEXT(INDEX($K$7:$K$61,SMALL(IF($N$7:$N$61&lt;&gt;"",IF($K$7:$K$61&lt;&gt;"",ROW($K$7:$K$61)-MIN(ROW($K$7:$K$61))+1,""),""),ROW()-ROW(A$63)+1)),"##0"),","),"")</f>
        <v/>
      </c>
      <c r="L78" t="str">
        <f t="array" ref="L78">IFERROR(CONCATENATE((INDEX($N$7:$N$61,SMALL(IF($N$7:$N$61&lt;&gt;"",IF($K$7:$K$61&lt;&gt;"",ROW($K$7:$K$61)-MIN(ROW($K$7:$K$61))+1,""),""),ROW()-ROW(A$63)+1))),","),"")</f>
        <v/>
      </c>
      <c r="M78" t="str">
        <f t="array" ref="M78">IFERROR(CONCATENATE((INDEX($A$7:$A$61,SMALL(IF($N$7:$N$61&lt;&gt;"",IF($K$7:$K$61&lt;&gt;"",ROW($K$7:$K$61)-MIN(ROW($K$7:$K$61))+1,""),""),ROW()-ROW(A$63)+1))),),"")</f>
        <v/>
      </c>
    </row>
    <row r="79" spans="11:13">
      <c r="K79" t="str">
        <f t="array" ref="K79">IFERROR(CONCATENATE(TEXT(INDEX($K$7:$K$61,SMALL(IF($N$7:$N$61&lt;&gt;"",IF($K$7:$K$61&lt;&gt;"",ROW($K$7:$K$61)-MIN(ROW($K$7:$K$61))+1,""),""),ROW()-ROW(A$63)+1)),"##0"),","),"")</f>
        <v/>
      </c>
      <c r="L79" t="str">
        <f t="array" ref="L79">IFERROR(CONCATENATE((INDEX($N$7:$N$61,SMALL(IF($N$7:$N$61&lt;&gt;"",IF($K$7:$K$61&lt;&gt;"",ROW($K$7:$K$61)-MIN(ROW($K$7:$K$61))+1,""),""),ROW()-ROW(A$63)+1))),","),"")</f>
        <v/>
      </c>
      <c r="M79" t="str">
        <f t="array" ref="M79">IFERROR(CONCATENATE((INDEX($A$7:$A$61,SMALL(IF($N$7:$N$61&lt;&gt;"",IF($K$7:$K$61&lt;&gt;"",ROW($K$7:$K$61)-MIN(ROW($K$7:$K$61))+1,""),""),ROW()-ROW(A$63)+1))),),"")</f>
        <v/>
      </c>
    </row>
    <row r="80" spans="11:13">
      <c r="K80" t="str">
        <f t="array" ref="K80">IFERROR(CONCATENATE(TEXT(INDEX($K$7:$K$61,SMALL(IF($N$7:$N$61&lt;&gt;"",IF($K$7:$K$61&lt;&gt;"",ROW($K$7:$K$61)-MIN(ROW($K$7:$K$61))+1,""),""),ROW()-ROW(A$63)+1)),"##0"),","),"")</f>
        <v/>
      </c>
      <c r="L80" t="str">
        <f t="array" ref="L80">IFERROR(CONCATENATE((INDEX($N$7:$N$61,SMALL(IF($N$7:$N$61&lt;&gt;"",IF($K$7:$K$61&lt;&gt;"",ROW($K$7:$K$61)-MIN(ROW($K$7:$K$61))+1,""),""),ROW()-ROW(A$63)+1))),","),"")</f>
        <v/>
      </c>
      <c r="M80" t="str">
        <f t="array" ref="M80">IFERROR(CONCATENATE((INDEX($A$7:$A$61,SMALL(IF($N$7:$N$61&lt;&gt;"",IF($K$7:$K$61&lt;&gt;"",ROW($K$7:$K$61)-MIN(ROW($K$7:$K$61))+1,""),""),ROW()-ROW(A$63)+1))),),"")</f>
        <v/>
      </c>
    </row>
    <row r="81" spans="11:13">
      <c r="K81" t="str">
        <f t="array" ref="K81">IFERROR(CONCATENATE(TEXT(INDEX($K$7:$K$61,SMALL(IF($N$7:$N$61&lt;&gt;"",IF($K$7:$K$61&lt;&gt;"",ROW($K$7:$K$61)-MIN(ROW($K$7:$K$61))+1,""),""),ROW()-ROW(A$63)+1)),"##0"),","),"")</f>
        <v/>
      </c>
      <c r="L81" t="str">
        <f t="array" ref="L81">IFERROR(CONCATENATE((INDEX($N$7:$N$61,SMALL(IF($N$7:$N$61&lt;&gt;"",IF($K$7:$K$61&lt;&gt;"",ROW($K$7:$K$61)-MIN(ROW($K$7:$K$61))+1,""),""),ROW()-ROW(A$63)+1))),","),"")</f>
        <v/>
      </c>
      <c r="M81" t="str">
        <f t="array" ref="M81">IFERROR(CONCATENATE((INDEX($A$7:$A$61,SMALL(IF($N$7:$N$61&lt;&gt;"",IF($K$7:$K$61&lt;&gt;"",ROW($K$7:$K$61)-MIN(ROW($K$7:$K$61))+1,""),""),ROW()-ROW(A$63)+1))),),"")</f>
        <v/>
      </c>
    </row>
    <row r="82" spans="11:13">
      <c r="K82" t="str">
        <f t="array" ref="K82">IFERROR(CONCATENATE(TEXT(INDEX($K$7:$K$61,SMALL(IF($N$7:$N$61&lt;&gt;"",IF($K$7:$K$61&lt;&gt;"",ROW($K$7:$K$61)-MIN(ROW($K$7:$K$61))+1,""),""),ROW()-ROW(A$63)+1)),"##0"),","),"")</f>
        <v/>
      </c>
      <c r="L82" t="str">
        <f t="array" ref="L82">IFERROR(CONCATENATE((INDEX($N$7:$N$61,SMALL(IF($N$7:$N$61&lt;&gt;"",IF($K$7:$K$61&lt;&gt;"",ROW($K$7:$K$61)-MIN(ROW($K$7:$K$61))+1,""),""),ROW()-ROW(A$63)+1))),","),"")</f>
        <v/>
      </c>
      <c r="M82" t="str">
        <f t="array" ref="M82">IFERROR(CONCATENATE((INDEX($A$7:$A$61,SMALL(IF($N$7:$N$61&lt;&gt;"",IF($K$7:$K$61&lt;&gt;"",ROW($K$7:$K$61)-MIN(ROW($K$7:$K$61))+1,""),""),ROW()-ROW(A$63)+1))),),"")</f>
        <v/>
      </c>
    </row>
    <row r="83" spans="11:13">
      <c r="K83" t="str">
        <f t="array" ref="K83">IFERROR(CONCATENATE(TEXT(INDEX($K$7:$K$61,SMALL(IF($N$7:$N$61&lt;&gt;"",IF($K$7:$K$61&lt;&gt;"",ROW($K$7:$K$61)-MIN(ROW($K$7:$K$61))+1,""),""),ROW()-ROW(A$63)+1)),"##0"),","),"")</f>
        <v/>
      </c>
      <c r="L83" t="str">
        <f t="array" ref="L83">IFERROR(CONCATENATE((INDEX($N$7:$N$61,SMALL(IF($N$7:$N$61&lt;&gt;"",IF($K$7:$K$61&lt;&gt;"",ROW($K$7:$K$61)-MIN(ROW($K$7:$K$61))+1,""),""),ROW()-ROW(A$63)+1))),","),"")</f>
        <v/>
      </c>
      <c r="M83" t="str">
        <f t="array" ref="M83">IFERROR(CONCATENATE((INDEX($A$7:$A$61,SMALL(IF($N$7:$N$61&lt;&gt;"",IF($K$7:$K$61&lt;&gt;"",ROW($K$7:$K$61)-MIN(ROW($K$7:$K$61))+1,""),""),ROW()-ROW(A$63)+1))),),"")</f>
        <v/>
      </c>
    </row>
    <row r="84" spans="11:13">
      <c r="K84" t="str">
        <f t="array" ref="K84">IFERROR(CONCATENATE(TEXT(INDEX($K$7:$K$61,SMALL(IF($N$7:$N$61&lt;&gt;"",IF($K$7:$K$61&lt;&gt;"",ROW($K$7:$K$61)-MIN(ROW($K$7:$K$61))+1,""),""),ROW()-ROW(A$63)+1)),"##0"),","),"")</f>
        <v/>
      </c>
      <c r="L84" t="str">
        <f t="array" ref="L84">IFERROR(CONCATENATE((INDEX($N$7:$N$61,SMALL(IF($N$7:$N$61&lt;&gt;"",IF($K$7:$K$61&lt;&gt;"",ROW($K$7:$K$61)-MIN(ROW($K$7:$K$61))+1,""),""),ROW()-ROW(A$63)+1))),","),"")</f>
        <v/>
      </c>
      <c r="M84" t="str">
        <f t="array" ref="M84">IFERROR(CONCATENATE((INDEX($A$7:$A$61,SMALL(IF($N$7:$N$61&lt;&gt;"",IF($K$7:$K$61&lt;&gt;"",ROW($K$7:$K$61)-MIN(ROW($K$7:$K$61))+1,""),""),ROW()-ROW(A$63)+1))),),"")</f>
        <v/>
      </c>
    </row>
    <row r="85" spans="11:13">
      <c r="K85" t="str">
        <f t="array" ref="K85">IFERROR(CONCATENATE(TEXT(INDEX($K$7:$K$61,SMALL(IF($N$7:$N$61&lt;&gt;"",IF($K$7:$K$61&lt;&gt;"",ROW($K$7:$K$61)-MIN(ROW($K$7:$K$61))+1,""),""),ROW()-ROW(A$63)+1)),"##0"),","),"")</f>
        <v/>
      </c>
      <c r="L85" t="str">
        <f t="array" ref="L85">IFERROR(CONCATENATE((INDEX($N$7:$N$61,SMALL(IF($N$7:$N$61&lt;&gt;"",IF($K$7:$K$61&lt;&gt;"",ROW($K$7:$K$61)-MIN(ROW($K$7:$K$61))+1,""),""),ROW()-ROW(A$63)+1))),","),"")</f>
        <v/>
      </c>
      <c r="M85" t="str">
        <f t="array" ref="M85">IFERROR(CONCATENATE((INDEX($A$7:$A$61,SMALL(IF($N$7:$N$61&lt;&gt;"",IF($K$7:$K$61&lt;&gt;"",ROW($K$7:$K$61)-MIN(ROW($K$7:$K$61))+1,""),""),ROW()-ROW(A$63)+1))),),"")</f>
        <v/>
      </c>
    </row>
    <row r="86" spans="11:13">
      <c r="K86" t="str">
        <f t="array" ref="K86">IFERROR(CONCATENATE(TEXT(INDEX($K$7:$K$61,SMALL(IF($N$7:$N$61&lt;&gt;"",IF($K$7:$K$61&lt;&gt;"",ROW($K$7:$K$61)-MIN(ROW($K$7:$K$61))+1,""),""),ROW()-ROW(A$63)+1)),"##0"),","),"")</f>
        <v/>
      </c>
      <c r="L86" t="str">
        <f t="array" ref="L86">IFERROR(CONCATENATE((INDEX($N$7:$N$61,SMALL(IF($N$7:$N$61&lt;&gt;"",IF($K$7:$K$61&lt;&gt;"",ROW($K$7:$K$61)-MIN(ROW($K$7:$K$61))+1,""),""),ROW()-ROW(A$63)+1))),","),"")</f>
        <v/>
      </c>
      <c r="M86" t="str">
        <f t="array" ref="M86">IFERROR(CONCATENATE((INDEX($A$7:$A$61,SMALL(IF($N$7:$N$61&lt;&gt;"",IF($K$7:$K$61&lt;&gt;"",ROW($K$7:$K$61)-MIN(ROW($K$7:$K$61))+1,""),""),ROW()-ROW(A$63)+1))),),"")</f>
        <v/>
      </c>
    </row>
    <row r="87" spans="11:13">
      <c r="K87" t="str">
        <f t="array" ref="K87">IFERROR(CONCATENATE(TEXT(INDEX($K$7:$K$61,SMALL(IF($N$7:$N$61&lt;&gt;"",IF($K$7:$K$61&lt;&gt;"",ROW($K$7:$K$61)-MIN(ROW($K$7:$K$61))+1,""),""),ROW()-ROW(A$63)+1)),"##0"),","),"")</f>
        <v/>
      </c>
      <c r="L87" t="str">
        <f t="array" ref="L87">IFERROR(CONCATENATE((INDEX($N$7:$N$61,SMALL(IF($N$7:$N$61&lt;&gt;"",IF($K$7:$K$61&lt;&gt;"",ROW($K$7:$K$61)-MIN(ROW($K$7:$K$61))+1,""),""),ROW()-ROW(A$63)+1))),","),"")</f>
        <v/>
      </c>
      <c r="M87" t="str">
        <f t="array" ref="M87">IFERROR(CONCATENATE((INDEX($A$7:$A$61,SMALL(IF($N$7:$N$61&lt;&gt;"",IF($K$7:$K$61&lt;&gt;"",ROW($K$7:$K$61)-MIN(ROW($K$7:$K$61))+1,""),""),ROW()-ROW(A$63)+1))),),"")</f>
        <v/>
      </c>
    </row>
    <row r="88" spans="11:13">
      <c r="K88" t="str">
        <f t="array" ref="K88">IFERROR(CONCATENATE(TEXT(INDEX($K$7:$K$61,SMALL(IF($N$7:$N$61&lt;&gt;"",IF($K$7:$K$61&lt;&gt;"",ROW($K$7:$K$61)-MIN(ROW($K$7:$K$61))+1,""),""),ROW()-ROW(A$63)+1)),"##0"),","),"")</f>
        <v/>
      </c>
      <c r="L88" t="str">
        <f t="array" ref="L88">IFERROR(CONCATENATE((INDEX($N$7:$N$61,SMALL(IF($N$7:$N$61&lt;&gt;"",IF($K$7:$K$61&lt;&gt;"",ROW($K$7:$K$61)-MIN(ROW($K$7:$K$61))+1,""),""),ROW()-ROW(A$63)+1))),","),"")</f>
        <v/>
      </c>
      <c r="M88" t="str">
        <f t="array" ref="M88">IFERROR(CONCATENATE((INDEX($A$7:$A$61,SMALL(IF($N$7:$N$61&lt;&gt;"",IF($K$7:$K$61&lt;&gt;"",ROW($K$7:$K$61)-MIN(ROW($K$7:$K$61))+1,""),""),ROW()-ROW(A$63)+1))),),"")</f>
        <v/>
      </c>
    </row>
    <row r="89" spans="11:13">
      <c r="K89" t="str">
        <f t="array" ref="K89">IFERROR(CONCATENATE(TEXT(INDEX($K$7:$K$61,SMALL(IF($N$7:$N$61&lt;&gt;"",IF($K$7:$K$61&lt;&gt;"",ROW($K$7:$K$61)-MIN(ROW($K$7:$K$61))+1,""),""),ROW()-ROW(A$63)+1)),"##0"),","),"")</f>
        <v/>
      </c>
      <c r="L89" t="str">
        <f t="array" ref="L89">IFERROR(CONCATENATE((INDEX($N$7:$N$61,SMALL(IF($N$7:$N$61&lt;&gt;"",IF($K$7:$K$61&lt;&gt;"",ROW($K$7:$K$61)-MIN(ROW($K$7:$K$61))+1,""),""),ROW()-ROW(A$63)+1))),","),"")</f>
        <v/>
      </c>
      <c r="M89" t="str">
        <f t="array" ref="M89">IFERROR(CONCATENATE((INDEX($A$7:$A$61,SMALL(IF($N$7:$N$61&lt;&gt;"",IF($K$7:$K$61&lt;&gt;"",ROW($K$7:$K$61)-MIN(ROW($K$7:$K$61))+1,""),""),ROW()-ROW(A$63)+1))),),"")</f>
        <v/>
      </c>
    </row>
    <row r="90" spans="11:13">
      <c r="K90" t="str">
        <f t="array" ref="K90">IFERROR(CONCATENATE(TEXT(INDEX($K$7:$K$61,SMALL(IF($N$7:$N$61&lt;&gt;"",IF($K$7:$K$61&lt;&gt;"",ROW($K$7:$K$61)-MIN(ROW($K$7:$K$61))+1,""),""),ROW()-ROW(A$63)+1)),"##0"),","),"")</f>
        <v/>
      </c>
      <c r="L90" t="str">
        <f t="array" ref="L90">IFERROR(CONCATENATE((INDEX($N$7:$N$61,SMALL(IF($N$7:$N$61&lt;&gt;"",IF($K$7:$K$61&lt;&gt;"",ROW($K$7:$K$61)-MIN(ROW($K$7:$K$61))+1,""),""),ROW()-ROW(A$63)+1))),","),"")</f>
        <v/>
      </c>
      <c r="M90" t="str">
        <f t="array" ref="M90">IFERROR(CONCATENATE((INDEX($A$7:$A$61,SMALL(IF($N$7:$N$61&lt;&gt;"",IF($K$7:$K$61&lt;&gt;"",ROW($K$7:$K$61)-MIN(ROW($K$7:$K$61))+1,""),""),ROW()-ROW(A$63)+1))),),"")</f>
        <v/>
      </c>
    </row>
    <row r="91" spans="11:13">
      <c r="K91" t="str">
        <f t="array" ref="K91">IFERROR(CONCATENATE(TEXT(INDEX($K$7:$K$61,SMALL(IF($N$7:$N$61&lt;&gt;"",IF($K$7:$K$61&lt;&gt;"",ROW($K$7:$K$61)-MIN(ROW($K$7:$K$61))+1,""),""),ROW()-ROW(A$63)+1)),"##0"),","),"")</f>
        <v/>
      </c>
      <c r="L91" t="str">
        <f t="array" ref="L91">IFERROR(CONCATENATE((INDEX($N$7:$N$61,SMALL(IF($N$7:$N$61&lt;&gt;"",IF($K$7:$K$61&lt;&gt;"",ROW($K$7:$K$61)-MIN(ROW($K$7:$K$61))+1,""),""),ROW()-ROW(A$63)+1))),","),"")</f>
        <v/>
      </c>
      <c r="M91" t="str">
        <f t="array" ref="M91">IFERROR(CONCATENATE((INDEX($A$7:$A$61,SMALL(IF($N$7:$N$61&lt;&gt;"",IF($K$7:$K$61&lt;&gt;"",ROW($K$7:$K$61)-MIN(ROW($K$7:$K$61))+1,""),""),ROW()-ROW(A$63)+1))),),"")</f>
        <v/>
      </c>
    </row>
    <row r="92" spans="11:13">
      <c r="K92" t="str">
        <f t="array" ref="K92">IFERROR(CONCATENATE(TEXT(INDEX($K$7:$K$61,SMALL(IF($N$7:$N$61&lt;&gt;"",IF($K$7:$K$61&lt;&gt;"",ROW($K$7:$K$61)-MIN(ROW($K$7:$K$61))+1,""),""),ROW()-ROW(A$63)+1)),"##0"),","),"")</f>
        <v/>
      </c>
      <c r="L92" t="str">
        <f t="array" ref="L92">IFERROR(CONCATENATE((INDEX($N$7:$N$61,SMALL(IF($N$7:$N$61&lt;&gt;"",IF($K$7:$K$61&lt;&gt;"",ROW($K$7:$K$61)-MIN(ROW($K$7:$K$61))+1,""),""),ROW()-ROW(A$63)+1))),","),"")</f>
        <v/>
      </c>
      <c r="M92" t="str">
        <f t="array" ref="M92">IFERROR(CONCATENATE((INDEX($A$7:$A$61,SMALL(IF($N$7:$N$61&lt;&gt;"",IF($K$7:$K$61&lt;&gt;"",ROW($K$7:$K$61)-MIN(ROW($K$7:$K$61))+1,""),""),ROW()-ROW(A$63)+1))),),"")</f>
        <v/>
      </c>
    </row>
    <row r="93" spans="11:13">
      <c r="K93" t="str">
        <f t="array" ref="K93">IFERROR(CONCATENATE(TEXT(INDEX($K$7:$K$61,SMALL(IF($N$7:$N$61&lt;&gt;"",IF($K$7:$K$61&lt;&gt;"",ROW($K$7:$K$61)-MIN(ROW($K$7:$K$61))+1,""),""),ROW()-ROW(A$63)+1)),"##0"),","),"")</f>
        <v/>
      </c>
      <c r="L93" t="str">
        <f t="array" ref="L93">IFERROR(CONCATENATE((INDEX($N$7:$N$61,SMALL(IF($N$7:$N$61&lt;&gt;"",IF($K$7:$K$61&lt;&gt;"",ROW($K$7:$K$61)-MIN(ROW($K$7:$K$61))+1,""),""),ROW()-ROW(A$63)+1))),","),"")</f>
        <v/>
      </c>
      <c r="M93" t="str">
        <f t="array" ref="M93">IFERROR(CONCATENATE((INDEX($A$7:$A$61,SMALL(IF($N$7:$N$61&lt;&gt;"",IF($K$7:$K$61&lt;&gt;"",ROW($K$7:$K$61)-MIN(ROW($K$7:$K$61))+1,""),""),ROW()-ROW(A$63)+1))),),"")</f>
        <v/>
      </c>
    </row>
    <row r="94" spans="11:13">
      <c r="K94" t="str">
        <f t="array" ref="K94">IFERROR(CONCATENATE(TEXT(INDEX($K$7:$K$61,SMALL(IF($N$7:$N$61&lt;&gt;"",IF($K$7:$K$61&lt;&gt;"",ROW($K$7:$K$61)-MIN(ROW($K$7:$K$61))+1,""),""),ROW()-ROW(A$63)+1)),"##0"),","),"")</f>
        <v/>
      </c>
      <c r="L94" t="str">
        <f t="array" ref="L94">IFERROR(CONCATENATE((INDEX($N$7:$N$61,SMALL(IF($N$7:$N$61&lt;&gt;"",IF($K$7:$K$61&lt;&gt;"",ROW($K$7:$K$61)-MIN(ROW($K$7:$K$61))+1,""),""),ROW()-ROW(A$63)+1))),","),"")</f>
        <v/>
      </c>
      <c r="M94" t="str">
        <f t="array" ref="M94">IFERROR(CONCATENATE((INDEX($A$7:$A$61,SMALL(IF($N$7:$N$61&lt;&gt;"",IF($K$7:$K$61&lt;&gt;"",ROW($K$7:$K$61)-MIN(ROW($K$7:$K$61))+1,""),""),ROW()-ROW(A$63)+1))),),"")</f>
        <v/>
      </c>
    </row>
    <row r="95" spans="11:13">
      <c r="K95" t="str">
        <f t="array" ref="K95">IFERROR(CONCATENATE(TEXT(INDEX($K$7:$K$61,SMALL(IF($N$7:$N$61&lt;&gt;"",IF($K$7:$K$61&lt;&gt;"",ROW($K$7:$K$61)-MIN(ROW($K$7:$K$61))+1,""),""),ROW()-ROW(A$63)+1)),"##0"),","),"")</f>
        <v/>
      </c>
      <c r="L95" t="str">
        <f t="array" ref="L95">IFERROR(CONCATENATE((INDEX($N$7:$N$61,SMALL(IF($N$7:$N$61&lt;&gt;"",IF($K$7:$K$61&lt;&gt;"",ROW($K$7:$K$61)-MIN(ROW($K$7:$K$61))+1,""),""),ROW()-ROW(A$63)+1))),","),"")</f>
        <v/>
      </c>
      <c r="M95" t="str">
        <f t="array" ref="M95">IFERROR(CONCATENATE((INDEX($A$7:$A$61,SMALL(IF($N$7:$N$61&lt;&gt;"",IF($K$7:$K$61&lt;&gt;"",ROW($K$7:$K$61)-MIN(ROW($K$7:$K$61))+1,""),""),ROW()-ROW(A$63)+1))),),"")</f>
        <v/>
      </c>
    </row>
    <row r="96" spans="11:13">
      <c r="K96" t="str">
        <f t="array" ref="K96">IFERROR(CONCATENATE(TEXT(INDEX($K$7:$K$61,SMALL(IF($N$7:$N$61&lt;&gt;"",IF($K$7:$K$61&lt;&gt;"",ROW($K$7:$K$61)-MIN(ROW($K$7:$K$61))+1,""),""),ROW()-ROW(A$63)+1)),"##0"),","),"")</f>
        <v/>
      </c>
      <c r="L96" t="str">
        <f t="array" ref="L96">IFERROR(CONCATENATE((INDEX($N$7:$N$61,SMALL(IF($N$7:$N$61&lt;&gt;"",IF($K$7:$K$61&lt;&gt;"",ROW($K$7:$K$61)-MIN(ROW($K$7:$K$61))+1,""),""),ROW()-ROW(A$63)+1))),","),"")</f>
        <v/>
      </c>
      <c r="M96" t="str">
        <f t="array" ref="M96">IFERROR(CONCATENATE((INDEX($A$7:$A$61,SMALL(IF($N$7:$N$61&lt;&gt;"",IF($K$7:$K$61&lt;&gt;"",ROW($K$7:$K$61)-MIN(ROW($K$7:$K$61))+1,""),""),ROW()-ROW(A$63)+1))),),"")</f>
        <v/>
      </c>
    </row>
    <row r="97" spans="11:13">
      <c r="K97" t="str">
        <f t="array" ref="K97">IFERROR(CONCATENATE(TEXT(INDEX($K$7:$K$61,SMALL(IF($N$7:$N$61&lt;&gt;"",IF($K$7:$K$61&lt;&gt;"",ROW($K$7:$K$61)-MIN(ROW($K$7:$K$61))+1,""),""),ROW()-ROW(A$63)+1)),"##0"),","),"")</f>
        <v/>
      </c>
      <c r="L97" t="str">
        <f t="array" ref="L97">IFERROR(CONCATENATE((INDEX($N$7:$N$61,SMALL(IF($N$7:$N$61&lt;&gt;"",IF($K$7:$K$61&lt;&gt;"",ROW($K$7:$K$61)-MIN(ROW($K$7:$K$61))+1,""),""),ROW()-ROW(A$63)+1))),","),"")</f>
        <v/>
      </c>
      <c r="M97" t="str">
        <f t="array" ref="M97">IFERROR(CONCATENATE((INDEX($A$7:$A$61,SMALL(IF($N$7:$N$61&lt;&gt;"",IF($K$7:$K$61&lt;&gt;"",ROW($K$7:$K$61)-MIN(ROW($K$7:$K$61))+1,""),""),ROW()-ROW(A$63)+1))),),"")</f>
        <v/>
      </c>
    </row>
    <row r="98" spans="11:13">
      <c r="K98" t="str">
        <f t="array" ref="K98">IFERROR(CONCATENATE(TEXT(INDEX($K$7:$K$61,SMALL(IF($N$7:$N$61&lt;&gt;"",IF($K$7:$K$61&lt;&gt;"",ROW($K$7:$K$61)-MIN(ROW($K$7:$K$61))+1,""),""),ROW()-ROW(A$63)+1)),"##0"),","),"")</f>
        <v/>
      </c>
      <c r="L98" t="str">
        <f t="array" ref="L98">IFERROR(CONCATENATE((INDEX($N$7:$N$61,SMALL(IF($N$7:$N$61&lt;&gt;"",IF($K$7:$K$61&lt;&gt;"",ROW($K$7:$K$61)-MIN(ROW($K$7:$K$61))+1,""),""),ROW()-ROW(A$63)+1))),","),"")</f>
        <v/>
      </c>
      <c r="M98" t="str">
        <f t="array" ref="M98">IFERROR(CONCATENATE((INDEX($A$7:$A$61,SMALL(IF($N$7:$N$61&lt;&gt;"",IF($K$7:$K$61&lt;&gt;"",ROW($K$7:$K$61)-MIN(ROW($K$7:$K$61))+1,""),""),ROW()-ROW(A$63)+1))),),"")</f>
        <v/>
      </c>
    </row>
    <row r="99" spans="11:13">
      <c r="K99" t="str">
        <f t="array" ref="K99">IFERROR(CONCATENATE(TEXT(INDEX($K$7:$K$61,SMALL(IF($N$7:$N$61&lt;&gt;"",IF($K$7:$K$61&lt;&gt;"",ROW($K$7:$K$61)-MIN(ROW($K$7:$K$61))+1,""),""),ROW()-ROW(A$63)+1)),"##0"),","),"")</f>
        <v/>
      </c>
      <c r="L99" t="str">
        <f t="array" ref="L99">IFERROR(CONCATENATE((INDEX($N$7:$N$61,SMALL(IF($N$7:$N$61&lt;&gt;"",IF($K$7:$K$61&lt;&gt;"",ROW($K$7:$K$61)-MIN(ROW($K$7:$K$61))+1,""),""),ROW()-ROW(A$63)+1))),","),"")</f>
        <v/>
      </c>
      <c r="M99" t="str">
        <f t="array" ref="M99">IFERROR(CONCATENATE((INDEX($A$7:$A$61,SMALL(IF($N$7:$N$61&lt;&gt;"",IF($K$7:$K$61&lt;&gt;"",ROW($K$7:$K$61)-MIN(ROW($K$7:$K$61))+1,""),""),ROW()-ROW(A$63)+1))),),"")</f>
        <v/>
      </c>
    </row>
    <row r="100" spans="11:13">
      <c r="K100" t="str">
        <f t="array" ref="K100">IFERROR(CONCATENATE(TEXT(INDEX($K$7:$K$61,SMALL(IF($N$7:$N$61&lt;&gt;"",IF($K$7:$K$61&lt;&gt;"",ROW($K$7:$K$61)-MIN(ROW($K$7:$K$61))+1,""),""),ROW()-ROW(A$63)+1)),"##0"),","),"")</f>
        <v/>
      </c>
      <c r="L100" t="str">
        <f t="array" ref="L100">IFERROR(CONCATENATE((INDEX($N$7:$N$61,SMALL(IF($N$7:$N$61&lt;&gt;"",IF($K$7:$K$61&lt;&gt;"",ROW($K$7:$K$61)-MIN(ROW($K$7:$K$61))+1,""),""),ROW()-ROW(A$63)+1))),","),"")</f>
        <v/>
      </c>
      <c r="M100" t="str">
        <f t="array" ref="M100">IFERROR(CONCATENATE((INDEX($A$7:$A$61,SMALL(IF($N$7:$N$61&lt;&gt;"",IF($K$7:$K$61&lt;&gt;"",ROW($K$7:$K$61)-MIN(ROW($K$7:$K$61))+1,""),""),ROW()-ROW(A$63)+1))),),"")</f>
        <v/>
      </c>
    </row>
    <row r="101" spans="11:13">
      <c r="K101" t="str">
        <f t="array" ref="K101">IFERROR(CONCATENATE(TEXT(INDEX($K$7:$K$61,SMALL(IF($N$7:$N$61&lt;&gt;"",IF($K$7:$K$61&lt;&gt;"",ROW($K$7:$K$61)-MIN(ROW($K$7:$K$61))+1,""),""),ROW()-ROW(A$63)+1)),"##0"),","),"")</f>
        <v/>
      </c>
      <c r="L101" t="str">
        <f t="array" ref="L101">IFERROR(CONCATENATE((INDEX($N$7:$N$61,SMALL(IF($N$7:$N$61&lt;&gt;"",IF($K$7:$K$61&lt;&gt;"",ROW($K$7:$K$61)-MIN(ROW($K$7:$K$61))+1,""),""),ROW()-ROW(A$63)+1))),","),"")</f>
        <v/>
      </c>
      <c r="M101" t="str">
        <f t="array" ref="M101">IFERROR(CONCATENATE((INDEX($A$7:$A$61,SMALL(IF($N$7:$N$61&lt;&gt;"",IF($K$7:$K$61&lt;&gt;"",ROW($K$7:$K$61)-MIN(ROW($K$7:$K$61))+1,""),""),ROW()-ROW(A$63)+1))),),"")</f>
        <v/>
      </c>
    </row>
    <row r="102" spans="11:13">
      <c r="K102" t="str">
        <f t="array" ref="K102">IFERROR(CONCATENATE(TEXT(INDEX($K$7:$K$61,SMALL(IF($N$7:$N$61&lt;&gt;"",IF($K$7:$K$61&lt;&gt;"",ROW($K$7:$K$61)-MIN(ROW($K$7:$K$61))+1,""),""),ROW()-ROW(A$63)+1)),"##0"),","),"")</f>
        <v/>
      </c>
      <c r="L102" t="str">
        <f t="array" ref="L102">IFERROR(CONCATENATE((INDEX($N$7:$N$61,SMALL(IF($N$7:$N$61&lt;&gt;"",IF($K$7:$K$61&lt;&gt;"",ROW($K$7:$K$61)-MIN(ROW($K$7:$K$61))+1,""),""),ROW()-ROW(A$63)+1))),","),"")</f>
        <v/>
      </c>
      <c r="M102" t="str">
        <f t="array" ref="M102">IFERROR(CONCATENATE((INDEX($A$7:$A$61,SMALL(IF($N$7:$N$61&lt;&gt;"",IF($K$7:$K$61&lt;&gt;"",ROW($K$7:$K$61)-MIN(ROW($K$7:$K$61))+1,""),""),ROW()-ROW(A$63)+1))),),"")</f>
        <v/>
      </c>
    </row>
    <row r="103" spans="11:13">
      <c r="K103" t="str">
        <f t="array" ref="K103">IFERROR(CONCATENATE(TEXT(INDEX($K$7:$K$61,SMALL(IF($N$7:$N$61&lt;&gt;"",IF($K$7:$K$61&lt;&gt;"",ROW($K$7:$K$61)-MIN(ROW($K$7:$K$61))+1,""),""),ROW()-ROW(A$63)+1)),"##0"),","),"")</f>
        <v/>
      </c>
      <c r="L103" t="str">
        <f t="array" ref="L103">IFERROR(CONCATENATE((INDEX($N$7:$N$61,SMALL(IF($N$7:$N$61&lt;&gt;"",IF($K$7:$K$61&lt;&gt;"",ROW($K$7:$K$61)-MIN(ROW($K$7:$K$61))+1,""),""),ROW()-ROW(A$63)+1))),","),"")</f>
        <v/>
      </c>
      <c r="M103" t="str">
        <f t="array" ref="M103">IFERROR(CONCATENATE((INDEX($A$7:$A$61,SMALL(IF($N$7:$N$61&lt;&gt;"",IF($K$7:$K$61&lt;&gt;"",ROW($K$7:$K$61)-MIN(ROW($K$7:$K$61))+1,""),""),ROW()-ROW(A$63)+1))),),"")</f>
        <v/>
      </c>
    </row>
    <row r="104" spans="11:13">
      <c r="K104" t="str">
        <f t="array" ref="K104">IFERROR(CONCATENATE(TEXT(INDEX($K$7:$K$61,SMALL(IF($N$7:$N$61&lt;&gt;"",IF($K$7:$K$61&lt;&gt;"",ROW($K$7:$K$61)-MIN(ROW($K$7:$K$61))+1,""),""),ROW()-ROW(A$63)+1)),"##0"),","),"")</f>
        <v/>
      </c>
      <c r="L104" t="str">
        <f t="array" ref="L104">IFERROR(CONCATENATE((INDEX($N$7:$N$61,SMALL(IF($N$7:$N$61&lt;&gt;"",IF($K$7:$K$61&lt;&gt;"",ROW($K$7:$K$61)-MIN(ROW($K$7:$K$61))+1,""),""),ROW()-ROW(A$63)+1))),","),"")</f>
        <v/>
      </c>
      <c r="M104" t="str">
        <f t="array" ref="M104">IFERROR(CONCATENATE((INDEX($A$7:$A$61,SMALL(IF($N$7:$N$61&lt;&gt;"",IF($K$7:$K$61&lt;&gt;"",ROW($K$7:$K$61)-MIN(ROW($K$7:$K$61))+1,""),""),ROW()-ROW(A$63)+1))),),"")</f>
        <v/>
      </c>
    </row>
    <row r="105" spans="11:13">
      <c r="K105" t="str">
        <f t="array" ref="K105">IFERROR(CONCATENATE(TEXT(INDEX($K$7:$K$61,SMALL(IF($N$7:$N$61&lt;&gt;"",IF($K$7:$K$61&lt;&gt;"",ROW($K$7:$K$61)-MIN(ROW($K$7:$K$61))+1,""),""),ROW()-ROW(A$63)+1)),"##0"),","),"")</f>
        <v/>
      </c>
      <c r="L105" t="str">
        <f t="array" ref="L105">IFERROR(CONCATENATE((INDEX($N$7:$N$61,SMALL(IF($N$7:$N$61&lt;&gt;"",IF($K$7:$K$61&lt;&gt;"",ROW($K$7:$K$61)-MIN(ROW($K$7:$K$61))+1,""),""),ROW()-ROW(A$63)+1))),","),"")</f>
        <v/>
      </c>
      <c r="M105" t="str">
        <f t="array" ref="M105">IFERROR(CONCATENATE((INDEX($A$7:$A$61,SMALL(IF($N$7:$N$61&lt;&gt;"",IF($K$7:$K$61&lt;&gt;"",ROW($K$7:$K$61)-MIN(ROW($K$7:$K$61))+1,""),""),ROW()-ROW(A$63)+1))),),"")</f>
        <v/>
      </c>
    </row>
    <row r="106" spans="11:13">
      <c r="K106" t="str">
        <f t="array" ref="K106">IFERROR(CONCATENATE(TEXT(INDEX($K$7:$K$61,SMALL(IF($N$7:$N$61&lt;&gt;"",IF($K$7:$K$61&lt;&gt;"",ROW($K$7:$K$61)-MIN(ROW($K$7:$K$61))+1,""),""),ROW()-ROW(A$63)+1)),"##0"),","),"")</f>
        <v/>
      </c>
      <c r="L106" t="str">
        <f t="array" ref="L106">IFERROR(CONCATENATE((INDEX($N$7:$N$61,SMALL(IF($N$7:$N$61&lt;&gt;"",IF($K$7:$K$61&lt;&gt;"",ROW($K$7:$K$61)-MIN(ROW($K$7:$K$61))+1,""),""),ROW()-ROW(A$63)+1))),","),"")</f>
        <v/>
      </c>
      <c r="M106" t="str">
        <f t="array" ref="M106">IFERROR(CONCATENATE((INDEX($A$7:$A$61,SMALL(IF($N$7:$N$61&lt;&gt;"",IF($K$7:$K$61&lt;&gt;"",ROW($K$7:$K$61)-MIN(ROW($K$7:$K$61))+1,""),""),ROW()-ROW(A$63)+1))),),"")</f>
        <v/>
      </c>
    </row>
    <row r="107" spans="11:13">
      <c r="K107" t="str">
        <f t="array" ref="K107">IFERROR(CONCATENATE(TEXT(INDEX($K$7:$K$61,SMALL(IF($N$7:$N$61&lt;&gt;"",IF($K$7:$K$61&lt;&gt;"",ROW($K$7:$K$61)-MIN(ROW($K$7:$K$61))+1,""),""),ROW()-ROW(A$63)+1)),"##0"),","),"")</f>
        <v/>
      </c>
      <c r="L107" t="str">
        <f t="array" ref="L107">IFERROR(CONCATENATE((INDEX($N$7:$N$61,SMALL(IF($N$7:$N$61&lt;&gt;"",IF($K$7:$K$61&lt;&gt;"",ROW($K$7:$K$61)-MIN(ROW($K$7:$K$61))+1,""),""),ROW()-ROW(A$63)+1))),","),"")</f>
        <v/>
      </c>
      <c r="M107" t="str">
        <f t="array" ref="M107">IFERROR(CONCATENATE((INDEX($A$7:$A$61,SMALL(IF($N$7:$N$61&lt;&gt;"",IF($K$7:$K$61&lt;&gt;"",ROW($K$7:$K$61)-MIN(ROW($K$7:$K$61))+1,""),""),ROW()-ROW(A$63)+1))),),"")</f>
        <v/>
      </c>
    </row>
    <row r="108" spans="11:13">
      <c r="K108" t="str">
        <f t="array" ref="K108">IFERROR(CONCATENATE(TEXT(INDEX($K$7:$K$61,SMALL(IF($N$7:$N$61&lt;&gt;"",IF($K$7:$K$61&lt;&gt;"",ROW($K$7:$K$61)-MIN(ROW($K$7:$K$61))+1,""),""),ROW()-ROW(A$63)+1)),"##0"),","),"")</f>
        <v/>
      </c>
      <c r="L108" t="str">
        <f t="array" ref="L108">IFERROR(CONCATENATE((INDEX($N$7:$N$61,SMALL(IF($N$7:$N$61&lt;&gt;"",IF($K$7:$K$61&lt;&gt;"",ROW($K$7:$K$61)-MIN(ROW($K$7:$K$61))+1,""),""),ROW()-ROW(A$63)+1))),","),"")</f>
        <v/>
      </c>
      <c r="M108" t="str">
        <f t="array" ref="M108">IFERROR(CONCATENATE((INDEX($A$7:$A$61,SMALL(IF($N$7:$N$61&lt;&gt;"",IF($K$7:$K$61&lt;&gt;"",ROW($K$7:$K$61)-MIN(ROW($K$7:$K$61))+1,""),""),ROW()-ROW(A$63)+1))),),"")</f>
        <v/>
      </c>
    </row>
    <row r="109" spans="11:13">
      <c r="K109" t="str">
        <f t="array" ref="K109">IFERROR(CONCATENATE(TEXT(INDEX($K$7:$K$61,SMALL(IF($N$7:$N$61&lt;&gt;"",IF($K$7:$K$61&lt;&gt;"",ROW($K$7:$K$61)-MIN(ROW($K$7:$K$61))+1,""),""),ROW()-ROW(A$63)+1)),"##0"),","),"")</f>
        <v/>
      </c>
      <c r="L109" t="str">
        <f t="array" ref="L109">IFERROR(CONCATENATE((INDEX($N$7:$N$61,SMALL(IF($N$7:$N$61&lt;&gt;"",IF($K$7:$K$61&lt;&gt;"",ROW($K$7:$K$61)-MIN(ROW($K$7:$K$61))+1,""),""),ROW()-ROW(A$63)+1))),","),"")</f>
        <v/>
      </c>
      <c r="M109" t="str">
        <f t="array" ref="M109">IFERROR(CONCATENATE((INDEX($A$7:$A$61,SMALL(IF($N$7:$N$61&lt;&gt;"",IF($K$7:$K$61&lt;&gt;"",ROW($K$7:$K$61)-MIN(ROW($K$7:$K$61))+1,""),""),ROW()-ROW(A$63)+1))),),"")</f>
        <v/>
      </c>
    </row>
    <row r="110" spans="11:13">
      <c r="K110" t="str">
        <f t="array" ref="K110">IFERROR(CONCATENATE(TEXT(INDEX($K$7:$K$61,SMALL(IF($N$7:$N$61&lt;&gt;"",IF($K$7:$K$61&lt;&gt;"",ROW($K$7:$K$61)-MIN(ROW($K$7:$K$61))+1,""),""),ROW()-ROW(A$63)+1)),"##0"),","),"")</f>
        <v/>
      </c>
      <c r="L110" t="str">
        <f t="array" ref="L110">IFERROR(CONCATENATE((INDEX($N$7:$N$61,SMALL(IF($N$7:$N$61&lt;&gt;"",IF($K$7:$K$61&lt;&gt;"",ROW($K$7:$K$61)-MIN(ROW($K$7:$K$61))+1,""),""),ROW()-ROW(A$63)+1))),","),"")</f>
        <v/>
      </c>
      <c r="M110" t="str">
        <f t="array" ref="M110">IFERROR(CONCATENATE((INDEX($A$7:$A$61,SMALL(IF($N$7:$N$61&lt;&gt;"",IF($K$7:$K$61&lt;&gt;"",ROW($K$7:$K$61)-MIN(ROW($K$7:$K$61))+1,""),""),ROW()-ROW(A$63)+1))),),"")</f>
        <v/>
      </c>
    </row>
    <row r="111" spans="11:13">
      <c r="K111" t="str">
        <f t="array" ref="K111">IFERROR(CONCATENATE(TEXT(INDEX($K$7:$K$61,SMALL(IF($N$7:$N$61&lt;&gt;"",IF($K$7:$K$61&lt;&gt;"",ROW($K$7:$K$61)-MIN(ROW($K$7:$K$61))+1,""),""),ROW()-ROW(A$63)+1)),"##0"),","),"")</f>
        <v/>
      </c>
      <c r="L111" t="str">
        <f t="array" ref="L111">IFERROR(CONCATENATE((INDEX($N$7:$N$61,SMALL(IF($N$7:$N$61&lt;&gt;"",IF($K$7:$K$61&lt;&gt;"",ROW($K$7:$K$61)-MIN(ROW($K$7:$K$61))+1,""),""),ROW()-ROW(A$63)+1))),","),"")</f>
        <v/>
      </c>
      <c r="M111" t="str">
        <f t="array" ref="M111">IFERROR(CONCATENATE((INDEX($A$7:$A$61,SMALL(IF($N$7:$N$61&lt;&gt;"",IF($K$7:$K$61&lt;&gt;"",ROW($K$7:$K$61)-MIN(ROW($K$7:$K$61))+1,""),""),ROW()-ROW(A$63)+1))),),"")</f>
        <v/>
      </c>
    </row>
    <row r="112" spans="11:13">
      <c r="K112" t="str">
        <f t="array" ref="K112">IFERROR(CONCATENATE(TEXT(INDEX($K$7:$K$61,SMALL(IF($N$7:$N$61&lt;&gt;"",IF($K$7:$K$61&lt;&gt;"",ROW($K$7:$K$61)-MIN(ROW($K$7:$K$61))+1,""),""),ROW()-ROW(A$63)+1)),"##0"),","),"")</f>
        <v/>
      </c>
      <c r="L112" t="str">
        <f t="array" ref="L112">IFERROR(CONCATENATE((INDEX($N$7:$N$61,SMALL(IF($N$7:$N$61&lt;&gt;"",IF($K$7:$K$61&lt;&gt;"",ROW($K$7:$K$61)-MIN(ROW($K$7:$K$61))+1,""),""),ROW()-ROW(A$63)+1))),","),"")</f>
        <v/>
      </c>
      <c r="M112" t="str">
        <f t="array" ref="M112">IFERROR(CONCATENATE((INDEX($A$7:$A$61,SMALL(IF($N$7:$N$61&lt;&gt;"",IF($K$7:$K$61&lt;&gt;"",ROW($K$7:$K$61)-MIN(ROW($K$7:$K$61))+1,""),""),ROW()-ROW(A$63)+1))),),"")</f>
        <v/>
      </c>
    </row>
    <row r="113" spans="11:13">
      <c r="K113" t="str">
        <f t="array" ref="K113">IFERROR(CONCATENATE(TEXT(INDEX($K$7:$K$61,SMALL(IF($N$7:$N$61&lt;&gt;"",IF($K$7:$K$61&lt;&gt;"",ROW($K$7:$K$61)-MIN(ROW($K$7:$K$61))+1,""),""),ROW()-ROW(A$63)+1)),"##0"),","),"")</f>
        <v/>
      </c>
      <c r="L113" t="str">
        <f t="array" ref="L113">IFERROR(CONCATENATE((INDEX($N$7:$N$61,SMALL(IF($N$7:$N$61&lt;&gt;"",IF($K$7:$K$61&lt;&gt;"",ROW($K$7:$K$61)-MIN(ROW($K$7:$K$61))+1,""),""),ROW()-ROW(A$63)+1))),","),"")</f>
        <v/>
      </c>
      <c r="M113" t="str">
        <f t="array" ref="M113">IFERROR(CONCATENATE((INDEX($A$7:$A$61,SMALL(IF($N$7:$N$61&lt;&gt;"",IF($K$7:$K$61&lt;&gt;"",ROW($K$7:$K$61)-MIN(ROW($K$7:$K$61))+1,""),""),ROW()-ROW(A$63)+1))),),"")</f>
        <v/>
      </c>
    </row>
    <row r="114" spans="11:13">
      <c r="K114" t="str">
        <f t="array" ref="K114">IFERROR(CONCATENATE(TEXT(INDEX($K$7:$K$61,SMALL(IF($N$7:$N$61&lt;&gt;"",IF($K$7:$K$61&lt;&gt;"",ROW($K$7:$K$61)-MIN(ROW($K$7:$K$61))+1,""),""),ROW()-ROW(A$63)+1)),"##0"),","),"")</f>
        <v/>
      </c>
      <c r="L114" t="str">
        <f t="array" ref="L114">IFERROR(CONCATENATE((INDEX($N$7:$N$61,SMALL(IF($N$7:$N$61&lt;&gt;"",IF($K$7:$K$61&lt;&gt;"",ROW($K$7:$K$61)-MIN(ROW($K$7:$K$61))+1,""),""),ROW()-ROW(A$63)+1))),","),"")</f>
        <v/>
      </c>
      <c r="M114" t="str">
        <f t="array" ref="M114">IFERROR(CONCATENATE((INDEX($A$7:$A$61,SMALL(IF($N$7:$N$61&lt;&gt;"",IF($K$7:$K$61&lt;&gt;"",ROW($K$7:$K$61)-MIN(ROW($K$7:$K$61))+1,""),""),ROW()-ROW(A$63)+1))),),"")</f>
        <v/>
      </c>
    </row>
    <row r="115" spans="11:13">
      <c r="K115" t="str">
        <f t="array" ref="K115">IFERROR(CONCATENATE(TEXT(INDEX($K$7:$K$61,SMALL(IF($N$7:$N$61&lt;&gt;"",IF($K$7:$K$61&lt;&gt;"",ROW($K$7:$K$61)-MIN(ROW($K$7:$K$61))+1,""),""),ROW()-ROW(A$63)+1)),"##0"),","),"")</f>
        <v/>
      </c>
      <c r="L115" t="str">
        <f t="array" ref="L115">IFERROR(CONCATENATE((INDEX($N$7:$N$61,SMALL(IF($N$7:$N$61&lt;&gt;"",IF($K$7:$K$61&lt;&gt;"",ROW($K$7:$K$61)-MIN(ROW($K$7:$K$61))+1,""),""),ROW()-ROW(A$63)+1))),","),"")</f>
        <v/>
      </c>
      <c r="M115" t="str">
        <f t="array" ref="M115">IFERROR(CONCATENATE((INDEX($A$7:$A$61,SMALL(IF($N$7:$N$61&lt;&gt;"",IF($K$7:$K$61&lt;&gt;"",ROW($K$7:$K$61)-MIN(ROW($K$7:$K$61))+1,""),""),ROW()-ROW(A$63)+1))),),"")</f>
        <v/>
      </c>
    </row>
    <row r="116" spans="11:13">
      <c r="K116" t="str">
        <f t="array" ref="K116">IFERROR(CONCATENATE(TEXT(INDEX($K$7:$K$61,SMALL(IF($N$7:$N$61&lt;&gt;"",IF($K$7:$K$61&lt;&gt;"",ROW($K$7:$K$61)-MIN(ROW($K$7:$K$61))+1,""),""),ROW()-ROW(A$63)+1)),"##0"),","),"")</f>
        <v/>
      </c>
      <c r="L116" t="str">
        <f t="array" ref="L116">IFERROR(CONCATENATE((INDEX($N$7:$N$61,SMALL(IF($N$7:$N$61&lt;&gt;"",IF($K$7:$K$61&lt;&gt;"",ROW($K$7:$K$61)-MIN(ROW($K$7:$K$61))+1,""),""),ROW()-ROW(A$63)+1))),","),"")</f>
        <v/>
      </c>
      <c r="M116" t="str">
        <f t="array" ref="M116">IFERROR(CONCATENATE((INDEX($A$7:$A$61,SMALL(IF($N$7:$N$61&lt;&gt;"",IF($K$7:$K$61&lt;&gt;"",ROW($K$7:$K$61)-MIN(ROW($K$7:$K$61))+1,""),""),ROW()-ROW(A$63)+1))),),"")</f>
        <v/>
      </c>
    </row>
    <row r="117" spans="11:13">
      <c r="K117" t="str">
        <f t="array" ref="K117">IFERROR(CONCATENATE(TEXT(INDEX($K$7:$K$61,SMALL(IF($N$7:$N$61&lt;&gt;"",IF($K$7:$K$61&lt;&gt;"",ROW($K$7:$K$61)-MIN(ROW($K$7:$K$61))+1,""),""),ROW()-ROW(A$63)+1)),"##0"),","),"")</f>
        <v/>
      </c>
      <c r="L117" t="str">
        <f t="array" ref="L117">IFERROR(CONCATENATE((INDEX($N$7:$N$61,SMALL(IF($N$7:$N$61&lt;&gt;"",IF($K$7:$K$61&lt;&gt;"",ROW($K$7:$K$61)-MIN(ROW($K$7:$K$61))+1,""),""),ROW()-ROW(A$63)+1))),","),"")</f>
        <v/>
      </c>
      <c r="M117" t="str">
        <f t="array" ref="M117">IFERROR(CONCATENATE((INDEX($A$7:$A$61,SMALL(IF($N$7:$N$61&lt;&gt;"",IF($K$7:$K$61&lt;&gt;"",ROW($K$7:$K$61)-MIN(ROW($K$7:$K$61))+1,""),""),ROW()-ROW(A$63)+1))),),"")</f>
        <v/>
      </c>
    </row>
  </sheetData>
  <mergeCells count="2">
    <mergeCell ref="A5:I5"/>
    <mergeCell ref="J5:O5"/>
  </mergeCells>
  <conditionalFormatting sqref="L11">
    <cfRule type="cellIs" dxfId="23" priority="3" operator="lessThanOrEqual">
      <formula>H11</formula>
    </cfRule>
  </conditionalFormatting>
  <conditionalFormatting sqref="L13">
    <cfRule type="cellIs" dxfId="22" priority="5" operator="lessThanOrEqual">
      <formula>H13</formula>
    </cfRule>
  </conditionalFormatting>
  <conditionalFormatting sqref="L16">
    <cfRule type="cellIs" dxfId="21" priority="7" operator="lessThanOrEqual">
      <formula>H16</formula>
    </cfRule>
  </conditionalFormatting>
  <conditionalFormatting sqref="L19">
    <cfRule type="cellIs" dxfId="20" priority="9" operator="lessThanOrEqual">
      <formula>H19</formula>
    </cfRule>
  </conditionalFormatting>
  <conditionalFormatting sqref="L23">
    <cfRule type="cellIs" dxfId="19" priority="11" operator="lessThanOrEqual">
      <formula>H23</formula>
    </cfRule>
  </conditionalFormatting>
  <conditionalFormatting sqref="L24">
    <cfRule type="cellIs" dxfId="18" priority="13" operator="lessThanOrEqual">
      <formula>H24</formula>
    </cfRule>
  </conditionalFormatting>
  <conditionalFormatting sqref="L26">
    <cfRule type="cellIs" dxfId="17" priority="15" operator="lessThanOrEqual">
      <formula>H26</formula>
    </cfRule>
  </conditionalFormatting>
  <conditionalFormatting sqref="L27">
    <cfRule type="cellIs" dxfId="16" priority="17" operator="lessThanOrEqual">
      <formula>H27</formula>
    </cfRule>
  </conditionalFormatting>
  <conditionalFormatting sqref="L30">
    <cfRule type="cellIs" dxfId="15" priority="19" operator="lessThanOrEqual">
      <formula>H30</formula>
    </cfRule>
  </conditionalFormatting>
  <conditionalFormatting sqref="L36">
    <cfRule type="cellIs" dxfId="14" priority="21" operator="lessThanOrEqual">
      <formula>H36</formula>
    </cfRule>
  </conditionalFormatting>
  <conditionalFormatting sqref="L52">
    <cfRule type="cellIs" dxfId="13" priority="23" operator="lessThanOrEqual">
      <formula>H52</formula>
    </cfRule>
  </conditionalFormatting>
  <conditionalFormatting sqref="L7">
    <cfRule type="cellIs" dxfId="12" priority="1" operator="lessThanOrEqual">
      <formula>H7</formula>
    </cfRule>
  </conditionalFormatting>
  <conditionalFormatting sqref="M11">
    <cfRule type="cellIs" dxfId="11" priority="4" operator="lessThanOrEqual">
      <formula>I11</formula>
    </cfRule>
  </conditionalFormatting>
  <conditionalFormatting sqref="M13">
    <cfRule type="cellIs" dxfId="10" priority="6" operator="lessThanOrEqual">
      <formula>I13</formula>
    </cfRule>
  </conditionalFormatting>
  <conditionalFormatting sqref="M16">
    <cfRule type="cellIs" dxfId="9" priority="8" operator="lessThanOrEqual">
      <formula>I16</formula>
    </cfRule>
  </conditionalFormatting>
  <conditionalFormatting sqref="M19">
    <cfRule type="cellIs" dxfId="8" priority="10" operator="lessThanOrEqual">
      <formula>I19</formula>
    </cfRule>
  </conditionalFormatting>
  <conditionalFormatting sqref="M23">
    <cfRule type="cellIs" dxfId="7" priority="12" operator="lessThanOrEqual">
      <formula>I23</formula>
    </cfRule>
  </conditionalFormatting>
  <conditionalFormatting sqref="M24">
    <cfRule type="cellIs" dxfId="6" priority="14" operator="lessThanOrEqual">
      <formula>I24</formula>
    </cfRule>
  </conditionalFormatting>
  <conditionalFormatting sqref="M26">
    <cfRule type="cellIs" dxfId="5" priority="16" operator="lessThanOrEqual">
      <formula>I26</formula>
    </cfRule>
  </conditionalFormatting>
  <conditionalFormatting sqref="M27">
    <cfRule type="cellIs" dxfId="4" priority="18" operator="lessThanOrEqual">
      <formula>I27</formula>
    </cfRule>
  </conditionalFormatting>
  <conditionalFormatting sqref="M30">
    <cfRule type="cellIs" dxfId="3" priority="20" operator="lessThanOrEqual">
      <formula>I30</formula>
    </cfRule>
  </conditionalFormatting>
  <conditionalFormatting sqref="M36">
    <cfRule type="cellIs" dxfId="2" priority="22" operator="lessThanOrEqual">
      <formula>I36</formula>
    </cfRule>
  </conditionalFormatting>
  <conditionalFormatting sqref="M52">
    <cfRule type="cellIs" dxfId="1" priority="24" operator="lessThanOrEqual">
      <formula>I52</formula>
    </cfRule>
  </conditionalFormatting>
  <conditionalFormatting sqref="M7">
    <cfRule type="cellIs" dxfId="0" priority="2" operator="lessThanOrEqual">
      <formula>I7</formula>
    </cfRule>
  </conditionalFormatting>
  <hyperlinks>
    <hyperlink ref="O7" r:id="rId1"/>
    <hyperlink ref="O11" r:id="rId2"/>
    <hyperlink ref="O13" r:id="rId3"/>
    <hyperlink ref="O16" r:id="rId4"/>
    <hyperlink ref="O19" r:id="rId5"/>
    <hyperlink ref="O23" r:id="rId6"/>
    <hyperlink ref="O24" r:id="rId7"/>
    <hyperlink ref="O26" r:id="rId8"/>
    <hyperlink ref="O27" r:id="rId9"/>
    <hyperlink ref="O30" r:id="rId10"/>
    <hyperlink ref="O36" r:id="rId11"/>
    <hyperlink ref="O52" r:id="rId12"/>
  </hyperlinks>
  <pageMargins left="0.7" right="0.7" top="0.75" bottom="0.75" header="0.3" footer="0.3"/>
  <pageSetup orientation="portrait" horizontalDpi="4294967292" verticalDpi="4294967292"/>
  <legacy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Skull_badge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Coté</cp:lastModifiedBy>
  <dcterms:created xsi:type="dcterms:W3CDTF">2018-06-05T14:25:37Z</dcterms:created>
  <dcterms:modified xsi:type="dcterms:W3CDTF">2018-06-11T20:24:29Z</dcterms:modified>
</cp:coreProperties>
</file>