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15" windowWidth="11010" windowHeight="8430" activeTab="1"/>
  </bookViews>
  <sheets>
    <sheet name="Camel JSBSim Physics Calcs" sheetId="8" r:id="rId1"/>
    <sheet name="Camel JSBSim Climb vs Speed1.3b" sheetId="15" r:id="rId2"/>
    <sheet name="Camel JSBSim Climb vs Speed1.3a" sheetId="14" r:id="rId3"/>
    <sheet name="Camel JSBSim Climb vs Speed1.3" sheetId="13" r:id="rId4"/>
    <sheet name="Camel JSBSim Climb vs Speed1.0" sheetId="11" r:id="rId5"/>
    <sheet name="AOAvsDrag" sheetId="12" r:id="rId6"/>
    <sheet name="Sheet5" sheetId="10" r:id="rId7"/>
    <sheet name="C_THRUST, C_POWER" sheetId="9" r:id="rId8"/>
    <sheet name="Camel-down" sheetId="3" r:id="rId9"/>
    <sheet name="Zero-down" sheetId="6" r:id="rId10"/>
    <sheet name="Camel-up" sheetId="4" r:id="rId11"/>
    <sheet name="Zero-up" sheetId="7" r:id="rId12"/>
    <sheet name="Sheet3 (3)" sheetId="5" r:id="rId13"/>
    <sheet name="Sheet1" sheetId="1" r:id="rId14"/>
    <sheet name="Sheet2" sheetId="2" r:id="rId15"/>
  </sheets>
  <calcPr calcId="125725"/>
</workbook>
</file>

<file path=xl/calcChain.xml><?xml version="1.0" encoding="utf-8"?>
<calcChain xmlns="http://schemas.openxmlformats.org/spreadsheetml/2006/main">
  <c r="P70" i="12"/>
  <c r="G24" i="15"/>
  <c r="H24"/>
  <c r="D24"/>
  <c r="C24"/>
  <c r="G23"/>
  <c r="H23"/>
  <c r="D23"/>
  <c r="C23"/>
  <c r="G22"/>
  <c r="H22"/>
  <c r="D22"/>
  <c r="C22"/>
  <c r="C16"/>
  <c r="P60" i="12"/>
  <c r="P61"/>
  <c r="P62"/>
  <c r="P69"/>
  <c r="P68"/>
  <c r="P67"/>
  <c r="P66"/>
  <c r="P65"/>
  <c r="P64"/>
  <c r="P63"/>
  <c r="P73"/>
  <c r="P72"/>
  <c r="P71"/>
  <c r="P59"/>
  <c r="P58"/>
  <c r="P57"/>
  <c r="P56"/>
  <c r="P55"/>
  <c r="P54"/>
  <c r="P53"/>
  <c r="P52"/>
  <c r="P51"/>
  <c r="P50"/>
  <c r="P49"/>
  <c r="P48"/>
  <c r="P47"/>
  <c r="P46"/>
  <c r="P45"/>
  <c r="P44"/>
  <c r="O73"/>
  <c r="O72"/>
  <c r="O71"/>
  <c r="O70"/>
  <c r="O69"/>
  <c r="O68"/>
  <c r="O67"/>
  <c r="O66"/>
  <c r="O65"/>
  <c r="O64"/>
  <c r="O63"/>
  <c r="O62"/>
  <c r="O61"/>
  <c r="O60"/>
  <c r="O59"/>
  <c r="O58"/>
  <c r="O57"/>
  <c r="O56"/>
  <c r="O55"/>
  <c r="O54"/>
  <c r="O53"/>
  <c r="O52"/>
  <c r="O51"/>
  <c r="O50"/>
  <c r="O49"/>
  <c r="O48"/>
  <c r="O47"/>
  <c r="O46"/>
  <c r="O45"/>
  <c r="O44"/>
  <c r="H28" i="15"/>
  <c r="H27"/>
  <c r="H26"/>
  <c r="H21"/>
  <c r="H20"/>
  <c r="H19"/>
  <c r="H18"/>
  <c r="H15"/>
  <c r="H14"/>
  <c r="H13"/>
  <c r="G28"/>
  <c r="G27"/>
  <c r="G26"/>
  <c r="G21"/>
  <c r="G20"/>
  <c r="G19"/>
  <c r="G18"/>
  <c r="C13"/>
  <c r="C14"/>
  <c r="C15"/>
  <c r="J105" i="9"/>
  <c r="J104"/>
  <c r="J103"/>
  <c r="J115"/>
  <c r="J114"/>
  <c r="J113"/>
  <c r="J112"/>
  <c r="J111"/>
  <c r="J110"/>
  <c r="J108"/>
  <c r="J107"/>
  <c r="J106"/>
  <c r="I115"/>
  <c r="I114"/>
  <c r="I113"/>
  <c r="I112"/>
  <c r="I111"/>
  <c r="I110"/>
  <c r="I109"/>
  <c r="I108"/>
  <c r="I107"/>
  <c r="I106"/>
  <c r="I105"/>
  <c r="I104"/>
  <c r="I103"/>
  <c r="I102"/>
  <c r="I100"/>
  <c r="I99"/>
  <c r="I98"/>
  <c r="I97"/>
  <c r="I96"/>
  <c r="I95"/>
  <c r="G115"/>
  <c r="G114"/>
  <c r="G113"/>
  <c r="G112"/>
  <c r="G111"/>
  <c r="G110"/>
  <c r="G109"/>
  <c r="G108"/>
  <c r="G107"/>
  <c r="G106"/>
  <c r="G105"/>
  <c r="G104"/>
  <c r="G103"/>
  <c r="G100"/>
  <c r="G99"/>
  <c r="G98"/>
  <c r="G97"/>
  <c r="G96"/>
  <c r="G95"/>
  <c r="M70" i="12"/>
  <c r="M69"/>
  <c r="M68"/>
  <c r="M67"/>
  <c r="M66"/>
  <c r="M65"/>
  <c r="M64"/>
  <c r="M63"/>
  <c r="M62"/>
  <c r="M61"/>
  <c r="M60"/>
  <c r="M59"/>
  <c r="M58"/>
  <c r="M57"/>
  <c r="M56"/>
  <c r="M55"/>
  <c r="M54"/>
  <c r="M53"/>
  <c r="S73"/>
  <c r="S72"/>
  <c r="S71"/>
  <c r="S70"/>
  <c r="S69"/>
  <c r="S68"/>
  <c r="S67"/>
  <c r="S66"/>
  <c r="S65"/>
  <c r="S64"/>
  <c r="S63"/>
  <c r="S62"/>
  <c r="S61"/>
  <c r="S60"/>
  <c r="S59"/>
  <c r="S58"/>
  <c r="S57"/>
  <c r="S56"/>
  <c r="S55"/>
  <c r="S54"/>
  <c r="S53"/>
  <c r="S52"/>
  <c r="S51"/>
  <c r="S50"/>
  <c r="S49"/>
  <c r="S48"/>
  <c r="S47"/>
  <c r="S46"/>
  <c r="S45"/>
  <c r="S44"/>
  <c r="S43"/>
  <c r="R43"/>
  <c r="C5"/>
  <c r="B5"/>
  <c r="D4"/>
  <c r="D3"/>
  <c r="D25" i="15"/>
  <c r="C25"/>
  <c r="D13"/>
  <c r="C52" i="9"/>
  <c r="D52" s="1"/>
  <c r="C51"/>
  <c r="D51" s="1"/>
  <c r="D50"/>
  <c r="C46"/>
  <c r="D46" s="1"/>
  <c r="D45"/>
  <c r="C45"/>
  <c r="D44"/>
  <c r="E115"/>
  <c r="E107"/>
  <c r="D126"/>
  <c r="H127"/>
  <c r="F133"/>
  <c r="D134"/>
  <c r="F124"/>
  <c r="F129"/>
  <c r="D130"/>
  <c r="C26" i="15"/>
  <c r="C115" i="9"/>
  <c r="C114"/>
  <c r="E114" s="1"/>
  <c r="C113"/>
  <c r="E113" s="1"/>
  <c r="C112"/>
  <c r="E112" s="1"/>
  <c r="C111"/>
  <c r="E111" s="1"/>
  <c r="C110"/>
  <c r="E110" s="1"/>
  <c r="C109"/>
  <c r="E109" s="1"/>
  <c r="C108"/>
  <c r="E108" s="1"/>
  <c r="C107"/>
  <c r="C106"/>
  <c r="C105"/>
  <c r="E105" s="1"/>
  <c r="C104"/>
  <c r="E103" s="1"/>
  <c r="C103"/>
  <c r="C102"/>
  <c r="E101" s="1"/>
  <c r="C101"/>
  <c r="E100" s="1"/>
  <c r="C100"/>
  <c r="E99" s="1"/>
  <c r="C99"/>
  <c r="E98" s="1"/>
  <c r="C98"/>
  <c r="E97" s="1"/>
  <c r="C97"/>
  <c r="E96" s="1"/>
  <c r="C96"/>
  <c r="C95"/>
  <c r="E95" s="1"/>
  <c r="D102"/>
  <c r="D105"/>
  <c r="A61"/>
  <c r="F70" i="12"/>
  <c r="I70" s="1"/>
  <c r="L70" s="1"/>
  <c r="F69"/>
  <c r="I69" s="1"/>
  <c r="L69" s="1"/>
  <c r="F68"/>
  <c r="R68" s="1"/>
  <c r="F67"/>
  <c r="R67" s="1"/>
  <c r="F66"/>
  <c r="I66" s="1"/>
  <c r="L66" s="1"/>
  <c r="F65"/>
  <c r="I65" s="1"/>
  <c r="L65" s="1"/>
  <c r="F64"/>
  <c r="R64" s="1"/>
  <c r="F63"/>
  <c r="R63" s="1"/>
  <c r="F62"/>
  <c r="I62" s="1"/>
  <c r="L62" s="1"/>
  <c r="F61"/>
  <c r="I61" s="1"/>
  <c r="L61" s="1"/>
  <c r="F60"/>
  <c r="R60" s="1"/>
  <c r="F59"/>
  <c r="R59" s="1"/>
  <c r="F58"/>
  <c r="I58" s="1"/>
  <c r="L58" s="1"/>
  <c r="F57"/>
  <c r="I57" s="1"/>
  <c r="L57" s="1"/>
  <c r="F56"/>
  <c r="R56" s="1"/>
  <c r="F55"/>
  <c r="R55" s="1"/>
  <c r="F54"/>
  <c r="I54" s="1"/>
  <c r="L54" s="1"/>
  <c r="F53"/>
  <c r="I53" s="1"/>
  <c r="L53" s="1"/>
  <c r="F52"/>
  <c r="I52" s="1"/>
  <c r="L52" s="1"/>
  <c r="F51"/>
  <c r="I51" s="1"/>
  <c r="L51" s="1"/>
  <c r="F50"/>
  <c r="I50" s="1"/>
  <c r="L50" s="1"/>
  <c r="F49"/>
  <c r="I49" s="1"/>
  <c r="L49" s="1"/>
  <c r="F48"/>
  <c r="I48" s="1"/>
  <c r="L48" s="1"/>
  <c r="F47"/>
  <c r="I47" s="1"/>
  <c r="L47" s="1"/>
  <c r="G73"/>
  <c r="J73" s="1"/>
  <c r="M73" s="1"/>
  <c r="F73"/>
  <c r="R73" s="1"/>
  <c r="G72"/>
  <c r="J72" s="1"/>
  <c r="M72" s="1"/>
  <c r="F72"/>
  <c r="I72" s="1"/>
  <c r="L72" s="1"/>
  <c r="G71"/>
  <c r="J71" s="1"/>
  <c r="M71" s="1"/>
  <c r="F71"/>
  <c r="R71" s="1"/>
  <c r="G70"/>
  <c r="G69"/>
  <c r="G68"/>
  <c r="G67"/>
  <c r="G66"/>
  <c r="G65"/>
  <c r="G64"/>
  <c r="G63"/>
  <c r="G62"/>
  <c r="G61"/>
  <c r="G60"/>
  <c r="G59"/>
  <c r="G58"/>
  <c r="G57"/>
  <c r="G56"/>
  <c r="G55"/>
  <c r="G54"/>
  <c r="G53"/>
  <c r="G52"/>
  <c r="J52" s="1"/>
  <c r="M52" s="1"/>
  <c r="G51"/>
  <c r="J51" s="1"/>
  <c r="M51" s="1"/>
  <c r="G50"/>
  <c r="J50" s="1"/>
  <c r="M50" s="1"/>
  <c r="G49"/>
  <c r="J49" s="1"/>
  <c r="M49" s="1"/>
  <c r="G48"/>
  <c r="J48" s="1"/>
  <c r="M48" s="1"/>
  <c r="G47"/>
  <c r="J47" s="1"/>
  <c r="M47" s="1"/>
  <c r="G46"/>
  <c r="J46" s="1"/>
  <c r="M46" s="1"/>
  <c r="F46"/>
  <c r="I46" s="1"/>
  <c r="L46" s="1"/>
  <c r="G45"/>
  <c r="J45" s="1"/>
  <c r="M45" s="1"/>
  <c r="F45"/>
  <c r="I45" s="1"/>
  <c r="L45" s="1"/>
  <c r="G44"/>
  <c r="J44" s="1"/>
  <c r="M44" s="1"/>
  <c r="F44"/>
  <c r="I44" s="1"/>
  <c r="L44" s="1"/>
  <c r="X70"/>
  <c r="X69"/>
  <c r="X68"/>
  <c r="X67"/>
  <c r="X66"/>
  <c r="X65"/>
  <c r="X64"/>
  <c r="X63"/>
  <c r="X62"/>
  <c r="X61"/>
  <c r="X60"/>
  <c r="X59"/>
  <c r="X58"/>
  <c r="X57"/>
  <c r="X56"/>
  <c r="X55"/>
  <c r="X54"/>
  <c r="X53"/>
  <c r="X52"/>
  <c r="X51"/>
  <c r="X50"/>
  <c r="X49"/>
  <c r="X48"/>
  <c r="X47"/>
  <c r="Y73"/>
  <c r="X73"/>
  <c r="Y72"/>
  <c r="X72"/>
  <c r="Y71"/>
  <c r="X71"/>
  <c r="Y70"/>
  <c r="Y69"/>
  <c r="Y68"/>
  <c r="Y67"/>
  <c r="Y66"/>
  <c r="Y65"/>
  <c r="Y64"/>
  <c r="Y63"/>
  <c r="Y62"/>
  <c r="Y61"/>
  <c r="Y60"/>
  <c r="Y59"/>
  <c r="Y58"/>
  <c r="Y57"/>
  <c r="Y56"/>
  <c r="Y55"/>
  <c r="Y54"/>
  <c r="Y53"/>
  <c r="Y52"/>
  <c r="Y51"/>
  <c r="Y50"/>
  <c r="Y49"/>
  <c r="Y48"/>
  <c r="Y47"/>
  <c r="Y46"/>
  <c r="X46"/>
  <c r="Y45"/>
  <c r="X45"/>
  <c r="Y44"/>
  <c r="X44"/>
  <c r="Y43"/>
  <c r="X43"/>
  <c r="D28" i="15"/>
  <c r="C28"/>
  <c r="D27"/>
  <c r="C27"/>
  <c r="D26"/>
  <c r="D21"/>
  <c r="C21"/>
  <c r="D20"/>
  <c r="C20"/>
  <c r="D19"/>
  <c r="C19"/>
  <c r="D18"/>
  <c r="C18"/>
  <c r="D17"/>
  <c r="C17"/>
  <c r="D16"/>
  <c r="D15"/>
  <c r="D14"/>
  <c r="C22" i="14"/>
  <c r="D22"/>
  <c r="K88" i="9"/>
  <c r="J88"/>
  <c r="I88"/>
  <c r="H88"/>
  <c r="K87"/>
  <c r="J87"/>
  <c r="I87"/>
  <c r="H87"/>
  <c r="K86"/>
  <c r="J86"/>
  <c r="I86"/>
  <c r="H86"/>
  <c r="K85"/>
  <c r="J85"/>
  <c r="I85"/>
  <c r="H85"/>
  <c r="K84"/>
  <c r="J84"/>
  <c r="I84"/>
  <c r="H84"/>
  <c r="K83"/>
  <c r="J83"/>
  <c r="I83"/>
  <c r="H83"/>
  <c r="K82"/>
  <c r="J82"/>
  <c r="I82"/>
  <c r="H82"/>
  <c r="K81"/>
  <c r="J81"/>
  <c r="I81"/>
  <c r="H81"/>
  <c r="K80"/>
  <c r="J80"/>
  <c r="I80"/>
  <c r="H80"/>
  <c r="K79"/>
  <c r="J79"/>
  <c r="I79"/>
  <c r="H79"/>
  <c r="K78"/>
  <c r="J78"/>
  <c r="I78"/>
  <c r="H78"/>
  <c r="K77"/>
  <c r="J77"/>
  <c r="I77"/>
  <c r="H77"/>
  <c r="K76"/>
  <c r="J76"/>
  <c r="I76"/>
  <c r="H76"/>
  <c r="K75"/>
  <c r="J75"/>
  <c r="I75"/>
  <c r="H75"/>
  <c r="K74"/>
  <c r="J74"/>
  <c r="I74"/>
  <c r="H74"/>
  <c r="K73"/>
  <c r="J73"/>
  <c r="I73"/>
  <c r="H73"/>
  <c r="K72"/>
  <c r="J72"/>
  <c r="I72"/>
  <c r="H72"/>
  <c r="K71"/>
  <c r="J71"/>
  <c r="I71"/>
  <c r="H71"/>
  <c r="K70"/>
  <c r="J70"/>
  <c r="I70"/>
  <c r="H70"/>
  <c r="K69"/>
  <c r="J69"/>
  <c r="I69"/>
  <c r="H69"/>
  <c r="K68"/>
  <c r="I68"/>
  <c r="J68"/>
  <c r="H68"/>
  <c r="D25" i="14"/>
  <c r="C25"/>
  <c r="D24"/>
  <c r="C24"/>
  <c r="D23"/>
  <c r="C23"/>
  <c r="D21"/>
  <c r="C21"/>
  <c r="D20"/>
  <c r="C20"/>
  <c r="D19"/>
  <c r="C19"/>
  <c r="D18"/>
  <c r="C18"/>
  <c r="D17"/>
  <c r="C17"/>
  <c r="D16"/>
  <c r="C16"/>
  <c r="D15"/>
  <c r="C15"/>
  <c r="D14"/>
  <c r="C14"/>
  <c r="D13"/>
  <c r="C13"/>
  <c r="C20" i="13"/>
  <c r="D25"/>
  <c r="C25"/>
  <c r="D24"/>
  <c r="C24"/>
  <c r="D23"/>
  <c r="C23"/>
  <c r="D22"/>
  <c r="C22"/>
  <c r="D21"/>
  <c r="C21"/>
  <c r="D20"/>
  <c r="D19"/>
  <c r="C19"/>
  <c r="D18"/>
  <c r="C18"/>
  <c r="D17"/>
  <c r="C17"/>
  <c r="D16"/>
  <c r="C16"/>
  <c r="D15"/>
  <c r="C15"/>
  <c r="D14"/>
  <c r="C14"/>
  <c r="D13"/>
  <c r="C13"/>
  <c r="B175" i="12"/>
  <c r="B174"/>
  <c r="B173"/>
  <c r="B172"/>
  <c r="B171"/>
  <c r="B170"/>
  <c r="B169"/>
  <c r="B168"/>
  <c r="B167"/>
  <c r="B166"/>
  <c r="B165"/>
  <c r="B164"/>
  <c r="B163"/>
  <c r="B162"/>
  <c r="B161"/>
  <c r="B160"/>
  <c r="B159"/>
  <c r="B158"/>
  <c r="B157"/>
  <c r="B156"/>
  <c r="B155"/>
  <c r="B154"/>
  <c r="B150"/>
  <c r="B149"/>
  <c r="B148"/>
  <c r="B147"/>
  <c r="B146"/>
  <c r="B145"/>
  <c r="B144"/>
  <c r="B143"/>
  <c r="B142"/>
  <c r="B141"/>
  <c r="B140"/>
  <c r="B139"/>
  <c r="B138"/>
  <c r="B137"/>
  <c r="B136"/>
  <c r="B135"/>
  <c r="B134"/>
  <c r="B133"/>
  <c r="B132"/>
  <c r="B131"/>
  <c r="B130"/>
  <c r="B129"/>
  <c r="B128"/>
  <c r="AK43"/>
  <c r="AJ73"/>
  <c r="AJ72"/>
  <c r="AJ71"/>
  <c r="AJ70"/>
  <c r="AJ69"/>
  <c r="AJ68"/>
  <c r="AJ67"/>
  <c r="AJ66"/>
  <c r="AJ65"/>
  <c r="AJ64"/>
  <c r="AJ63"/>
  <c r="AJ62"/>
  <c r="AJ61"/>
  <c r="AJ60"/>
  <c r="AJ59"/>
  <c r="AJ58"/>
  <c r="AJ57"/>
  <c r="AJ56"/>
  <c r="AJ55"/>
  <c r="AJ54"/>
  <c r="AJ53"/>
  <c r="AJ52"/>
  <c r="AJ51"/>
  <c r="AJ50"/>
  <c r="AJ49"/>
  <c r="AJ48"/>
  <c r="AJ47"/>
  <c r="AJ46"/>
  <c r="AJ45"/>
  <c r="AJ44"/>
  <c r="AJ43"/>
  <c r="AG73"/>
  <c r="AG72"/>
  <c r="AG71"/>
  <c r="AG70"/>
  <c r="AG69"/>
  <c r="AG68"/>
  <c r="AG67"/>
  <c r="AG66"/>
  <c r="AG65"/>
  <c r="AG64"/>
  <c r="AG63"/>
  <c r="AG62"/>
  <c r="AG61"/>
  <c r="AG60"/>
  <c r="AG59"/>
  <c r="AG58"/>
  <c r="AG57"/>
  <c r="AG56"/>
  <c r="AG55"/>
  <c r="AG54"/>
  <c r="AG53"/>
  <c r="AG52"/>
  <c r="AG51"/>
  <c r="AG50"/>
  <c r="AG49"/>
  <c r="AG48"/>
  <c r="AG47"/>
  <c r="AG46"/>
  <c r="AG45"/>
  <c r="AG44"/>
  <c r="AH43"/>
  <c r="AG43"/>
  <c r="AE43"/>
  <c r="AD43"/>
  <c r="AD73"/>
  <c r="AD72"/>
  <c r="AD71"/>
  <c r="AD70"/>
  <c r="AD69"/>
  <c r="AD68"/>
  <c r="AD67"/>
  <c r="AD66"/>
  <c r="AD65"/>
  <c r="AD64"/>
  <c r="AD63"/>
  <c r="AD62"/>
  <c r="AD61"/>
  <c r="AD60"/>
  <c r="AD59"/>
  <c r="AD58"/>
  <c r="AD57"/>
  <c r="AD56"/>
  <c r="AD55"/>
  <c r="AD54"/>
  <c r="AD53"/>
  <c r="AD52"/>
  <c r="AD51"/>
  <c r="AD50"/>
  <c r="AD49"/>
  <c r="AD48"/>
  <c r="AD47"/>
  <c r="AD46"/>
  <c r="AD45"/>
  <c r="AD44"/>
  <c r="AE73"/>
  <c r="AE72"/>
  <c r="AE71"/>
  <c r="AE70"/>
  <c r="AE69"/>
  <c r="AE68"/>
  <c r="AE67"/>
  <c r="AE66"/>
  <c r="AE65"/>
  <c r="AE64"/>
  <c r="AE63"/>
  <c r="AE62"/>
  <c r="AE61"/>
  <c r="AE60"/>
  <c r="AE59"/>
  <c r="AE58"/>
  <c r="AE57"/>
  <c r="AE56"/>
  <c r="AE55"/>
  <c r="AE54"/>
  <c r="AE53"/>
  <c r="AE52"/>
  <c r="AE51"/>
  <c r="AE50"/>
  <c r="AE49"/>
  <c r="AE48"/>
  <c r="AE47"/>
  <c r="AE46"/>
  <c r="AE45"/>
  <c r="AE44"/>
  <c r="AE41"/>
  <c r="AK42" s="1"/>
  <c r="AB41"/>
  <c r="AB42" s="1"/>
  <c r="AB43"/>
  <c r="AA73"/>
  <c r="AA72"/>
  <c r="AA71"/>
  <c r="AA70"/>
  <c r="AA69"/>
  <c r="AA68"/>
  <c r="AA67"/>
  <c r="AA66"/>
  <c r="AA65"/>
  <c r="AA64"/>
  <c r="AA63"/>
  <c r="AA62"/>
  <c r="AA61"/>
  <c r="AA60"/>
  <c r="AA59"/>
  <c r="AA58"/>
  <c r="AA57"/>
  <c r="AA56"/>
  <c r="AA55"/>
  <c r="AA54"/>
  <c r="AA53"/>
  <c r="AA52"/>
  <c r="AA51"/>
  <c r="AA50"/>
  <c r="AA49"/>
  <c r="AA48"/>
  <c r="AA47"/>
  <c r="AA46"/>
  <c r="AA45"/>
  <c r="AA44"/>
  <c r="AA43"/>
  <c r="V73"/>
  <c r="V72"/>
  <c r="V71"/>
  <c r="V70"/>
  <c r="V69"/>
  <c r="V68"/>
  <c r="V67"/>
  <c r="V66"/>
  <c r="V65"/>
  <c r="V64"/>
  <c r="V63"/>
  <c r="V62"/>
  <c r="V61"/>
  <c r="V60"/>
  <c r="V59"/>
  <c r="V58"/>
  <c r="V57"/>
  <c r="V56"/>
  <c r="V55"/>
  <c r="V54"/>
  <c r="V53"/>
  <c r="V52"/>
  <c r="V51"/>
  <c r="V50"/>
  <c r="V49"/>
  <c r="V48"/>
  <c r="V47"/>
  <c r="V46"/>
  <c r="V45"/>
  <c r="V44"/>
  <c r="V43"/>
  <c r="U73"/>
  <c r="U72"/>
  <c r="U71"/>
  <c r="U70"/>
  <c r="U69"/>
  <c r="U68"/>
  <c r="U67"/>
  <c r="U66"/>
  <c r="U65"/>
  <c r="U64"/>
  <c r="U63"/>
  <c r="U62"/>
  <c r="U61"/>
  <c r="U60"/>
  <c r="U59"/>
  <c r="U58"/>
  <c r="U57"/>
  <c r="U56"/>
  <c r="U55"/>
  <c r="U54"/>
  <c r="U53"/>
  <c r="U52"/>
  <c r="U51"/>
  <c r="U50"/>
  <c r="U49"/>
  <c r="U48"/>
  <c r="U47"/>
  <c r="U46"/>
  <c r="U45"/>
  <c r="U44"/>
  <c r="U43"/>
  <c r="D44"/>
  <c r="D51"/>
  <c r="D50"/>
  <c r="D49"/>
  <c r="D48"/>
  <c r="D47"/>
  <c r="D46"/>
  <c r="D45"/>
  <c r="D73"/>
  <c r="D72"/>
  <c r="D71"/>
  <c r="D70"/>
  <c r="D69"/>
  <c r="D68"/>
  <c r="D67"/>
  <c r="D66"/>
  <c r="D65"/>
  <c r="D64"/>
  <c r="D63"/>
  <c r="D62"/>
  <c r="D61"/>
  <c r="D60"/>
  <c r="D59"/>
  <c r="D58"/>
  <c r="D57"/>
  <c r="D56"/>
  <c r="D55"/>
  <c r="D54"/>
  <c r="D53"/>
  <c r="D52"/>
  <c r="AF109"/>
  <c r="AF108"/>
  <c r="AF107"/>
  <c r="AF106"/>
  <c r="AF105"/>
  <c r="D32"/>
  <c r="D31"/>
  <c r="D30"/>
  <c r="D29"/>
  <c r="D28"/>
  <c r="D27"/>
  <c r="D26"/>
  <c r="D25"/>
  <c r="D24"/>
  <c r="D23"/>
  <c r="D22"/>
  <c r="D21"/>
  <c r="D20"/>
  <c r="D19"/>
  <c r="D18"/>
  <c r="D17"/>
  <c r="D16"/>
  <c r="D15"/>
  <c r="D14"/>
  <c r="B112"/>
  <c r="B111"/>
  <c r="B110"/>
  <c r="B109"/>
  <c r="B108"/>
  <c r="I51" i="8"/>
  <c r="I39"/>
  <c r="I38"/>
  <c r="I33"/>
  <c r="M33"/>
  <c r="I32"/>
  <c r="D24" i="11"/>
  <c r="D23"/>
  <c r="D20"/>
  <c r="D21"/>
  <c r="D19"/>
  <c r="D12"/>
  <c r="D13"/>
  <c r="D15"/>
  <c r="D14"/>
  <c r="D16"/>
  <c r="D17"/>
  <c r="D18"/>
  <c r="D22"/>
  <c r="C24"/>
  <c r="C23"/>
  <c r="C20"/>
  <c r="C21"/>
  <c r="C19"/>
  <c r="C12"/>
  <c r="C13"/>
  <c r="C15"/>
  <c r="C14"/>
  <c r="C16"/>
  <c r="C17"/>
  <c r="C18"/>
  <c r="C22"/>
  <c r="C61" i="10"/>
  <c r="D61"/>
  <c r="E61"/>
  <c r="F61"/>
  <c r="G61"/>
  <c r="H61"/>
  <c r="I61"/>
  <c r="J61"/>
  <c r="K61"/>
  <c r="C62"/>
  <c r="D62"/>
  <c r="E62"/>
  <c r="F62"/>
  <c r="G62"/>
  <c r="H62"/>
  <c r="I62"/>
  <c r="J62"/>
  <c r="K62"/>
  <c r="C63"/>
  <c r="D63"/>
  <c r="E63"/>
  <c r="F63"/>
  <c r="G63"/>
  <c r="H63"/>
  <c r="I63"/>
  <c r="J63"/>
  <c r="K63"/>
  <c r="C64"/>
  <c r="D64"/>
  <c r="E64"/>
  <c r="F64"/>
  <c r="G64"/>
  <c r="H64"/>
  <c r="I64"/>
  <c r="J64"/>
  <c r="K64"/>
  <c r="C65"/>
  <c r="D65"/>
  <c r="E65"/>
  <c r="F65"/>
  <c r="G65"/>
  <c r="H65"/>
  <c r="I65"/>
  <c r="J65"/>
  <c r="K65"/>
  <c r="C66"/>
  <c r="D66"/>
  <c r="E66"/>
  <c r="F66"/>
  <c r="G66"/>
  <c r="H66"/>
  <c r="I66"/>
  <c r="J66"/>
  <c r="K66"/>
  <c r="C67"/>
  <c r="D67"/>
  <c r="E67"/>
  <c r="F67"/>
  <c r="G67"/>
  <c r="H67"/>
  <c r="I67"/>
  <c r="J67"/>
  <c r="K67"/>
  <c r="C68"/>
  <c r="D68"/>
  <c r="E68"/>
  <c r="F68"/>
  <c r="G68"/>
  <c r="H68"/>
  <c r="I68"/>
  <c r="J68"/>
  <c r="K68"/>
  <c r="C69"/>
  <c r="D69"/>
  <c r="E69"/>
  <c r="F69"/>
  <c r="G69"/>
  <c r="H69"/>
  <c r="I69"/>
  <c r="J69"/>
  <c r="K69"/>
  <c r="C70"/>
  <c r="D70"/>
  <c r="E70"/>
  <c r="F70"/>
  <c r="G70"/>
  <c r="H70"/>
  <c r="I70"/>
  <c r="J70"/>
  <c r="K70"/>
  <c r="C71"/>
  <c r="D71"/>
  <c r="E71"/>
  <c r="F71"/>
  <c r="G71"/>
  <c r="H71"/>
  <c r="I71"/>
  <c r="J71"/>
  <c r="K71"/>
  <c r="C72"/>
  <c r="D72"/>
  <c r="E72"/>
  <c r="F72"/>
  <c r="G72"/>
  <c r="H72"/>
  <c r="I72"/>
  <c r="J72"/>
  <c r="K72"/>
  <c r="C73"/>
  <c r="D73"/>
  <c r="E73"/>
  <c r="F73"/>
  <c r="G73"/>
  <c r="H73"/>
  <c r="I73"/>
  <c r="J73"/>
  <c r="K73"/>
  <c r="C74"/>
  <c r="D74"/>
  <c r="E74"/>
  <c r="F74"/>
  <c r="G74"/>
  <c r="H74"/>
  <c r="I74"/>
  <c r="J74"/>
  <c r="K74"/>
  <c r="C75"/>
  <c r="D75"/>
  <c r="E75"/>
  <c r="F75"/>
  <c r="G75"/>
  <c r="H75"/>
  <c r="I75"/>
  <c r="J75"/>
  <c r="K75"/>
  <c r="C76"/>
  <c r="D76"/>
  <c r="E76"/>
  <c r="F76"/>
  <c r="G76"/>
  <c r="H76"/>
  <c r="I76"/>
  <c r="J76"/>
  <c r="K76"/>
  <c r="C77"/>
  <c r="D77"/>
  <c r="E77"/>
  <c r="F77"/>
  <c r="G77"/>
  <c r="H77"/>
  <c r="I77"/>
  <c r="J77"/>
  <c r="K77"/>
  <c r="C78"/>
  <c r="D78"/>
  <c r="E78"/>
  <c r="F78"/>
  <c r="G78"/>
  <c r="H78"/>
  <c r="I78"/>
  <c r="J78"/>
  <c r="K78"/>
  <c r="C79"/>
  <c r="D79"/>
  <c r="E79"/>
  <c r="F79"/>
  <c r="G79"/>
  <c r="H79"/>
  <c r="I79"/>
  <c r="J79"/>
  <c r="K79"/>
  <c r="C80"/>
  <c r="D80"/>
  <c r="E80"/>
  <c r="F80"/>
  <c r="G80"/>
  <c r="H80"/>
  <c r="I80"/>
  <c r="J80"/>
  <c r="K80"/>
  <c r="C81"/>
  <c r="D81"/>
  <c r="E81"/>
  <c r="F81"/>
  <c r="G81"/>
  <c r="H81"/>
  <c r="I81"/>
  <c r="J81"/>
  <c r="K81"/>
  <c r="C82"/>
  <c r="D82"/>
  <c r="E82"/>
  <c r="F82"/>
  <c r="G82"/>
  <c r="H82"/>
  <c r="I82"/>
  <c r="J82"/>
  <c r="K82"/>
  <c r="C83"/>
  <c r="D83"/>
  <c r="E83"/>
  <c r="F83"/>
  <c r="G83"/>
  <c r="H83"/>
  <c r="I83"/>
  <c r="J83"/>
  <c r="K83"/>
  <c r="G19" i="9"/>
  <c r="H19"/>
  <c r="G20"/>
  <c r="H20"/>
  <c r="G21"/>
  <c r="H21"/>
  <c r="G22"/>
  <c r="H22"/>
  <c r="G23"/>
  <c r="H23"/>
  <c r="G24"/>
  <c r="H24"/>
  <c r="G25"/>
  <c r="H25"/>
  <c r="H26"/>
  <c r="H27"/>
  <c r="H28"/>
  <c r="H29"/>
  <c r="H30"/>
  <c r="H31"/>
  <c r="H32"/>
  <c r="H33"/>
  <c r="H34"/>
  <c r="H35"/>
  <c r="H36"/>
  <c r="H37"/>
  <c r="H38"/>
  <c r="H39"/>
  <c r="H54"/>
  <c r="H55"/>
  <c r="A57"/>
  <c r="A1" i="8"/>
  <c r="I2"/>
  <c r="N3"/>
  <c r="A4"/>
  <c r="I4"/>
  <c r="H6"/>
  <c r="I6"/>
  <c r="A8"/>
  <c r="I8"/>
  <c r="I10"/>
  <c r="A11"/>
  <c r="I12"/>
  <c r="A13"/>
  <c r="H13"/>
  <c r="I13"/>
  <c r="A14"/>
  <c r="I14"/>
  <c r="A15"/>
  <c r="I16"/>
  <c r="T16"/>
  <c r="U16"/>
  <c r="A17"/>
  <c r="T17"/>
  <c r="U17"/>
  <c r="I18"/>
  <c r="I20"/>
  <c r="A22"/>
  <c r="A24"/>
  <c r="A25"/>
  <c r="I25"/>
  <c r="A26"/>
  <c r="I26"/>
  <c r="G55"/>
  <c r="G59"/>
  <c r="C61"/>
  <c r="D61"/>
  <c r="C62"/>
  <c r="D62"/>
  <c r="C63"/>
  <c r="D63"/>
  <c r="G63"/>
  <c r="G67"/>
  <c r="C78"/>
  <c r="C81"/>
  <c r="C82"/>
  <c r="C84"/>
  <c r="C86"/>
  <c r="C87"/>
  <c r="C90"/>
  <c r="C91"/>
  <c r="A95"/>
  <c r="A97"/>
  <c r="B5" i="5"/>
  <c r="C5"/>
  <c r="E5"/>
  <c r="G5"/>
  <c r="H5"/>
  <c r="K5"/>
  <c r="L5"/>
  <c r="M5"/>
  <c r="R5"/>
  <c r="B6"/>
  <c r="C6"/>
  <c r="E6"/>
  <c r="G6"/>
  <c r="H6"/>
  <c r="I6"/>
  <c r="J6"/>
  <c r="K6"/>
  <c r="L6"/>
  <c r="M6"/>
  <c r="N6"/>
  <c r="O6"/>
  <c r="P6"/>
  <c r="Q6"/>
  <c r="R6"/>
  <c r="S6"/>
  <c r="B7"/>
  <c r="C7"/>
  <c r="E7"/>
  <c r="G7"/>
  <c r="H7"/>
  <c r="I7"/>
  <c r="J7"/>
  <c r="K7"/>
  <c r="L7"/>
  <c r="M7"/>
  <c r="N7"/>
  <c r="O7"/>
  <c r="P7"/>
  <c r="Q7"/>
  <c r="R7"/>
  <c r="S7"/>
  <c r="B8"/>
  <c r="C8"/>
  <c r="E8"/>
  <c r="G8"/>
  <c r="H8"/>
  <c r="I8"/>
  <c r="J8"/>
  <c r="K8"/>
  <c r="L8"/>
  <c r="M8"/>
  <c r="N8"/>
  <c r="O8"/>
  <c r="P8"/>
  <c r="Q8"/>
  <c r="R8"/>
  <c r="S8"/>
  <c r="B9"/>
  <c r="C9"/>
  <c r="E9"/>
  <c r="G9"/>
  <c r="H9"/>
  <c r="I9"/>
  <c r="J9"/>
  <c r="K9"/>
  <c r="L9"/>
  <c r="M9"/>
  <c r="N9"/>
  <c r="O9"/>
  <c r="P9"/>
  <c r="Q9"/>
  <c r="R9"/>
  <c r="S9"/>
  <c r="B10"/>
  <c r="C10"/>
  <c r="E10"/>
  <c r="G10"/>
  <c r="H10"/>
  <c r="I10"/>
  <c r="J10"/>
  <c r="K10"/>
  <c r="L10"/>
  <c r="M10"/>
  <c r="N10"/>
  <c r="O10"/>
  <c r="P10"/>
  <c r="Q10"/>
  <c r="R10"/>
  <c r="S10"/>
  <c r="B11"/>
  <c r="C11"/>
  <c r="E11"/>
  <c r="G11"/>
  <c r="H11"/>
  <c r="I11"/>
  <c r="J11"/>
  <c r="K11"/>
  <c r="L11"/>
  <c r="M11"/>
  <c r="N11"/>
  <c r="O11"/>
  <c r="P11"/>
  <c r="R11"/>
  <c r="B12"/>
  <c r="C12"/>
  <c r="E12"/>
  <c r="G12"/>
  <c r="H12"/>
  <c r="I12"/>
  <c r="J12"/>
  <c r="K12"/>
  <c r="L12"/>
  <c r="M12"/>
  <c r="N12"/>
  <c r="O12"/>
  <c r="P12"/>
  <c r="R12"/>
  <c r="J13"/>
  <c r="P13"/>
  <c r="Q13"/>
  <c r="B14"/>
  <c r="J14"/>
  <c r="B5" i="7"/>
  <c r="C5"/>
  <c r="D5"/>
  <c r="F5"/>
  <c r="G5"/>
  <c r="I5"/>
  <c r="J5"/>
  <c r="O5"/>
  <c r="P5"/>
  <c r="S5"/>
  <c r="T5"/>
  <c r="U5"/>
  <c r="Z5"/>
  <c r="B6"/>
  <c r="C6"/>
  <c r="D6"/>
  <c r="F6"/>
  <c r="G6"/>
  <c r="I6"/>
  <c r="J6"/>
  <c r="O6"/>
  <c r="P6"/>
  <c r="Q6"/>
  <c r="R6"/>
  <c r="S6"/>
  <c r="T6"/>
  <c r="U6"/>
  <c r="V6"/>
  <c r="W6"/>
  <c r="X6"/>
  <c r="Y6"/>
  <c r="Z6"/>
  <c r="AA6"/>
  <c r="B7"/>
  <c r="C7"/>
  <c r="D7"/>
  <c r="F7"/>
  <c r="G7"/>
  <c r="I7"/>
  <c r="J7"/>
  <c r="O7"/>
  <c r="P7"/>
  <c r="Q7"/>
  <c r="R7"/>
  <c r="S7"/>
  <c r="T7"/>
  <c r="U7"/>
  <c r="V7"/>
  <c r="W7"/>
  <c r="X7"/>
  <c r="Y7"/>
  <c r="Z7"/>
  <c r="AA7"/>
  <c r="B8"/>
  <c r="C8"/>
  <c r="D8"/>
  <c r="F8"/>
  <c r="G8"/>
  <c r="I8"/>
  <c r="J8"/>
  <c r="O8"/>
  <c r="P8"/>
  <c r="Q8"/>
  <c r="R8"/>
  <c r="S8"/>
  <c r="T8"/>
  <c r="U8"/>
  <c r="V8"/>
  <c r="W8"/>
  <c r="X8"/>
  <c r="Y8"/>
  <c r="Z8"/>
  <c r="AA8"/>
  <c r="B9"/>
  <c r="C9"/>
  <c r="D9"/>
  <c r="F9"/>
  <c r="G9"/>
  <c r="I9"/>
  <c r="J9"/>
  <c r="O9"/>
  <c r="P9"/>
  <c r="Q9"/>
  <c r="R9"/>
  <c r="S9"/>
  <c r="T9"/>
  <c r="U9"/>
  <c r="V9"/>
  <c r="W9"/>
  <c r="X9"/>
  <c r="Y9"/>
  <c r="Z9"/>
  <c r="AA9"/>
  <c r="B10"/>
  <c r="C10"/>
  <c r="D10"/>
  <c r="F10"/>
  <c r="G10"/>
  <c r="I10"/>
  <c r="J10"/>
  <c r="O10"/>
  <c r="P10"/>
  <c r="Q10"/>
  <c r="R10"/>
  <c r="S10"/>
  <c r="T10"/>
  <c r="U10"/>
  <c r="V10"/>
  <c r="W10"/>
  <c r="X10"/>
  <c r="Y10"/>
  <c r="Z10"/>
  <c r="AA10"/>
  <c r="B11"/>
  <c r="C11"/>
  <c r="D11"/>
  <c r="F11"/>
  <c r="G11"/>
  <c r="I11"/>
  <c r="J11"/>
  <c r="O11"/>
  <c r="P11"/>
  <c r="Q11"/>
  <c r="R11"/>
  <c r="S11"/>
  <c r="T11"/>
  <c r="U11"/>
  <c r="V11"/>
  <c r="W11"/>
  <c r="X11"/>
  <c r="Z11"/>
  <c r="B12"/>
  <c r="C12"/>
  <c r="D12"/>
  <c r="F12"/>
  <c r="G12"/>
  <c r="I12"/>
  <c r="J12"/>
  <c r="O12"/>
  <c r="P12"/>
  <c r="Q12"/>
  <c r="R12"/>
  <c r="S12"/>
  <c r="T12"/>
  <c r="U12"/>
  <c r="V12"/>
  <c r="W12"/>
  <c r="X12"/>
  <c r="Z12"/>
  <c r="B13"/>
  <c r="C13"/>
  <c r="D13"/>
  <c r="J13"/>
  <c r="O13"/>
  <c r="S13"/>
  <c r="T13"/>
  <c r="U13"/>
  <c r="Z13"/>
  <c r="I14"/>
  <c r="R14"/>
  <c r="X14"/>
  <c r="Y14"/>
  <c r="B15"/>
  <c r="R15"/>
  <c r="A17"/>
  <c r="B17"/>
  <c r="B5" i="4"/>
  <c r="C5"/>
  <c r="E5"/>
  <c r="F5"/>
  <c r="G5"/>
  <c r="I5"/>
  <c r="J5"/>
  <c r="L5"/>
  <c r="M5"/>
  <c r="P5"/>
  <c r="Q5"/>
  <c r="R5"/>
  <c r="W5"/>
  <c r="B6"/>
  <c r="C6"/>
  <c r="E6"/>
  <c r="F6"/>
  <c r="G6"/>
  <c r="I6"/>
  <c r="J6"/>
  <c r="L6"/>
  <c r="M6"/>
  <c r="N6"/>
  <c r="O6"/>
  <c r="P6"/>
  <c r="Q6"/>
  <c r="R6"/>
  <c r="S6"/>
  <c r="T6"/>
  <c r="U6"/>
  <c r="V6"/>
  <c r="W6"/>
  <c r="X6"/>
  <c r="B7"/>
  <c r="C7"/>
  <c r="E7"/>
  <c r="F7"/>
  <c r="G7"/>
  <c r="I7"/>
  <c r="J7"/>
  <c r="L7"/>
  <c r="M7"/>
  <c r="N7"/>
  <c r="O7"/>
  <c r="P7"/>
  <c r="Q7"/>
  <c r="R7"/>
  <c r="S7"/>
  <c r="T7"/>
  <c r="U7"/>
  <c r="V7"/>
  <c r="W7"/>
  <c r="X7"/>
  <c r="B8"/>
  <c r="C8"/>
  <c r="E8"/>
  <c r="F8"/>
  <c r="G8"/>
  <c r="I8"/>
  <c r="J8"/>
  <c r="L8"/>
  <c r="M8"/>
  <c r="N8"/>
  <c r="O8"/>
  <c r="P8"/>
  <c r="Q8"/>
  <c r="R8"/>
  <c r="S8"/>
  <c r="T8"/>
  <c r="U8"/>
  <c r="V8"/>
  <c r="W8"/>
  <c r="X8"/>
  <c r="B9"/>
  <c r="C9"/>
  <c r="E9"/>
  <c r="F9"/>
  <c r="G9"/>
  <c r="I9"/>
  <c r="J9"/>
  <c r="L9"/>
  <c r="M9"/>
  <c r="N9"/>
  <c r="O9"/>
  <c r="P9"/>
  <c r="Q9"/>
  <c r="R9"/>
  <c r="S9"/>
  <c r="T9"/>
  <c r="U9"/>
  <c r="V9"/>
  <c r="W9"/>
  <c r="X9"/>
  <c r="B10"/>
  <c r="C10"/>
  <c r="E10"/>
  <c r="F10"/>
  <c r="G10"/>
  <c r="I10"/>
  <c r="J10"/>
  <c r="L10"/>
  <c r="M10"/>
  <c r="N10"/>
  <c r="O10"/>
  <c r="P10"/>
  <c r="Q10"/>
  <c r="R10"/>
  <c r="S10"/>
  <c r="T10"/>
  <c r="U10"/>
  <c r="V10"/>
  <c r="W10"/>
  <c r="X10"/>
  <c r="B11"/>
  <c r="C11"/>
  <c r="E11"/>
  <c r="F11"/>
  <c r="I11"/>
  <c r="J11"/>
  <c r="L11"/>
  <c r="M11"/>
  <c r="N11"/>
  <c r="O11"/>
  <c r="P11"/>
  <c r="Q11"/>
  <c r="R11"/>
  <c r="S11"/>
  <c r="T11"/>
  <c r="U11"/>
  <c r="W11"/>
  <c r="B12"/>
  <c r="C12"/>
  <c r="E12"/>
  <c r="F12"/>
  <c r="I12"/>
  <c r="J12"/>
  <c r="L12"/>
  <c r="M12"/>
  <c r="N12"/>
  <c r="O12"/>
  <c r="P12"/>
  <c r="Q12"/>
  <c r="R12"/>
  <c r="S12"/>
  <c r="T12"/>
  <c r="U12"/>
  <c r="W12"/>
  <c r="O13"/>
  <c r="U13"/>
  <c r="V13"/>
  <c r="B14"/>
  <c r="I14"/>
  <c r="O14"/>
  <c r="A16"/>
  <c r="G65536"/>
  <c r="B5" i="6"/>
  <c r="C5"/>
  <c r="E5"/>
  <c r="F5"/>
  <c r="G5"/>
  <c r="H5"/>
  <c r="J5"/>
  <c r="K5"/>
  <c r="L5"/>
  <c r="Q5"/>
  <c r="B6"/>
  <c r="C6"/>
  <c r="E6"/>
  <c r="F6"/>
  <c r="G6"/>
  <c r="H6"/>
  <c r="I6"/>
  <c r="J6"/>
  <c r="K6"/>
  <c r="L6"/>
  <c r="M6"/>
  <c r="N6"/>
  <c r="O6"/>
  <c r="P6"/>
  <c r="Q6"/>
  <c r="R6"/>
  <c r="B7"/>
  <c r="C7"/>
  <c r="E7"/>
  <c r="F7"/>
  <c r="G7"/>
  <c r="H7"/>
  <c r="I7"/>
  <c r="J7"/>
  <c r="K7"/>
  <c r="L7"/>
  <c r="M7"/>
  <c r="N7"/>
  <c r="O7"/>
  <c r="P7"/>
  <c r="Q7"/>
  <c r="R7"/>
  <c r="B8"/>
  <c r="C8"/>
  <c r="E8"/>
  <c r="F8"/>
  <c r="G8"/>
  <c r="H8"/>
  <c r="I8"/>
  <c r="J8"/>
  <c r="K8"/>
  <c r="L8"/>
  <c r="M8"/>
  <c r="N8"/>
  <c r="O8"/>
  <c r="P8"/>
  <c r="Q8"/>
  <c r="R8"/>
  <c r="B9"/>
  <c r="C9"/>
  <c r="E9"/>
  <c r="F9"/>
  <c r="G9"/>
  <c r="H9"/>
  <c r="I9"/>
  <c r="J9"/>
  <c r="K9"/>
  <c r="L9"/>
  <c r="M9"/>
  <c r="N9"/>
  <c r="O9"/>
  <c r="P9"/>
  <c r="Q9"/>
  <c r="R9"/>
  <c r="B10"/>
  <c r="C10"/>
  <c r="E10"/>
  <c r="F10"/>
  <c r="G10"/>
  <c r="H10"/>
  <c r="I10"/>
  <c r="J10"/>
  <c r="K10"/>
  <c r="L10"/>
  <c r="M10"/>
  <c r="N10"/>
  <c r="O10"/>
  <c r="Q10"/>
  <c r="G12"/>
  <c r="O12"/>
  <c r="P12"/>
  <c r="I13"/>
  <c r="B5" i="3"/>
  <c r="C5"/>
  <c r="E5"/>
  <c r="F5"/>
  <c r="H5"/>
  <c r="I5"/>
  <c r="J5"/>
  <c r="K5"/>
  <c r="L5"/>
  <c r="M5"/>
  <c r="N5"/>
  <c r="O5"/>
  <c r="T5"/>
  <c r="B6"/>
  <c r="C6"/>
  <c r="E6"/>
  <c r="F6"/>
  <c r="G6"/>
  <c r="H6"/>
  <c r="I6"/>
  <c r="J6"/>
  <c r="K6"/>
  <c r="L6"/>
  <c r="M6"/>
  <c r="N6"/>
  <c r="O6"/>
  <c r="P6"/>
  <c r="Q6"/>
  <c r="R6"/>
  <c r="S6"/>
  <c r="T6"/>
  <c r="U6"/>
  <c r="B7"/>
  <c r="C7"/>
  <c r="E7"/>
  <c r="F7"/>
  <c r="G7"/>
  <c r="H7"/>
  <c r="I7"/>
  <c r="J7"/>
  <c r="K7"/>
  <c r="L7"/>
  <c r="M7"/>
  <c r="N7"/>
  <c r="O7"/>
  <c r="P7"/>
  <c r="Q7"/>
  <c r="R7"/>
  <c r="S7"/>
  <c r="T7"/>
  <c r="U7"/>
  <c r="B8"/>
  <c r="C8"/>
  <c r="E8"/>
  <c r="F8"/>
  <c r="G8"/>
  <c r="H8"/>
  <c r="I8"/>
  <c r="J8"/>
  <c r="K8"/>
  <c r="L8"/>
  <c r="M8"/>
  <c r="N8"/>
  <c r="O8"/>
  <c r="P8"/>
  <c r="Q8"/>
  <c r="R8"/>
  <c r="S8"/>
  <c r="T8"/>
  <c r="U8"/>
  <c r="B9"/>
  <c r="C9"/>
  <c r="E9"/>
  <c r="F9"/>
  <c r="G9"/>
  <c r="H9"/>
  <c r="I9"/>
  <c r="J9"/>
  <c r="K9"/>
  <c r="L9"/>
  <c r="M9"/>
  <c r="N9"/>
  <c r="O9"/>
  <c r="P9"/>
  <c r="Q9"/>
  <c r="R9"/>
  <c r="S9"/>
  <c r="T9"/>
  <c r="U9"/>
  <c r="B10"/>
  <c r="C10"/>
  <c r="E10"/>
  <c r="F10"/>
  <c r="G10"/>
  <c r="H10"/>
  <c r="I10"/>
  <c r="J10"/>
  <c r="K10"/>
  <c r="L10"/>
  <c r="M10"/>
  <c r="N10"/>
  <c r="O10"/>
  <c r="P10"/>
  <c r="Q10"/>
  <c r="R10"/>
  <c r="T10"/>
  <c r="R12"/>
  <c r="S12"/>
  <c r="G13"/>
  <c r="K13"/>
  <c r="M13"/>
  <c r="B4" i="2"/>
  <c r="C6"/>
  <c r="A1" i="1"/>
  <c r="B1"/>
  <c r="D1"/>
  <c r="D2"/>
  <c r="J3"/>
  <c r="F5"/>
  <c r="G5"/>
  <c r="H5"/>
  <c r="I5"/>
  <c r="J5"/>
  <c r="B6"/>
  <c r="G6"/>
  <c r="I6"/>
  <c r="J6"/>
  <c r="K6"/>
  <c r="L6"/>
  <c r="B7"/>
  <c r="G7"/>
  <c r="I7"/>
  <c r="J7"/>
  <c r="B8"/>
  <c r="G8"/>
  <c r="I8"/>
  <c r="J8"/>
  <c r="B9"/>
  <c r="G9"/>
  <c r="I9"/>
  <c r="J9"/>
  <c r="B10"/>
  <c r="G10"/>
  <c r="I10"/>
  <c r="J10"/>
  <c r="B11"/>
  <c r="G11"/>
  <c r="I11"/>
  <c r="J11"/>
  <c r="B12"/>
  <c r="G12"/>
  <c r="I12"/>
  <c r="J12"/>
  <c r="B13"/>
  <c r="G13"/>
  <c r="I13"/>
  <c r="J13"/>
  <c r="B14"/>
  <c r="G14"/>
  <c r="I14"/>
  <c r="J14"/>
  <c r="B15"/>
  <c r="G15"/>
  <c r="I15"/>
  <c r="J15"/>
  <c r="B16"/>
  <c r="G16"/>
  <c r="I16"/>
  <c r="J16"/>
  <c r="B17"/>
  <c r="G17"/>
  <c r="I17"/>
  <c r="J17"/>
  <c r="B18"/>
  <c r="G18"/>
  <c r="I18"/>
  <c r="J18"/>
  <c r="B19"/>
  <c r="G19"/>
  <c r="I19"/>
  <c r="J19"/>
  <c r="B20"/>
  <c r="G20"/>
  <c r="I20"/>
  <c r="J20"/>
  <c r="B21"/>
  <c r="G21"/>
  <c r="I21"/>
  <c r="J21"/>
  <c r="B22"/>
  <c r="G22"/>
  <c r="I22"/>
  <c r="J22"/>
  <c r="B23"/>
  <c r="G23"/>
  <c r="I23"/>
  <c r="J23"/>
  <c r="B24"/>
  <c r="G24"/>
  <c r="I24"/>
  <c r="J24"/>
  <c r="B25"/>
  <c r="G25"/>
  <c r="I25"/>
  <c r="J25"/>
  <c r="B26"/>
  <c r="G26"/>
  <c r="I26"/>
  <c r="J26"/>
  <c r="B27"/>
  <c r="G27"/>
  <c r="I27"/>
  <c r="J27"/>
  <c r="B28"/>
  <c r="G28"/>
  <c r="I28"/>
  <c r="J28"/>
  <c r="B29"/>
  <c r="G29"/>
  <c r="I29"/>
  <c r="J29"/>
  <c r="B30"/>
  <c r="G30"/>
  <c r="I30"/>
  <c r="J30"/>
  <c r="B31"/>
  <c r="G31"/>
  <c r="I31"/>
  <c r="J31"/>
  <c r="B32"/>
  <c r="G32"/>
  <c r="I32"/>
  <c r="J32"/>
  <c r="B33"/>
  <c r="G33"/>
  <c r="I33"/>
  <c r="J33"/>
  <c r="B34"/>
  <c r="G34"/>
  <c r="I34"/>
  <c r="J34"/>
  <c r="B35"/>
  <c r="G35"/>
  <c r="I35"/>
  <c r="J35"/>
  <c r="B36"/>
  <c r="G36"/>
  <c r="I36"/>
  <c r="J36"/>
  <c r="B37"/>
  <c r="G37"/>
  <c r="I37"/>
  <c r="J37"/>
  <c r="B38"/>
  <c r="G38"/>
  <c r="I38"/>
  <c r="J38"/>
  <c r="B39"/>
  <c r="G39"/>
  <c r="I39"/>
  <c r="J39"/>
  <c r="B40"/>
  <c r="G40"/>
  <c r="I40"/>
  <c r="J40"/>
  <c r="B41"/>
  <c r="G41"/>
  <c r="I41"/>
  <c r="J41"/>
  <c r="B42"/>
  <c r="G42"/>
  <c r="I42"/>
  <c r="J42"/>
  <c r="B43"/>
  <c r="G43"/>
  <c r="I43"/>
  <c r="J43"/>
  <c r="B44"/>
  <c r="G44"/>
  <c r="I44"/>
  <c r="J44"/>
  <c r="B45"/>
  <c r="G45"/>
  <c r="I45"/>
  <c r="J45"/>
  <c r="B46"/>
  <c r="G46"/>
  <c r="I46"/>
  <c r="J46"/>
  <c r="B47"/>
  <c r="G47"/>
  <c r="I47"/>
  <c r="J47"/>
  <c r="B48"/>
  <c r="G48"/>
  <c r="I48"/>
  <c r="J48"/>
  <c r="B49"/>
  <c r="G49"/>
  <c r="I49"/>
  <c r="J49"/>
  <c r="B50"/>
  <c r="G50"/>
  <c r="I50"/>
  <c r="J50"/>
  <c r="B51"/>
  <c r="G51"/>
  <c r="I51"/>
  <c r="J51"/>
  <c r="B52"/>
  <c r="G52"/>
  <c r="I52"/>
  <c r="J52"/>
  <c r="B53"/>
  <c r="G53"/>
  <c r="I53"/>
  <c r="J53"/>
  <c r="B54"/>
  <c r="G54"/>
  <c r="I54"/>
  <c r="J54"/>
  <c r="B55"/>
  <c r="G55"/>
  <c r="I55"/>
  <c r="J55"/>
  <c r="B56"/>
  <c r="G56"/>
  <c r="I56"/>
  <c r="J56"/>
  <c r="B57"/>
  <c r="G57"/>
  <c r="I57"/>
  <c r="J57"/>
  <c r="B58"/>
  <c r="G58"/>
  <c r="I58"/>
  <c r="J58"/>
  <c r="B59"/>
  <c r="G59"/>
  <c r="I59"/>
  <c r="J59"/>
  <c r="B60"/>
  <c r="G60"/>
  <c r="I60"/>
  <c r="J60"/>
  <c r="B61"/>
  <c r="G61"/>
  <c r="I61"/>
  <c r="J61"/>
  <c r="B62"/>
  <c r="G62"/>
  <c r="I62"/>
  <c r="J62"/>
  <c r="B63"/>
  <c r="G63"/>
  <c r="I63"/>
  <c r="J63"/>
  <c r="B64"/>
  <c r="G64"/>
  <c r="I64"/>
  <c r="J64"/>
  <c r="B65"/>
  <c r="G65"/>
  <c r="I65"/>
  <c r="J65"/>
  <c r="B66"/>
  <c r="G66"/>
  <c r="I66"/>
  <c r="J66"/>
  <c r="B67"/>
  <c r="G67"/>
  <c r="I67"/>
  <c r="J67"/>
  <c r="B68"/>
  <c r="G68"/>
  <c r="I68"/>
  <c r="J68"/>
  <c r="B69"/>
  <c r="G69"/>
  <c r="I69"/>
  <c r="J69"/>
  <c r="B70"/>
  <c r="G70"/>
  <c r="I70"/>
  <c r="J70"/>
  <c r="B71"/>
  <c r="G71"/>
  <c r="I71"/>
  <c r="J71"/>
  <c r="B72"/>
  <c r="G72"/>
  <c r="I72"/>
  <c r="J72"/>
  <c r="B73"/>
  <c r="G73"/>
  <c r="I73"/>
  <c r="J73"/>
  <c r="B74"/>
  <c r="G74"/>
  <c r="I74"/>
  <c r="J74"/>
  <c r="B75"/>
  <c r="G75"/>
  <c r="I75"/>
  <c r="J75"/>
  <c r="B76"/>
  <c r="G76"/>
  <c r="I76"/>
  <c r="J76"/>
  <c r="B77"/>
  <c r="G77"/>
  <c r="I77"/>
  <c r="J77"/>
  <c r="B78"/>
  <c r="G78"/>
  <c r="I78"/>
  <c r="J78"/>
  <c r="B79"/>
  <c r="G79"/>
  <c r="I79"/>
  <c r="J79"/>
  <c r="B80"/>
  <c r="G80"/>
  <c r="I80"/>
  <c r="J80"/>
  <c r="B81"/>
  <c r="G81"/>
  <c r="I81"/>
  <c r="J81"/>
  <c r="B82"/>
  <c r="G82"/>
  <c r="I82"/>
  <c r="J82"/>
  <c r="B83"/>
  <c r="G83"/>
  <c r="I83"/>
  <c r="J83"/>
  <c r="B84"/>
  <c r="G84"/>
  <c r="I84"/>
  <c r="J84"/>
  <c r="B85"/>
  <c r="G85"/>
  <c r="I85"/>
  <c r="J85"/>
  <c r="B86"/>
  <c r="G86"/>
  <c r="I86"/>
  <c r="J86"/>
  <c r="B87"/>
  <c r="G87"/>
  <c r="I87"/>
  <c r="J87"/>
  <c r="B88"/>
  <c r="G88"/>
  <c r="I88"/>
  <c r="J88"/>
  <c r="B89"/>
  <c r="G89"/>
  <c r="I89"/>
  <c r="J89"/>
  <c r="B90"/>
  <c r="G90"/>
  <c r="I90"/>
  <c r="J90"/>
  <c r="B91"/>
  <c r="G91"/>
  <c r="I91"/>
  <c r="J91"/>
  <c r="B92"/>
  <c r="G92"/>
  <c r="I92"/>
  <c r="J92"/>
  <c r="B93"/>
  <c r="G93"/>
  <c r="I93"/>
  <c r="J93"/>
  <c r="B94"/>
  <c r="G94"/>
  <c r="I94"/>
  <c r="J94"/>
  <c r="B95"/>
  <c r="G95"/>
  <c r="I95"/>
  <c r="J95"/>
  <c r="B96"/>
  <c r="G96"/>
  <c r="I96"/>
  <c r="J96"/>
  <c r="B97"/>
  <c r="G97"/>
  <c r="I97"/>
  <c r="J97"/>
  <c r="B98"/>
  <c r="G98"/>
  <c r="I98"/>
  <c r="J98"/>
  <c r="B99"/>
  <c r="G99"/>
  <c r="I99"/>
  <c r="J99"/>
  <c r="B100"/>
  <c r="G100"/>
  <c r="I100"/>
  <c r="J100"/>
  <c r="B101"/>
  <c r="G101"/>
  <c r="I101"/>
  <c r="J101"/>
  <c r="B102"/>
  <c r="G102"/>
  <c r="I102"/>
  <c r="J102"/>
  <c r="B103"/>
  <c r="G103"/>
  <c r="I103"/>
  <c r="J103"/>
  <c r="B104"/>
  <c r="G104"/>
  <c r="I104"/>
  <c r="J104"/>
  <c r="B105"/>
  <c r="G105"/>
  <c r="I105"/>
  <c r="J105"/>
  <c r="B106"/>
  <c r="G106"/>
  <c r="I106"/>
  <c r="J106"/>
  <c r="B107"/>
  <c r="G107"/>
  <c r="I107"/>
  <c r="J107"/>
  <c r="G17" i="15" l="1"/>
  <c r="H17"/>
  <c r="H16"/>
  <c r="D5" i="12"/>
  <c r="I60"/>
  <c r="L60" s="1"/>
  <c r="I68"/>
  <c r="L68" s="1"/>
  <c r="I64"/>
  <c r="L64" s="1"/>
  <c r="I56"/>
  <c r="L56" s="1"/>
  <c r="AK72"/>
  <c r="AK68"/>
  <c r="AK52"/>
  <c r="AK62"/>
  <c r="AK65"/>
  <c r="AK49"/>
  <c r="AK64"/>
  <c r="AK48"/>
  <c r="AK56"/>
  <c r="AK54"/>
  <c r="AK57"/>
  <c r="AK60"/>
  <c r="AK44"/>
  <c r="AK46"/>
  <c r="AK70"/>
  <c r="AB59"/>
  <c r="AB71"/>
  <c r="AB57"/>
  <c r="AB44"/>
  <c r="AB66"/>
  <c r="AB60"/>
  <c r="AB47"/>
  <c r="AB65"/>
  <c r="AB63"/>
  <c r="AB49"/>
  <c r="AB54"/>
  <c r="AB68"/>
  <c r="AB55"/>
  <c r="AB73"/>
  <c r="AB58"/>
  <c r="AB52"/>
  <c r="AH42"/>
  <c r="AH51" s="1"/>
  <c r="R44"/>
  <c r="R46"/>
  <c r="R48"/>
  <c r="R50"/>
  <c r="R52"/>
  <c r="R54"/>
  <c r="R58"/>
  <c r="R62"/>
  <c r="R66"/>
  <c r="R70"/>
  <c r="R72"/>
  <c r="I55"/>
  <c r="L55" s="1"/>
  <c r="I59"/>
  <c r="L59" s="1"/>
  <c r="I63"/>
  <c r="L63" s="1"/>
  <c r="I67"/>
  <c r="L67" s="1"/>
  <c r="I71"/>
  <c r="L71" s="1"/>
  <c r="I73"/>
  <c r="L73" s="1"/>
  <c r="R45"/>
  <c r="R47"/>
  <c r="R49"/>
  <c r="R51"/>
  <c r="R53"/>
  <c r="R57"/>
  <c r="R61"/>
  <c r="R65"/>
  <c r="R69"/>
  <c r="AH46"/>
  <c r="AH49"/>
  <c r="AH68"/>
  <c r="AH64"/>
  <c r="AH57"/>
  <c r="AH69"/>
  <c r="AH53"/>
  <c r="AB56"/>
  <c r="AB70"/>
  <c r="AB69"/>
  <c r="AB53"/>
  <c r="AB62"/>
  <c r="AB67"/>
  <c r="AB51"/>
  <c r="AK61"/>
  <c r="AK45"/>
  <c r="AK58"/>
  <c r="AK71"/>
  <c r="AB72"/>
  <c r="AK51"/>
  <c r="AK59"/>
  <c r="AK67"/>
  <c r="AK73"/>
  <c r="AB64"/>
  <c r="AB48"/>
  <c r="AB46"/>
  <c r="AB61"/>
  <c r="AB45"/>
  <c r="AB50"/>
  <c r="AK69"/>
  <c r="AK53"/>
  <c r="AK66"/>
  <c r="AK50"/>
  <c r="AK47"/>
  <c r="AK55"/>
  <c r="AK63"/>
  <c r="D47" i="9"/>
  <c r="H130" s="1"/>
  <c r="D53"/>
  <c r="H126" s="1"/>
  <c r="AH61" i="12" l="1"/>
  <c r="AH59"/>
  <c r="AH44"/>
  <c r="AH72"/>
  <c r="AH62"/>
  <c r="AH70"/>
  <c r="AH66"/>
  <c r="AH73"/>
  <c r="AH71"/>
  <c r="AH67"/>
  <c r="AH60"/>
  <c r="AH56"/>
  <c r="AH48"/>
  <c r="AH52"/>
  <c r="AH47"/>
  <c r="AH45"/>
  <c r="AH65"/>
  <c r="AH55"/>
  <c r="AH54"/>
  <c r="AH50"/>
  <c r="AH58"/>
  <c r="AH63"/>
</calcChain>
</file>

<file path=xl/comments1.xml><?xml version="1.0" encoding="utf-8"?>
<comments xmlns="http://schemas.openxmlformats.org/spreadsheetml/2006/main">
  <authors>
    <author>Brent Hugh</author>
  </authors>
  <commentList>
    <comment ref="A48"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9"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50"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51"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comments2.xml><?xml version="1.0" encoding="utf-8"?>
<comments xmlns="http://schemas.openxmlformats.org/spreadsheetml/2006/main">
  <authors>
    <author>Brent Hugh</author>
  </authors>
  <commentList>
    <comment ref="A45"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6"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47"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48"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sharedStrings.xml><?xml version="1.0" encoding="utf-8"?>
<sst xmlns="http://schemas.openxmlformats.org/spreadsheetml/2006/main" count="432" uniqueCount="232">
  <si>
    <t>gravity</t>
  </si>
  <si>
    <t>vert spd/horz spd</t>
  </si>
  <si>
    <t>time</t>
  </si>
  <si>
    <t>kts</t>
  </si>
  <si>
    <t>fps down</t>
  </si>
  <si>
    <t>kts to fps</t>
  </si>
  <si>
    <t>fps</t>
  </si>
  <si>
    <t>AIRSPEED</t>
  </si>
  <si>
    <t>airspeed normalize</t>
  </si>
  <si>
    <t>down velocity normalized</t>
  </si>
  <si>
    <t>power method</t>
  </si>
  <si>
    <t>quadratic method</t>
  </si>
  <si>
    <t>fps up</t>
  </si>
  <si>
    <t>stall speed</t>
  </si>
  <si>
    <t>up velocity normalized</t>
  </si>
  <si>
    <t>sin</t>
  </si>
  <si>
    <t>delta-airSpeed</t>
  </si>
  <si>
    <t>CAMEL DOWN</t>
  </si>
  <si>
    <t>ZERO DOWN</t>
  </si>
  <si>
    <t>Look at GROUNDSPEED-KT! Not airspeed-kt.</t>
  </si>
  <si>
    <t>delta speed FPS</t>
  </si>
  <si>
    <t>normalized</t>
  </si>
  <si>
    <t>SIN method</t>
  </si>
  <si>
    <t>FPS down method</t>
  </si>
  <si>
    <t>vel kts</t>
  </si>
  <si>
    <t>Propellor length</t>
  </si>
  <si>
    <t>rps</t>
  </si>
  <si>
    <t>V/nD</t>
  </si>
  <si>
    <t>RPM</t>
  </si>
  <si>
    <t>mass moment of inertia of slender rod, radius R (1/12 m L^2)</t>
  </si>
  <si>
    <t>moment of inertia</t>
  </si>
  <si>
    <t>X2 for entire propellor</t>
  </si>
  <si>
    <t>mass of propellor, kg (mass of actual propellor made here: http://www.theaerodrome.com/forum/aircraft/46868-sopwith-camel-propeller.html)</t>
  </si>
  <si>
    <t>radius of propellor in meters</t>
  </si>
  <si>
    <t>X9 for entire clerget</t>
  </si>
  <si>
    <t>in kg - m^2</t>
  </si>
  <si>
    <t>in slug - ft ^2</t>
  </si>
  <si>
    <t>radius of clerget cylinders in meters (from center to tip of cylinder, estimated; stroke is 6.3 in and the radius is a bit more than 2X that)</t>
  </si>
  <si>
    <t>moment of inertia of one cylinder/ one ninth of the clerget</t>
  </si>
  <si>
    <t>Clerget info source: http://www.pilotfriend.com/aero_engines/aero_clerget.htm</t>
  </si>
  <si>
    <t xml:space="preserve">TOTAL moment of inertia for prop plus engine: </t>
  </si>
  <si>
    <t>thrust/prop diam ^ 4 (feet)/ velocity ^ 2 (fps)</t>
  </si>
  <si>
    <t>for Camel at 115 kts</t>
  </si>
  <si>
    <t>for Camel at 70 kts and climbing at 16 fps</t>
  </si>
  <si>
    <t>Prop thrust calculations.  We  know what it should be at two spots, 115 kt @ 1250 RPM and 60 KT @1150 RPM and max climb (about 16.67 fps)</t>
  </si>
  <si>
    <t>Source: http://naca.central.cranfield.ac.uk/reports/arc/rm/448.pdf</t>
  </si>
  <si>
    <t>Prop &amp; Clerget Moment of Inertia Calculations</t>
  </si>
  <si>
    <t>mass moment of inertia of slender rod, radius R (1/12 * half of m * L^2)</t>
  </si>
  <si>
    <t>mass of ONE CYLINDER/one ninth of the rotating mass of the Clerget, in kg.  It weighs 381 lb all told, all but the crankshaft rotated, so we're assuming 96% rotating mass, then divide by 9 to get one 'cylinder').</t>
  </si>
  <si>
    <t>What is the mass of a Camel propellor?</t>
  </si>
  <si>
    <t>Demo of camel takeoff/landing:</t>
  </si>
  <si>
    <t>http://www.youtube.com/watch?v=VT9wtDNiKaI</t>
  </si>
  <si>
    <t>0.001   0.116</t>
  </si>
  <si>
    <t xml:space="preserve">       0.01   0.176</t>
  </si>
  <si>
    <t xml:space="preserve">       0.1   0.146</t>
  </si>
  <si>
    <t xml:space="preserve">       0.2   0.123</t>
  </si>
  <si>
    <t xml:space="preserve">       0.3   0.110</t>
  </si>
  <si>
    <t xml:space="preserve">       0.4   0.081</t>
  </si>
  <si>
    <t xml:space="preserve">       0.5   0.078   </t>
  </si>
  <si>
    <t xml:space="preserve">       0.6076 0.076</t>
  </si>
  <si>
    <t xml:space="preserve">       0.8   0.073</t>
  </si>
  <si>
    <t xml:space="preserve">       1.0   0.0691</t>
  </si>
  <si>
    <t xml:space="preserve">       1.2   0.06</t>
  </si>
  <si>
    <t xml:space="preserve">       1.7   0.02</t>
  </si>
  <si>
    <t xml:space="preserve">       1.9   0.0</t>
  </si>
  <si>
    <t xml:space="preserve">       2.0  -0.02</t>
  </si>
  <si>
    <t xml:space="preserve">       5.0  -0.02</t>
  </si>
  <si>
    <t>POWER</t>
  </si>
  <si>
    <t>THRUST</t>
  </si>
  <si>
    <t>EFFICIENCY</t>
  </si>
  <si>
    <t>Ct for sopwith Max speed, 115 MPH @ 1250 RPM</t>
  </si>
  <si>
    <t>Ct for sopwith Max speed, 70 KNOTS @ 1150 RPM, climbing @ 16.66 fps</t>
  </si>
  <si>
    <t>At J=.976 we need Cp to be .72 * .0681</t>
  </si>
  <si>
    <t>60 kts @ 1150 RPM, climbing 16.66 fps</t>
  </si>
  <si>
    <t>at J=.5358 we need Cp to be .72 *.076 * 1.02</t>
  </si>
  <si>
    <t>J</t>
  </si>
  <si>
    <t>ixx</t>
  </si>
  <si>
    <t>iyy</t>
  </si>
  <si>
    <t>izz</t>
  </si>
  <si>
    <t>ixz</t>
  </si>
  <si>
    <t>iyz</t>
  </si>
  <si>
    <t>ixy</t>
  </si>
  <si>
    <t>orig</t>
  </si>
  <si>
    <t>mass of propellor, kg (per 1918 spec book: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</si>
  <si>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 xml:space="preserve">Weight of wings: </t>
  </si>
  <si>
    <t>kg/m^2</t>
  </si>
  <si>
    <t>Source: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</si>
  <si>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m^2</t>
  </si>
  <si>
    <t>Wing area:</t>
  </si>
  <si>
    <t>Source: http://en.wikipedia.org/wiki/Sopwith_Camel</t>
  </si>
  <si>
    <t>kg</t>
  </si>
  <si>
    <t xml:space="preserve">Wingspan: </t>
  </si>
  <si>
    <t>Moment of Inertia (=m * L^2 / 12)</t>
  </si>
  <si>
    <t>Moment of Inertia of Wings only, Ixx</t>
  </si>
  <si>
    <t>kg * m^2</t>
  </si>
  <si>
    <t>CONVERSION</t>
  </si>
  <si>
    <t>kg*m2 TO slug*ft2</t>
  </si>
  <si>
    <t>slug * ft^2</t>
  </si>
  <si>
    <t>m</t>
  </si>
  <si>
    <t>Moment of inertia of rest of AC except wings, Ixx</t>
  </si>
  <si>
    <t>Moment of Inertia (=m * L^2 / 2)</t>
  </si>
  <si>
    <t>TOTAL moment of inertia, Ixx</t>
  </si>
  <si>
    <t>SOPWITH CAMEL: A REALISTIC JSBSIM FLIGHT MODEL, Ver. 1.0</t>
  </si>
  <si>
    <t>Speed/Climb Rate Comparison with 1917 Flight Data</t>
  </si>
  <si>
    <t>Source of the 1917 Camel Speed/Climb Rate data: http://home.comcast.net/~clipper-108/AIAAPaper2005-119.pdf, page 7.</t>
  </si>
  <si>
    <t>Speed (kts)</t>
  </si>
  <si>
    <t>Verticle Speed (fps)</t>
  </si>
  <si>
    <t>Speed (mph)</t>
  </si>
  <si>
    <t>Verticle Speed (fpm)</t>
  </si>
  <si>
    <t>kt/mph</t>
  </si>
  <si>
    <t>s/m</t>
  </si>
  <si>
    <t>Conv factors:</t>
  </si>
  <si>
    <t>Historical Data (p. 7, http://home.comcast.net/~clipper-108/AIAAPaper2005-119.pdf )</t>
  </si>
  <si>
    <t xml:space="preserve">JSBSim Data </t>
  </si>
  <si>
    <t>Climb Performance 10,000 ft - 1917</t>
  </si>
  <si>
    <t>Numbers are estimated from the graph, p. 7</t>
  </si>
  <si>
    <t>Ver. 1.0 hasn't been tweaked to this particular data; it was tweaked to fit 
other published speed and climb data; this data set was used as a check.</t>
  </si>
  <si>
    <t>Historical docs:</t>
  </si>
  <si>
    <t>Gnome engine + prop:</t>
  </si>
  <si>
    <t>lbs - ft^2</t>
  </si>
  <si>
    <t>slug - ft^2</t>
  </si>
  <si>
    <t>pound - slug conversion</t>
  </si>
  <si>
    <t>slug-ft^2 - kg-m^2 conversion</t>
  </si>
  <si>
    <t>kg - m^2</t>
  </si>
  <si>
    <t>See: Gyroscopic Couples in Historical Docs directory</t>
  </si>
  <si>
    <t>See: Report on Accidents in Historical Docs Directory</t>
  </si>
  <si>
    <t>Clerget 130 HP engine + prop ("rough estimate")</t>
  </si>
  <si>
    <t>slug-ft^2</t>
  </si>
  <si>
    <t>Prop</t>
  </si>
  <si>
    <t>Engine</t>
  </si>
  <si>
    <t>TOTAL</t>
  </si>
  <si>
    <t>Another estimate of Clerget 130HP:</t>
  </si>
  <si>
    <t>I've tried to estimate the moment of inertia myself by simplifying the rotary engine into a combination of four homogeneous, dense rings spaced at equal intervals around the propeller axis. The centre of the engine could be expected to be a bit denser than the pistons, so I'm using (centre outwards): 40%, 30%, 20%, 10% of the mass. Engine mass 150 kg, diameter 4 ft.</t>
  </si>
  <si>
    <t>The result: Moment of inertia 17.4 kgm^2.</t>
  </si>
  <si>
    <t>For the propeller (mass 7.9 kg, diameter 9 ft): 5.0 kgm^2.</t>
  </si>
  <si>
    <t>So the rotary engine would have 3.5 times the moment of inertia of the propeller, and accordingly, the propeller density should be set to 1.1 to simulate the moments of both combined. (I'm using the 0.25 relative density pointed out for maple.)</t>
  </si>
  <si>
    <t>Source: http://www.theaerodrome.com/forum/aircraft/45869-sopwith-camel-myth-5.html</t>
  </si>
  <si>
    <t>AOA</t>
  </si>
  <si>
    <t>Drag</t>
  </si>
  <si>
    <t xml:space="preserve">   -1.57       1.500</t>
  </si>
  <si>
    <t xml:space="preserve">             -0.26    0.036</t>
  </si>
  <si>
    <t xml:space="preserve">              0.00    0.028</t>
  </si>
  <si>
    <t xml:space="preserve">              0.26    0.036</t>
  </si>
  <si>
    <t xml:space="preserve">              1.57       1.500</t>
  </si>
  <si>
    <t>JSBSim as of 4/4/2013</t>
  </si>
  <si>
    <t>Aeromatic JSBSim</t>
  </si>
  <si>
    <t>Forces and Moments on Biplane, Hole Open</t>
  </si>
  <si>
    <t>Lift Coeff</t>
  </si>
  <si>
    <t>Drag Coeff</t>
  </si>
  <si>
    <t>L/D</t>
  </si>
  <si>
    <t>On the Effect of Cutting a Hole in the Top Plan of a Biplane</t>
  </si>
  <si>
    <t>By C.H. Powell, Repots and Memoranda (New Series), No. 419, Feb 1918</t>
  </si>
  <si>
    <t>The data are from wind tunnel experiments on a model.  The model included wings only, no body.</t>
  </si>
  <si>
    <t>Rad</t>
  </si>
  <si>
    <t>Lift</t>
  </si>
  <si>
    <t>Deg</t>
  </si>
  <si>
    <t>Massaged for JSBSim</t>
  </si>
  <si>
    <t>This could be improved by using actual formulas to extend the existing data</t>
  </si>
  <si>
    <t>LIFT</t>
  </si>
  <si>
    <t>Camels Zero-Lift Drag Coefficient is .0378, so we have scaled drag to meet that at 0 deg AOA.  (http://en.wikipedia.org/wiki/Zero-lift_drag_coefficient)</t>
  </si>
  <si>
    <t>This scales it by 1.25 (under the assumption the surface area of the body + tail is about 25% of the two wings together)</t>
  </si>
  <si>
    <t>This simply scales drag by a certain factor to make it match the .0378 value</t>
  </si>
  <si>
    <t>This adds the factor needed to bring it to the known value of 0.0378 for Zero Lift Drag.  The assumption here is that wings+25% is the drag due to those shapes and the remainder is  relatively fixed and due to struts, wires, etc etc etc.  The source data is wings only, not including wires, struts, or anything of that sort.  Zero lift = -2 degrees.</t>
  </si>
  <si>
    <t>This adds a factor needed to bring it to the known value of 0.0378 for Zero Lift Drag and NO scaling for body/tail.  Zero lift = -2 degrees.</t>
  </si>
  <si>
    <t>BETA DRAG</t>
  </si>
  <si>
    <t>Beta degrees</t>
  </si>
  <si>
    <t>LesterBoffo's Lift &amp; Drag Tables</t>
  </si>
  <si>
    <t>"I've got the airfoil lift and drag polars from my Eastbourne Monoplane, and Sopwith One and one half-strutter if you wish to give them a try. They're in JSB sim formatting. Can't vouch for their complete historical accuracy, but they were derived from historical airfoil profiles drawn into XFLR5 at what I hope are close Reynolds numbers."</t>
  </si>
  <si>
    <t>http://www.flightgear.org/forums/viewtopic.php?f=4&amp;p=180729</t>
  </si>
  <si>
    <t>AOA Deg</t>
  </si>
  <si>
    <t>FG 2.10.0.3, 30 March 2013, 10,000 feet altitude, Camel 1.0</t>
  </si>
  <si>
    <t>FG 2.10.0.3, 30 March 2013, 10,000 feet altitude, Camel 1.3</t>
  </si>
  <si>
    <t>vtrue-kts</t>
  </si>
  <si>
    <t>v-down-fps</t>
  </si>
  <si>
    <t xml:space="preserve"> </t>
  </si>
  <si>
    <t>T</t>
  </si>
  <si>
    <t>P</t>
  </si>
  <si>
    <t>Trying 90% of above values</t>
  </si>
  <si>
    <t>Lift data</t>
  </si>
  <si>
    <t>Drag data</t>
  </si>
  <si>
    <t>Prop data</t>
  </si>
  <si>
    <t>Engine data</t>
  </si>
  <si>
    <t>SOPWITH CAMEL: A REALISTIC JSBSIM FLIGHT MODEL, Ver. 1.3</t>
  </si>
  <si>
    <t>Sqeezing in the degrees bec. stall speed is too high</t>
  </si>
  <si>
    <t>2013-04-14 - with new lift/drag tables we need a bit more thrust at cruise and quite a lot more at climb</t>
  </si>
  <si>
    <t>About 3-4% more needed at cruise (cruising about 95 kts at 10,000 ft, should be 99 kts)</t>
  </si>
  <si>
    <t>Experimented by varying bsfc -lbs_hphr, it was .54 and gives correct power at .39 at 10,000 ft &amp; 13 degrees pitch.  That is a factor of 1.385 of our current thrust.</t>
  </si>
  <si>
    <t>making .9765+.7 oforig (above) and .5358 1.35 of previous (to the left)</t>
  </si>
  <si>
    <t>1.3 - trial</t>
  </si>
  <si>
    <t>1.3 early trial</t>
  </si>
  <si>
    <t>Need</t>
  </si>
  <si>
    <t>Have</t>
  </si>
  <si>
    <t>bit high</t>
  </si>
  <si>
    <t>right on</t>
  </si>
  <si>
    <t>current</t>
  </si>
  <si>
    <t>at level/10000 ft</t>
  </si>
  <si>
    <t>at climb, 13 deg pitch, 10000 ft</t>
  </si>
  <si>
    <t>Ct</t>
  </si>
  <si>
    <t>is</t>
  </si>
  <si>
    <t>should be</t>
  </si>
  <si>
    <t>at level 6500 ft</t>
  </si>
  <si>
    <t>Advance Ratio J=V/(n*d)</t>
  </si>
  <si>
    <t>http://en.wikipedia.org/wiki/Advance_ratio</t>
  </si>
  <si>
    <t>V=speed of advance per unit time (ie, airspeed), n=rev per unit time, d=prop diameter</t>
  </si>
  <si>
    <t>knots</t>
  </si>
  <si>
    <t>rpm</t>
  </si>
  <si>
    <t>inches</t>
  </si>
  <si>
    <t>conv fact</t>
  </si>
  <si>
    <t>ft</t>
  </si>
  <si>
    <t>result</t>
  </si>
  <si>
    <t>J=</t>
  </si>
  <si>
    <t>1.3 - trial 2</t>
  </si>
  <si>
    <t>Reynolds number calc</t>
  </si>
  <si>
    <t>velocity mph</t>
  </si>
  <si>
    <t>chord length (ft)</t>
  </si>
  <si>
    <t>Reynolds Number</t>
  </si>
  <si>
    <t>Real Camel @ 45 mph</t>
  </si>
  <si>
    <t>Real Camel @ 100 mph</t>
  </si>
  <si>
    <t>velocity f/s</t>
  </si>
  <si>
    <t>RAF 15 airfoil wind tunnel, 5" chord, 76 ft/sec wind speed</t>
  </si>
  <si>
    <t>Sqeezing in the degrees to better match NACA data; pretty closely matches NACA ref # 537 for RAF15.</t>
  </si>
  <si>
    <t>NACA RAF15 data extended @ ends</t>
  </si>
  <si>
    <t>NACA RAF15 data extended @ ends and zeroed out so we can used known value of .0378 for parasitic drag (in the jsb.xml file separately)</t>
  </si>
  <si>
    <t>1250 rpm</t>
  </si>
  <si>
    <t>vtrue</t>
  </si>
  <si>
    <t>v-down</t>
  </si>
  <si>
    <t>1.3 - trial 3</t>
  </si>
  <si>
    <t>With new NACA lift/drag</t>
  </si>
  <si>
    <t>1170 rpm</t>
  </si>
  <si>
    <t>1.3 - trial 4</t>
  </si>
  <si>
    <t>vc-kts</t>
  </si>
  <si>
    <t>NACA RAF15 data extended, massaged as to the left, and also with the pre-stall drag knocked down a bit to try to better match turn performance &amp; pre-stall climb behavior.</t>
  </si>
</sst>
</file>

<file path=xl/styles.xml><?xml version="1.0" encoding="utf-8"?>
<styleSheet xmlns="http://schemas.openxmlformats.org/spreadsheetml/2006/main">
  <fonts count="10">
    <font>
      <sz val="11"/>
      <color theme="1"/>
      <name val="Calibri"/>
      <family val="2"/>
      <scheme val="minor"/>
    </font>
    <font>
      <sz val="11"/>
      <name val="Calibri"/>
      <family val="2"/>
    </font>
    <font>
      <u/>
      <sz val="11"/>
      <color theme="10"/>
      <name val="Calibri"/>
      <family val="2"/>
    </font>
    <font>
      <b/>
      <sz val="11"/>
      <color theme="1"/>
      <name val="Calibri"/>
      <family val="2"/>
      <scheme val="minor"/>
    </font>
    <font>
      <sz val="13.5"/>
      <color rgb="FF000000"/>
      <name val="Courier New"/>
      <family val="3"/>
    </font>
    <font>
      <i/>
      <sz val="11"/>
      <color theme="1"/>
      <name val="Calibri"/>
      <family val="2"/>
      <scheme val="minor"/>
    </font>
    <font>
      <b/>
      <i/>
      <sz val="11"/>
      <color theme="1"/>
      <name val="Calibri"/>
      <family val="2"/>
      <scheme val="minor"/>
    </font>
    <font>
      <sz val="10"/>
      <color rgb="FF000000"/>
      <name val="Verdan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3" fillId="0" borderId="0" xfId="0" applyFont="1"/>
    <xf numFmtId="0" fontId="2" fillId="0" borderId="0" xfId="1" applyAlignment="1" applyProtection="1"/>
    <xf numFmtId="0" fontId="0" fillId="0" borderId="0" xfId="0" applyBorder="1" applyAlignment="1">
      <alignment vertical="top" wrapText="1"/>
    </xf>
    <xf numFmtId="0" fontId="0" fillId="0" borderId="0" xfId="0" applyBorder="1"/>
    <xf numFmtId="0" fontId="0" fillId="0" borderId="0" xfId="0" applyFill="1" applyBorder="1" applyAlignment="1">
      <alignment vertical="top" wrapText="1"/>
    </xf>
    <xf numFmtId="16" fontId="0" fillId="0" borderId="0" xfId="0" applyNumberFormat="1"/>
    <xf numFmtId="0" fontId="4"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wrapText="1"/>
    </xf>
    <xf numFmtId="0" fontId="1" fillId="0" borderId="0" xfId="1" applyFont="1" applyAlignment="1" applyProtection="1">
      <alignment wrapText="1"/>
    </xf>
    <xf numFmtId="0" fontId="0" fillId="0" borderId="0" xfId="0" applyAlignment="1">
      <alignment wrapText="1"/>
    </xf>
    <xf numFmtId="0" fontId="3" fillId="0" borderId="0" xfId="0" applyFont="1" applyAlignment="1">
      <alignment wrapText="1"/>
    </xf>
    <xf numFmtId="0" fontId="0" fillId="0" borderId="0" xfId="0" quotePrefix="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title>
    <c:plotArea>
      <c:layout/>
      <c:scatterChart>
        <c:scatterStyle val="lineMarker"/>
        <c:ser>
          <c:idx val="0"/>
          <c:order val="0"/>
          <c:tx>
            <c:v>JSBSim Camel, Ver 1.3</c:v>
          </c:tx>
          <c:spPr>
            <a:ln w="28575">
              <a:noFill/>
            </a:ln>
          </c:spPr>
          <c:xVal>
            <c:numRef>
              <c:f>'Camel JSBSim Climb vs Speed1.3b'!$C$13:$C$28</c:f>
              <c:numCache>
                <c:formatCode>General</c:formatCode>
                <c:ptCount val="16"/>
                <c:pt idx="0">
                  <c:v>55.007272928136103</c:v>
                </c:pt>
                <c:pt idx="1">
                  <c:v>53.166025298742433</c:v>
                </c:pt>
                <c:pt idx="2">
                  <c:v>51.324777669348755</c:v>
                </c:pt>
                <c:pt idx="3">
                  <c:v>74.455451013606819</c:v>
                </c:pt>
                <c:pt idx="4">
                  <c:v>68.24124026440316</c:v>
                </c:pt>
                <c:pt idx="5">
                  <c:v>82.625987369041269</c:v>
                </c:pt>
                <c:pt idx="6">
                  <c:v>67.090460496032108</c:v>
                </c:pt>
                <c:pt idx="7">
                  <c:v>65.168658282852462</c:v>
                </c:pt>
                <c:pt idx="8">
                  <c:v>63.419473034928473</c:v>
                </c:pt>
                <c:pt idx="9">
                  <c:v>61.911951538362395</c:v>
                </c:pt>
                <c:pt idx="10">
                  <c:v>59.495314024783198</c:v>
                </c:pt>
                <c:pt idx="11">
                  <c:v>56.848520557529781</c:v>
                </c:pt>
                <c:pt idx="12">
                  <c:v>89.760821932941766</c:v>
                </c:pt>
                <c:pt idx="13">
                  <c:v>97.816280311539103</c:v>
                </c:pt>
                <c:pt idx="14">
                  <c:v>114.15735302240799</c:v>
                </c:pt>
                <c:pt idx="15">
                  <c:v>0</c:v>
                </c:pt>
              </c:numCache>
            </c:numRef>
          </c:xVal>
          <c:yVal>
            <c:numRef>
              <c:f>'Camel JSBSim Climb vs Speed1.3b'!$D$13:$D$28</c:f>
              <c:numCache>
                <c:formatCode>General</c:formatCode>
                <c:ptCount val="16"/>
                <c:pt idx="0">
                  <c:v>708</c:v>
                </c:pt>
                <c:pt idx="1">
                  <c:v>648</c:v>
                </c:pt>
                <c:pt idx="2">
                  <c:v>624</c:v>
                </c:pt>
                <c:pt idx="3">
                  <c:v>516</c:v>
                </c:pt>
                <c:pt idx="4">
                  <c:v>648</c:v>
                </c:pt>
                <c:pt idx="5">
                  <c:v>306</c:v>
                </c:pt>
                <c:pt idx="6">
                  <c:v>678</c:v>
                </c:pt>
                <c:pt idx="7">
                  <c:v>714</c:v>
                </c:pt>
                <c:pt idx="8">
                  <c:v>714</c:v>
                </c:pt>
                <c:pt idx="9">
                  <c:v>720</c:v>
                </c:pt>
                <c:pt idx="10">
                  <c:v>690</c:v>
                </c:pt>
                <c:pt idx="11">
                  <c:v>732</c:v>
                </c:pt>
                <c:pt idx="12">
                  <c:v>138</c:v>
                </c:pt>
                <c:pt idx="13">
                  <c:v>0</c:v>
                </c:pt>
                <c:pt idx="14">
                  <c:v>-762</c:v>
                </c:pt>
                <c:pt idx="15">
                  <c:v>0</c:v>
                </c:pt>
              </c:numCache>
            </c:numRef>
          </c:yVal>
        </c:ser>
        <c:ser>
          <c:idx val="1"/>
          <c:order val="1"/>
          <c:tx>
            <c:v>Historical Camel, 1917</c:v>
          </c:tx>
          <c:spPr>
            <a:ln w="28575">
              <a:noFill/>
            </a:ln>
          </c:spPr>
          <c:xVal>
            <c:numRef>
              <c:f>'Camel JSBSim Climb vs Speed1.3b'!$C$35:$C$44</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Speed1.3b'!$D$35:$D$44</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ser>
          <c:idx val="2"/>
          <c:order val="2"/>
          <c:tx>
            <c:v>Vtrue, Camel v 1.3</c:v>
          </c:tx>
          <c:spPr>
            <a:ln w="28575">
              <a:noFill/>
            </a:ln>
          </c:spPr>
          <c:xVal>
            <c:numRef>
              <c:f>'Camel JSBSim Climb vs Speed1.3b'!$H$13:$H$28</c:f>
              <c:numCache>
                <c:formatCode>General</c:formatCode>
                <c:ptCount val="16"/>
                <c:pt idx="0">
                  <c:v>64.443667028778705</c:v>
                </c:pt>
                <c:pt idx="1">
                  <c:v>62.142107492036608</c:v>
                </c:pt>
                <c:pt idx="2">
                  <c:v>60.991327723665556</c:v>
                </c:pt>
                <c:pt idx="3">
                  <c:v>87.114028465688364</c:v>
                </c:pt>
                <c:pt idx="4">
                  <c:v>80.324427832299165</c:v>
                </c:pt>
                <c:pt idx="5">
                  <c:v>96.895656496842264</c:v>
                </c:pt>
                <c:pt idx="6">
                  <c:v>78.598258179742587</c:v>
                </c:pt>
                <c:pt idx="7">
                  <c:v>76.296698643000497</c:v>
                </c:pt>
                <c:pt idx="8">
                  <c:v>74.570528990443918</c:v>
                </c:pt>
                <c:pt idx="9">
                  <c:v>72.614203384213141</c:v>
                </c:pt>
                <c:pt idx="10">
                  <c:v>70.082487893796838</c:v>
                </c:pt>
                <c:pt idx="11">
                  <c:v>66.515070611846582</c:v>
                </c:pt>
                <c:pt idx="13">
                  <c:v>105.0661928522767</c:v>
                </c:pt>
                <c:pt idx="14">
                  <c:v>113.92719706873378</c:v>
                </c:pt>
                <c:pt idx="15">
                  <c:v>132.10951740899634</c:v>
                </c:pt>
              </c:numCache>
            </c:numRef>
          </c:xVal>
          <c:yVal>
            <c:numRef>
              <c:f>'Camel JSBSim Climb vs Speed1.3b'!$D$13:$D$27</c:f>
              <c:numCache>
                <c:formatCode>General</c:formatCode>
                <c:ptCount val="15"/>
                <c:pt idx="0">
                  <c:v>708</c:v>
                </c:pt>
                <c:pt idx="1">
                  <c:v>648</c:v>
                </c:pt>
                <c:pt idx="2">
                  <c:v>624</c:v>
                </c:pt>
                <c:pt idx="3">
                  <c:v>516</c:v>
                </c:pt>
                <c:pt idx="4">
                  <c:v>648</c:v>
                </c:pt>
                <c:pt idx="5">
                  <c:v>306</c:v>
                </c:pt>
                <c:pt idx="6">
                  <c:v>678</c:v>
                </c:pt>
                <c:pt idx="7">
                  <c:v>714</c:v>
                </c:pt>
                <c:pt idx="8">
                  <c:v>714</c:v>
                </c:pt>
                <c:pt idx="9">
                  <c:v>720</c:v>
                </c:pt>
                <c:pt idx="10">
                  <c:v>690</c:v>
                </c:pt>
                <c:pt idx="11">
                  <c:v>732</c:v>
                </c:pt>
                <c:pt idx="12">
                  <c:v>138</c:v>
                </c:pt>
                <c:pt idx="13">
                  <c:v>0</c:v>
                </c:pt>
                <c:pt idx="14">
                  <c:v>-762</c:v>
                </c:pt>
              </c:numCache>
            </c:numRef>
          </c:yVal>
        </c:ser>
        <c:axId val="52667520"/>
        <c:axId val="52761344"/>
      </c:scatterChart>
      <c:valAx>
        <c:axId val="52667520"/>
        <c:scaling>
          <c:orientation val="minMax"/>
        </c:scaling>
        <c:axPos val="b"/>
        <c:title>
          <c:tx>
            <c:rich>
              <a:bodyPr/>
              <a:lstStyle/>
              <a:p>
                <a:pPr>
                  <a:defRPr/>
                </a:pPr>
                <a:r>
                  <a:rPr lang="en-US"/>
                  <a:t>Speed (mph)</a:t>
                </a:r>
              </a:p>
            </c:rich>
          </c:tx>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2761344"/>
        <c:crosses val="autoZero"/>
        <c:crossBetween val="midCat"/>
      </c:valAx>
      <c:valAx>
        <c:axId val="52761344"/>
        <c:scaling>
          <c:orientation val="minMax"/>
        </c:scaling>
        <c:axPos val="l"/>
        <c:majorGridlines/>
        <c:title>
          <c:tx>
            <c:rich>
              <a:bodyPr/>
              <a:lstStyle/>
              <a:p>
                <a:pPr>
                  <a:defRPr/>
                </a:pPr>
                <a:r>
                  <a:rPr lang="en-US"/>
                  <a:t>Climb</a:t>
                </a:r>
                <a:r>
                  <a:rPr lang="en-US" baseline="0"/>
                  <a:t> (fpm)</a:t>
                </a:r>
                <a:endParaRPr lang="en-US"/>
              </a:p>
            </c:rich>
          </c:tx>
          <c:layout/>
        </c:title>
        <c:numFmt formatCode="General" sourceLinked="1"/>
        <c:majorTickMark val="none"/>
        <c:tickLblPos val="nextTo"/>
        <c:crossAx val="52667520"/>
        <c:crosses val="autoZero"/>
        <c:crossBetween val="midCat"/>
      </c:valAx>
    </c:plotArea>
    <c:legend>
      <c:legendPos val="r"/>
      <c:layout/>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AOAvsDrag!$B$44:$B$74</c:f>
              <c:numCache>
                <c:formatCode>General</c:formatCode>
                <c:ptCount val="31"/>
                <c:pt idx="0">
                  <c:v>0</c:v>
                </c:pt>
                <c:pt idx="1">
                  <c:v>-0.05</c:v>
                </c:pt>
                <c:pt idx="2">
                  <c:v>-0.2</c:v>
                </c:pt>
                <c:pt idx="3">
                  <c:v>-0.3</c:v>
                </c:pt>
                <c:pt idx="4">
                  <c:v>-0.25600000000000001</c:v>
                </c:pt>
                <c:pt idx="5">
                  <c:v>-0.22450000000000001</c:v>
                </c:pt>
                <c:pt idx="6">
                  <c:v>-0.1895</c:v>
                </c:pt>
                <c:pt idx="7">
                  <c:v>-0.153</c:v>
                </c:pt>
                <c:pt idx="8">
                  <c:v>-0.1222</c:v>
                </c:pt>
                <c:pt idx="9">
                  <c:v>-5.8000000000000003E-2</c:v>
                </c:pt>
                <c:pt idx="10">
                  <c:v>-2.4199999999999999E-2</c:v>
                </c:pt>
                <c:pt idx="11">
                  <c:v>8.9999999999999993E-3</c:v>
                </c:pt>
                <c:pt idx="12">
                  <c:v>4.02E-2</c:v>
                </c:pt>
                <c:pt idx="13">
                  <c:v>7.3999999999999996E-2</c:v>
                </c:pt>
                <c:pt idx="14">
                  <c:v>0.11269999999999999</c:v>
                </c:pt>
                <c:pt idx="15">
                  <c:v>0.1527</c:v>
                </c:pt>
                <c:pt idx="16">
                  <c:v>0.1895</c:v>
                </c:pt>
                <c:pt idx="17">
                  <c:v>0.22450000000000001</c:v>
                </c:pt>
                <c:pt idx="18">
                  <c:v>0.25600000000000001</c:v>
                </c:pt>
                <c:pt idx="19">
                  <c:v>0.28699999999999998</c:v>
                </c:pt>
                <c:pt idx="20">
                  <c:v>0.34499999999999997</c:v>
                </c:pt>
                <c:pt idx="21">
                  <c:v>0.39500000000000002</c:v>
                </c:pt>
                <c:pt idx="22">
                  <c:v>0.44800000000000001</c:v>
                </c:pt>
                <c:pt idx="23">
                  <c:v>0.495</c:v>
                </c:pt>
                <c:pt idx="24">
                  <c:v>0.53100000000000003</c:v>
                </c:pt>
                <c:pt idx="25">
                  <c:v>0.53300000000000003</c:v>
                </c:pt>
                <c:pt idx="26">
                  <c:v>0.52100000000000002</c:v>
                </c:pt>
                <c:pt idx="27">
                  <c:v>0.35</c:v>
                </c:pt>
                <c:pt idx="28">
                  <c:v>0.15</c:v>
                </c:pt>
                <c:pt idx="29">
                  <c:v>0</c:v>
                </c:pt>
              </c:numCache>
            </c:numRef>
          </c:yVal>
        </c:ser>
        <c:ser>
          <c:idx val="1"/>
          <c:order val="1"/>
          <c:tx>
            <c:strRef>
              <c:f>AOAvsDrag!$C$13</c:f>
              <c:strCache>
                <c:ptCount val="1"/>
                <c:pt idx="0">
                  <c:v>Drag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AOAvsDrag!$C$44:$C$74</c:f>
              <c:numCache>
                <c:formatCode>General</c:formatCode>
                <c:ptCount val="31"/>
                <c:pt idx="0">
                  <c:v>2.8</c:v>
                </c:pt>
                <c:pt idx="1">
                  <c:v>1.4</c:v>
                </c:pt>
                <c:pt idx="2">
                  <c:v>0.4</c:v>
                </c:pt>
                <c:pt idx="3">
                  <c:v>0.12</c:v>
                </c:pt>
                <c:pt idx="4">
                  <c:v>7.6999999999999999E-2</c:v>
                </c:pt>
                <c:pt idx="5">
                  <c:v>6.4000000000000001E-2</c:v>
                </c:pt>
                <c:pt idx="6">
                  <c:v>5.2999999999999999E-2</c:v>
                </c:pt>
                <c:pt idx="7">
                  <c:v>4.2999999999999997E-2</c:v>
                </c:pt>
                <c:pt idx="8">
                  <c:v>3.6400000000000002E-2</c:v>
                </c:pt>
                <c:pt idx="9">
                  <c:v>2.5899999999999999E-2</c:v>
                </c:pt>
                <c:pt idx="10">
                  <c:v>2.23E-2</c:v>
                </c:pt>
                <c:pt idx="11">
                  <c:v>1.9900000000000001E-2</c:v>
                </c:pt>
                <c:pt idx="12">
                  <c:v>1.8499999999999999E-2</c:v>
                </c:pt>
                <c:pt idx="13">
                  <c:v>1.7399999999999999E-2</c:v>
                </c:pt>
                <c:pt idx="14">
                  <c:v>1.72E-2</c:v>
                </c:pt>
                <c:pt idx="15">
                  <c:v>1.7500000000000002E-2</c:v>
                </c:pt>
                <c:pt idx="16">
                  <c:v>1.8599999999999998E-2</c:v>
                </c:pt>
                <c:pt idx="17">
                  <c:v>2.06E-2</c:v>
                </c:pt>
                <c:pt idx="18">
                  <c:v>2.35E-2</c:v>
                </c:pt>
                <c:pt idx="19">
                  <c:v>2.69E-2</c:v>
                </c:pt>
                <c:pt idx="20">
                  <c:v>3.4599999999999999E-2</c:v>
                </c:pt>
                <c:pt idx="21">
                  <c:v>4.3200000000000002E-2</c:v>
                </c:pt>
                <c:pt idx="22">
                  <c:v>5.2900000000000003E-2</c:v>
                </c:pt>
                <c:pt idx="23">
                  <c:v>6.3500000000000001E-2</c:v>
                </c:pt>
                <c:pt idx="24">
                  <c:v>7.7299999999999994E-2</c:v>
                </c:pt>
                <c:pt idx="25">
                  <c:v>0.1089</c:v>
                </c:pt>
                <c:pt idx="26">
                  <c:v>0.151</c:v>
                </c:pt>
                <c:pt idx="27">
                  <c:v>0.4</c:v>
                </c:pt>
                <c:pt idx="28">
                  <c:v>1.4</c:v>
                </c:pt>
                <c:pt idx="29">
                  <c:v>2.8</c:v>
                </c:pt>
              </c:numCache>
            </c:numRef>
          </c:yVal>
        </c:ser>
        <c:axId val="43775488"/>
        <c:axId val="43777408"/>
      </c:scatterChart>
      <c:valAx>
        <c:axId val="4377548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777408"/>
        <c:crosses val="autoZero"/>
        <c:crossBetween val="midCat"/>
      </c:valAx>
      <c:valAx>
        <c:axId val="43777408"/>
        <c:scaling>
          <c:orientation val="minMax"/>
        </c:scaling>
        <c:axPos val="l"/>
        <c:majorGridlines/>
        <c:numFmt formatCode="General" sourceLinked="1"/>
        <c:tickLblPos val="nextTo"/>
        <c:crossAx val="43775488"/>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85170822397200352"/>
          <c:y val="0.42129629629629628"/>
        </c:manualLayout>
      </c:layout>
    </c:title>
    <c:plotArea>
      <c:layout/>
      <c:scatterChart>
        <c:scatterStyle val="lineMarker"/>
        <c:ser>
          <c:idx val="0"/>
          <c:order val="0"/>
          <c:tx>
            <c:strRef>
              <c:f>AOAvsDrag!$AG$112</c:f>
              <c:strCache>
                <c:ptCount val="1"/>
                <c:pt idx="0">
                  <c:v>Drag</c:v>
                </c:pt>
              </c:strCache>
            </c:strRef>
          </c:tx>
          <c:xVal>
            <c:numRef>
              <c:f>AOAvsDrag!$AF$113:$AF$117</c:f>
              <c:numCache>
                <c:formatCode>General</c:formatCode>
                <c:ptCount val="5"/>
                <c:pt idx="0">
                  <c:v>-90</c:v>
                </c:pt>
                <c:pt idx="1">
                  <c:v>-30</c:v>
                </c:pt>
                <c:pt idx="2">
                  <c:v>0</c:v>
                </c:pt>
                <c:pt idx="3">
                  <c:v>30</c:v>
                </c:pt>
                <c:pt idx="4">
                  <c:v>90</c:v>
                </c:pt>
              </c:numCache>
            </c:numRef>
          </c:xVal>
          <c:yVal>
            <c:numRef>
              <c:f>AOAvsDrag!$AG$113:$AG$117</c:f>
              <c:numCache>
                <c:formatCode>General</c:formatCode>
                <c:ptCount val="5"/>
                <c:pt idx="0">
                  <c:v>0.5</c:v>
                </c:pt>
                <c:pt idx="1">
                  <c:v>0.05</c:v>
                </c:pt>
                <c:pt idx="2">
                  <c:v>0</c:v>
                </c:pt>
                <c:pt idx="3">
                  <c:v>0.05</c:v>
                </c:pt>
                <c:pt idx="4">
                  <c:v>0.5</c:v>
                </c:pt>
              </c:numCache>
            </c:numRef>
          </c:yVal>
        </c:ser>
        <c:axId val="43809024"/>
        <c:axId val="43811200"/>
      </c:scatterChart>
      <c:valAx>
        <c:axId val="4380902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811200"/>
        <c:crosses val="autoZero"/>
        <c:crossBetween val="midCat"/>
      </c:valAx>
      <c:valAx>
        <c:axId val="43811200"/>
        <c:scaling>
          <c:orientation val="minMax"/>
        </c:scaling>
        <c:axPos val="l"/>
        <c:majorGridlines/>
        <c:numFmt formatCode="General" sourceLinked="1"/>
        <c:tickLblPos val="nextTo"/>
        <c:crossAx val="43809024"/>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AOAvsDrag!$F$46:$F$71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AOAvsDrag!$G$46:$G$71</c:f>
              <c:numCache>
                <c:formatCode>General</c:formatCode>
                <c:ptCount val="26"/>
                <c:pt idx="0">
                  <c:v>0.4</c:v>
                </c:pt>
                <c:pt idx="1">
                  <c:v>0.12</c:v>
                </c:pt>
                <c:pt idx="2">
                  <c:v>7.6999999999999999E-2</c:v>
                </c:pt>
                <c:pt idx="3">
                  <c:v>6.4000000000000001E-2</c:v>
                </c:pt>
                <c:pt idx="4">
                  <c:v>5.2999999999999999E-2</c:v>
                </c:pt>
                <c:pt idx="5">
                  <c:v>4.2999999999999997E-2</c:v>
                </c:pt>
                <c:pt idx="6">
                  <c:v>3.6400000000000002E-2</c:v>
                </c:pt>
                <c:pt idx="7">
                  <c:v>2.5899999999999999E-2</c:v>
                </c:pt>
                <c:pt idx="8">
                  <c:v>2.23E-2</c:v>
                </c:pt>
                <c:pt idx="9">
                  <c:v>1.9900000000000001E-2</c:v>
                </c:pt>
                <c:pt idx="10">
                  <c:v>1.8499999999999999E-2</c:v>
                </c:pt>
                <c:pt idx="11">
                  <c:v>1.7399999999999999E-2</c:v>
                </c:pt>
                <c:pt idx="12">
                  <c:v>1.72E-2</c:v>
                </c:pt>
                <c:pt idx="13">
                  <c:v>1.7500000000000002E-2</c:v>
                </c:pt>
                <c:pt idx="14">
                  <c:v>1.8599999999999998E-2</c:v>
                </c:pt>
                <c:pt idx="15">
                  <c:v>2.06E-2</c:v>
                </c:pt>
                <c:pt idx="16">
                  <c:v>2.35E-2</c:v>
                </c:pt>
                <c:pt idx="17">
                  <c:v>2.69E-2</c:v>
                </c:pt>
                <c:pt idx="18">
                  <c:v>3.4599999999999999E-2</c:v>
                </c:pt>
                <c:pt idx="19">
                  <c:v>4.3200000000000002E-2</c:v>
                </c:pt>
                <c:pt idx="20">
                  <c:v>5.2900000000000003E-2</c:v>
                </c:pt>
                <c:pt idx="21">
                  <c:v>6.3500000000000001E-2</c:v>
                </c:pt>
                <c:pt idx="22">
                  <c:v>7.7299999999999994E-2</c:v>
                </c:pt>
                <c:pt idx="23">
                  <c:v>0.1089</c:v>
                </c:pt>
                <c:pt idx="24">
                  <c:v>0.151</c:v>
                </c:pt>
                <c:pt idx="25">
                  <c:v>0.4</c:v>
                </c:pt>
              </c:numCache>
            </c:numRef>
          </c:yVal>
        </c:ser>
        <c:axId val="54215424"/>
        <c:axId val="54082176"/>
      </c:scatterChart>
      <c:valAx>
        <c:axId val="54215424"/>
        <c:scaling>
          <c:orientation val="minMax"/>
        </c:scaling>
        <c:axPos val="b"/>
        <c:numFmt formatCode="General" sourceLinked="1"/>
        <c:tickLblPos val="nextTo"/>
        <c:crossAx val="54082176"/>
        <c:crosses val="autoZero"/>
        <c:crossBetween val="midCat"/>
      </c:valAx>
      <c:valAx>
        <c:axId val="54082176"/>
        <c:scaling>
          <c:orientation val="minMax"/>
        </c:scaling>
        <c:axPos val="l"/>
        <c:majorGridlines/>
        <c:numFmt formatCode="General" sourceLinked="1"/>
        <c:tickLblPos val="nextTo"/>
        <c:crossAx val="54215424"/>
        <c:crosses val="autoZero"/>
        <c:crossBetween val="midCat"/>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AOAvsDrag!$R$46:$R$71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AOAvsDrag!$S$46:$S$71</c:f>
              <c:numCache>
                <c:formatCode>General</c:formatCode>
                <c:ptCount val="26"/>
                <c:pt idx="0">
                  <c:v>-0.4</c:v>
                </c:pt>
                <c:pt idx="1">
                  <c:v>-0.6</c:v>
                </c:pt>
                <c:pt idx="2">
                  <c:v>-0.51200000000000001</c:v>
                </c:pt>
                <c:pt idx="3">
                  <c:v>-0.44900000000000001</c:v>
                </c:pt>
                <c:pt idx="4">
                  <c:v>-0.379</c:v>
                </c:pt>
                <c:pt idx="5">
                  <c:v>-0.30599999999999999</c:v>
                </c:pt>
                <c:pt idx="6">
                  <c:v>-0.24440000000000001</c:v>
                </c:pt>
                <c:pt idx="7">
                  <c:v>-0.11600000000000001</c:v>
                </c:pt>
                <c:pt idx="8">
                  <c:v>-4.8399999999999999E-2</c:v>
                </c:pt>
                <c:pt idx="9">
                  <c:v>1.7999999999999999E-2</c:v>
                </c:pt>
                <c:pt idx="10">
                  <c:v>8.0399999999999999E-2</c:v>
                </c:pt>
                <c:pt idx="11">
                  <c:v>0.14799999999999999</c:v>
                </c:pt>
                <c:pt idx="12">
                  <c:v>0.22539999999999999</c:v>
                </c:pt>
                <c:pt idx="13">
                  <c:v>0.3054</c:v>
                </c:pt>
                <c:pt idx="14">
                  <c:v>0.379</c:v>
                </c:pt>
                <c:pt idx="15">
                  <c:v>0.44900000000000001</c:v>
                </c:pt>
                <c:pt idx="16">
                  <c:v>0.51200000000000001</c:v>
                </c:pt>
                <c:pt idx="17">
                  <c:v>0.57399999999999995</c:v>
                </c:pt>
                <c:pt idx="18">
                  <c:v>0.69</c:v>
                </c:pt>
                <c:pt idx="19">
                  <c:v>0.79</c:v>
                </c:pt>
                <c:pt idx="20">
                  <c:v>0.89600000000000002</c:v>
                </c:pt>
                <c:pt idx="21">
                  <c:v>0.99</c:v>
                </c:pt>
                <c:pt idx="22">
                  <c:v>1.0620000000000001</c:v>
                </c:pt>
                <c:pt idx="23">
                  <c:v>1.0660000000000001</c:v>
                </c:pt>
                <c:pt idx="24">
                  <c:v>1.042</c:v>
                </c:pt>
                <c:pt idx="25">
                  <c:v>0.7</c:v>
                </c:pt>
              </c:numCache>
            </c:numRef>
          </c:yVal>
        </c:ser>
        <c:axId val="84868480"/>
        <c:axId val="84866944"/>
      </c:scatterChart>
      <c:valAx>
        <c:axId val="84868480"/>
        <c:scaling>
          <c:orientation val="minMax"/>
        </c:scaling>
        <c:axPos val="b"/>
        <c:numFmt formatCode="General" sourceLinked="1"/>
        <c:tickLblPos val="nextTo"/>
        <c:crossAx val="84866944"/>
        <c:crosses val="autoZero"/>
        <c:crossBetween val="midCat"/>
      </c:valAx>
      <c:valAx>
        <c:axId val="84866944"/>
        <c:scaling>
          <c:orientation val="minMax"/>
        </c:scaling>
        <c:axPos val="l"/>
        <c:majorGridlines/>
        <c:numFmt formatCode="General" sourceLinked="1"/>
        <c:tickLblPos val="nextTo"/>
        <c:crossAx val="84868480"/>
        <c:crosses val="autoZero"/>
        <c:crossBetween val="midCat"/>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AOAvsDrag!$L$46:$L$71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AOAvsDrag!$M$46:$M$71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7.5000000000000015E-3</c:v>
                </c:pt>
                <c:pt idx="15">
                  <c:v>8.4999999999999989E-3</c:v>
                </c:pt>
                <c:pt idx="16">
                  <c:v>1.0500000000000001E-2</c:v>
                </c:pt>
                <c:pt idx="17">
                  <c:v>1.5000000000000001E-2</c:v>
                </c:pt>
                <c:pt idx="18">
                  <c:v>2.5000000000000001E-2</c:v>
                </c:pt>
                <c:pt idx="19">
                  <c:v>3.2000000000000001E-2</c:v>
                </c:pt>
                <c:pt idx="20">
                  <c:v>4.4999999999999998E-2</c:v>
                </c:pt>
                <c:pt idx="21">
                  <c:v>6.3300000000000009E-2</c:v>
                </c:pt>
                <c:pt idx="22">
                  <c:v>0.08</c:v>
                </c:pt>
                <c:pt idx="23">
                  <c:v>0.125</c:v>
                </c:pt>
                <c:pt idx="24">
                  <c:v>0.22</c:v>
                </c:pt>
                <c:pt idx="25">
                  <c:v>0.39</c:v>
                </c:pt>
              </c:numCache>
            </c:numRef>
          </c:yVal>
        </c:ser>
        <c:ser>
          <c:idx val="1"/>
          <c:order val="1"/>
          <c:xVal>
            <c:numRef>
              <c:f>AOAvsDrag!$O$46:$O$71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AOAvsDrag!$P$46:$P$71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7.3500000000000015E-3</c:v>
                </c:pt>
                <c:pt idx="15">
                  <c:v>8.0749999999999988E-3</c:v>
                </c:pt>
                <c:pt idx="16">
                  <c:v>9.4500000000000001E-3</c:v>
                </c:pt>
                <c:pt idx="17">
                  <c:v>1.2750000000000001E-2</c:v>
                </c:pt>
                <c:pt idx="18">
                  <c:v>2.0000000000000004E-2</c:v>
                </c:pt>
                <c:pt idx="19">
                  <c:v>2.4E-2</c:v>
                </c:pt>
                <c:pt idx="20">
                  <c:v>3.15E-2</c:v>
                </c:pt>
                <c:pt idx="21">
                  <c:v>3.7980000000000007E-2</c:v>
                </c:pt>
                <c:pt idx="22">
                  <c:v>4.8000000000000001E-2</c:v>
                </c:pt>
                <c:pt idx="23">
                  <c:v>7.4999999999999997E-2</c:v>
                </c:pt>
                <c:pt idx="24">
                  <c:v>0.11</c:v>
                </c:pt>
                <c:pt idx="25">
                  <c:v>0.39</c:v>
                </c:pt>
              </c:numCache>
            </c:numRef>
          </c:yVal>
        </c:ser>
        <c:axId val="49046272"/>
        <c:axId val="48945408"/>
      </c:scatterChart>
      <c:valAx>
        <c:axId val="49046272"/>
        <c:scaling>
          <c:orientation val="minMax"/>
        </c:scaling>
        <c:axPos val="b"/>
        <c:numFmt formatCode="General" sourceLinked="1"/>
        <c:tickLblPos val="nextTo"/>
        <c:crossAx val="48945408"/>
        <c:crosses val="autoZero"/>
        <c:crossBetween val="midCat"/>
      </c:valAx>
      <c:valAx>
        <c:axId val="48945408"/>
        <c:scaling>
          <c:orientation val="minMax"/>
        </c:scaling>
        <c:axPos val="l"/>
        <c:majorGridlines/>
        <c:numFmt formatCode="General" sourceLinked="1"/>
        <c:tickLblPos val="nextTo"/>
        <c:crossAx val="49046272"/>
        <c:crosses val="autoZero"/>
        <c:crossBetween val="midCat"/>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2.8252405949256341E-2"/>
          <c:w val="0.78388910761154851"/>
          <c:h val="0.89719889180519097"/>
        </c:manualLayout>
      </c:layout>
      <c:scatterChart>
        <c:scatterStyle val="smoothMarker"/>
        <c:ser>
          <c:idx val="0"/>
          <c:order val="0"/>
          <c:tx>
            <c:strRef>
              <c:f>Sheet5!$C$3</c:f>
              <c:strCache>
                <c:ptCount val="1"/>
                <c:pt idx="0">
                  <c:v>-10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Sheet5!$C$4:$C$26</c:f>
              <c:numCache>
                <c:formatCode>General</c:formatCode>
                <c:ptCount val="23"/>
                <c:pt idx="0">
                  <c:v>-7.3400000000000007E-2</c:v>
                </c:pt>
                <c:pt idx="1">
                  <c:v>-0.109</c:v>
                </c:pt>
                <c:pt idx="2">
                  <c:v>-0.1222</c:v>
                </c:pt>
                <c:pt idx="3">
                  <c:v>-0.1222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1"/>
          <c:order val="1"/>
          <c:tx>
            <c:strRef>
              <c:f>Sheet5!$D$3</c:f>
              <c:strCache>
                <c:ptCount val="1"/>
                <c:pt idx="0">
                  <c:v>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Sheet5!$D$4:$D$26</c:f>
              <c:numCache>
                <c:formatCode>General</c:formatCode>
                <c:ptCount val="23"/>
                <c:pt idx="0">
                  <c:v>4.1300000000000003E-2</c:v>
                </c:pt>
                <c:pt idx="1">
                  <c:v>0</c:v>
                </c:pt>
                <c:pt idx="2">
                  <c:v>-3.7600000000000001E-2</c:v>
                </c:pt>
                <c:pt idx="3">
                  <c:v>-8.7300000000000003E-2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2"/>
          <c:order val="2"/>
          <c:tx>
            <c:strRef>
              <c:f>Sheet5!$E$3</c:f>
              <c:strCache>
                <c:ptCount val="1"/>
                <c:pt idx="0">
                  <c:v>15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Sheet5!$E$4:$E$26</c:f>
              <c:numCache>
                <c:formatCode>General</c:formatCode>
                <c:ptCount val="23"/>
                <c:pt idx="0">
                  <c:v>0.15029999999999999</c:v>
                </c:pt>
                <c:pt idx="1">
                  <c:v>0.15029999999999999</c:v>
                </c:pt>
                <c:pt idx="2">
                  <c:v>0.12970000000000001</c:v>
                </c:pt>
                <c:pt idx="3">
                  <c:v>9.7699999999999995E-2</c:v>
                </c:pt>
                <c:pt idx="4">
                  <c:v>5.1700000000000003E-2</c:v>
                </c:pt>
                <c:pt idx="5">
                  <c:v>2.8999999999999998E-3</c:v>
                </c:pt>
                <c:pt idx="6">
                  <c:v>-4.8899999999999999E-2</c:v>
                </c:pt>
                <c:pt idx="7">
                  <c:v>-0.10059999999999999</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3"/>
          <c:order val="3"/>
          <c:tx>
            <c:strRef>
              <c:f>Sheet5!$F$3</c:f>
              <c:strCache>
                <c:ptCount val="1"/>
                <c:pt idx="0">
                  <c:v>25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Sheet5!$F$4:$F$26</c:f>
              <c:numCache>
                <c:formatCode>General</c:formatCode>
                <c:ptCount val="23"/>
                <c:pt idx="0">
                  <c:v>0.1842</c:v>
                </c:pt>
                <c:pt idx="1">
                  <c:v>0.1842</c:v>
                </c:pt>
                <c:pt idx="2">
                  <c:v>0.1804</c:v>
                </c:pt>
                <c:pt idx="3">
                  <c:v>0.17860000000000001</c:v>
                </c:pt>
                <c:pt idx="4">
                  <c:v>0.16070000000000001</c:v>
                </c:pt>
                <c:pt idx="5">
                  <c:v>0.1203</c:v>
                </c:pt>
                <c:pt idx="6">
                  <c:v>7.3400000000000007E-2</c:v>
                </c:pt>
                <c:pt idx="7">
                  <c:v>2.2599999999999999E-2</c:v>
                </c:pt>
                <c:pt idx="8">
                  <c:v>-3.2899999999999999E-2</c:v>
                </c:pt>
                <c:pt idx="9">
                  <c:v>-8.3599999999999994E-2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4"/>
          <c:order val="4"/>
          <c:tx>
            <c:strRef>
              <c:f>Sheet5!$G$3</c:f>
              <c:strCache>
                <c:ptCount val="1"/>
                <c:pt idx="0">
                  <c:v>35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Sheet5!$G$4:$G$26</c:f>
              <c:numCache>
                <c:formatCode>General</c:formatCode>
                <c:ptCount val="23"/>
                <c:pt idx="0">
                  <c:v>0.20300000000000001</c:v>
                </c:pt>
                <c:pt idx="1">
                  <c:v>0.20300000000000001</c:v>
                </c:pt>
                <c:pt idx="2">
                  <c:v>0.2001</c:v>
                </c:pt>
                <c:pt idx="3">
                  <c:v>0.1963</c:v>
                </c:pt>
                <c:pt idx="4">
                  <c:v>0.18790000000000001</c:v>
                </c:pt>
                <c:pt idx="5">
                  <c:v>0.18240000000000001</c:v>
                </c:pt>
                <c:pt idx="6">
                  <c:v>0.17480000000000001</c:v>
                </c:pt>
                <c:pt idx="7">
                  <c:v>0.14369999999999999</c:v>
                </c:pt>
                <c:pt idx="8">
                  <c:v>0.10340000000000001</c:v>
                </c:pt>
                <c:pt idx="9">
                  <c:v>5.6399999999999999E-2</c:v>
                </c:pt>
                <c:pt idx="10">
                  <c:v>9.4999999999999998E-3</c:v>
                </c:pt>
                <c:pt idx="11">
                  <c:v>-3.7600000000000001E-2</c:v>
                </c:pt>
                <c:pt idx="12">
                  <c:v>-8.4599999999999995E-2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5"/>
          <c:order val="5"/>
          <c:tx>
            <c:strRef>
              <c:f>Sheet5!$H$3</c:f>
              <c:strCache>
                <c:ptCount val="1"/>
                <c:pt idx="0">
                  <c:v>45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Sheet5!$H$4:$H$26</c:f>
              <c:numCache>
                <c:formatCode>General</c:formatCode>
                <c:ptCount val="23"/>
                <c:pt idx="0">
                  <c:v>0.2142</c:v>
                </c:pt>
                <c:pt idx="1">
                  <c:v>0.2162</c:v>
                </c:pt>
                <c:pt idx="2">
                  <c:v>0.2162</c:v>
                </c:pt>
                <c:pt idx="3">
                  <c:v>0.2142</c:v>
                </c:pt>
                <c:pt idx="4">
                  <c:v>0.2087</c:v>
                </c:pt>
                <c:pt idx="5">
                  <c:v>0.20119999999999999</c:v>
                </c:pt>
                <c:pt idx="6">
                  <c:v>0.1908</c:v>
                </c:pt>
                <c:pt idx="7">
                  <c:v>0.1842</c:v>
                </c:pt>
                <c:pt idx="8">
                  <c:v>0.18129999999999999</c:v>
                </c:pt>
                <c:pt idx="9">
                  <c:v>0.17480000000000001</c:v>
                </c:pt>
                <c:pt idx="10">
                  <c:v>0.15029999999999999</c:v>
                </c:pt>
                <c:pt idx="11">
                  <c:v>0.1174</c:v>
                </c:pt>
                <c:pt idx="12">
                  <c:v>8.4599999999999995E-2</c:v>
                </c:pt>
                <c:pt idx="13">
                  <c:v>4.5100000000000001E-2</c:v>
                </c:pt>
                <c:pt idx="14">
                  <c:v>5.7000000000000002E-3</c:v>
                </c:pt>
                <c:pt idx="15">
                  <c:v>-3.3799999999999997E-2</c:v>
                </c:pt>
                <c:pt idx="16">
                  <c:v>-7.3400000000000007E-2</c:v>
                </c:pt>
                <c:pt idx="17">
                  <c:v>-0.1128</c:v>
                </c:pt>
                <c:pt idx="18">
                  <c:v>-0.1222</c:v>
                </c:pt>
                <c:pt idx="19">
                  <c:v>-0.1222</c:v>
                </c:pt>
                <c:pt idx="20">
                  <c:v>-0.1222</c:v>
                </c:pt>
                <c:pt idx="21">
                  <c:v>-0.1222</c:v>
                </c:pt>
                <c:pt idx="22">
                  <c:v>-0.1222</c:v>
                </c:pt>
              </c:numCache>
            </c:numRef>
          </c:yVal>
          <c:smooth val="1"/>
        </c:ser>
        <c:ser>
          <c:idx val="6"/>
          <c:order val="6"/>
          <c:tx>
            <c:strRef>
              <c:f>Sheet5!$I$3</c:f>
              <c:strCache>
                <c:ptCount val="1"/>
                <c:pt idx="0">
                  <c:v>55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Sheet5!$I$4:$I$26</c:f>
              <c:numCache>
                <c:formatCode>General</c:formatCode>
                <c:ptCount val="23"/>
                <c:pt idx="0">
                  <c:v>0.19739999999999999</c:v>
                </c:pt>
                <c:pt idx="1">
                  <c:v>0.2021</c:v>
                </c:pt>
                <c:pt idx="2">
                  <c:v>0.2021</c:v>
                </c:pt>
                <c:pt idx="3">
                  <c:v>0.2021</c:v>
                </c:pt>
                <c:pt idx="4">
                  <c:v>0.19919999999999999</c:v>
                </c:pt>
                <c:pt idx="5">
                  <c:v>0.19919999999999999</c:v>
                </c:pt>
                <c:pt idx="6">
                  <c:v>0.19739999999999999</c:v>
                </c:pt>
                <c:pt idx="7">
                  <c:v>0.19739999999999999</c:v>
                </c:pt>
                <c:pt idx="8">
                  <c:v>0.19359999999999999</c:v>
                </c:pt>
                <c:pt idx="9">
                  <c:v>0.18990000000000001</c:v>
                </c:pt>
                <c:pt idx="10">
                  <c:v>0.1842</c:v>
                </c:pt>
                <c:pt idx="11">
                  <c:v>0.18340000000000001</c:v>
                </c:pt>
                <c:pt idx="12">
                  <c:v>0.1804</c:v>
                </c:pt>
                <c:pt idx="13">
                  <c:v>0.14729999999999999</c:v>
                </c:pt>
                <c:pt idx="14">
                  <c:v>9.3200000000000005E-2</c:v>
                </c:pt>
                <c:pt idx="15">
                  <c:v>6.0999999999999999E-2</c:v>
                </c:pt>
                <c:pt idx="16">
                  <c:v>3.2000000000000001E-2</c:v>
                </c:pt>
                <c:pt idx="17">
                  <c:v>2.8999999999999998E-3</c:v>
                </c:pt>
                <c:pt idx="18">
                  <c:v>-2.63E-2</c:v>
                </c:pt>
                <c:pt idx="19">
                  <c:v>-5.5500000000000001E-2</c:v>
                </c:pt>
                <c:pt idx="20">
                  <c:v>-8.4599999999999995E-2</c:v>
                </c:pt>
                <c:pt idx="21">
                  <c:v>-0.1137</c:v>
                </c:pt>
                <c:pt idx="22">
                  <c:v>-0.1222</c:v>
                </c:pt>
              </c:numCache>
            </c:numRef>
          </c:yVal>
          <c:smooth val="1"/>
        </c:ser>
        <c:ser>
          <c:idx val="7"/>
          <c:order val="7"/>
          <c:tx>
            <c:strRef>
              <c:f>Sheet5!$J$3</c:f>
              <c:strCache>
                <c:ptCount val="1"/>
                <c:pt idx="0">
                  <c:v>65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Sheet5!$J$4:$J$26</c:f>
              <c:numCache>
                <c:formatCode>General</c:formatCode>
                <c:ptCount val="23"/>
                <c:pt idx="0">
                  <c:v>0.1691</c:v>
                </c:pt>
                <c:pt idx="1">
                  <c:v>0.1691</c:v>
                </c:pt>
                <c:pt idx="2">
                  <c:v>0.1691</c:v>
                </c:pt>
                <c:pt idx="3">
                  <c:v>0.1691</c:v>
                </c:pt>
                <c:pt idx="4">
                  <c:v>0.1691</c:v>
                </c:pt>
                <c:pt idx="5">
                  <c:v>0.1691</c:v>
                </c:pt>
                <c:pt idx="6">
                  <c:v>0.1691</c:v>
                </c:pt>
                <c:pt idx="7">
                  <c:v>0.1691</c:v>
                </c:pt>
                <c:pt idx="8">
                  <c:v>0.1691</c:v>
                </c:pt>
                <c:pt idx="9">
                  <c:v>0.1691</c:v>
                </c:pt>
                <c:pt idx="10">
                  <c:v>0.1691</c:v>
                </c:pt>
                <c:pt idx="11">
                  <c:v>0.1691</c:v>
                </c:pt>
                <c:pt idx="12">
                  <c:v>0.1691</c:v>
                </c:pt>
                <c:pt idx="13">
                  <c:v>0.1691</c:v>
                </c:pt>
                <c:pt idx="14">
                  <c:v>0.15029999999999999</c:v>
                </c:pt>
                <c:pt idx="15">
                  <c:v>0.1222</c:v>
                </c:pt>
                <c:pt idx="16">
                  <c:v>9.4E-2</c:v>
                </c:pt>
                <c:pt idx="17">
                  <c:v>6.5799999999999997E-2</c:v>
                </c:pt>
                <c:pt idx="18">
                  <c:v>3.7600000000000001E-2</c:v>
                </c:pt>
                <c:pt idx="19">
                  <c:v>9.4999999999999998E-3</c:v>
                </c:pt>
                <c:pt idx="20">
                  <c:v>-1.8800000000000001E-2</c:v>
                </c:pt>
                <c:pt idx="21">
                  <c:v>-4.7100000000000003E-2</c:v>
                </c:pt>
                <c:pt idx="22">
                  <c:v>-0.1222</c:v>
                </c:pt>
              </c:numCache>
            </c:numRef>
          </c:yVal>
          <c:smooth val="1"/>
        </c:ser>
        <c:ser>
          <c:idx val="8"/>
          <c:order val="8"/>
          <c:tx>
            <c:strRef>
              <c:f>Sheet5!$K$3</c:f>
              <c:strCache>
                <c:ptCount val="1"/>
                <c:pt idx="0">
                  <c:v>90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Sheet5!$K$4:$K$26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43999616"/>
        <c:axId val="44001536"/>
      </c:scatterChart>
      <c:valAx>
        <c:axId val="4399961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01536"/>
        <c:crosses val="autoZero"/>
        <c:crossBetween val="midCat"/>
      </c:valAx>
      <c:valAx>
        <c:axId val="44001536"/>
        <c:scaling>
          <c:orientation val="minMax"/>
        </c:scaling>
        <c:axPos val="l"/>
        <c:majorGridlines/>
        <c:numFmt formatCode="General" sourceLinked="1"/>
        <c:tickLblPos val="nextTo"/>
        <c:crossAx val="4399961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Sheet5!$C$35</c:f>
              <c:strCache>
                <c:ptCount val="1"/>
                <c:pt idx="0">
                  <c:v>-10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Sheet5!$C$36:$C$58</c:f>
              <c:numCache>
                <c:formatCode>General</c:formatCode>
                <c:ptCount val="23"/>
                <c:pt idx="0">
                  <c:v>1.0800000000000001E-2</c:v>
                </c:pt>
                <c:pt idx="1">
                  <c:v>4.2999999999999997E-2</c:v>
                </c:pt>
                <c:pt idx="2">
                  <c:v>6.13E-2</c:v>
                </c:pt>
                <c:pt idx="3">
                  <c:v>8.2600000000000007E-2</c:v>
                </c:pt>
                <c:pt idx="4">
                  <c:v>0.1013</c:v>
                </c:pt>
                <c:pt idx="5">
                  <c:v>0.11940000000000001</c:v>
                </c:pt>
                <c:pt idx="6">
                  <c:v>0.13739999999999999</c:v>
                </c:pt>
                <c:pt idx="7">
                  <c:v>0.15609999999999999</c:v>
                </c:pt>
                <c:pt idx="8">
                  <c:v>0.17419999999999999</c:v>
                </c:pt>
                <c:pt idx="9">
                  <c:v>0.1923</c:v>
                </c:pt>
                <c:pt idx="10">
                  <c:v>0.21099999999999999</c:v>
                </c:pt>
                <c:pt idx="11">
                  <c:v>0.2291</c:v>
                </c:pt>
                <c:pt idx="12">
                  <c:v>0.24709999999999999</c:v>
                </c:pt>
                <c:pt idx="13">
                  <c:v>0.26579999999999998</c:v>
                </c:pt>
                <c:pt idx="14">
                  <c:v>0.28389999999999999</c:v>
                </c:pt>
                <c:pt idx="15">
                  <c:v>0.30199999999999999</c:v>
                </c:pt>
                <c:pt idx="16">
                  <c:v>0.32069999999999999</c:v>
                </c:pt>
                <c:pt idx="17">
                  <c:v>0.3387</c:v>
                </c:pt>
                <c:pt idx="18">
                  <c:v>0.35680000000000001</c:v>
                </c:pt>
                <c:pt idx="19">
                  <c:v>0.3755</c:v>
                </c:pt>
                <c:pt idx="20">
                  <c:v>0.39360000000000001</c:v>
                </c:pt>
                <c:pt idx="21">
                  <c:v>0.41170000000000001</c:v>
                </c:pt>
                <c:pt idx="22">
                  <c:v>0.53549999999999998</c:v>
                </c:pt>
              </c:numCache>
            </c:numRef>
          </c:yVal>
          <c:smooth val="1"/>
        </c:ser>
        <c:ser>
          <c:idx val="1"/>
          <c:order val="1"/>
          <c:tx>
            <c:strRef>
              <c:f>Sheet5!$D$35</c:f>
              <c:strCache>
                <c:ptCount val="1"/>
                <c:pt idx="0">
                  <c:v>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Sheet5!$D$36:$D$58</c:f>
              <c:numCache>
                <c:formatCode>General</c:formatCode>
                <c:ptCount val="23"/>
                <c:pt idx="0">
                  <c:v>2.1499999999999998E-2</c:v>
                </c:pt>
                <c:pt idx="1">
                  <c:v>1.0800000000000001E-2</c:v>
                </c:pt>
                <c:pt idx="2">
                  <c:v>1.72E-2</c:v>
                </c:pt>
                <c:pt idx="3">
                  <c:v>3.7600000000000001E-2</c:v>
                </c:pt>
                <c:pt idx="4">
                  <c:v>5.7000000000000002E-2</c:v>
                </c:pt>
                <c:pt idx="5">
                  <c:v>7.6300000000000007E-2</c:v>
                </c:pt>
                <c:pt idx="6">
                  <c:v>9.4799999999999995E-2</c:v>
                </c:pt>
                <c:pt idx="7">
                  <c:v>7.5800000000000006E-2</c:v>
                </c:pt>
                <c:pt idx="8">
                  <c:v>0.13100000000000001</c:v>
                </c:pt>
                <c:pt idx="9">
                  <c:v>0.1497</c:v>
                </c:pt>
                <c:pt idx="10">
                  <c:v>0.1678</c:v>
                </c:pt>
                <c:pt idx="11">
                  <c:v>0.18579999999999999</c:v>
                </c:pt>
                <c:pt idx="12">
                  <c:v>0.20449999999999999</c:v>
                </c:pt>
                <c:pt idx="13">
                  <c:v>0.22259999999999999</c:v>
                </c:pt>
                <c:pt idx="14">
                  <c:v>0.2407</c:v>
                </c:pt>
                <c:pt idx="15">
                  <c:v>0.25940000000000002</c:v>
                </c:pt>
                <c:pt idx="16">
                  <c:v>0.27739999999999998</c:v>
                </c:pt>
                <c:pt idx="17">
                  <c:v>0.29549999999999998</c:v>
                </c:pt>
                <c:pt idx="18">
                  <c:v>0.31419999999999998</c:v>
                </c:pt>
                <c:pt idx="19">
                  <c:v>0.33229999999999998</c:v>
                </c:pt>
                <c:pt idx="20">
                  <c:v>0.35039999999999999</c:v>
                </c:pt>
                <c:pt idx="21">
                  <c:v>0.36909999999999998</c:v>
                </c:pt>
                <c:pt idx="22">
                  <c:v>0.53549999999999998</c:v>
                </c:pt>
              </c:numCache>
            </c:numRef>
          </c:yVal>
          <c:smooth val="1"/>
        </c:ser>
        <c:ser>
          <c:idx val="2"/>
          <c:order val="2"/>
          <c:tx>
            <c:strRef>
              <c:f>Sheet5!$E$35</c:f>
              <c:strCache>
                <c:ptCount val="1"/>
                <c:pt idx="0">
                  <c:v>15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Sheet5!$E$36:$E$58</c:f>
              <c:numCache>
                <c:formatCode>General</c:formatCode>
                <c:ptCount val="23"/>
                <c:pt idx="0">
                  <c:v>7.5300000000000006E-2</c:v>
                </c:pt>
                <c:pt idx="1">
                  <c:v>6.4500000000000002E-2</c:v>
                </c:pt>
                <c:pt idx="2">
                  <c:v>6.2399999999999997E-2</c:v>
                </c:pt>
                <c:pt idx="3">
                  <c:v>5.3699999999999998E-2</c:v>
                </c:pt>
                <c:pt idx="4">
                  <c:v>3.5499999999999997E-2</c:v>
                </c:pt>
                <c:pt idx="5">
                  <c:v>1.0800000000000001E-2</c:v>
                </c:pt>
                <c:pt idx="6">
                  <c:v>1.0800000000000001E-2</c:v>
                </c:pt>
                <c:pt idx="7">
                  <c:v>-3.5499999999999997E-2</c:v>
                </c:pt>
                <c:pt idx="8">
                  <c:v>-5.3600000000000002E-2</c:v>
                </c:pt>
                <c:pt idx="9">
                  <c:v>-6.2600000000000003E-2</c:v>
                </c:pt>
                <c:pt idx="10">
                  <c:v>-6.4500000000000002E-2</c:v>
                </c:pt>
                <c:pt idx="11">
                  <c:v>-8.2600000000000007E-2</c:v>
                </c:pt>
                <c:pt idx="12">
                  <c:v>-0.1013</c:v>
                </c:pt>
                <c:pt idx="13">
                  <c:v>-0.11940000000000001</c:v>
                </c:pt>
                <c:pt idx="14">
                  <c:v>-0.13739999999999999</c:v>
                </c:pt>
                <c:pt idx="15">
                  <c:v>-0.15609999999999999</c:v>
                </c:pt>
                <c:pt idx="16">
                  <c:v>-0.17419999999999999</c:v>
                </c:pt>
                <c:pt idx="17">
                  <c:v>-0.1923</c:v>
                </c:pt>
                <c:pt idx="18">
                  <c:v>-0.21099999999999999</c:v>
                </c:pt>
                <c:pt idx="19">
                  <c:v>-0.2291</c:v>
                </c:pt>
                <c:pt idx="20">
                  <c:v>-0.24709999999999999</c:v>
                </c:pt>
                <c:pt idx="21">
                  <c:v>-0.26579999999999998</c:v>
                </c:pt>
                <c:pt idx="22">
                  <c:v>-0.53549999999999998</c:v>
                </c:pt>
              </c:numCache>
            </c:numRef>
          </c:yVal>
          <c:smooth val="1"/>
        </c:ser>
        <c:ser>
          <c:idx val="3"/>
          <c:order val="3"/>
          <c:tx>
            <c:strRef>
              <c:f>Sheet5!$F$35</c:f>
              <c:strCache>
                <c:ptCount val="1"/>
                <c:pt idx="0">
                  <c:v>25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Sheet5!$F$36:$F$58</c:f>
              <c:numCache>
                <c:formatCode>General</c:formatCode>
                <c:ptCount val="23"/>
                <c:pt idx="0">
                  <c:v>0.17100000000000001</c:v>
                </c:pt>
                <c:pt idx="1">
                  <c:v>0.15939999999999999</c:v>
                </c:pt>
                <c:pt idx="2">
                  <c:v>0.1484</c:v>
                </c:pt>
                <c:pt idx="3">
                  <c:v>0.1368</c:v>
                </c:pt>
                <c:pt idx="4">
                  <c:v>0.12709999999999999</c:v>
                </c:pt>
                <c:pt idx="5">
                  <c:v>0.10780000000000001</c:v>
                </c:pt>
                <c:pt idx="6">
                  <c:v>7.5499999999999998E-2</c:v>
                </c:pt>
                <c:pt idx="7">
                  <c:v>2.9000000000000001E-2</c:v>
                </c:pt>
                <c:pt idx="8">
                  <c:v>-2.1499999999999998E-2</c:v>
                </c:pt>
                <c:pt idx="9">
                  <c:v>-6.4500000000000002E-2</c:v>
                </c:pt>
                <c:pt idx="10">
                  <c:v>-0.10780000000000001</c:v>
                </c:pt>
                <c:pt idx="11">
                  <c:v>-0.15029999999999999</c:v>
                </c:pt>
                <c:pt idx="12">
                  <c:v>-0.19359999999999999</c:v>
                </c:pt>
                <c:pt idx="13">
                  <c:v>-0.23680000000000001</c:v>
                </c:pt>
                <c:pt idx="14">
                  <c:v>-0.27939999999999998</c:v>
                </c:pt>
                <c:pt idx="15">
                  <c:v>-0.3226</c:v>
                </c:pt>
                <c:pt idx="16">
                  <c:v>-0.36580000000000001</c:v>
                </c:pt>
                <c:pt idx="17">
                  <c:v>-0.40839999999999999</c:v>
                </c:pt>
                <c:pt idx="18">
                  <c:v>-0.45169999999999999</c:v>
                </c:pt>
                <c:pt idx="19">
                  <c:v>-0.49490000000000001</c:v>
                </c:pt>
                <c:pt idx="20">
                  <c:v>-0.53549999999999998</c:v>
                </c:pt>
                <c:pt idx="21">
                  <c:v>-0.53549999999999998</c:v>
                </c:pt>
                <c:pt idx="22">
                  <c:v>-0.53549999999999998</c:v>
                </c:pt>
              </c:numCache>
            </c:numRef>
          </c:yVal>
          <c:smooth val="1"/>
        </c:ser>
        <c:ser>
          <c:idx val="4"/>
          <c:order val="4"/>
          <c:tx>
            <c:strRef>
              <c:f>Sheet5!$G$35</c:f>
              <c:strCache>
                <c:ptCount val="1"/>
                <c:pt idx="0">
                  <c:v>35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Sheet5!$G$36:$G$58</c:f>
              <c:numCache>
                <c:formatCode>General</c:formatCode>
                <c:ptCount val="23"/>
                <c:pt idx="0">
                  <c:v>0.2949</c:v>
                </c:pt>
                <c:pt idx="1">
                  <c:v>0.28199999999999997</c:v>
                </c:pt>
                <c:pt idx="2">
                  <c:v>0.2697</c:v>
                </c:pt>
                <c:pt idx="3">
                  <c:v>0.25619999999999998</c:v>
                </c:pt>
                <c:pt idx="4">
                  <c:v>0.24</c:v>
                </c:pt>
                <c:pt idx="5">
                  <c:v>0.2258</c:v>
                </c:pt>
                <c:pt idx="6">
                  <c:v>0.21290000000000001</c:v>
                </c:pt>
                <c:pt idx="7">
                  <c:v>0.18840000000000001</c:v>
                </c:pt>
                <c:pt idx="8">
                  <c:v>0.1452</c:v>
                </c:pt>
                <c:pt idx="9">
                  <c:v>9.1600000000000001E-2</c:v>
                </c:pt>
                <c:pt idx="10">
                  <c:v>2.69E-2</c:v>
                </c:pt>
                <c:pt idx="11">
                  <c:v>-3.2300000000000002E-2</c:v>
                </c:pt>
                <c:pt idx="12">
                  <c:v>-9.6799999999999997E-2</c:v>
                </c:pt>
                <c:pt idx="13">
                  <c:v>-0.1613</c:v>
                </c:pt>
                <c:pt idx="14">
                  <c:v>-0.20449999999999999</c:v>
                </c:pt>
                <c:pt idx="15">
                  <c:v>-0.2452</c:v>
                </c:pt>
                <c:pt idx="16">
                  <c:v>-0.2903</c:v>
                </c:pt>
                <c:pt idx="17">
                  <c:v>-0.33360000000000001</c:v>
                </c:pt>
                <c:pt idx="18">
                  <c:v>-0.37619999999999998</c:v>
                </c:pt>
                <c:pt idx="19">
                  <c:v>-0.4194</c:v>
                </c:pt>
                <c:pt idx="20">
                  <c:v>-0.46260000000000001</c:v>
                </c:pt>
                <c:pt idx="21">
                  <c:v>-0.53549999999999998</c:v>
                </c:pt>
                <c:pt idx="22">
                  <c:v>-0.53549999999999998</c:v>
                </c:pt>
              </c:numCache>
            </c:numRef>
          </c:yVal>
          <c:smooth val="1"/>
        </c:ser>
        <c:ser>
          <c:idx val="5"/>
          <c:order val="5"/>
          <c:tx>
            <c:strRef>
              <c:f>Sheet5!$H$35</c:f>
              <c:strCache>
                <c:ptCount val="1"/>
                <c:pt idx="0">
                  <c:v>45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Sheet5!$H$36:$H$58</c:f>
              <c:numCache>
                <c:formatCode>General</c:formatCode>
                <c:ptCount val="23"/>
                <c:pt idx="0">
                  <c:v>0.4194</c:v>
                </c:pt>
                <c:pt idx="1">
                  <c:v>0.4194</c:v>
                </c:pt>
                <c:pt idx="2">
                  <c:v>0.4194</c:v>
                </c:pt>
                <c:pt idx="3">
                  <c:v>0.4194</c:v>
                </c:pt>
                <c:pt idx="4">
                  <c:v>0.41099999999999998</c:v>
                </c:pt>
                <c:pt idx="5">
                  <c:v>0.39229999999999998</c:v>
                </c:pt>
                <c:pt idx="6">
                  <c:v>0.37230000000000002</c:v>
                </c:pt>
                <c:pt idx="7">
                  <c:v>0.35680000000000001</c:v>
                </c:pt>
                <c:pt idx="8">
                  <c:v>0.35160000000000002</c:v>
                </c:pt>
                <c:pt idx="9">
                  <c:v>0.34200000000000003</c:v>
                </c:pt>
                <c:pt idx="10">
                  <c:v>0.30330000000000001</c:v>
                </c:pt>
                <c:pt idx="11">
                  <c:v>0.2581</c:v>
                </c:pt>
                <c:pt idx="12">
                  <c:v>0.2097</c:v>
                </c:pt>
                <c:pt idx="13">
                  <c:v>0.1497</c:v>
                </c:pt>
                <c:pt idx="14">
                  <c:v>6.2600000000000003E-2</c:v>
                </c:pt>
                <c:pt idx="15">
                  <c:v>-2.1299999999999999E-2</c:v>
                </c:pt>
                <c:pt idx="16">
                  <c:v>-9.6799999999999997E-2</c:v>
                </c:pt>
                <c:pt idx="17">
                  <c:v>-0.17230000000000001</c:v>
                </c:pt>
                <c:pt idx="18">
                  <c:v>-0.24709999999999999</c:v>
                </c:pt>
                <c:pt idx="19">
                  <c:v>-0.3226</c:v>
                </c:pt>
                <c:pt idx="20">
                  <c:v>-0.39810000000000001</c:v>
                </c:pt>
                <c:pt idx="21">
                  <c:v>-0.47289999999999999</c:v>
                </c:pt>
                <c:pt idx="22">
                  <c:v>-0.53549999999999998</c:v>
                </c:pt>
              </c:numCache>
            </c:numRef>
          </c:yVal>
          <c:smooth val="1"/>
        </c:ser>
        <c:ser>
          <c:idx val="6"/>
          <c:order val="6"/>
          <c:tx>
            <c:strRef>
              <c:f>Sheet5!$I$35</c:f>
              <c:strCache>
                <c:ptCount val="1"/>
                <c:pt idx="0">
                  <c:v>55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Sheet5!$I$36:$I$58</c:f>
              <c:numCache>
                <c:formatCode>General</c:formatCode>
                <c:ptCount val="23"/>
                <c:pt idx="0">
                  <c:v>0.4839</c:v>
                </c:pt>
                <c:pt idx="1">
                  <c:v>0.4859</c:v>
                </c:pt>
                <c:pt idx="2">
                  <c:v>0.4859</c:v>
                </c:pt>
                <c:pt idx="3">
                  <c:v>0.4859</c:v>
                </c:pt>
                <c:pt idx="4">
                  <c:v>0.4839</c:v>
                </c:pt>
                <c:pt idx="5">
                  <c:v>0.4839</c:v>
                </c:pt>
                <c:pt idx="6">
                  <c:v>0.48199999999999998</c:v>
                </c:pt>
                <c:pt idx="7">
                  <c:v>0.4788</c:v>
                </c:pt>
                <c:pt idx="8">
                  <c:v>0.47289999999999999</c:v>
                </c:pt>
                <c:pt idx="9">
                  <c:v>0.46260000000000001</c:v>
                </c:pt>
                <c:pt idx="10">
                  <c:v>0.44840000000000002</c:v>
                </c:pt>
                <c:pt idx="11">
                  <c:v>0.42709999999999998</c:v>
                </c:pt>
                <c:pt idx="12">
                  <c:v>0.41420000000000001</c:v>
                </c:pt>
                <c:pt idx="13">
                  <c:v>0.40200000000000002</c:v>
                </c:pt>
                <c:pt idx="14">
                  <c:v>0.39229999999999998</c:v>
                </c:pt>
                <c:pt idx="15">
                  <c:v>0.38390000000000002</c:v>
                </c:pt>
                <c:pt idx="16">
                  <c:v>0.371</c:v>
                </c:pt>
                <c:pt idx="17">
                  <c:v>0.34710000000000002</c:v>
                </c:pt>
                <c:pt idx="18">
                  <c:v>0.26910000000000001</c:v>
                </c:pt>
                <c:pt idx="19">
                  <c:v>0.189</c:v>
                </c:pt>
                <c:pt idx="20">
                  <c:v>0.1052</c:v>
                </c:pt>
                <c:pt idx="21">
                  <c:v>2.1299999999999999E-2</c:v>
                </c:pt>
                <c:pt idx="22">
                  <c:v>-0.53549999999999998</c:v>
                </c:pt>
              </c:numCache>
            </c:numRef>
          </c:yVal>
          <c:smooth val="1"/>
        </c:ser>
        <c:ser>
          <c:idx val="7"/>
          <c:order val="7"/>
          <c:tx>
            <c:strRef>
              <c:f>Sheet5!$J$35</c:f>
              <c:strCache>
                <c:ptCount val="1"/>
                <c:pt idx="0">
                  <c:v>65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Sheet5!$J$36:$J$58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0.51619999999999999</c:v>
                </c:pt>
                <c:pt idx="10">
                  <c:v>0.50519999999999998</c:v>
                </c:pt>
                <c:pt idx="11">
                  <c:v>0.49490000000000001</c:v>
                </c:pt>
                <c:pt idx="12">
                  <c:v>0.47289999999999999</c:v>
                </c:pt>
                <c:pt idx="13">
                  <c:v>0.46260000000000001</c:v>
                </c:pt>
                <c:pt idx="14">
                  <c:v>0.44650000000000001</c:v>
                </c:pt>
                <c:pt idx="15">
                  <c:v>0.44069999999999998</c:v>
                </c:pt>
                <c:pt idx="16">
                  <c:v>0.44069999999999998</c:v>
                </c:pt>
                <c:pt idx="17">
                  <c:v>0.4304</c:v>
                </c:pt>
                <c:pt idx="18">
                  <c:v>0.4194</c:v>
                </c:pt>
                <c:pt idx="19">
                  <c:v>0.40839999999999999</c:v>
                </c:pt>
                <c:pt idx="20">
                  <c:v>0.39550000000000002</c:v>
                </c:pt>
                <c:pt idx="21">
                  <c:v>0.36580000000000001</c:v>
                </c:pt>
                <c:pt idx="22">
                  <c:v>-0.3226</c:v>
                </c:pt>
              </c:numCache>
            </c:numRef>
          </c:yVal>
          <c:smooth val="1"/>
        </c:ser>
        <c:ser>
          <c:idx val="8"/>
          <c:order val="8"/>
          <c:tx>
            <c:strRef>
              <c:f>Sheet5!$K$35</c:f>
              <c:strCache>
                <c:ptCount val="1"/>
                <c:pt idx="0">
                  <c:v>90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Sheet5!$K$36:$K$58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0.53549999999999998</c:v>
                </c:pt>
                <c:pt idx="10">
                  <c:v>0.53549999999999998</c:v>
                </c:pt>
                <c:pt idx="11">
                  <c:v>0.53549999999999998</c:v>
                </c:pt>
                <c:pt idx="12">
                  <c:v>0.53549999999999998</c:v>
                </c:pt>
                <c:pt idx="13">
                  <c:v>0.53549999999999998</c:v>
                </c:pt>
                <c:pt idx="14">
                  <c:v>0.53549999999999998</c:v>
                </c:pt>
                <c:pt idx="15">
                  <c:v>0.53549999999999998</c:v>
                </c:pt>
                <c:pt idx="16">
                  <c:v>0.53549999999999998</c:v>
                </c:pt>
                <c:pt idx="17">
                  <c:v>0.53549999999999998</c:v>
                </c:pt>
                <c:pt idx="18">
                  <c:v>0.53549999999999998</c:v>
                </c:pt>
                <c:pt idx="19">
                  <c:v>0.53549999999999998</c:v>
                </c:pt>
                <c:pt idx="20">
                  <c:v>0.53549999999999998</c:v>
                </c:pt>
                <c:pt idx="21">
                  <c:v>0.53549999999999998</c:v>
                </c:pt>
                <c:pt idx="22">
                  <c:v>0.53500000000000003</c:v>
                </c:pt>
              </c:numCache>
            </c:numRef>
          </c:yVal>
          <c:smooth val="1"/>
        </c:ser>
        <c:axId val="44064768"/>
        <c:axId val="44066688"/>
      </c:scatterChart>
      <c:valAx>
        <c:axId val="4406476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66688"/>
        <c:crosses val="autoZero"/>
        <c:crossBetween val="midCat"/>
      </c:valAx>
      <c:valAx>
        <c:axId val="44066688"/>
        <c:scaling>
          <c:orientation val="minMax"/>
        </c:scaling>
        <c:axPos val="l"/>
        <c:majorGridlines/>
        <c:numFmt formatCode="General" sourceLinked="1"/>
        <c:tickLblPos val="nextTo"/>
        <c:crossAx val="44064768"/>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7.4548702245552642E-2"/>
          <c:w val="0.78388910761154851"/>
          <c:h val="0.89719889180519097"/>
        </c:manualLayout>
      </c:layout>
      <c:scatterChart>
        <c:scatterStyle val="smoothMarker"/>
        <c:ser>
          <c:idx val="0"/>
          <c:order val="0"/>
          <c:tx>
            <c:strRef>
              <c:f>Sheet5!$C$60</c:f>
              <c:strCache>
                <c:ptCount val="1"/>
                <c:pt idx="0">
                  <c:v>-10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Sheet5!$C$61:$C$83</c:f>
              <c:numCache>
                <c:formatCode>General</c:formatCode>
                <c:ptCount val="23"/>
                <c:pt idx="0">
                  <c:v>1.3592592592592594</c:v>
                </c:pt>
                <c:pt idx="1">
                  <c:v>0</c:v>
                </c:pt>
                <c:pt idx="2">
                  <c:v>-0.39869494290375207</c:v>
                </c:pt>
                <c:pt idx="3">
                  <c:v>-0.59176755447941887</c:v>
                </c:pt>
                <c:pt idx="4">
                  <c:v>-0.72379072063178673</c:v>
                </c:pt>
                <c:pt idx="5">
                  <c:v>-0.81876046901172528</c:v>
                </c:pt>
                <c:pt idx="6">
                  <c:v>-0.88937409024745273</c:v>
                </c:pt>
                <c:pt idx="7">
                  <c:v>-0.93939782190903265</c:v>
                </c:pt>
                <c:pt idx="8">
                  <c:v>-0.9820895522388059</c:v>
                </c:pt>
                <c:pt idx="9">
                  <c:v>-1.0167446697867915</c:v>
                </c:pt>
                <c:pt idx="10">
                  <c:v>-1.0424644549763034</c:v>
                </c:pt>
                <c:pt idx="11">
                  <c:v>-1.0667830641641205</c:v>
                </c:pt>
                <c:pt idx="12">
                  <c:v>-1.0879805746661273</c:v>
                </c:pt>
                <c:pt idx="13">
                  <c:v>-1.1033860045146728</c:v>
                </c:pt>
                <c:pt idx="14">
                  <c:v>-1.1191264529764002</c:v>
                </c:pt>
                <c:pt idx="15">
                  <c:v>-1.1329801324503312</c:v>
                </c:pt>
                <c:pt idx="16">
                  <c:v>-1.1431244153414406</c:v>
                </c:pt>
                <c:pt idx="17">
                  <c:v>-1.1545320342485976</c:v>
                </c:pt>
                <c:pt idx="18">
                  <c:v>-1.1644618834080718</c:v>
                </c:pt>
                <c:pt idx="19">
                  <c:v>-1.1715579227696407</c:v>
                </c:pt>
                <c:pt idx="20">
                  <c:v>-1.1797764227642276</c:v>
                </c:pt>
                <c:pt idx="21">
                  <c:v>-1.187272285644887</c:v>
                </c:pt>
                <c:pt idx="22">
                  <c:v>-1.369187675070028</c:v>
                </c:pt>
              </c:numCache>
            </c:numRef>
          </c:yVal>
          <c:smooth val="1"/>
        </c:ser>
        <c:ser>
          <c:idx val="1"/>
          <c:order val="1"/>
          <c:tx>
            <c:strRef>
              <c:f>Sheet5!$D$60</c:f>
              <c:strCache>
                <c:ptCount val="1"/>
                <c:pt idx="0">
                  <c:v>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Sheet5!$D$61:$D$83</c:f>
              <c:numCache>
                <c:formatCode>General</c:formatCode>
                <c:ptCount val="23"/>
                <c:pt idx="0">
                  <c:v>-0.38418604651162802</c:v>
                </c:pt>
                <c:pt idx="1">
                  <c:v>0</c:v>
                </c:pt>
                <c:pt idx="2">
                  <c:v>-0.43720930232558142</c:v>
                </c:pt>
                <c:pt idx="3">
                  <c:v>-0.92872340425531918</c:v>
                </c:pt>
                <c:pt idx="4">
                  <c:v>-1.2863157894736841</c:v>
                </c:pt>
                <c:pt idx="5">
                  <c:v>-1.2812581913499344</c:v>
                </c:pt>
                <c:pt idx="6">
                  <c:v>-1.289029535864979</c:v>
                </c:pt>
                <c:pt idx="7">
                  <c:v>-1.9345646437994721</c:v>
                </c:pt>
                <c:pt idx="8">
                  <c:v>-1.3059541984732823</c:v>
                </c:pt>
                <c:pt idx="9">
                  <c:v>-1.3060788243152974</c:v>
                </c:pt>
                <c:pt idx="10">
                  <c:v>-1.3108462455303933</c:v>
                </c:pt>
                <c:pt idx="11">
                  <c:v>-1.3153928955866523</c:v>
                </c:pt>
                <c:pt idx="12">
                  <c:v>-1.3146210268948657</c:v>
                </c:pt>
                <c:pt idx="13">
                  <c:v>-1.3175202156334231</c:v>
                </c:pt>
                <c:pt idx="14">
                  <c:v>-1.3199833818030744</c:v>
                </c:pt>
                <c:pt idx="15">
                  <c:v>-1.3190439475713183</c:v>
                </c:pt>
                <c:pt idx="16">
                  <c:v>-1.3215573179524154</c:v>
                </c:pt>
                <c:pt idx="17">
                  <c:v>-1.3233164128595603</c:v>
                </c:pt>
                <c:pt idx="18">
                  <c:v>-1.3223424570337365</c:v>
                </c:pt>
                <c:pt idx="19">
                  <c:v>-1.3238639783328319</c:v>
                </c:pt>
                <c:pt idx="20">
                  <c:v>-1.3252283105022833</c:v>
                </c:pt>
                <c:pt idx="21">
                  <c:v>-1.3243023570848009</c:v>
                </c:pt>
                <c:pt idx="22">
                  <c:v>-1.369187675070028</c:v>
                </c:pt>
              </c:numCache>
            </c:numRef>
          </c:yVal>
          <c:smooth val="1"/>
        </c:ser>
        <c:ser>
          <c:idx val="2"/>
          <c:order val="2"/>
          <c:tx>
            <c:strRef>
              <c:f>Sheet5!$E$60</c:f>
              <c:strCache>
                <c:ptCount val="1"/>
                <c:pt idx="0">
                  <c:v>15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Sheet5!$E$61:$E$83</c:f>
              <c:numCache>
                <c:formatCode>General</c:formatCode>
                <c:ptCount val="23"/>
                <c:pt idx="0">
                  <c:v>-0.39920318725099602</c:v>
                </c:pt>
                <c:pt idx="1">
                  <c:v>0</c:v>
                </c:pt>
                <c:pt idx="2">
                  <c:v>0.41570512820512828</c:v>
                </c:pt>
                <c:pt idx="3">
                  <c:v>0.72774674115456239</c:v>
                </c:pt>
                <c:pt idx="4">
                  <c:v>0.8738028169014086</c:v>
                </c:pt>
                <c:pt idx="5">
                  <c:v>0.21481481481481479</c:v>
                </c:pt>
                <c:pt idx="6">
                  <c:v>-4.5277777777777777</c:v>
                </c:pt>
                <c:pt idx="7">
                  <c:v>3.4005633802816901</c:v>
                </c:pt>
                <c:pt idx="8">
                  <c:v>3.1917910447761195</c:v>
                </c:pt>
                <c:pt idx="9">
                  <c:v>3.1233226837060704</c:v>
                </c:pt>
                <c:pt idx="10">
                  <c:v>3.4102325581395347</c:v>
                </c:pt>
                <c:pt idx="11">
                  <c:v>2.9588377723970942</c:v>
                </c:pt>
                <c:pt idx="12">
                  <c:v>2.6538993089832186</c:v>
                </c:pt>
                <c:pt idx="13">
                  <c:v>2.4562814070351755</c:v>
                </c:pt>
                <c:pt idx="14">
                  <c:v>2.3123726346433773</c:v>
                </c:pt>
                <c:pt idx="15">
                  <c:v>2.1919282511210763</c:v>
                </c:pt>
                <c:pt idx="16">
                  <c:v>2.1044776119402986</c:v>
                </c:pt>
                <c:pt idx="17">
                  <c:v>2.0334893395735829</c:v>
                </c:pt>
                <c:pt idx="18">
                  <c:v>1.9690995260663506</c:v>
                </c:pt>
                <c:pt idx="19">
                  <c:v>1.9202095154954169</c:v>
                </c:pt>
                <c:pt idx="20">
                  <c:v>1.8792391744233106</c:v>
                </c:pt>
                <c:pt idx="21">
                  <c:v>1.8389766741911213</c:v>
                </c:pt>
                <c:pt idx="22">
                  <c:v>1.369187675070028</c:v>
                </c:pt>
              </c:numCache>
            </c:numRef>
          </c:yVal>
          <c:smooth val="1"/>
        </c:ser>
        <c:ser>
          <c:idx val="3"/>
          <c:order val="3"/>
          <c:tx>
            <c:strRef>
              <c:f>Sheet5!$F$60</c:f>
              <c:strCache>
                <c:ptCount val="1"/>
                <c:pt idx="0">
                  <c:v>25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Sheet5!$F$61:$F$83</c:f>
              <c:numCache>
                <c:formatCode>General</c:formatCode>
                <c:ptCount val="23"/>
                <c:pt idx="0">
                  <c:v>-0.2154385964912281</c:v>
                </c:pt>
                <c:pt idx="1">
                  <c:v>0</c:v>
                </c:pt>
                <c:pt idx="2">
                  <c:v>0.24312668463611861</c:v>
                </c:pt>
                <c:pt idx="3">
                  <c:v>0.52222222222222225</c:v>
                </c:pt>
                <c:pt idx="4">
                  <c:v>0.75861526357199072</c:v>
                </c:pt>
                <c:pt idx="5">
                  <c:v>0.89276437847866408</c:v>
                </c:pt>
                <c:pt idx="6">
                  <c:v>0.97218543046357631</c:v>
                </c:pt>
                <c:pt idx="7">
                  <c:v>0.93517241379310323</c:v>
                </c:pt>
                <c:pt idx="8">
                  <c:v>2.1423255813953488</c:v>
                </c:pt>
                <c:pt idx="9">
                  <c:v>2.0737984496124029</c:v>
                </c:pt>
                <c:pt idx="10">
                  <c:v>2.0404452690166974</c:v>
                </c:pt>
                <c:pt idx="11">
                  <c:v>1.6260811709913507</c:v>
                </c:pt>
                <c:pt idx="12">
                  <c:v>1.3886363636363639</c:v>
                </c:pt>
                <c:pt idx="13">
                  <c:v>1.2385135135135135</c:v>
                </c:pt>
                <c:pt idx="14">
                  <c:v>1.1371510379384395</c:v>
                </c:pt>
                <c:pt idx="15">
                  <c:v>1.0606323620582765</c:v>
                </c:pt>
                <c:pt idx="16">
                  <c:v>1.0021869874248224</c:v>
                </c:pt>
                <c:pt idx="17">
                  <c:v>0.9574926542605291</c:v>
                </c:pt>
                <c:pt idx="18">
                  <c:v>0.91981403586451183</c:v>
                </c:pt>
                <c:pt idx="19">
                  <c:v>0.88890684986866031</c:v>
                </c:pt>
                <c:pt idx="20">
                  <c:v>0.86715219421101775</c:v>
                </c:pt>
                <c:pt idx="21">
                  <c:v>0.91279178338001876</c:v>
                </c:pt>
                <c:pt idx="22">
                  <c:v>1.369187675070028</c:v>
                </c:pt>
              </c:numCache>
            </c:numRef>
          </c:yVal>
          <c:smooth val="1"/>
        </c:ser>
        <c:ser>
          <c:idx val="4"/>
          <c:order val="4"/>
          <c:tx>
            <c:strRef>
              <c:f>Sheet5!$G$60</c:f>
              <c:strCache>
                <c:ptCount val="1"/>
                <c:pt idx="0">
                  <c:v>35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Sheet5!$G$61:$G$83</c:f>
              <c:numCache>
                <c:formatCode>General</c:formatCode>
                <c:ptCount val="23"/>
                <c:pt idx="0">
                  <c:v>-0.13767378772465244</c:v>
                </c:pt>
                <c:pt idx="1">
                  <c:v>0</c:v>
                </c:pt>
                <c:pt idx="2">
                  <c:v>0.14838709677419357</c:v>
                </c:pt>
                <c:pt idx="3">
                  <c:v>0.30647931303669013</c:v>
                </c:pt>
                <c:pt idx="4">
                  <c:v>0.46975</c:v>
                </c:pt>
                <c:pt idx="5">
                  <c:v>0.64623560673162095</c:v>
                </c:pt>
                <c:pt idx="6">
                  <c:v>0.82104274307186476</c:v>
                </c:pt>
                <c:pt idx="7">
                  <c:v>0.91528662420382145</c:v>
                </c:pt>
                <c:pt idx="8">
                  <c:v>0.99696969696969695</c:v>
                </c:pt>
                <c:pt idx="9">
                  <c:v>0.98515283842794765</c:v>
                </c:pt>
                <c:pt idx="10">
                  <c:v>0.63568773234200737</c:v>
                </c:pt>
                <c:pt idx="11">
                  <c:v>2.3281733746130029</c:v>
                </c:pt>
                <c:pt idx="12">
                  <c:v>1.9227272727272726</c:v>
                </c:pt>
                <c:pt idx="13">
                  <c:v>1.8182269063856169</c:v>
                </c:pt>
                <c:pt idx="14">
                  <c:v>1.5536430317848411</c:v>
                </c:pt>
                <c:pt idx="15">
                  <c:v>1.3954323001631319</c:v>
                </c:pt>
                <c:pt idx="16">
                  <c:v>1.2628315535652772</c:v>
                </c:pt>
                <c:pt idx="17">
                  <c:v>1.1721822541966427</c:v>
                </c:pt>
                <c:pt idx="18">
                  <c:v>1.1044125465178096</c:v>
                </c:pt>
                <c:pt idx="19">
                  <c:v>1.0489270386266096</c:v>
                </c:pt>
                <c:pt idx="20">
                  <c:v>1.0038045827929096</c:v>
                </c:pt>
                <c:pt idx="21">
                  <c:v>0.91279178338001876</c:v>
                </c:pt>
                <c:pt idx="22">
                  <c:v>1.369187675070028</c:v>
                </c:pt>
              </c:numCache>
            </c:numRef>
          </c:yVal>
          <c:smooth val="1"/>
        </c:ser>
        <c:ser>
          <c:idx val="5"/>
          <c:order val="5"/>
          <c:tx>
            <c:strRef>
              <c:f>Sheet5!$H$60</c:f>
              <c:strCache>
                <c:ptCount val="1"/>
                <c:pt idx="0">
                  <c:v>45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Sheet5!$H$61:$H$83</c:f>
              <c:numCache>
                <c:formatCode>General</c:formatCode>
                <c:ptCount val="23"/>
                <c:pt idx="0">
                  <c:v>-0.10214592274678112</c:v>
                </c:pt>
                <c:pt idx="1">
                  <c:v>0</c:v>
                </c:pt>
                <c:pt idx="2">
                  <c:v>0.10309966618979496</c:v>
                </c:pt>
                <c:pt idx="3">
                  <c:v>0.20429184549356225</c:v>
                </c:pt>
                <c:pt idx="4">
                  <c:v>0.30467153284671528</c:v>
                </c:pt>
                <c:pt idx="5">
                  <c:v>0.41029824114198316</c:v>
                </c:pt>
                <c:pt idx="6">
                  <c:v>0.51248992747784039</c:v>
                </c:pt>
                <c:pt idx="7">
                  <c:v>0.61950672645739902</c:v>
                </c:pt>
                <c:pt idx="8">
                  <c:v>0.72189988623435697</c:v>
                </c:pt>
                <c:pt idx="9">
                  <c:v>0.81777777777777771</c:v>
                </c:pt>
                <c:pt idx="10">
                  <c:v>0.89198813056379811</c:v>
                </c:pt>
                <c:pt idx="11">
                  <c:v>0.90972491282448664</c:v>
                </c:pt>
                <c:pt idx="12">
                  <c:v>0.88755364806866954</c:v>
                </c:pt>
                <c:pt idx="13">
                  <c:v>0.72304609218436877</c:v>
                </c:pt>
                <c:pt idx="14">
                  <c:v>0.236741214057508</c:v>
                </c:pt>
                <c:pt idx="15">
                  <c:v>4.4431924882629099</c:v>
                </c:pt>
                <c:pt idx="16">
                  <c:v>2.2747933884297522</c:v>
                </c:pt>
                <c:pt idx="17">
                  <c:v>2.0949506674405107</c:v>
                </c:pt>
                <c:pt idx="18">
                  <c:v>1.6814245244840147</c:v>
                </c:pt>
                <c:pt idx="19">
                  <c:v>1.3636701797892128</c:v>
                </c:pt>
                <c:pt idx="20">
                  <c:v>1.1664405928158754</c:v>
                </c:pt>
                <c:pt idx="21">
                  <c:v>1.0336223303023895</c:v>
                </c:pt>
                <c:pt idx="22">
                  <c:v>1.369187675070028</c:v>
                </c:pt>
              </c:numCache>
            </c:numRef>
          </c:yVal>
          <c:smooth val="1"/>
        </c:ser>
        <c:ser>
          <c:idx val="6"/>
          <c:order val="6"/>
          <c:tx>
            <c:strRef>
              <c:f>Sheet5!$I$60</c:f>
              <c:strCache>
                <c:ptCount val="1"/>
                <c:pt idx="0">
                  <c:v>55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Sheet5!$I$61:$I$83</c:f>
              <c:numCache>
                <c:formatCode>General</c:formatCode>
                <c:ptCount val="23"/>
                <c:pt idx="0">
                  <c:v>-8.1587104773713573E-2</c:v>
                </c:pt>
                <c:pt idx="1">
                  <c:v>0</c:v>
                </c:pt>
                <c:pt idx="2">
                  <c:v>8.3185840707964601E-2</c:v>
                </c:pt>
                <c:pt idx="3">
                  <c:v>0.1663716814159292</c:v>
                </c:pt>
                <c:pt idx="4">
                  <c:v>0.24699318040917542</c:v>
                </c:pt>
                <c:pt idx="5">
                  <c:v>0.32932424054556725</c:v>
                </c:pt>
                <c:pt idx="6">
                  <c:v>0.40954356846473028</c:v>
                </c:pt>
                <c:pt idx="7">
                  <c:v>0.49473684210526314</c:v>
                </c:pt>
                <c:pt idx="8">
                  <c:v>0.57314442799746246</c:v>
                </c:pt>
                <c:pt idx="9">
                  <c:v>0.65680933852140089</c:v>
                </c:pt>
                <c:pt idx="10">
                  <c:v>0.73942908117752004</c:v>
                </c:pt>
                <c:pt idx="11">
                  <c:v>0.85881526574572709</c:v>
                </c:pt>
                <c:pt idx="12">
                  <c:v>0.95818445195557711</c:v>
                </c:pt>
                <c:pt idx="13">
                  <c:v>0.87940298507462666</c:v>
                </c:pt>
                <c:pt idx="14">
                  <c:v>0.61769054295182269</c:v>
                </c:pt>
                <c:pt idx="15">
                  <c:v>0.44490752800208383</c:v>
                </c:pt>
                <c:pt idx="16">
                  <c:v>0.2587601078167116</c:v>
                </c:pt>
                <c:pt idx="17">
                  <c:v>2.6735811005473925E-2</c:v>
                </c:pt>
                <c:pt idx="18">
                  <c:v>-0.33229282794500187</c:v>
                </c:pt>
                <c:pt idx="19">
                  <c:v>-1.0571428571428572</c:v>
                </c:pt>
                <c:pt idx="20">
                  <c:v>-3.0558935361216726</c:v>
                </c:pt>
                <c:pt idx="21">
                  <c:v>-21.352112676056336</c:v>
                </c:pt>
                <c:pt idx="22">
                  <c:v>1.369187675070028</c:v>
                </c:pt>
              </c:numCache>
            </c:numRef>
          </c:yVal>
          <c:smooth val="1"/>
        </c:ser>
        <c:ser>
          <c:idx val="7"/>
          <c:order val="7"/>
          <c:tx>
            <c:strRef>
              <c:f>Sheet5!$J$60</c:f>
              <c:strCache>
                <c:ptCount val="1"/>
                <c:pt idx="0">
                  <c:v>65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Sheet5!$J$61:$J$83</c:f>
              <c:numCache>
                <c:formatCode>General</c:formatCode>
                <c:ptCount val="23"/>
                <c:pt idx="0">
                  <c:v>-6.3155929038281974E-2</c:v>
                </c:pt>
                <c:pt idx="1">
                  <c:v>0</c:v>
                </c:pt>
                <c:pt idx="2">
                  <c:v>6.3155929038281974E-2</c:v>
                </c:pt>
                <c:pt idx="3">
                  <c:v>0.12631185807656395</c:v>
                </c:pt>
                <c:pt idx="4">
                  <c:v>0.18946778711484594</c:v>
                </c:pt>
                <c:pt idx="5">
                  <c:v>0.2526237161531279</c:v>
                </c:pt>
                <c:pt idx="6">
                  <c:v>0.31577964519140989</c:v>
                </c:pt>
                <c:pt idx="7">
                  <c:v>0.37893557422969187</c:v>
                </c:pt>
                <c:pt idx="8">
                  <c:v>0.44209150326797381</c:v>
                </c:pt>
                <c:pt idx="9">
                  <c:v>0.52413793103448281</c:v>
                </c:pt>
                <c:pt idx="10">
                  <c:v>0.6024940617577198</c:v>
                </c:pt>
                <c:pt idx="11">
                  <c:v>0.68337037785411192</c:v>
                </c:pt>
                <c:pt idx="12">
                  <c:v>0.78667794459716645</c:v>
                </c:pt>
                <c:pt idx="13">
                  <c:v>0.87730220492866395</c:v>
                </c:pt>
                <c:pt idx="14">
                  <c:v>0.87520716685330346</c:v>
                </c:pt>
                <c:pt idx="15">
                  <c:v>0.77640117994100299</c:v>
                </c:pt>
                <c:pt idx="16">
                  <c:v>0.63989108236895853</c:v>
                </c:pt>
                <c:pt idx="17">
                  <c:v>0.48921933085501856</c:v>
                </c:pt>
                <c:pt idx="18">
                  <c:v>0.30481640438721985</c:v>
                </c:pt>
                <c:pt idx="19">
                  <c:v>8.3741429970617037E-2</c:v>
                </c:pt>
                <c:pt idx="20">
                  <c:v>-0.18063211125158027</c:v>
                </c:pt>
                <c:pt idx="21">
                  <c:v>-0.51503553854565343</c:v>
                </c:pt>
                <c:pt idx="22">
                  <c:v>2.272783632982021</c:v>
                </c:pt>
              </c:numCache>
            </c:numRef>
          </c:yVal>
          <c:smooth val="1"/>
        </c:ser>
        <c:ser>
          <c:idx val="8"/>
          <c:order val="8"/>
          <c:tx>
            <c:strRef>
              <c:f>Sheet5!$K$60</c:f>
              <c:strCache>
                <c:ptCount val="1"/>
                <c:pt idx="0">
                  <c:v>90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Sheet5!$K$61:$K$83</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44121472"/>
        <c:axId val="44127744"/>
      </c:scatterChart>
      <c:valAx>
        <c:axId val="4412147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127744"/>
        <c:crosses val="autoZero"/>
        <c:crossBetween val="midCat"/>
      </c:valAx>
      <c:valAx>
        <c:axId val="44127744"/>
        <c:scaling>
          <c:orientation val="minMax"/>
        </c:scaling>
        <c:axPos val="l"/>
        <c:majorGridlines/>
        <c:numFmt formatCode="General" sourceLinked="1"/>
        <c:tickLblPos val="nextTo"/>
        <c:crossAx val="44121472"/>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v>Power</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C_POWER'!$F$19:$F$36</c:f>
              <c:numCache>
                <c:formatCode>General</c:formatCode>
                <c:ptCount val="18"/>
                <c:pt idx="0">
                  <c:v>6.4530000000000004E-2</c:v>
                </c:pt>
                <c:pt idx="1">
                  <c:v>6.4530000000000004E-2</c:v>
                </c:pt>
                <c:pt idx="2">
                  <c:v>6.4000000000000001E-2</c:v>
                </c:pt>
                <c:pt idx="3">
                  <c:v>6.3530000000000003E-2</c:v>
                </c:pt>
                <c:pt idx="4">
                  <c:v>6.2195199999999999E-2</c:v>
                </c:pt>
                <c:pt idx="5">
                  <c:v>6.0133199999999998E-2</c:v>
                </c:pt>
                <c:pt idx="6">
                  <c:v>5.8000000000000003E-2</c:v>
                </c:pt>
                <c:pt idx="7">
                  <c:v>5.6814000000000003E-2</c:v>
                </c:pt>
                <c:pt idx="8">
                  <c:v>5.5E-2</c:v>
                </c:pt>
                <c:pt idx="9">
                  <c:v>5.1839999999999997E-2</c:v>
                </c:pt>
                <c:pt idx="10">
                  <c:v>4.9031999999999992E-2</c:v>
                </c:pt>
                <c:pt idx="11">
                  <c:v>4.7815999999999997E-2</c:v>
                </c:pt>
                <c:pt idx="12">
                  <c:v>4.2860000000000002E-2</c:v>
                </c:pt>
                <c:pt idx="13">
                  <c:v>3.5999999999999997E-2</c:v>
                </c:pt>
                <c:pt idx="14">
                  <c:v>2.1599999999999998E-2</c:v>
                </c:pt>
                <c:pt idx="15">
                  <c:v>-7.1999999999999998E-3</c:v>
                </c:pt>
                <c:pt idx="16">
                  <c:v>-3.5999999999999997E-2</c:v>
                </c:pt>
                <c:pt idx="17">
                  <c:v>-8.6399999999999991E-2</c:v>
                </c:pt>
              </c:numCache>
            </c:numRef>
          </c:yVal>
          <c:smooth val="1"/>
        </c:ser>
        <c:ser>
          <c:idx val="1"/>
          <c:order val="1"/>
          <c:tx>
            <c:v>THRUST</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C_POWER'!$B$19:$B$37</c:f>
              <c:numCache>
                <c:formatCode>General</c:formatCode>
                <c:ptCount val="19"/>
                <c:pt idx="0">
                  <c:v>9.1999999999999998E-2</c:v>
                </c:pt>
                <c:pt idx="1">
                  <c:v>9.1999999999999998E-2</c:v>
                </c:pt>
                <c:pt idx="2">
                  <c:v>8.7160000000000001E-2</c:v>
                </c:pt>
                <c:pt idx="3">
                  <c:v>8.1879999999999994E-2</c:v>
                </c:pt>
                <c:pt idx="4">
                  <c:v>7.7439999999999995E-2</c:v>
                </c:pt>
                <c:pt idx="5">
                  <c:v>7.2999999999999995E-2</c:v>
                </c:pt>
                <c:pt idx="6">
                  <c:v>6.9400000000000003E-2</c:v>
                </c:pt>
                <c:pt idx="7">
                  <c:v>6.7680000000000004E-2</c:v>
                </c:pt>
                <c:pt idx="8">
                  <c:v>6.5000000000000002E-2</c:v>
                </c:pt>
                <c:pt idx="9">
                  <c:v>0.06</c:v>
                </c:pt>
                <c:pt idx="10">
                  <c:v>5.2012799999999998E-2</c:v>
                </c:pt>
                <c:pt idx="11">
                  <c:v>4.5359999999999998E-2</c:v>
                </c:pt>
                <c:pt idx="12">
                  <c:v>3.3119999999999997E-2</c:v>
                </c:pt>
                <c:pt idx="13">
                  <c:v>1.44E-2</c:v>
                </c:pt>
                <c:pt idx="14">
                  <c:v>-2.1599999999999998E-2</c:v>
                </c:pt>
                <c:pt idx="15">
                  <c:v>-8.6399999999999991E-2</c:v>
                </c:pt>
                <c:pt idx="16">
                  <c:v>-0.18</c:v>
                </c:pt>
                <c:pt idx="17">
                  <c:v>-0.36</c:v>
                </c:pt>
                <c:pt idx="18">
                  <c:v>-0.72</c:v>
                </c:pt>
              </c:numCache>
            </c:numRef>
          </c:yVal>
          <c:smooth val="1"/>
        </c:ser>
        <c:axId val="83382656"/>
        <c:axId val="83384576"/>
      </c:scatterChart>
      <c:valAx>
        <c:axId val="833826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384576"/>
        <c:crosses val="autoZero"/>
        <c:crossBetween val="midCat"/>
      </c:valAx>
      <c:valAx>
        <c:axId val="83384576"/>
        <c:scaling>
          <c:orientation val="minMax"/>
          <c:max val="0.1"/>
          <c:min val="-1.0000000000000002E-2"/>
        </c:scaling>
        <c:axPos val="l"/>
        <c:majorGridlines/>
        <c:numFmt formatCode="General" sourceLinked="1"/>
        <c:tickLblPos val="nextTo"/>
        <c:crossAx val="8338265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smoothMarker"/>
        <c:ser>
          <c:idx val="0"/>
          <c:order val="0"/>
          <c:tx>
            <c:v>Efficiency</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C_POWER'!$H$19:$H$37</c:f>
              <c:numCache>
                <c:formatCode>General</c:formatCode>
                <c:ptCount val="19"/>
                <c:pt idx="0">
                  <c:v>0</c:v>
                </c:pt>
                <c:pt idx="1">
                  <c:v>1.4256934759026809E-2</c:v>
                </c:pt>
                <c:pt idx="2">
                  <c:v>0.13618749999999999</c:v>
                </c:pt>
                <c:pt idx="3">
                  <c:v>0.25776798362978121</c:v>
                </c:pt>
                <c:pt idx="4">
                  <c:v>0.37353364889895035</c:v>
                </c:pt>
                <c:pt idx="5">
                  <c:v>0.48558865984181782</c:v>
                </c:pt>
                <c:pt idx="6">
                  <c:v>0.59827586206896555</c:v>
                </c:pt>
                <c:pt idx="7">
                  <c:v>0.63827479142464894</c:v>
                </c:pt>
                <c:pt idx="8">
                  <c:v>0.75636363636363646</c:v>
                </c:pt>
                <c:pt idx="9">
                  <c:v>0.92592592592592604</c:v>
                </c:pt>
                <c:pt idx="10">
                  <c:v>1.035333920704846</c:v>
                </c:pt>
                <c:pt idx="11">
                  <c:v>0.9770955328760248</c:v>
                </c:pt>
                <c:pt idx="12">
                  <c:v>0.85002333177788136</c:v>
                </c:pt>
                <c:pt idx="13">
                  <c:v>0.48</c:v>
                </c:pt>
                <c:pt idx="14">
                  <c:v>-1.3</c:v>
                </c:pt>
                <c:pt idx="15">
                  <c:v>17.999999999999996</c:v>
                </c:pt>
                <c:pt idx="16">
                  <c:v>8.5</c:v>
                </c:pt>
                <c:pt idx="17">
                  <c:v>7.916666666666667</c:v>
                </c:pt>
                <c:pt idx="18">
                  <c:v>16.666666666666668</c:v>
                </c:pt>
              </c:numCache>
            </c:numRef>
          </c:yVal>
          <c:smooth val="1"/>
        </c:ser>
        <c:axId val="42673280"/>
        <c:axId val="42675200"/>
      </c:scatterChart>
      <c:valAx>
        <c:axId val="4267328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675200"/>
        <c:crosses val="autoZero"/>
        <c:crossBetween val="midCat"/>
      </c:valAx>
      <c:valAx>
        <c:axId val="42675200"/>
        <c:scaling>
          <c:orientation val="minMax"/>
          <c:max val="1.5"/>
          <c:min val="-0.5"/>
        </c:scaling>
        <c:axPos val="l"/>
        <c:majorGridlines/>
        <c:numFmt formatCode="General" sourceLinked="1"/>
        <c:tickLblPos val="nextTo"/>
        <c:crossAx val="42673280"/>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title>
    <c:plotArea>
      <c:layout/>
      <c:scatterChart>
        <c:scatterStyle val="lineMarker"/>
        <c:ser>
          <c:idx val="0"/>
          <c:order val="0"/>
          <c:tx>
            <c:v>JSBSim Camel, Ver 1.3</c:v>
          </c:tx>
          <c:spPr>
            <a:ln w="28575">
              <a:noFill/>
            </a:ln>
          </c:spPr>
          <c:xVal>
            <c:numRef>
              <c:f>'Camel JSBSim Climb vs Speed1.3a'!$C$13:$C$25</c:f>
              <c:numCache>
                <c:formatCode>General</c:formatCode>
                <c:ptCount val="13"/>
                <c:pt idx="0">
                  <c:v>0</c:v>
                </c:pt>
                <c:pt idx="1">
                  <c:v>0</c:v>
                </c:pt>
                <c:pt idx="2">
                  <c:v>0</c:v>
                </c:pt>
                <c:pt idx="3">
                  <c:v>0</c:v>
                </c:pt>
                <c:pt idx="4">
                  <c:v>0</c:v>
                </c:pt>
                <c:pt idx="5">
                  <c:v>0</c:v>
                </c:pt>
                <c:pt idx="6">
                  <c:v>48.908140155769551</c:v>
                </c:pt>
                <c:pt idx="7">
                  <c:v>124.16913700723612</c:v>
                </c:pt>
                <c:pt idx="8">
                  <c:v>103.85787409548711</c:v>
                </c:pt>
                <c:pt idx="9">
                  <c:v>88.610042164570714</c:v>
                </c:pt>
                <c:pt idx="10">
                  <c:v>71.003111708493677</c:v>
                </c:pt>
                <c:pt idx="11">
                  <c:v>58.689768186923459</c:v>
                </c:pt>
                <c:pt idx="12">
                  <c:v>54.949733939717554</c:v>
                </c:pt>
              </c:numCache>
            </c:numRef>
          </c:xVal>
          <c:yVal>
            <c:numRef>
              <c:f>'Camel JSBSim Climb vs Speed1.3a'!$D$13:$D$25</c:f>
              <c:numCache>
                <c:formatCode>General</c:formatCode>
                <c:ptCount val="13"/>
                <c:pt idx="0">
                  <c:v>0</c:v>
                </c:pt>
                <c:pt idx="1">
                  <c:v>0</c:v>
                </c:pt>
                <c:pt idx="2">
                  <c:v>0</c:v>
                </c:pt>
                <c:pt idx="3">
                  <c:v>0</c:v>
                </c:pt>
                <c:pt idx="4">
                  <c:v>0</c:v>
                </c:pt>
                <c:pt idx="5">
                  <c:v>0</c:v>
                </c:pt>
                <c:pt idx="6">
                  <c:v>615</c:v>
                </c:pt>
                <c:pt idx="7">
                  <c:v>-762</c:v>
                </c:pt>
                <c:pt idx="8">
                  <c:v>36</c:v>
                </c:pt>
                <c:pt idx="9">
                  <c:v>420</c:v>
                </c:pt>
                <c:pt idx="10">
                  <c:v>642</c:v>
                </c:pt>
                <c:pt idx="11">
                  <c:v>720</c:v>
                </c:pt>
                <c:pt idx="12">
                  <c:v>690</c:v>
                </c:pt>
              </c:numCache>
            </c:numRef>
          </c:yVal>
        </c:ser>
        <c:ser>
          <c:idx val="1"/>
          <c:order val="1"/>
          <c:tx>
            <c:v>Historical Camel, 1917</c:v>
          </c:tx>
          <c:spPr>
            <a:ln w="28575">
              <a:noFill/>
            </a:ln>
          </c:spPr>
          <c:xVal>
            <c:numRef>
              <c:f>'Camel JSBSim Climb vs Speed1.3a'!$C$32:$C$41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Speed1.3a'!$D$32:$D$41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5229952"/>
        <c:axId val="45254528"/>
      </c:scatterChart>
      <c:valAx>
        <c:axId val="45229952"/>
        <c:scaling>
          <c:orientation val="minMax"/>
        </c:scaling>
        <c:axPos val="b"/>
        <c:title>
          <c:tx>
            <c:rich>
              <a:bodyPr/>
              <a:lstStyle/>
              <a:p>
                <a:pPr>
                  <a:defRPr/>
                </a:pPr>
                <a:r>
                  <a:rPr lang="en-US"/>
                  <a:t>Speed (mph)</a:t>
                </a:r>
              </a:p>
            </c:rich>
          </c:tx>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254528"/>
        <c:crosses val="autoZero"/>
        <c:crossBetween val="midCat"/>
      </c:valAx>
      <c:valAx>
        <c:axId val="45254528"/>
        <c:scaling>
          <c:orientation val="minMax"/>
        </c:scaling>
        <c:axPos val="l"/>
        <c:majorGridlines/>
        <c:title>
          <c:tx>
            <c:rich>
              <a:bodyPr/>
              <a:lstStyle/>
              <a:p>
                <a:pPr>
                  <a:defRPr/>
                </a:pPr>
                <a:r>
                  <a:rPr lang="en-US"/>
                  <a:t>Climb</a:t>
                </a:r>
                <a:r>
                  <a:rPr lang="en-US" baseline="0"/>
                  <a:t> (fpm)</a:t>
                </a:r>
                <a:endParaRPr lang="en-US"/>
              </a:p>
            </c:rich>
          </c:tx>
          <c:layout/>
        </c:title>
        <c:numFmt formatCode="General" sourceLinked="1"/>
        <c:majorTickMark val="none"/>
        <c:tickLblPos val="nextTo"/>
        <c:crossAx val="45229952"/>
        <c:crosses val="autoZero"/>
        <c:crossBetween val="midCat"/>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C_POWER'!$A$95:$A$115</c:f>
              <c:numCache>
                <c:formatCode>General</c:formatCode>
                <c:ptCount val="21"/>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pt idx="19">
                  <c:v>3</c:v>
                </c:pt>
                <c:pt idx="20">
                  <c:v>5</c:v>
                </c:pt>
              </c:numCache>
            </c:numRef>
          </c:xVal>
          <c:yVal>
            <c:numRef>
              <c:f>'C_THRUST, C_POWER'!$B$95:$B$115</c:f>
              <c:numCache>
                <c:formatCode>General</c:formatCode>
                <c:ptCount val="21"/>
                <c:pt idx="0">
                  <c:v>0.112</c:v>
                </c:pt>
                <c:pt idx="1">
                  <c:v>0.111</c:v>
                </c:pt>
                <c:pt idx="2">
                  <c:v>0.11</c:v>
                </c:pt>
                <c:pt idx="3">
                  <c:v>0.1</c:v>
                </c:pt>
                <c:pt idx="4">
                  <c:v>0.09</c:v>
                </c:pt>
                <c:pt idx="5">
                  <c:v>0.08</c:v>
                </c:pt>
                <c:pt idx="6">
                  <c:v>7.0000000000000007E-2</c:v>
                </c:pt>
                <c:pt idx="7">
                  <c:v>0.06</c:v>
                </c:pt>
                <c:pt idx="8">
                  <c:v>0.05</c:v>
                </c:pt>
                <c:pt idx="9">
                  <c:v>0.04</c:v>
                </c:pt>
                <c:pt idx="10">
                  <c:v>3.1207679999999998E-2</c:v>
                </c:pt>
                <c:pt idx="11">
                  <c:v>2.7215999999999997E-2</c:v>
                </c:pt>
                <c:pt idx="12">
                  <c:v>1.9871999999999997E-2</c:v>
                </c:pt>
                <c:pt idx="13">
                  <c:v>8.6400000000000001E-3</c:v>
                </c:pt>
                <c:pt idx="14">
                  <c:v>-1.2959999999999998E-2</c:v>
                </c:pt>
                <c:pt idx="15">
                  <c:v>-5.183999999999999E-2</c:v>
                </c:pt>
                <c:pt idx="16">
                  <c:v>-0.108</c:v>
                </c:pt>
                <c:pt idx="17">
                  <c:v>-0.216</c:v>
                </c:pt>
                <c:pt idx="18">
                  <c:v>-0.432</c:v>
                </c:pt>
                <c:pt idx="19">
                  <c:v>-0.432</c:v>
                </c:pt>
                <c:pt idx="20">
                  <c:v>-0.432</c:v>
                </c:pt>
              </c:numCache>
            </c:numRef>
          </c:yVal>
        </c:ser>
        <c:axId val="52681728"/>
        <c:axId val="52679808"/>
      </c:scatterChart>
      <c:valAx>
        <c:axId val="52681728"/>
        <c:scaling>
          <c:orientation val="minMax"/>
        </c:scaling>
        <c:axPos val="b"/>
        <c:numFmt formatCode="General" sourceLinked="1"/>
        <c:tickLblPos val="nextTo"/>
        <c:crossAx val="52679808"/>
        <c:crosses val="autoZero"/>
        <c:crossBetween val="midCat"/>
      </c:valAx>
      <c:valAx>
        <c:axId val="52679808"/>
        <c:scaling>
          <c:orientation val="minMax"/>
        </c:scaling>
        <c:axPos val="l"/>
        <c:majorGridlines/>
        <c:numFmt formatCode="General" sourceLinked="1"/>
        <c:tickLblPos val="nextTo"/>
        <c:crossAx val="52681728"/>
        <c:crosses val="autoZero"/>
        <c:crossBetween val="midCat"/>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C_POWER'!$I$95:$I$113</c:f>
              <c:numCache>
                <c:formatCode>General</c:formatCode>
                <c:ptCount val="19"/>
                <c:pt idx="0">
                  <c:v>0</c:v>
                </c:pt>
                <c:pt idx="1">
                  <c:v>0.1</c:v>
                </c:pt>
                <c:pt idx="2">
                  <c:v>0.2</c:v>
                </c:pt>
                <c:pt idx="3">
                  <c:v>0.3</c:v>
                </c:pt>
                <c:pt idx="4">
                  <c:v>0.4</c:v>
                </c:pt>
                <c:pt idx="5">
                  <c:v>0.5</c:v>
                </c:pt>
                <c:pt idx="6">
                  <c:v>0.56569999999999998</c:v>
                </c:pt>
                <c:pt idx="7">
                  <c:v>0.68</c:v>
                </c:pt>
                <c:pt idx="8">
                  <c:v>0.8</c:v>
                </c:pt>
                <c:pt idx="9">
                  <c:v>0.86109999999999998</c:v>
                </c:pt>
                <c:pt idx="10">
                  <c:v>0.97599999999999998</c:v>
                </c:pt>
                <c:pt idx="11">
                  <c:v>1.04</c:v>
                </c:pt>
                <c:pt idx="12">
                  <c:v>1.1000000000000001</c:v>
                </c:pt>
                <c:pt idx="13">
                  <c:v>1.2</c:v>
                </c:pt>
                <c:pt idx="14">
                  <c:v>1.3</c:v>
                </c:pt>
                <c:pt idx="15">
                  <c:v>1.5</c:v>
                </c:pt>
                <c:pt idx="16">
                  <c:v>1.7</c:v>
                </c:pt>
                <c:pt idx="17">
                  <c:v>1.9</c:v>
                </c:pt>
                <c:pt idx="18">
                  <c:v>2</c:v>
                </c:pt>
              </c:numCache>
            </c:numRef>
          </c:xVal>
          <c:yVal>
            <c:numRef>
              <c:f>'C_THRUST, C_POWER'!$J$95:$J$112</c:f>
              <c:numCache>
                <c:formatCode>General</c:formatCode>
                <c:ptCount val="18"/>
                <c:pt idx="0">
                  <c:v>9.7000000000000003E-2</c:v>
                </c:pt>
                <c:pt idx="1">
                  <c:v>9.5000000000000001E-2</c:v>
                </c:pt>
                <c:pt idx="2">
                  <c:v>0.09</c:v>
                </c:pt>
                <c:pt idx="3">
                  <c:v>0.08</c:v>
                </c:pt>
                <c:pt idx="4">
                  <c:v>7.0000000000000007E-2</c:v>
                </c:pt>
                <c:pt idx="5">
                  <c:v>6.6000000000000003E-2</c:v>
                </c:pt>
                <c:pt idx="6">
                  <c:v>6.3E-2</c:v>
                </c:pt>
                <c:pt idx="7">
                  <c:v>5.1999999999999998E-2</c:v>
                </c:pt>
                <c:pt idx="8">
                  <c:v>4.4081632653061219E-2</c:v>
                </c:pt>
                <c:pt idx="9">
                  <c:v>4.2122448979591831E-2</c:v>
                </c:pt>
                <c:pt idx="10">
                  <c:v>3.1630188679245282E-2</c:v>
                </c:pt>
                <c:pt idx="11">
                  <c:v>2.8000000000000001E-2</c:v>
                </c:pt>
                <c:pt idx="12">
                  <c:v>2.3E-2</c:v>
                </c:pt>
                <c:pt idx="13">
                  <c:v>1.2999999999999999E-2</c:v>
                </c:pt>
                <c:pt idx="14">
                  <c:v>-0.01</c:v>
                </c:pt>
                <c:pt idx="15">
                  <c:v>-0.08</c:v>
                </c:pt>
                <c:pt idx="16">
                  <c:v>-0.19</c:v>
                </c:pt>
                <c:pt idx="17">
                  <c:v>-0.432</c:v>
                </c:pt>
              </c:numCache>
            </c:numRef>
          </c:yVal>
        </c:ser>
        <c:axId val="52857856"/>
        <c:axId val="63184896"/>
      </c:scatterChart>
      <c:valAx>
        <c:axId val="52857856"/>
        <c:scaling>
          <c:orientation val="minMax"/>
        </c:scaling>
        <c:axPos val="b"/>
        <c:numFmt formatCode="General" sourceLinked="1"/>
        <c:tickLblPos val="nextTo"/>
        <c:crossAx val="63184896"/>
        <c:crosses val="autoZero"/>
        <c:crossBetween val="midCat"/>
      </c:valAx>
      <c:valAx>
        <c:axId val="63184896"/>
        <c:scaling>
          <c:orientation val="minMax"/>
        </c:scaling>
        <c:axPos val="l"/>
        <c:majorGridlines/>
        <c:numFmt formatCode="General" sourceLinked="1"/>
        <c:tickLblPos val="nextTo"/>
        <c:crossAx val="52857856"/>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C_POWER'!$E$95:$E$112</c:f>
              <c:numCache>
                <c:formatCode>General</c:formatCode>
                <c:ptCount val="18"/>
                <c:pt idx="0">
                  <c:v>0</c:v>
                </c:pt>
                <c:pt idx="1">
                  <c:v>0.1</c:v>
                </c:pt>
                <c:pt idx="2">
                  <c:v>0.2</c:v>
                </c:pt>
                <c:pt idx="3">
                  <c:v>0.3</c:v>
                </c:pt>
                <c:pt idx="4">
                  <c:v>0.4</c:v>
                </c:pt>
                <c:pt idx="5">
                  <c:v>0.5</c:v>
                </c:pt>
                <c:pt idx="6">
                  <c:v>0.53580000000000005</c:v>
                </c:pt>
                <c:pt idx="7">
                  <c:v>0.63200000000000001</c:v>
                </c:pt>
                <c:pt idx="8">
                  <c:v>0.8</c:v>
                </c:pt>
                <c:pt idx="9">
                  <c:v>0.86109999999999998</c:v>
                </c:pt>
                <c:pt idx="10">
                  <c:v>0.97599999999999998</c:v>
                </c:pt>
                <c:pt idx="11">
                  <c:v>1.04</c:v>
                </c:pt>
                <c:pt idx="12">
                  <c:v>1.1000000000000001</c:v>
                </c:pt>
                <c:pt idx="13">
                  <c:v>1.2</c:v>
                </c:pt>
                <c:pt idx="14">
                  <c:v>1.3</c:v>
                </c:pt>
                <c:pt idx="15">
                  <c:v>1.5</c:v>
                </c:pt>
                <c:pt idx="16">
                  <c:v>1.7</c:v>
                </c:pt>
                <c:pt idx="17">
                  <c:v>1.9</c:v>
                </c:pt>
              </c:numCache>
            </c:numRef>
          </c:xVal>
          <c:yVal>
            <c:numRef>
              <c:f>'C_THRUST, C_POWER'!$F$95:$F$112</c:f>
              <c:numCache>
                <c:formatCode>General</c:formatCode>
                <c:ptCount val="18"/>
                <c:pt idx="0">
                  <c:v>9.7000000000000003E-2</c:v>
                </c:pt>
                <c:pt idx="1">
                  <c:v>9.6000000000000002E-2</c:v>
                </c:pt>
                <c:pt idx="2">
                  <c:v>9.5000000000000001E-2</c:v>
                </c:pt>
                <c:pt idx="3">
                  <c:v>9.4E-2</c:v>
                </c:pt>
                <c:pt idx="4">
                  <c:v>9.2999999999999999E-2</c:v>
                </c:pt>
                <c:pt idx="5">
                  <c:v>0.09</c:v>
                </c:pt>
                <c:pt idx="6">
                  <c:v>8.8999999999999996E-2</c:v>
                </c:pt>
                <c:pt idx="7">
                  <c:v>8.4820999999999994E-2</c:v>
                </c:pt>
                <c:pt idx="8">
                  <c:v>7.6999999999999999E-2</c:v>
                </c:pt>
                <c:pt idx="9">
                  <c:v>7.2344000000000006E-2</c:v>
                </c:pt>
                <c:pt idx="10">
                  <c:v>6.3E-2</c:v>
                </c:pt>
                <c:pt idx="11">
                  <c:v>5.8000000000000003E-2</c:v>
                </c:pt>
                <c:pt idx="12">
                  <c:v>5.2999999999999999E-2</c:v>
                </c:pt>
                <c:pt idx="13">
                  <c:v>4.2999999999999997E-2</c:v>
                </c:pt>
                <c:pt idx="14">
                  <c:v>0.03</c:v>
                </c:pt>
                <c:pt idx="15">
                  <c:v>0</c:v>
                </c:pt>
                <c:pt idx="16">
                  <c:v>-0.08</c:v>
                </c:pt>
                <c:pt idx="17">
                  <c:v>-0.19</c:v>
                </c:pt>
              </c:numCache>
            </c:numRef>
          </c:yVal>
        </c:ser>
        <c:axId val="50619904"/>
        <c:axId val="52619136"/>
      </c:scatterChart>
      <c:valAx>
        <c:axId val="50619904"/>
        <c:scaling>
          <c:orientation val="minMax"/>
        </c:scaling>
        <c:axPos val="b"/>
        <c:numFmt formatCode="General" sourceLinked="1"/>
        <c:tickLblPos val="nextTo"/>
        <c:crossAx val="52619136"/>
        <c:crosses val="autoZero"/>
        <c:crossBetween val="midCat"/>
      </c:valAx>
      <c:valAx>
        <c:axId val="52619136"/>
        <c:scaling>
          <c:orientation val="minMax"/>
        </c:scaling>
        <c:axPos val="l"/>
        <c:majorGridlines/>
        <c:numFmt formatCode="General" sourceLinked="1"/>
        <c:tickLblPos val="nextTo"/>
        <c:crossAx val="50619904"/>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450757575757576E-2"/>
          <c:y val="4.8611111111111112E-2"/>
          <c:w val="0.86553030303030298"/>
          <c:h val="0.79513888888888884"/>
        </c:manualLayout>
      </c:layout>
      <c:scatterChart>
        <c:scatterStyle val="lineMarker"/>
        <c:ser>
          <c:idx val="0"/>
          <c:order val="0"/>
          <c:spPr>
            <a:ln w="28575">
              <a:noFill/>
            </a:ln>
          </c:spPr>
          <c:xVal>
            <c:numRef>
              <c:f>'Camel-down'!$C$5:$C$10</c:f>
              <c:numCache>
                <c:formatCode>General</c:formatCode>
                <c:ptCount val="6"/>
                <c:pt idx="0">
                  <c:v>0</c:v>
                </c:pt>
                <c:pt idx="1">
                  <c:v>30.380577479999999</c:v>
                </c:pt>
                <c:pt idx="2">
                  <c:v>51.140638757999994</c:v>
                </c:pt>
                <c:pt idx="3">
                  <c:v>79.327063419999973</c:v>
                </c:pt>
                <c:pt idx="4">
                  <c:v>146.83945781999998</c:v>
                </c:pt>
                <c:pt idx="5">
                  <c:v>178.90784515999999</c:v>
                </c:pt>
              </c:numCache>
            </c:numRef>
          </c:xVal>
          <c:yVal>
            <c:numRef>
              <c:f>'Camel-down'!$D$5:$D$10</c:f>
              <c:numCache>
                <c:formatCode>General</c:formatCode>
                <c:ptCount val="6"/>
                <c:pt idx="0">
                  <c:v>0</c:v>
                </c:pt>
                <c:pt idx="1">
                  <c:v>15.9</c:v>
                </c:pt>
                <c:pt idx="2">
                  <c:v>31.5</c:v>
                </c:pt>
                <c:pt idx="3">
                  <c:v>73</c:v>
                </c:pt>
                <c:pt idx="4">
                  <c:v>226</c:v>
                </c:pt>
                <c:pt idx="5">
                  <c:v>326</c:v>
                </c:pt>
              </c:numCache>
            </c:numRef>
          </c:yVal>
        </c:ser>
        <c:axId val="43865600"/>
        <c:axId val="43867520"/>
      </c:scatterChart>
      <c:valAx>
        <c:axId val="4386560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867520"/>
        <c:crosses val="autoZero"/>
        <c:crossBetween val="midCat"/>
      </c:valAx>
      <c:valAx>
        <c:axId val="43867520"/>
        <c:scaling>
          <c:orientation val="minMax"/>
        </c:scaling>
        <c:axPos val="l"/>
        <c:majorGridlines/>
        <c:numFmt formatCode="General" sourceLinked="1"/>
        <c:tickLblPos val="nextTo"/>
        <c:crossAx val="43865600"/>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47E-2"/>
          <c:y val="4.8611111111111112E-2"/>
          <c:w val="0.83564814814814814"/>
          <c:h val="0.79513888888888884"/>
        </c:manualLayout>
      </c:layout>
      <c:scatterChart>
        <c:scatterStyle val="lineMarker"/>
        <c:ser>
          <c:idx val="0"/>
          <c:order val="0"/>
          <c:spPr>
            <a:ln w="28575">
              <a:noFill/>
            </a:ln>
          </c:spPr>
          <c:xVal>
            <c:numRef>
              <c:f>'Zero-down'!$C$5:$C$10</c:f>
              <c:numCache>
                <c:formatCode>General</c:formatCode>
                <c:ptCount val="6"/>
                <c:pt idx="0">
                  <c:v>0</c:v>
                </c:pt>
                <c:pt idx="1">
                  <c:v>65.824584539999989</c:v>
                </c:pt>
                <c:pt idx="2">
                  <c:v>135.02478880000001</c:v>
                </c:pt>
                <c:pt idx="3">
                  <c:v>244.73242970000001</c:v>
                </c:pt>
                <c:pt idx="4">
                  <c:v>305.49358466000001</c:v>
                </c:pt>
                <c:pt idx="5">
                  <c:v>364.56692975999999</c:v>
                </c:pt>
              </c:numCache>
            </c:numRef>
          </c:xVal>
          <c:yVal>
            <c:numRef>
              <c:f>'Zero-down'!$D$5:$D$10</c:f>
              <c:numCache>
                <c:formatCode>General</c:formatCode>
                <c:ptCount val="6"/>
                <c:pt idx="0">
                  <c:v>0</c:v>
                </c:pt>
                <c:pt idx="1">
                  <c:v>29.6</c:v>
                </c:pt>
                <c:pt idx="2">
                  <c:v>82.1</c:v>
                </c:pt>
                <c:pt idx="3">
                  <c:v>133</c:v>
                </c:pt>
                <c:pt idx="4">
                  <c:v>172</c:v>
                </c:pt>
              </c:numCache>
            </c:numRef>
          </c:yVal>
        </c:ser>
        <c:axId val="44156032"/>
        <c:axId val="44157952"/>
      </c:scatterChart>
      <c:valAx>
        <c:axId val="441560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157952"/>
        <c:crosses val="autoZero"/>
        <c:crossBetween val="midCat"/>
      </c:valAx>
      <c:valAx>
        <c:axId val="44157952"/>
        <c:scaling>
          <c:orientation val="minMax"/>
        </c:scaling>
        <c:axPos val="l"/>
        <c:majorGridlines/>
        <c:numFmt formatCode="General" sourceLinked="1"/>
        <c:tickLblPos val="nextTo"/>
        <c:crossAx val="44156032"/>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9.7916666666666666E-2"/>
          <c:y val="4.8611111111111112E-2"/>
          <c:w val="0.7"/>
          <c:h val="0.79513888888888884"/>
        </c:manualLayout>
      </c:layout>
      <c:scatterChart>
        <c:scatterStyle val="lineMarker"/>
        <c:ser>
          <c:idx val="0"/>
          <c:order val="0"/>
          <c:spPr>
            <a:ln w="28575">
              <a:noFill/>
            </a:ln>
          </c:spPr>
          <c:xVal>
            <c:numRef>
              <c:f>'Zero-down'!$F$5:$F$10</c:f>
              <c:numCache>
                <c:formatCode>General</c:formatCode>
                <c:ptCount val="6"/>
                <c:pt idx="0">
                  <c:v>0</c:v>
                </c:pt>
                <c:pt idx="1">
                  <c:v>5.9855018731187488E-2</c:v>
                </c:pt>
                <c:pt idx="2">
                  <c:v>0.14563748503847046</c:v>
                </c:pt>
                <c:pt idx="3">
                  <c:v>0.19749460009276953</c:v>
                </c:pt>
                <c:pt idx="4">
                  <c:v>0.23426945666176799</c:v>
                </c:pt>
                <c:pt idx="5">
                  <c:v>0</c:v>
                </c:pt>
              </c:numCache>
            </c:numRef>
          </c:xVal>
          <c:yVal>
            <c:numRef>
              <c:f>'Zero-down'!$C$5:$C$9</c:f>
              <c:numCache>
                <c:formatCode>General</c:formatCode>
                <c:ptCount val="5"/>
                <c:pt idx="0">
                  <c:v>0</c:v>
                </c:pt>
                <c:pt idx="1">
                  <c:v>65.824584539999989</c:v>
                </c:pt>
                <c:pt idx="2">
                  <c:v>135.02478880000001</c:v>
                </c:pt>
                <c:pt idx="3">
                  <c:v>244.73242970000001</c:v>
                </c:pt>
                <c:pt idx="4">
                  <c:v>305.49358466000001</c:v>
                </c:pt>
              </c:numCache>
            </c:numRef>
          </c:yVal>
        </c:ser>
        <c:axId val="84649856"/>
        <c:axId val="84652032"/>
      </c:scatterChart>
      <c:valAx>
        <c:axId val="846498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652032"/>
        <c:crosses val="autoZero"/>
        <c:crossBetween val="midCat"/>
      </c:valAx>
      <c:valAx>
        <c:axId val="84652032"/>
        <c:scaling>
          <c:orientation val="minMax"/>
        </c:scaling>
        <c:axPos val="l"/>
        <c:majorGridlines/>
        <c:numFmt formatCode="General" sourceLinked="1"/>
        <c:tickLblPos val="nextTo"/>
        <c:crossAx val="8464985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3.2051282051282048E-2"/>
          <c:y val="4.8611111111111112E-2"/>
          <c:w val="0.89503205128205132"/>
          <c:h val="0.79513888888888884"/>
        </c:manualLayout>
      </c:layout>
      <c:scatterChart>
        <c:scatterStyle val="lineMarker"/>
        <c:ser>
          <c:idx val="0"/>
          <c:order val="0"/>
          <c:spPr>
            <a:ln w="28575">
              <a:noFill/>
            </a:ln>
          </c:spPr>
          <c:xVal>
            <c:numRef>
              <c:f>'Camel-up'!$C$5:$C$11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'Camel-up'!$D$5:$D$11</c:f>
              <c:numCache>
                <c:formatCode>General</c:formatCode>
                <c:ptCount val="7"/>
                <c:pt idx="0">
                  <c:v>0</c:v>
                </c:pt>
                <c:pt idx="1">
                  <c:v>2.2999999999999998</c:v>
                </c:pt>
                <c:pt idx="2">
                  <c:v>6.3</c:v>
                </c:pt>
                <c:pt idx="3">
                  <c:v>8</c:v>
                </c:pt>
                <c:pt idx="4">
                  <c:v>10.1</c:v>
                </c:pt>
                <c:pt idx="5">
                  <c:v>11</c:v>
                </c:pt>
                <c:pt idx="6">
                  <c:v>8.5</c:v>
                </c:pt>
              </c:numCache>
            </c:numRef>
          </c:yVal>
        </c:ser>
        <c:axId val="42691200"/>
        <c:axId val="43889408"/>
      </c:scatterChart>
      <c:valAx>
        <c:axId val="4269120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889408"/>
        <c:crosses val="autoZero"/>
        <c:crossBetween val="midCat"/>
      </c:valAx>
      <c:valAx>
        <c:axId val="43889408"/>
        <c:scaling>
          <c:orientation val="minMax"/>
        </c:scaling>
        <c:axPos val="l"/>
        <c:majorGridlines/>
        <c:numFmt formatCode="General" sourceLinked="1"/>
        <c:tickLblPos val="nextTo"/>
        <c:crossAx val="42691200"/>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9523809523809521E-2"/>
          <c:y val="4.8611111111111112E-2"/>
          <c:w val="0.79613095238095233"/>
          <c:h val="0.79513888888888884"/>
        </c:manualLayout>
      </c:layout>
      <c:scatterChart>
        <c:scatterStyle val="lineMarker"/>
        <c:ser>
          <c:idx val="0"/>
          <c:order val="0"/>
          <c:spPr>
            <a:ln w="28575">
              <a:noFill/>
            </a:ln>
          </c:spPr>
          <c:xVal>
            <c:numRef>
              <c:f>'Camel-up'!$E$5:$E$12</c:f>
              <c:numCache>
                <c:formatCode>General</c:formatCode>
                <c:ptCount val="8"/>
                <c:pt idx="0">
                  <c:v>0</c:v>
                </c:pt>
                <c:pt idx="1">
                  <c:v>1.8025300802117856E-2</c:v>
                </c:pt>
                <c:pt idx="2">
                  <c:v>5.6555271844747637E-2</c:v>
                </c:pt>
                <c:pt idx="3">
                  <c:v>7.8997840037107817E-2</c:v>
                </c:pt>
                <c:pt idx="4">
                  <c:v>0.11290729024171542</c:v>
                </c:pt>
                <c:pt idx="5">
                  <c:v>0.13577753756377905</c:v>
                </c:pt>
                <c:pt idx="6">
                  <c:v>0.1071513255822473</c:v>
                </c:pt>
                <c:pt idx="7">
                  <c:v>5.1169055478581194E-2</c:v>
                </c:pt>
              </c:numCache>
            </c:numRef>
          </c:xVal>
          <c:yVal>
            <c:numRef>
              <c:f>'Camel-up'!$C$5:$C$12</c:f>
              <c:numCache>
                <c:formatCode>General</c:formatCode>
                <c:ptCount val="8"/>
                <c:pt idx="0">
                  <c:v>0</c:v>
                </c:pt>
                <c:pt idx="1">
                  <c:v>10.80198310400003</c:v>
                </c:pt>
                <c:pt idx="2">
                  <c:v>27.004957760000011</c:v>
                </c:pt>
                <c:pt idx="3">
                  <c:v>37.13181692000002</c:v>
                </c:pt>
                <c:pt idx="4">
                  <c:v>48.946485940000017</c:v>
                </c:pt>
                <c:pt idx="5">
                  <c:v>57.38553524000001</c:v>
                </c:pt>
                <c:pt idx="6">
                  <c:v>59.073345100000012</c:v>
                </c:pt>
                <c:pt idx="7">
                  <c:v>64.136774680000016</c:v>
                </c:pt>
              </c:numCache>
            </c:numRef>
          </c:yVal>
        </c:ser>
        <c:axId val="43904384"/>
        <c:axId val="43931136"/>
      </c:scatterChart>
      <c:valAx>
        <c:axId val="4390438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931136"/>
        <c:crosses val="autoZero"/>
        <c:crossBetween val="midCat"/>
      </c:valAx>
      <c:valAx>
        <c:axId val="43931136"/>
        <c:scaling>
          <c:orientation val="minMax"/>
        </c:scaling>
        <c:axPos val="l"/>
        <c:majorGridlines/>
        <c:numFmt formatCode="General" sourceLinked="1"/>
        <c:tickLblPos val="nextTo"/>
        <c:crossAx val="43904384"/>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2.7777777777777776E-2"/>
          <c:y val="4.8611111111111112E-2"/>
          <c:w val="0.90555555555555556"/>
          <c:h val="0.79513888888888884"/>
        </c:manualLayout>
      </c:layout>
      <c:scatterChart>
        <c:scatterStyle val="lineMarker"/>
        <c:ser>
          <c:idx val="0"/>
          <c:order val="0"/>
          <c:spPr>
            <a:ln w="28575">
              <a:noFill/>
            </a:ln>
          </c:spPr>
          <c:xVal>
            <c:numRef>
              <c:f>'Zero-up'!$C$5:$C$11</c:f>
              <c:numCache>
                <c:formatCode>General</c:formatCode>
                <c:ptCount val="7"/>
                <c:pt idx="0">
                  <c:v>0</c:v>
                </c:pt>
                <c:pt idx="1">
                  <c:v>50.634295800000018</c:v>
                </c:pt>
                <c:pt idx="2">
                  <c:v>118.14669020000002</c:v>
                </c:pt>
                <c:pt idx="3">
                  <c:v>164.56146135</c:v>
                </c:pt>
                <c:pt idx="4">
                  <c:v>219.41528180000003</c:v>
                </c:pt>
                <c:pt idx="5">
                  <c:v>266.16761492200004</c:v>
                </c:pt>
                <c:pt idx="6">
                  <c:v>298.40478324800006</c:v>
                </c:pt>
              </c:numCache>
            </c:numRef>
          </c:xVal>
          <c:yVal>
            <c:numRef>
              <c:f>'Zero-up'!$E$5:$E$11</c:f>
              <c:numCache>
                <c:formatCode>General</c:formatCode>
                <c:ptCount val="7"/>
                <c:pt idx="0">
                  <c:v>0</c:v>
                </c:pt>
                <c:pt idx="1">
                  <c:v>25.4</c:v>
                </c:pt>
                <c:pt idx="2">
                  <c:v>33.6</c:v>
                </c:pt>
                <c:pt idx="3">
                  <c:v>39</c:v>
                </c:pt>
                <c:pt idx="4">
                  <c:v>34</c:v>
                </c:pt>
                <c:pt idx="5">
                  <c:v>26.5</c:v>
                </c:pt>
                <c:pt idx="6">
                  <c:v>19.5</c:v>
                </c:pt>
              </c:numCache>
            </c:numRef>
          </c:yVal>
        </c:ser>
        <c:axId val="42802176"/>
        <c:axId val="42808448"/>
      </c:scatterChart>
      <c:valAx>
        <c:axId val="428021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808448"/>
        <c:crosses val="autoZero"/>
        <c:crossBetween val="midCat"/>
      </c:valAx>
      <c:valAx>
        <c:axId val="42808448"/>
        <c:scaling>
          <c:orientation val="minMax"/>
        </c:scaling>
        <c:axPos val="l"/>
        <c:majorGridlines/>
        <c:numFmt formatCode="General" sourceLinked="1"/>
        <c:tickLblPos val="nextTo"/>
        <c:crossAx val="42802176"/>
        <c:crosses val="autoZero"/>
        <c:crossBetween val="midCat"/>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47E-2"/>
          <c:y val="4.8611111111111112E-2"/>
          <c:w val="0.83333333333333337"/>
          <c:h val="0.79513888888888884"/>
        </c:manualLayout>
      </c:layout>
      <c:scatterChart>
        <c:scatterStyle val="lineMarker"/>
        <c:ser>
          <c:idx val="0"/>
          <c:order val="0"/>
          <c:spPr>
            <a:ln w="28575">
              <a:noFill/>
            </a:ln>
          </c:spPr>
          <c:xVal>
            <c:numRef>
              <c:f>'Zero-up'!$F$5:$F$9</c:f>
              <c:numCache>
                <c:formatCode>General</c:formatCode>
                <c:ptCount val="5"/>
                <c:pt idx="0">
                  <c:v>0</c:v>
                </c:pt>
                <c:pt idx="1">
                  <c:v>6.7183430924415352E-2</c:v>
                </c:pt>
                <c:pt idx="2">
                  <c:v>0.10819269396386505</c:v>
                </c:pt>
                <c:pt idx="3">
                  <c:v>0.14764772019715036</c:v>
                </c:pt>
                <c:pt idx="4">
                  <c:v>0.1624552355601814</c:v>
                </c:pt>
              </c:numCache>
            </c:numRef>
          </c:xVal>
          <c:yVal>
            <c:numRef>
              <c:f>'Zero-up'!$C$5:$C$9</c:f>
              <c:numCache>
                <c:formatCode>General</c:formatCode>
                <c:ptCount val="5"/>
                <c:pt idx="0">
                  <c:v>0</c:v>
                </c:pt>
                <c:pt idx="1">
                  <c:v>50.634295800000018</c:v>
                </c:pt>
                <c:pt idx="2">
                  <c:v>118.14669020000002</c:v>
                </c:pt>
                <c:pt idx="3">
                  <c:v>164.56146135</c:v>
                </c:pt>
                <c:pt idx="4">
                  <c:v>219.41528180000003</c:v>
                </c:pt>
              </c:numCache>
            </c:numRef>
          </c:yVal>
        </c:ser>
        <c:axId val="42831872"/>
        <c:axId val="42833792"/>
      </c:scatterChart>
      <c:valAx>
        <c:axId val="4283187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833792"/>
        <c:crosses val="autoZero"/>
        <c:crossBetween val="midCat"/>
      </c:valAx>
      <c:valAx>
        <c:axId val="42833792"/>
        <c:scaling>
          <c:orientation val="minMax"/>
        </c:scaling>
        <c:axPos val="l"/>
        <c:majorGridlines/>
        <c:numFmt formatCode="General" sourceLinked="1"/>
        <c:tickLblPos val="nextTo"/>
        <c:crossAx val="42831872"/>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title>
    <c:plotArea>
      <c:layout/>
      <c:scatterChart>
        <c:scatterStyle val="lineMarker"/>
        <c:ser>
          <c:idx val="0"/>
          <c:order val="0"/>
          <c:tx>
            <c:v>JSBSim Camel, Ver 1.0</c:v>
          </c:tx>
          <c:spPr>
            <a:ln w="28575">
              <a:noFill/>
            </a:ln>
          </c:spPr>
          <c:xVal>
            <c:numRef>
              <c:f>'Camel JSBSim Climb vs Speed1.3'!$C$13:$C$25</c:f>
              <c:numCache>
                <c:formatCode>General</c:formatCode>
                <c:ptCount val="13"/>
                <c:pt idx="0">
                  <c:v>126.12546261346688</c:v>
                </c:pt>
                <c:pt idx="1">
                  <c:v>124.054059030399</c:v>
                </c:pt>
                <c:pt idx="2">
                  <c:v>117.1493804201727</c:v>
                </c:pt>
                <c:pt idx="3">
                  <c:v>107.48283036585592</c:v>
                </c:pt>
                <c:pt idx="4">
                  <c:v>90.796523724475719</c:v>
                </c:pt>
                <c:pt idx="5">
                  <c:v>82.050597484855743</c:v>
                </c:pt>
                <c:pt idx="6">
                  <c:v>75.030840897792345</c:v>
                </c:pt>
                <c:pt idx="7">
                  <c:v>68.471396218077373</c:v>
                </c:pt>
                <c:pt idx="8">
                  <c:v>63.177809283570546</c:v>
                </c:pt>
                <c:pt idx="9">
                  <c:v>61.451639631013975</c:v>
                </c:pt>
                <c:pt idx="10">
                  <c:v>57.078676511203994</c:v>
                </c:pt>
                <c:pt idx="11">
                  <c:v>68.126162287566061</c:v>
                </c:pt>
                <c:pt idx="12">
                  <c:v>81.935519508018643</c:v>
                </c:pt>
              </c:numCache>
            </c:numRef>
          </c:xVal>
          <c:yVal>
            <c:numRef>
              <c:f>'Camel JSBSim Climb vs Speed1.3'!$D$13:$D$25</c:f>
              <c:numCache>
                <c:formatCode>General</c:formatCode>
                <c:ptCount val="13"/>
                <c:pt idx="0">
                  <c:v>-675</c:v>
                </c:pt>
                <c:pt idx="1">
                  <c:v>-498.00000000000006</c:v>
                </c:pt>
                <c:pt idx="2">
                  <c:v>180</c:v>
                </c:pt>
                <c:pt idx="3">
                  <c:v>150</c:v>
                </c:pt>
                <c:pt idx="4">
                  <c:v>438</c:v>
                </c:pt>
                <c:pt idx="5">
                  <c:v>433.8</c:v>
                </c:pt>
                <c:pt idx="6">
                  <c:v>516</c:v>
                </c:pt>
                <c:pt idx="7">
                  <c:v>390</c:v>
                </c:pt>
                <c:pt idx="8">
                  <c:v>408</c:v>
                </c:pt>
                <c:pt idx="9">
                  <c:v>438</c:v>
                </c:pt>
                <c:pt idx="10">
                  <c:v>180</c:v>
                </c:pt>
                <c:pt idx="11">
                  <c:v>138</c:v>
                </c:pt>
                <c:pt idx="12">
                  <c:v>360</c:v>
                </c:pt>
              </c:numCache>
            </c:numRef>
          </c:yVal>
        </c:ser>
        <c:ser>
          <c:idx val="1"/>
          <c:order val="1"/>
          <c:tx>
            <c:v>Historical Camel, 1917</c:v>
          </c:tx>
          <c:spPr>
            <a:ln w="28575">
              <a:noFill/>
            </a:ln>
          </c:spPr>
          <c:xVal>
            <c:numRef>
              <c:f>'Camel JSBSim Climb vs Speed1.3'!$C$32:$C$41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4898944"/>
        <c:axId val="44905216"/>
      </c:scatterChart>
      <c:valAx>
        <c:axId val="44898944"/>
        <c:scaling>
          <c:orientation val="minMax"/>
        </c:scaling>
        <c:axPos val="b"/>
        <c:title>
          <c:tx>
            <c:rich>
              <a:bodyPr/>
              <a:lstStyle/>
              <a:p>
                <a:pPr>
                  <a:defRPr/>
                </a:pPr>
                <a:r>
                  <a:rPr lang="en-US"/>
                  <a:t>Speed (mph)</a:t>
                </a:r>
              </a:p>
            </c:rich>
          </c:tx>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905216"/>
        <c:crosses val="autoZero"/>
        <c:crossBetween val="midCat"/>
      </c:valAx>
      <c:valAx>
        <c:axId val="44905216"/>
        <c:scaling>
          <c:orientation val="minMax"/>
        </c:scaling>
        <c:axPos val="l"/>
        <c:majorGridlines/>
        <c:title>
          <c:tx>
            <c:rich>
              <a:bodyPr/>
              <a:lstStyle/>
              <a:p>
                <a:pPr>
                  <a:defRPr/>
                </a:pPr>
                <a:r>
                  <a:rPr lang="en-US"/>
                  <a:t>Climb</a:t>
                </a:r>
                <a:r>
                  <a:rPr lang="en-US" baseline="0"/>
                  <a:t> (fpm)</a:t>
                </a:r>
                <a:endParaRPr lang="en-US"/>
              </a:p>
            </c:rich>
          </c:tx>
          <c:layout/>
        </c:title>
        <c:numFmt formatCode="General" sourceLinked="1"/>
        <c:majorTickMark val="none"/>
        <c:tickLblPos val="nextTo"/>
        <c:crossAx val="44898944"/>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3103448275862072E-2"/>
          <c:y val="4.8611111111111112E-2"/>
          <c:w val="0.85775862068965514"/>
          <c:h val="0.79513888888888884"/>
        </c:manualLayout>
      </c:layout>
      <c:scatterChart>
        <c:scatterStyle val="lineMarker"/>
        <c:ser>
          <c:idx val="0"/>
          <c:order val="0"/>
          <c:spPr>
            <a:ln w="28575">
              <a:noFill/>
            </a:ln>
          </c:spPr>
          <c:xVal>
            <c:numRef>
              <c:f>'Sheet3 (3)'!$C$5:$C$11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'Sheet3 (3)'!$D$5:$D$11</c:f>
              <c:numCache>
                <c:formatCode>General</c:formatCode>
                <c:ptCount val="7"/>
                <c:pt idx="0">
                  <c:v>0</c:v>
                </c:pt>
                <c:pt idx="1">
                  <c:v>2.2999999999999998</c:v>
                </c:pt>
                <c:pt idx="2">
                  <c:v>6.3</c:v>
                </c:pt>
                <c:pt idx="3">
                  <c:v>8</c:v>
                </c:pt>
                <c:pt idx="4">
                  <c:v>10.1</c:v>
                </c:pt>
                <c:pt idx="5">
                  <c:v>11</c:v>
                </c:pt>
                <c:pt idx="6">
                  <c:v>8.5</c:v>
                </c:pt>
              </c:numCache>
            </c:numRef>
          </c:yVal>
        </c:ser>
        <c:axId val="43950848"/>
        <c:axId val="43952768"/>
      </c:scatterChart>
      <c:valAx>
        <c:axId val="4395084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952768"/>
        <c:crosses val="autoZero"/>
        <c:crossBetween val="midCat"/>
      </c:valAx>
      <c:valAx>
        <c:axId val="43952768"/>
        <c:scaling>
          <c:orientation val="minMax"/>
        </c:scaling>
        <c:axPos val="l"/>
        <c:majorGridlines/>
        <c:numFmt formatCode="General" sourceLinked="1"/>
        <c:tickLblPos val="nextTo"/>
        <c:crossAx val="43950848"/>
        <c:crosses val="autoZero"/>
        <c:crossBetween val="midCat"/>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title>
    <c:plotArea>
      <c:layout/>
      <c:scatterChart>
        <c:scatterStyle val="lineMarker"/>
        <c:ser>
          <c:idx val="0"/>
          <c:order val="0"/>
          <c:tx>
            <c:v>JSBSim Camel, Ver 1.0</c:v>
          </c:tx>
          <c:spPr>
            <a:ln w="28575">
              <a:noFill/>
            </a:ln>
          </c:spPr>
          <c:xVal>
            <c:numRef>
              <c:f>'Camel JSBSim Climb vs Speed1.0'!$C$12:$C$24</c:f>
              <c:numCache>
                <c:formatCode>General</c:formatCode>
                <c:ptCount val="13"/>
                <c:pt idx="0">
                  <c:v>46.56054942829261</c:v>
                </c:pt>
                <c:pt idx="1">
                  <c:v>50.404153854651909</c:v>
                </c:pt>
                <c:pt idx="2">
                  <c:v>54.777116974461897</c:v>
                </c:pt>
                <c:pt idx="3">
                  <c:v>59.150080094271878</c:v>
                </c:pt>
                <c:pt idx="4">
                  <c:v>70.54279980114525</c:v>
                </c:pt>
                <c:pt idx="5">
                  <c:v>84.927546905783359</c:v>
                </c:pt>
                <c:pt idx="6">
                  <c:v>89.30051002559334</c:v>
                </c:pt>
                <c:pt idx="7">
                  <c:v>99.427371987258581</c:v>
                </c:pt>
                <c:pt idx="8">
                  <c:v>101.95908747767487</c:v>
                </c:pt>
                <c:pt idx="9">
                  <c:v>102.76463331553461</c:v>
                </c:pt>
                <c:pt idx="10">
                  <c:v>103.10986724604592</c:v>
                </c:pt>
                <c:pt idx="11">
                  <c:v>110.70501371729485</c:v>
                </c:pt>
                <c:pt idx="12">
                  <c:v>116.91922446649849</c:v>
                </c:pt>
              </c:numCache>
            </c:numRef>
          </c:xVal>
          <c:yVal>
            <c:numRef>
              <c:f>'Camel JSBSim Climb vs Speed1.0'!$D$12:$D$24</c:f>
              <c:numCache>
                <c:formatCode>General</c:formatCode>
                <c:ptCount val="13"/>
                <c:pt idx="0">
                  <c:v>582</c:v>
                </c:pt>
                <c:pt idx="1">
                  <c:v>625.20000000000005</c:v>
                </c:pt>
                <c:pt idx="2">
                  <c:v>667.19999999999993</c:v>
                </c:pt>
                <c:pt idx="3">
                  <c:v>669</c:v>
                </c:pt>
                <c:pt idx="4">
                  <c:v>650.4</c:v>
                </c:pt>
                <c:pt idx="5">
                  <c:v>500.4</c:v>
                </c:pt>
                <c:pt idx="6">
                  <c:v>434.40000000000003</c:v>
                </c:pt>
                <c:pt idx="7">
                  <c:v>113.39999999999999</c:v>
                </c:pt>
                <c:pt idx="8">
                  <c:v>0</c:v>
                </c:pt>
                <c:pt idx="9">
                  <c:v>-21</c:v>
                </c:pt>
                <c:pt idx="10">
                  <c:v>9.9600000000000009</c:v>
                </c:pt>
                <c:pt idx="11">
                  <c:v>-517.19999999999993</c:v>
                </c:pt>
                <c:pt idx="12">
                  <c:v>-882</c:v>
                </c:pt>
              </c:numCache>
            </c:numRef>
          </c:yVal>
        </c:ser>
        <c:ser>
          <c:idx val="1"/>
          <c:order val="1"/>
          <c:tx>
            <c:v>Historical Camel, 1917</c:v>
          </c:tx>
          <c:spPr>
            <a:ln w="28575">
              <a:noFill/>
            </a:ln>
          </c:spPr>
          <c:xVal>
            <c:numRef>
              <c:f>'Camel JSBSim Climb vs Speed1.0'!$C$31:$C$40</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Speed1.0'!$D$31:$D$40</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2726528"/>
        <c:axId val="42728832"/>
      </c:scatterChart>
      <c:valAx>
        <c:axId val="42726528"/>
        <c:scaling>
          <c:orientation val="minMax"/>
        </c:scaling>
        <c:axPos val="b"/>
        <c:title>
          <c:tx>
            <c:rich>
              <a:bodyPr/>
              <a:lstStyle/>
              <a:p>
                <a:pPr>
                  <a:defRPr/>
                </a:pPr>
                <a:r>
                  <a:rPr lang="en-US"/>
                  <a:t>Speed (mph)</a:t>
                </a:r>
              </a:p>
            </c:rich>
          </c:tx>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728832"/>
        <c:crosses val="autoZero"/>
        <c:crossBetween val="midCat"/>
      </c:valAx>
      <c:valAx>
        <c:axId val="42728832"/>
        <c:scaling>
          <c:orientation val="minMax"/>
        </c:scaling>
        <c:axPos val="l"/>
        <c:majorGridlines/>
        <c:title>
          <c:tx>
            <c:rich>
              <a:bodyPr/>
              <a:lstStyle/>
              <a:p>
                <a:pPr>
                  <a:defRPr/>
                </a:pPr>
                <a:r>
                  <a:rPr lang="en-US"/>
                  <a:t>Climb</a:t>
                </a:r>
                <a:r>
                  <a:rPr lang="en-US" baseline="0"/>
                  <a:t> (fpm)</a:t>
                </a:r>
                <a:endParaRPr lang="en-US"/>
              </a:p>
            </c:rich>
          </c:tx>
          <c:layout/>
        </c:title>
        <c:numFmt formatCode="General" sourceLinked="1"/>
        <c:majorTickMark val="none"/>
        <c:tickLblPos val="nextTo"/>
        <c:crossAx val="42726528"/>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AOAvsDrag!$B$85</c:f>
              <c:strCache>
                <c:ptCount val="1"/>
                <c:pt idx="0">
                  <c:v>Drag</c:v>
                </c:pt>
              </c:strCache>
            </c:strRef>
          </c:tx>
          <c:xVal>
            <c:numRef>
              <c:f>AOAvsDrag!$A$86:$A$92</c:f>
              <c:numCache>
                <c:formatCode>General</c:formatCode>
                <c:ptCount val="7"/>
                <c:pt idx="0">
                  <c:v>-90</c:v>
                </c:pt>
                <c:pt idx="1">
                  <c:v>-20</c:v>
                </c:pt>
                <c:pt idx="2">
                  <c:v>-15.5</c:v>
                </c:pt>
                <c:pt idx="3">
                  <c:v>0</c:v>
                </c:pt>
                <c:pt idx="4">
                  <c:v>15.5</c:v>
                </c:pt>
                <c:pt idx="5">
                  <c:v>20</c:v>
                </c:pt>
                <c:pt idx="6">
                  <c:v>90</c:v>
                </c:pt>
              </c:numCache>
            </c:numRef>
          </c:xVal>
          <c:yVal>
            <c:numRef>
              <c:f>AOAvsDrag!$B$86:$B$92</c:f>
              <c:numCache>
                <c:formatCode>General</c:formatCode>
                <c:ptCount val="7"/>
                <c:pt idx="0">
                  <c:v>1.5</c:v>
                </c:pt>
                <c:pt idx="1">
                  <c:v>0.9</c:v>
                </c:pt>
                <c:pt idx="2">
                  <c:v>5.0999999999999997E-2</c:v>
                </c:pt>
                <c:pt idx="3">
                  <c:v>3.78E-2</c:v>
                </c:pt>
                <c:pt idx="4">
                  <c:v>5.0999999999999997E-2</c:v>
                </c:pt>
                <c:pt idx="5">
                  <c:v>0.9</c:v>
                </c:pt>
                <c:pt idx="6">
                  <c:v>1.5</c:v>
                </c:pt>
              </c:numCache>
            </c:numRef>
          </c:yVal>
        </c:ser>
        <c:axId val="83405056"/>
        <c:axId val="43168128"/>
      </c:scatterChart>
      <c:valAx>
        <c:axId val="834050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168128"/>
        <c:crosses val="autoZero"/>
        <c:crossBetween val="midCat"/>
      </c:valAx>
      <c:valAx>
        <c:axId val="43168128"/>
        <c:scaling>
          <c:orientation val="minMax"/>
        </c:scaling>
        <c:axPos val="l"/>
        <c:majorGridlines/>
        <c:numFmt formatCode="General" sourceLinked="1"/>
        <c:tickLblPos val="nextTo"/>
        <c:crossAx val="8340505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AOAvsDrag!$B$108:$B$112</c:f>
              <c:numCache>
                <c:formatCode>General</c:formatCode>
                <c:ptCount val="5"/>
                <c:pt idx="0">
                  <c:v>-89.954373835539243</c:v>
                </c:pt>
                <c:pt idx="1">
                  <c:v>-14.896902673401405</c:v>
                </c:pt>
                <c:pt idx="2">
                  <c:v>0</c:v>
                </c:pt>
                <c:pt idx="3">
                  <c:v>14.896902673401405</c:v>
                </c:pt>
                <c:pt idx="4">
                  <c:v>89.954373835539243</c:v>
                </c:pt>
              </c:numCache>
            </c:numRef>
          </c:xVal>
          <c:yVal>
            <c:numRef>
              <c:f>AOAvsDrag!$C$108:$C$112</c:f>
              <c:numCache>
                <c:formatCode>General</c:formatCode>
                <c:ptCount val="5"/>
                <c:pt idx="0">
                  <c:v>1.5</c:v>
                </c:pt>
                <c:pt idx="1">
                  <c:v>3.5999999999999997E-2</c:v>
                </c:pt>
                <c:pt idx="2">
                  <c:v>2.8000000000000001E-2</c:v>
                </c:pt>
                <c:pt idx="3">
                  <c:v>3.5999999999999997E-2</c:v>
                </c:pt>
                <c:pt idx="4">
                  <c:v>1.5</c:v>
                </c:pt>
              </c:numCache>
            </c:numRef>
          </c:yVal>
        </c:ser>
        <c:axId val="43646976"/>
        <c:axId val="43648896"/>
      </c:scatterChart>
      <c:valAx>
        <c:axId val="436469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648896"/>
        <c:crosses val="autoZero"/>
        <c:crossBetween val="midCat"/>
      </c:valAx>
      <c:valAx>
        <c:axId val="43648896"/>
        <c:scaling>
          <c:orientation val="minMax"/>
        </c:scaling>
        <c:axPos val="l"/>
        <c:majorGridlines/>
        <c:numFmt formatCode="General" sourceLinked="1"/>
        <c:tickLblPos val="nextTo"/>
        <c:crossAx val="4364697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AOAvsDrag!$AC$85</c:f>
              <c:strCache>
                <c:ptCount val="1"/>
                <c:pt idx="0">
                  <c:v>Drag</c:v>
                </c:pt>
              </c:strCache>
            </c:strRef>
          </c:tx>
          <c:xVal>
            <c:numRef>
              <c:f>AOAvsDrag!$AB$86:$AB$92</c:f>
              <c:numCache>
                <c:formatCode>General</c:formatCode>
                <c:ptCount val="7"/>
                <c:pt idx="0">
                  <c:v>-90</c:v>
                </c:pt>
                <c:pt idx="1">
                  <c:v>-40</c:v>
                </c:pt>
                <c:pt idx="2">
                  <c:v>-15.5</c:v>
                </c:pt>
                <c:pt idx="3">
                  <c:v>0</c:v>
                </c:pt>
                <c:pt idx="4">
                  <c:v>15.5</c:v>
                </c:pt>
                <c:pt idx="5">
                  <c:v>40</c:v>
                </c:pt>
                <c:pt idx="6">
                  <c:v>90</c:v>
                </c:pt>
              </c:numCache>
            </c:numRef>
          </c:xVal>
          <c:yVal>
            <c:numRef>
              <c:f>AOAvsDrag!$AC$86:$AC$92</c:f>
              <c:numCache>
                <c:formatCode>General</c:formatCode>
                <c:ptCount val="7"/>
                <c:pt idx="0">
                  <c:v>1.5</c:v>
                </c:pt>
                <c:pt idx="1">
                  <c:v>0.4</c:v>
                </c:pt>
                <c:pt idx="2">
                  <c:v>5.0999999999999997E-2</c:v>
                </c:pt>
                <c:pt idx="3">
                  <c:v>3.78E-2</c:v>
                </c:pt>
                <c:pt idx="4">
                  <c:v>5.0999999999999997E-2</c:v>
                </c:pt>
                <c:pt idx="5">
                  <c:v>0.4</c:v>
                </c:pt>
                <c:pt idx="6">
                  <c:v>1.5</c:v>
                </c:pt>
              </c:numCache>
            </c:numRef>
          </c:yVal>
        </c:ser>
        <c:axId val="43672320"/>
        <c:axId val="43674240"/>
      </c:scatterChart>
      <c:valAx>
        <c:axId val="4367232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674240"/>
        <c:crosses val="autoZero"/>
        <c:crossBetween val="midCat"/>
      </c:valAx>
      <c:valAx>
        <c:axId val="43674240"/>
        <c:scaling>
          <c:orientation val="minMax"/>
        </c:scaling>
        <c:axPos val="l"/>
        <c:majorGridlines/>
        <c:numFmt formatCode="General" sourceLinked="1"/>
        <c:tickLblPos val="nextTo"/>
        <c:crossAx val="43672320"/>
        <c:crosses val="autoZero"/>
        <c:crossBetween val="midCat"/>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AOAvsDrag!$B$14:$B$32</c:f>
              <c:numCache>
                <c:formatCode>General</c:formatCode>
                <c:ptCount val="19"/>
                <c:pt idx="0">
                  <c:v>-0.1222</c:v>
                </c:pt>
                <c:pt idx="1">
                  <c:v>-5.8000000000000003E-2</c:v>
                </c:pt>
                <c:pt idx="2">
                  <c:v>-2.4199999999999999E-2</c:v>
                </c:pt>
                <c:pt idx="3">
                  <c:v>8.9999999999999993E-3</c:v>
                </c:pt>
                <c:pt idx="4">
                  <c:v>4.02E-2</c:v>
                </c:pt>
                <c:pt idx="5">
                  <c:v>7.3999999999999996E-2</c:v>
                </c:pt>
                <c:pt idx="6">
                  <c:v>0.11269999999999999</c:v>
                </c:pt>
                <c:pt idx="7">
                  <c:v>0.1527</c:v>
                </c:pt>
                <c:pt idx="8">
                  <c:v>0.1895</c:v>
                </c:pt>
                <c:pt idx="9">
                  <c:v>0.22450000000000001</c:v>
                </c:pt>
                <c:pt idx="10">
                  <c:v>0.25600000000000001</c:v>
                </c:pt>
                <c:pt idx="11">
                  <c:v>0.28699999999999998</c:v>
                </c:pt>
                <c:pt idx="12">
                  <c:v>0.34499999999999997</c:v>
                </c:pt>
                <c:pt idx="13">
                  <c:v>0.39500000000000002</c:v>
                </c:pt>
                <c:pt idx="14">
                  <c:v>0.44800000000000001</c:v>
                </c:pt>
                <c:pt idx="15">
                  <c:v>0.495</c:v>
                </c:pt>
                <c:pt idx="16">
                  <c:v>0.53100000000000003</c:v>
                </c:pt>
                <c:pt idx="17">
                  <c:v>0.53300000000000003</c:v>
                </c:pt>
                <c:pt idx="18">
                  <c:v>0.52100000000000002</c:v>
                </c:pt>
              </c:numCache>
            </c:numRef>
          </c:yVal>
        </c:ser>
        <c:ser>
          <c:idx val="1"/>
          <c:order val="1"/>
          <c:tx>
            <c:strRef>
              <c:f>AOAvsDrag!$C$13</c:f>
              <c:strCache>
                <c:ptCount val="1"/>
                <c:pt idx="0">
                  <c:v>Drag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AOAvsDrag!$C$14:$C$32</c:f>
              <c:numCache>
                <c:formatCode>General</c:formatCode>
                <c:ptCount val="19"/>
                <c:pt idx="0">
                  <c:v>3.6400000000000002E-2</c:v>
                </c:pt>
                <c:pt idx="1">
                  <c:v>2.5899999999999999E-2</c:v>
                </c:pt>
                <c:pt idx="2">
                  <c:v>2.23E-2</c:v>
                </c:pt>
                <c:pt idx="3">
                  <c:v>1.9900000000000001E-2</c:v>
                </c:pt>
                <c:pt idx="4">
                  <c:v>1.8499999999999999E-2</c:v>
                </c:pt>
                <c:pt idx="5">
                  <c:v>1.7399999999999999E-2</c:v>
                </c:pt>
                <c:pt idx="6">
                  <c:v>1.72E-2</c:v>
                </c:pt>
                <c:pt idx="7">
                  <c:v>1.7500000000000002E-2</c:v>
                </c:pt>
                <c:pt idx="8">
                  <c:v>1.8599999999999998E-2</c:v>
                </c:pt>
                <c:pt idx="9">
                  <c:v>2.06E-2</c:v>
                </c:pt>
                <c:pt idx="10">
                  <c:v>2.35E-2</c:v>
                </c:pt>
                <c:pt idx="11">
                  <c:v>2.69E-2</c:v>
                </c:pt>
                <c:pt idx="12">
                  <c:v>3.4599999999999999E-2</c:v>
                </c:pt>
                <c:pt idx="13">
                  <c:v>4.3200000000000002E-2</c:v>
                </c:pt>
                <c:pt idx="14">
                  <c:v>5.2900000000000003E-2</c:v>
                </c:pt>
                <c:pt idx="15">
                  <c:v>6.3500000000000001E-2</c:v>
                </c:pt>
                <c:pt idx="16">
                  <c:v>7.7299999999999994E-2</c:v>
                </c:pt>
                <c:pt idx="17">
                  <c:v>0.1089</c:v>
                </c:pt>
                <c:pt idx="18">
                  <c:v>0.151</c:v>
                </c:pt>
              </c:numCache>
            </c:numRef>
          </c:yVal>
        </c:ser>
        <c:axId val="43698816"/>
        <c:axId val="43713280"/>
      </c:scatterChart>
      <c:valAx>
        <c:axId val="4369881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713280"/>
        <c:crosses val="autoZero"/>
        <c:crossBetween val="midCat"/>
      </c:valAx>
      <c:valAx>
        <c:axId val="43713280"/>
        <c:scaling>
          <c:orientation val="minMax"/>
        </c:scaling>
        <c:axPos val="l"/>
        <c:majorGridlines/>
        <c:numFmt formatCode="General" sourceLinked="1"/>
        <c:tickLblPos val="nextTo"/>
        <c:crossAx val="4369881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AOAvsDrag!$AG$104</c:f>
              <c:strCache>
                <c:ptCount val="1"/>
                <c:pt idx="0">
                  <c:v>Lift</c:v>
                </c:pt>
              </c:strCache>
            </c:strRef>
          </c:tx>
          <c:xVal>
            <c:numRef>
              <c:f>AOAvsDrag!$AF$105:$AF$109</c:f>
              <c:numCache>
                <c:formatCode>General</c:formatCode>
                <c:ptCount val="5"/>
                <c:pt idx="0">
                  <c:v>-11.459155902616466</c:v>
                </c:pt>
                <c:pt idx="1">
                  <c:v>0</c:v>
                </c:pt>
                <c:pt idx="2">
                  <c:v>13.178029288008934</c:v>
                </c:pt>
                <c:pt idx="3">
                  <c:v>17.188733853924695</c:v>
                </c:pt>
                <c:pt idx="4">
                  <c:v>34.377467707849391</c:v>
                </c:pt>
              </c:numCache>
            </c:numRef>
          </c:xVal>
          <c:yVal>
            <c:numRef>
              <c:f>AOAvsDrag!$AG$105:$AG$109</c:f>
              <c:numCache>
                <c:formatCode>General</c:formatCode>
                <c:ptCount val="5"/>
                <c:pt idx="0">
                  <c:v>-0.5</c:v>
                </c:pt>
                <c:pt idx="1">
                  <c:v>0.15</c:v>
                </c:pt>
                <c:pt idx="2">
                  <c:v>1</c:v>
                </c:pt>
                <c:pt idx="3">
                  <c:v>1.03</c:v>
                </c:pt>
                <c:pt idx="4">
                  <c:v>0.4</c:v>
                </c:pt>
              </c:numCache>
            </c:numRef>
          </c:yVal>
        </c:ser>
        <c:axId val="43728256"/>
        <c:axId val="43738624"/>
      </c:scatterChart>
      <c:valAx>
        <c:axId val="437282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738624"/>
        <c:crosses val="autoZero"/>
        <c:crossBetween val="midCat"/>
      </c:valAx>
      <c:valAx>
        <c:axId val="43738624"/>
        <c:scaling>
          <c:orientation val="minMax"/>
        </c:scaling>
        <c:axPos val="l"/>
        <c:majorGridlines/>
        <c:numFmt formatCode="General" sourceLinked="1"/>
        <c:tickLblPos val="nextTo"/>
        <c:crossAx val="43728256"/>
        <c:crosses val="autoZero"/>
        <c:crossBetween val="midCat"/>
      </c:valAx>
    </c:plotArea>
    <c:legend>
      <c:legendPos val="r"/>
      <c:layout/>
    </c:legend>
    <c:plotVisOnly val="1"/>
    <c:dispBlanksAs val="gap"/>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6</xdr:col>
      <xdr:colOff>19050</xdr:colOff>
      <xdr:row>10</xdr:row>
      <xdr:rowOff>66675</xdr:rowOff>
    </xdr:from>
    <xdr:to>
      <xdr:col>17</xdr:col>
      <xdr:colOff>161925</xdr:colOff>
      <xdr:row>47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304800</xdr:colOff>
      <xdr:row>35</xdr:row>
      <xdr:rowOff>95250</xdr:rowOff>
    </xdr:from>
    <xdr:to>
      <xdr:col>22</xdr:col>
      <xdr:colOff>0</xdr:colOff>
      <xdr:row>49</xdr:row>
      <xdr:rowOff>171450</xdr:rowOff>
    </xdr:to>
    <xdr:graphicFrame macro="">
      <xdr:nvGraphicFramePr>
        <xdr:cNvPr id="734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18</xdr:row>
      <xdr:rowOff>180975</xdr:rowOff>
    </xdr:from>
    <xdr:to>
      <xdr:col>12</xdr:col>
      <xdr:colOff>438150</xdr:colOff>
      <xdr:row>33</xdr:row>
      <xdr:rowOff>66675</xdr:rowOff>
    </xdr:to>
    <xdr:graphicFrame macro="">
      <xdr:nvGraphicFramePr>
        <xdr:cNvPr id="73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304800</xdr:colOff>
      <xdr:row>36</xdr:row>
      <xdr:rowOff>95250</xdr:rowOff>
    </xdr:from>
    <xdr:to>
      <xdr:col>25</xdr:col>
      <xdr:colOff>0</xdr:colOff>
      <xdr:row>50</xdr:row>
      <xdr:rowOff>171450</xdr:rowOff>
    </xdr:to>
    <xdr:graphicFrame macro="">
      <xdr:nvGraphicFramePr>
        <xdr:cNvPr id="421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19</xdr:row>
      <xdr:rowOff>180975</xdr:rowOff>
    </xdr:from>
    <xdr:to>
      <xdr:col>15</xdr:col>
      <xdr:colOff>438150</xdr:colOff>
      <xdr:row>34</xdr:row>
      <xdr:rowOff>66675</xdr:rowOff>
    </xdr:to>
    <xdr:graphicFrame macro="">
      <xdr:nvGraphicFramePr>
        <xdr:cNvPr id="421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133350</xdr:colOff>
      <xdr:row>19</xdr:row>
      <xdr:rowOff>180975</xdr:rowOff>
    </xdr:from>
    <xdr:to>
      <xdr:col>17</xdr:col>
      <xdr:colOff>438150</xdr:colOff>
      <xdr:row>34</xdr:row>
      <xdr:rowOff>66675</xdr:rowOff>
    </xdr:to>
    <xdr:graphicFrame macro="">
      <xdr:nvGraphicFramePr>
        <xdr:cNvPr id="154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31</xdr:row>
      <xdr:rowOff>66675</xdr:rowOff>
    </xdr:to>
    <xdr:graphicFrame macro="">
      <xdr:nvGraphicFramePr>
        <xdr:cNvPr id="5826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514350</xdr:colOff>
      <xdr:row>83</xdr:row>
      <xdr:rowOff>171450</xdr:rowOff>
    </xdr:from>
    <xdr:to>
      <xdr:col>25</xdr:col>
      <xdr:colOff>209550</xdr:colOff>
      <xdr:row>98</xdr:row>
      <xdr:rowOff>57150</xdr:rowOff>
    </xdr:to>
    <xdr:graphicFrame macro="">
      <xdr:nvGraphicFramePr>
        <xdr:cNvPr id="7281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102</xdr:row>
      <xdr:rowOff>104775</xdr:rowOff>
    </xdr:from>
    <xdr:to>
      <xdr:col>26</xdr:col>
      <xdr:colOff>19050</xdr:colOff>
      <xdr:row>116</xdr:row>
      <xdr:rowOff>180975</xdr:rowOff>
    </xdr:to>
    <xdr:graphicFrame macro="">
      <xdr:nvGraphicFramePr>
        <xdr:cNvPr id="72816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514350</xdr:colOff>
      <xdr:row>83</xdr:row>
      <xdr:rowOff>171450</xdr:rowOff>
    </xdr:from>
    <xdr:to>
      <xdr:col>37</xdr:col>
      <xdr:colOff>209550</xdr:colOff>
      <xdr:row>98</xdr:row>
      <xdr:rowOff>57150</xdr:rowOff>
    </xdr:to>
    <xdr:graphicFrame macro="">
      <xdr:nvGraphicFramePr>
        <xdr:cNvPr id="72816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495300</xdr:colOff>
      <xdr:row>12</xdr:row>
      <xdr:rowOff>19050</xdr:rowOff>
    </xdr:from>
    <xdr:to>
      <xdr:col>28</xdr:col>
      <xdr:colOff>190500</xdr:colOff>
      <xdr:row>26</xdr:row>
      <xdr:rowOff>95250</xdr:rowOff>
    </xdr:to>
    <xdr:graphicFrame macro="">
      <xdr:nvGraphicFramePr>
        <xdr:cNvPr id="72816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600075</xdr:colOff>
      <xdr:row>39</xdr:row>
      <xdr:rowOff>0</xdr:rowOff>
    </xdr:from>
    <xdr:to>
      <xdr:col>66</xdr:col>
      <xdr:colOff>295275</xdr:colOff>
      <xdr:row>66</xdr:row>
      <xdr:rowOff>171450</xdr:rowOff>
    </xdr:to>
    <xdr:graphicFrame macro="">
      <xdr:nvGraphicFramePr>
        <xdr:cNvPr id="72816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285749</xdr:colOff>
      <xdr:row>39</xdr:row>
      <xdr:rowOff>9525</xdr:rowOff>
    </xdr:from>
    <xdr:to>
      <xdr:col>60</xdr:col>
      <xdr:colOff>333374</xdr:colOff>
      <xdr:row>80</xdr:row>
      <xdr:rowOff>85725</xdr:rowOff>
    </xdr:to>
    <xdr:graphicFrame macro="">
      <xdr:nvGraphicFramePr>
        <xdr:cNvPr id="72816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352425</xdr:colOff>
      <xdr:row>103</xdr:row>
      <xdr:rowOff>19050</xdr:rowOff>
    </xdr:from>
    <xdr:to>
      <xdr:col>41</xdr:col>
      <xdr:colOff>47625</xdr:colOff>
      <xdr:row>117</xdr:row>
      <xdr:rowOff>95250</xdr:rowOff>
    </xdr:to>
    <xdr:graphicFrame macro="">
      <xdr:nvGraphicFramePr>
        <xdr:cNvPr id="72816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428625</xdr:colOff>
      <xdr:row>73</xdr:row>
      <xdr:rowOff>142875</xdr:rowOff>
    </xdr:from>
    <xdr:to>
      <xdr:col>9</xdr:col>
      <xdr:colOff>285750</xdr:colOff>
      <xdr:row>86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266700</xdr:colOff>
      <xdr:row>74</xdr:row>
      <xdr:rowOff>47625</xdr:rowOff>
    </xdr:from>
    <xdr:to>
      <xdr:col>27</xdr:col>
      <xdr:colOff>476250</xdr:colOff>
      <xdr:row>100</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552450</xdr:colOff>
      <xdr:row>39</xdr:row>
      <xdr:rowOff>85725</xdr:rowOff>
    </xdr:from>
    <xdr:to>
      <xdr:col>10</xdr:col>
      <xdr:colOff>514350</xdr:colOff>
      <xdr:row>72</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533400</xdr:colOff>
      <xdr:row>3</xdr:row>
      <xdr:rowOff>180975</xdr:rowOff>
    </xdr:from>
    <xdr:to>
      <xdr:col>20</xdr:col>
      <xdr:colOff>419100</xdr:colOff>
      <xdr:row>30</xdr:row>
      <xdr:rowOff>161925</xdr:rowOff>
    </xdr:to>
    <xdr:graphicFrame macro="">
      <xdr:nvGraphicFramePr>
        <xdr:cNvPr id="4230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32</xdr:row>
      <xdr:rowOff>123825</xdr:rowOff>
    </xdr:from>
    <xdr:to>
      <xdr:col>19</xdr:col>
      <xdr:colOff>314325</xdr:colOff>
      <xdr:row>61</xdr:row>
      <xdr:rowOff>57150</xdr:rowOff>
    </xdr:to>
    <xdr:graphicFrame macro="">
      <xdr:nvGraphicFramePr>
        <xdr:cNvPr id="4230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62</xdr:row>
      <xdr:rowOff>161925</xdr:rowOff>
    </xdr:from>
    <xdr:to>
      <xdr:col>21</xdr:col>
      <xdr:colOff>123825</xdr:colOff>
      <xdr:row>86</xdr:row>
      <xdr:rowOff>171450</xdr:rowOff>
    </xdr:to>
    <xdr:graphicFrame macro="">
      <xdr:nvGraphicFramePr>
        <xdr:cNvPr id="42303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57150</xdr:colOff>
      <xdr:row>2</xdr:row>
      <xdr:rowOff>123825</xdr:rowOff>
    </xdr:from>
    <xdr:to>
      <xdr:col>24</xdr:col>
      <xdr:colOff>542925</xdr:colOff>
      <xdr:row>24</xdr:row>
      <xdr:rowOff>152400</xdr:rowOff>
    </xdr:to>
    <xdr:graphicFrame macro="">
      <xdr:nvGraphicFramePr>
        <xdr:cNvPr id="2028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26</xdr:row>
      <xdr:rowOff>133350</xdr:rowOff>
    </xdr:from>
    <xdr:to>
      <xdr:col>22</xdr:col>
      <xdr:colOff>171450</xdr:colOff>
      <xdr:row>61</xdr:row>
      <xdr:rowOff>123825</xdr:rowOff>
    </xdr:to>
    <xdr:graphicFrame macro="">
      <xdr:nvGraphicFramePr>
        <xdr:cNvPr id="2028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466725</xdr:colOff>
      <xdr:row>94</xdr:row>
      <xdr:rowOff>19050</xdr:rowOff>
    </xdr:from>
    <xdr:to>
      <xdr:col>28</xdr:col>
      <xdr:colOff>161925</xdr:colOff>
      <xdr:row>108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109</xdr:row>
      <xdr:rowOff>0</xdr:rowOff>
    </xdr:from>
    <xdr:to>
      <xdr:col>17</xdr:col>
      <xdr:colOff>552450</xdr:colOff>
      <xdr:row>123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352425</xdr:colOff>
      <xdr:row>94</xdr:row>
      <xdr:rowOff>66675</xdr:rowOff>
    </xdr:from>
    <xdr:to>
      <xdr:col>20</xdr:col>
      <xdr:colOff>47625</xdr:colOff>
      <xdr:row>108</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19</xdr:col>
      <xdr:colOff>438150</xdr:colOff>
      <xdr:row>33</xdr:row>
      <xdr:rowOff>66675</xdr:rowOff>
    </xdr:to>
    <xdr:graphicFrame macro="">
      <xdr:nvGraphicFramePr>
        <xdr:cNvPr id="11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16</xdr:col>
      <xdr:colOff>438150</xdr:colOff>
      <xdr:row>33</xdr:row>
      <xdr:rowOff>66675</xdr:rowOff>
    </xdr:to>
    <xdr:graphicFrame macro="">
      <xdr:nvGraphicFramePr>
        <xdr:cNvPr id="267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33</xdr:row>
      <xdr:rowOff>161925</xdr:rowOff>
    </xdr:from>
    <xdr:to>
      <xdr:col>8</xdr:col>
      <xdr:colOff>504825</xdr:colOff>
      <xdr:row>48</xdr:row>
      <xdr:rowOff>47625</xdr:rowOff>
    </xdr:to>
    <xdr:graphicFrame macro="">
      <xdr:nvGraphicFramePr>
        <xdr:cNvPr id="267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youtube.com/watch?v=VT9wtDNiKa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home.comcast.net/~clipper-108/AIAAPaper2005-119.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home.comcast.net/~clipper-108/AIAAPaper2005-119.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home.comcast.net/~clipper-108/AIAAPaper2005-119.pdf"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home.comcast.net/~clipper-108/AIAAPaper2005-119.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flightgear.org/forums/viewtopic.php?f=4&amp;p=18072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en.wikipedia.org/wiki/Advance_rati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U97"/>
  <sheetViews>
    <sheetView topLeftCell="C1" workbookViewId="0">
      <selection activeCell="D47" sqref="D47"/>
    </sheetView>
  </sheetViews>
  <sheetFormatPr defaultRowHeight="15"/>
  <sheetData>
    <row r="1" spans="1:21">
      <c r="A1">
        <f>1.4^2*65/3</f>
        <v>42.466666666666661</v>
      </c>
      <c r="H1" s="1" t="s">
        <v>46</v>
      </c>
    </row>
    <row r="2" spans="1:21">
      <c r="I2">
        <f>A24/2*0.3048</f>
        <v>1.4224000000000001</v>
      </c>
      <c r="J2" t="s">
        <v>33</v>
      </c>
    </row>
    <row r="3" spans="1:21">
      <c r="I3">
        <v>18</v>
      </c>
      <c r="J3" t="s">
        <v>83</v>
      </c>
      <c r="N3">
        <f>35/2.2</f>
        <v>15.909090909090908</v>
      </c>
      <c r="O3" t="s">
        <v>32</v>
      </c>
    </row>
    <row r="4" spans="1:21">
      <c r="A4">
        <f>280*0.7^2/3</f>
        <v>45.733333333333327</v>
      </c>
      <c r="I4">
        <f>1/3*I3*I2^2/2</f>
        <v>6.0696652800000006</v>
      </c>
      <c r="J4" t="s">
        <v>47</v>
      </c>
    </row>
    <row r="5" spans="1:21">
      <c r="J5" t="s">
        <v>35</v>
      </c>
    </row>
    <row r="6" spans="1:21">
      <c r="H6">
        <f>(I2*2)^2*I3/12</f>
        <v>12.139330559999999</v>
      </c>
      <c r="I6">
        <f>I4*2</f>
        <v>12.139330560000001</v>
      </c>
      <c r="J6" t="s">
        <v>31</v>
      </c>
    </row>
    <row r="8" spans="1:21">
      <c r="A8">
        <f>22*8/0.75</f>
        <v>234.66666666666666</v>
      </c>
      <c r="I8">
        <f>I4/0.3048^2/14.5939</f>
        <v>4.4767562703138521</v>
      </c>
      <c r="J8" t="s">
        <v>30</v>
      </c>
    </row>
    <row r="9" spans="1:21">
      <c r="J9" t="s">
        <v>36</v>
      </c>
    </row>
    <row r="10" spans="1:21">
      <c r="A10">
        <v>80</v>
      </c>
      <c r="B10">
        <v>2.25</v>
      </c>
      <c r="I10">
        <f>I8*2</f>
        <v>8.9535125406277043</v>
      </c>
      <c r="J10" t="s">
        <v>31</v>
      </c>
    </row>
    <row r="11" spans="1:21">
      <c r="A11">
        <f>0.75*A10*B10/8</f>
        <v>16.875</v>
      </c>
    </row>
    <row r="12" spans="1:21">
      <c r="I12">
        <f>15/12*0.3048</f>
        <v>0.38100000000000001</v>
      </c>
      <c r="J12" t="s">
        <v>37</v>
      </c>
    </row>
    <row r="13" spans="1:21">
      <c r="A13">
        <f>411/353</f>
        <v>1.1643059490084986</v>
      </c>
      <c r="H13">
        <f>381*0.96/9</f>
        <v>40.64</v>
      </c>
      <c r="I13">
        <f>H13/2.2</f>
        <v>18.472727272727273</v>
      </c>
      <c r="J13" t="s">
        <v>48</v>
      </c>
    </row>
    <row r="14" spans="1:21">
      <c r="A14">
        <f>15*A13</f>
        <v>17.46458923512748</v>
      </c>
      <c r="I14">
        <f>1/3*I13*I12^2</f>
        <v>0.89383985454545456</v>
      </c>
      <c r="J14" t="s">
        <v>29</v>
      </c>
    </row>
    <row r="15" spans="1:21">
      <c r="A15">
        <f>0.83*1.23</f>
        <v>1.0208999999999999</v>
      </c>
      <c r="J15" t="s">
        <v>35</v>
      </c>
      <c r="T15">
        <v>8.5</v>
      </c>
    </row>
    <row r="16" spans="1:21">
      <c r="I16">
        <f>I14*9</f>
        <v>8.0445586909090903</v>
      </c>
      <c r="J16" t="s">
        <v>34</v>
      </c>
      <c r="T16">
        <f>5.35</f>
        <v>5.35</v>
      </c>
      <c r="U16">
        <f>8.45</f>
        <v>8.4499999999999993</v>
      </c>
    </row>
    <row r="17" spans="1:21">
      <c r="A17">
        <f>1.1445*1.0268</f>
        <v>1.1751726</v>
      </c>
      <c r="T17">
        <f>T16/T15</f>
        <v>0.62941176470588234</v>
      </c>
      <c r="U17">
        <f>U16/T15</f>
        <v>0.99411764705882344</v>
      </c>
    </row>
    <row r="18" spans="1:21">
      <c r="I18">
        <f>I14/0.3048^2/14.5939</f>
        <v>0.65926257691310219</v>
      </c>
      <c r="J18" t="s">
        <v>38</v>
      </c>
    </row>
    <row r="19" spans="1:21">
      <c r="J19" t="s">
        <v>36</v>
      </c>
    </row>
    <row r="20" spans="1:21">
      <c r="A20">
        <v>800</v>
      </c>
      <c r="B20" t="s">
        <v>28</v>
      </c>
      <c r="I20">
        <f>I18*9</f>
        <v>5.9333631922179197</v>
      </c>
      <c r="J20" t="s">
        <v>34</v>
      </c>
    </row>
    <row r="21" spans="1:21">
      <c r="A21">
        <v>1</v>
      </c>
      <c r="B21" t="s">
        <v>24</v>
      </c>
    </row>
    <row r="22" spans="1:21">
      <c r="A22">
        <f>A21*1.687809857</f>
        <v>1.687809857</v>
      </c>
      <c r="I22" t="s">
        <v>39</v>
      </c>
    </row>
    <row r="24" spans="1:21">
      <c r="A24">
        <f>112/12</f>
        <v>9.3333333333333339</v>
      </c>
      <c r="B24" t="s">
        <v>25</v>
      </c>
      <c r="I24" t="s">
        <v>40</v>
      </c>
    </row>
    <row r="25" spans="1:21">
      <c r="A25">
        <f>A20/60</f>
        <v>13.333333333333334</v>
      </c>
      <c r="B25" t="s">
        <v>26</v>
      </c>
      <c r="I25">
        <f>SUM(I6,I16)</f>
        <v>20.18388925090909</v>
      </c>
      <c r="J25" t="s">
        <v>35</v>
      </c>
    </row>
    <row r="26" spans="1:21">
      <c r="A26">
        <f>A22/A24/A25</f>
        <v>1.3562757779464283E-2</v>
      </c>
      <c r="I26">
        <f>SUM(I20,I10)</f>
        <v>14.886875732845624</v>
      </c>
      <c r="J26" t="s">
        <v>36</v>
      </c>
    </row>
    <row r="28" spans="1:21">
      <c r="I28" t="s">
        <v>49</v>
      </c>
    </row>
    <row r="30" spans="1:21">
      <c r="A30" s="9" t="s">
        <v>117</v>
      </c>
    </row>
    <row r="31" spans="1:21">
      <c r="A31" s="1" t="s">
        <v>118</v>
      </c>
      <c r="I31">
        <v>264</v>
      </c>
      <c r="J31" t="s">
        <v>119</v>
      </c>
    </row>
    <row r="32" spans="1:21">
      <c r="A32" s="8" t="s">
        <v>124</v>
      </c>
      <c r="I32">
        <f>I31*M32</f>
        <v>8.2053708527999998</v>
      </c>
      <c r="J32" t="s">
        <v>120</v>
      </c>
      <c r="M32">
        <v>3.1080950199999999E-2</v>
      </c>
      <c r="N32" t="s">
        <v>121</v>
      </c>
    </row>
    <row r="33" spans="1:14">
      <c r="I33">
        <f>I32/M33</f>
        <v>11.124986835897712</v>
      </c>
      <c r="J33" t="s">
        <v>123</v>
      </c>
      <c r="M33">
        <f>I26/I25</f>
        <v>0.73756229772094661</v>
      </c>
      <c r="N33" t="s">
        <v>122</v>
      </c>
    </row>
    <row r="35" spans="1:14">
      <c r="A35" s="1" t="s">
        <v>126</v>
      </c>
      <c r="H35" t="s">
        <v>128</v>
      </c>
      <c r="I35">
        <v>2.2000000000000002</v>
      </c>
      <c r="J35" t="s">
        <v>127</v>
      </c>
    </row>
    <row r="36" spans="1:14">
      <c r="A36" s="8" t="s">
        <v>125</v>
      </c>
      <c r="H36" t="s">
        <v>129</v>
      </c>
      <c r="I36">
        <v>7</v>
      </c>
      <c r="J36" t="s">
        <v>127</v>
      </c>
    </row>
    <row r="37" spans="1:14">
      <c r="A37" s="8"/>
    </row>
    <row r="38" spans="1:14">
      <c r="A38" s="8"/>
      <c r="H38" t="s">
        <v>130</v>
      </c>
      <c r="I38">
        <f>SUM(I35:I36)</f>
        <v>9.1999999999999993</v>
      </c>
      <c r="J38" t="s">
        <v>127</v>
      </c>
    </row>
    <row r="39" spans="1:14">
      <c r="A39" s="8"/>
      <c r="I39">
        <f>I38/M33</f>
        <v>12.473522614195199</v>
      </c>
      <c r="J39" t="s">
        <v>123</v>
      </c>
    </row>
    <row r="40" spans="1:14">
      <c r="A40" s="1" t="s">
        <v>131</v>
      </c>
    </row>
    <row r="41" spans="1:14">
      <c r="A41" s="8" t="s">
        <v>136</v>
      </c>
    </row>
    <row r="42" spans="1:14">
      <c r="A42" s="10" t="s">
        <v>132</v>
      </c>
    </row>
    <row r="44" spans="1:14">
      <c r="A44" s="10" t="s">
        <v>133</v>
      </c>
    </row>
    <row r="46" spans="1:14">
      <c r="A46" s="10" t="s">
        <v>134</v>
      </c>
    </row>
    <row r="48" spans="1:14">
      <c r="A48" s="10" t="s">
        <v>135</v>
      </c>
    </row>
    <row r="49" spans="1:10">
      <c r="A49" s="10"/>
      <c r="H49" t="s">
        <v>128</v>
      </c>
      <c r="I49">
        <v>5</v>
      </c>
      <c r="J49" t="s">
        <v>123</v>
      </c>
    </row>
    <row r="50" spans="1:10">
      <c r="A50" s="10"/>
      <c r="H50" t="s">
        <v>129</v>
      </c>
      <c r="I50">
        <v>17.399999999999999</v>
      </c>
      <c r="J50" t="s">
        <v>123</v>
      </c>
    </row>
    <row r="51" spans="1:10">
      <c r="A51" s="10"/>
      <c r="H51" t="s">
        <v>130</v>
      </c>
      <c r="I51">
        <f>SUM(I49:I50)</f>
        <v>22.4</v>
      </c>
      <c r="J51" t="s">
        <v>123</v>
      </c>
    </row>
    <row r="52" spans="1:10">
      <c r="A52" s="8"/>
    </row>
    <row r="54" spans="1:10">
      <c r="A54" t="s">
        <v>50</v>
      </c>
      <c r="G54" s="1" t="s">
        <v>44</v>
      </c>
    </row>
    <row r="55" spans="1:10">
      <c r="G55">
        <f>411/9.33^4/(1250/60)^2</f>
        <v>1.2496768412457153E-4</v>
      </c>
      <c r="H55" t="s">
        <v>41</v>
      </c>
    </row>
    <row r="56" spans="1:10">
      <c r="A56" s="2" t="s">
        <v>51</v>
      </c>
      <c r="H56" t="s">
        <v>42</v>
      </c>
    </row>
    <row r="57" spans="1:10">
      <c r="G57">
        <v>1.9E-3</v>
      </c>
    </row>
    <row r="59" spans="1:10">
      <c r="G59">
        <f>G55/G57</f>
        <v>6.5772465328721857E-2</v>
      </c>
      <c r="H59" t="s">
        <v>70</v>
      </c>
    </row>
    <row r="60" spans="1:10">
      <c r="B60" t="s">
        <v>82</v>
      </c>
      <c r="C60" s="6">
        <v>40577</v>
      </c>
      <c r="G60">
        <v>0.99819999999999998</v>
      </c>
      <c r="H60" t="s">
        <v>27</v>
      </c>
    </row>
    <row r="61" spans="1:10">
      <c r="A61" t="s">
        <v>76</v>
      </c>
      <c r="B61">
        <v>708</v>
      </c>
      <c r="C61">
        <f>0.666667*B61</f>
        <v>472.00023600000003</v>
      </c>
      <c r="D61">
        <f>0.5*B61</f>
        <v>354</v>
      </c>
    </row>
    <row r="62" spans="1:10">
      <c r="A62" t="s">
        <v>77</v>
      </c>
      <c r="B62">
        <v>609</v>
      </c>
      <c r="C62">
        <f>0.666667*B62</f>
        <v>406.000203</v>
      </c>
      <c r="D62">
        <f>0.5*B62</f>
        <v>304.5</v>
      </c>
    </row>
    <row r="63" spans="1:10">
      <c r="A63" t="s">
        <v>78</v>
      </c>
      <c r="B63">
        <v>1223</v>
      </c>
      <c r="C63">
        <f>0.666667*B63</f>
        <v>815.33374100000003</v>
      </c>
      <c r="D63">
        <f>0.5*B63</f>
        <v>611.5</v>
      </c>
      <c r="G63">
        <f>400/9.33^4/(1150/60)^2</f>
        <v>1.4369453006012756E-4</v>
      </c>
      <c r="H63" t="s">
        <v>41</v>
      </c>
    </row>
    <row r="64" spans="1:10">
      <c r="A64" t="s">
        <v>79</v>
      </c>
      <c r="B64">
        <v>0</v>
      </c>
      <c r="H64" t="s">
        <v>43</v>
      </c>
    </row>
    <row r="65" spans="1:8">
      <c r="A65" t="s">
        <v>80</v>
      </c>
      <c r="B65">
        <v>0</v>
      </c>
      <c r="G65">
        <v>1.9E-3</v>
      </c>
    </row>
    <row r="66" spans="1:8">
      <c r="A66" t="s">
        <v>81</v>
      </c>
      <c r="B66">
        <v>0</v>
      </c>
    </row>
    <row r="67" spans="1:8">
      <c r="G67">
        <f>G63/G65</f>
        <v>7.5628700031646082E-2</v>
      </c>
      <c r="H67" t="s">
        <v>71</v>
      </c>
    </row>
    <row r="68" spans="1:8">
      <c r="G68">
        <v>0.60780000000000001</v>
      </c>
      <c r="H68" t="s">
        <v>27</v>
      </c>
    </row>
    <row r="70" spans="1:8">
      <c r="H70" t="s">
        <v>73</v>
      </c>
    </row>
    <row r="73" spans="1:8">
      <c r="G73" t="s">
        <v>45</v>
      </c>
    </row>
    <row r="74" spans="1:8">
      <c r="A74" t="s">
        <v>93</v>
      </c>
    </row>
    <row r="76" spans="1:8">
      <c r="A76" t="s">
        <v>84</v>
      </c>
      <c r="C76">
        <v>5.5</v>
      </c>
      <c r="D76" t="s">
        <v>85</v>
      </c>
      <c r="E76" t="s">
        <v>86</v>
      </c>
    </row>
    <row r="77" spans="1:8">
      <c r="A77" t="s">
        <v>88</v>
      </c>
      <c r="C77">
        <v>21.46</v>
      </c>
      <c r="D77" t="s">
        <v>87</v>
      </c>
      <c r="E77" t="s">
        <v>89</v>
      </c>
    </row>
    <row r="78" spans="1:8">
      <c r="A78" t="s">
        <v>84</v>
      </c>
      <c r="C78">
        <f>C77*C76</f>
        <v>118.03</v>
      </c>
      <c r="D78" t="s">
        <v>90</v>
      </c>
    </row>
    <row r="79" spans="1:8">
      <c r="A79" t="s">
        <v>91</v>
      </c>
      <c r="C79">
        <v>8.57</v>
      </c>
      <c r="D79" t="s">
        <v>87</v>
      </c>
      <c r="E79" t="s">
        <v>86</v>
      </c>
    </row>
    <row r="81" spans="1:5">
      <c r="C81">
        <f>C78*C79^2/12</f>
        <v>722.39179558333342</v>
      </c>
      <c r="D81" t="s">
        <v>94</v>
      </c>
      <c r="E81" t="s">
        <v>92</v>
      </c>
    </row>
    <row r="82" spans="1:5">
      <c r="C82">
        <f>C81*$A$97</f>
        <v>532.80895260520367</v>
      </c>
      <c r="D82" t="s">
        <v>97</v>
      </c>
    </row>
    <row r="83" spans="1:5">
      <c r="A83" t="s">
        <v>99</v>
      </c>
    </row>
    <row r="84" spans="1:5">
      <c r="C84">
        <f>1500/2.2-C78</f>
        <v>563.78818181818178</v>
      </c>
      <c r="D84" t="s">
        <v>90</v>
      </c>
    </row>
    <row r="85" spans="1:5">
      <c r="C85">
        <v>1</v>
      </c>
      <c r="D85" t="s">
        <v>98</v>
      </c>
    </row>
    <row r="86" spans="1:5">
      <c r="C86">
        <f>C84*C85^2/2</f>
        <v>281.89409090909089</v>
      </c>
      <c r="D86" t="s">
        <v>94</v>
      </c>
      <c r="E86" t="s">
        <v>100</v>
      </c>
    </row>
    <row r="87" spans="1:5">
      <c r="C87">
        <f>C86*$A$97</f>
        <v>207.91445340486646</v>
      </c>
      <c r="D87" t="s">
        <v>97</v>
      </c>
    </row>
    <row r="88" spans="1:5">
      <c r="A88" t="s">
        <v>101</v>
      </c>
    </row>
    <row r="90" spans="1:5">
      <c r="C90">
        <f>SUM(C81,C86)</f>
        <v>1004.2858864924243</v>
      </c>
      <c r="D90" t="s">
        <v>94</v>
      </c>
    </row>
    <row r="91" spans="1:5">
      <c r="C91">
        <f>SUM(C82,C87)</f>
        <v>740.72340601007011</v>
      </c>
      <c r="D91" t="s">
        <v>97</v>
      </c>
    </row>
    <row r="93" spans="1:5">
      <c r="A93" t="s">
        <v>95</v>
      </c>
    </row>
    <row r="95" spans="1:5">
      <c r="A95">
        <f>0.3048^2*14.5939</f>
        <v>1.3558176754560001</v>
      </c>
      <c r="B95" t="s">
        <v>96</v>
      </c>
    </row>
    <row r="97" spans="1:1">
      <c r="A97">
        <f>1/A95</f>
        <v>0.7375622977209465</v>
      </c>
    </row>
  </sheetData>
  <hyperlinks>
    <hyperlink ref="A56" r:id="rId1"/>
  </hyperlinks>
  <pageMargins left="0.7" right="0.7" top="0.75" bottom="0.75" header="0.3" footer="0.3"/>
  <pageSetup orientation="portrait" horizontalDpi="384" verticalDpi="384" r:id="rId2"/>
</worksheet>
</file>

<file path=xl/worksheets/sheet10.xml><?xml version="1.0" encoding="utf-8"?>
<worksheet xmlns="http://schemas.openxmlformats.org/spreadsheetml/2006/main" xmlns:r="http://schemas.openxmlformats.org/officeDocument/2006/relationships">
  <dimension ref="A1:R16"/>
  <sheetViews>
    <sheetView topLeftCell="A10" workbookViewId="0">
      <selection activeCell="A8" sqref="A8"/>
    </sheetView>
  </sheetViews>
  <sheetFormatPr defaultRowHeight="15"/>
  <sheetData>
    <row r="1" spans="1:18">
      <c r="A1">
        <v>1.68780986</v>
      </c>
      <c r="B1" t="s">
        <v>5</v>
      </c>
      <c r="C1" s="1" t="s">
        <v>18</v>
      </c>
    </row>
    <row r="3" spans="1:18">
      <c r="A3" t="s">
        <v>7</v>
      </c>
    </row>
    <row r="4" spans="1:18">
      <c r="A4" t="s">
        <v>3</v>
      </c>
      <c r="B4" t="s">
        <v>6</v>
      </c>
      <c r="D4" t="s">
        <v>4</v>
      </c>
      <c r="E4" t="s">
        <v>8</v>
      </c>
      <c r="F4" t="s">
        <v>15</v>
      </c>
      <c r="H4" t="s">
        <v>9</v>
      </c>
      <c r="L4" t="s">
        <v>10</v>
      </c>
      <c r="O4" t="s">
        <v>11</v>
      </c>
    </row>
    <row r="5" spans="1:18">
      <c r="A5">
        <v>254</v>
      </c>
      <c r="B5">
        <f t="shared" ref="B5:B10" si="0">A5*$A$1</f>
        <v>428.70370444000002</v>
      </c>
      <c r="C5">
        <f t="shared" ref="C5:C10" si="1">B5-$B$5</f>
        <v>0</v>
      </c>
      <c r="D5">
        <v>0</v>
      </c>
      <c r="E5">
        <f t="shared" ref="E5:E10" si="2">C5/$C$10</f>
        <v>0</v>
      </c>
      <c r="F5">
        <f t="shared" ref="F5:F10" si="3">D5/B5</f>
        <v>0</v>
      </c>
      <c r="G5" t="e">
        <f t="shared" ref="G5:G10" si="4">C5/F5</f>
        <v>#DIV/0!</v>
      </c>
      <c r="H5" t="e">
        <f t="shared" ref="H5:H10" si="5">D5/$D$10</f>
        <v>#DIV/0!</v>
      </c>
      <c r="J5" t="e">
        <f t="shared" ref="J5:J10" si="6">H5^$I$12</f>
        <v>#DIV/0!</v>
      </c>
      <c r="K5" t="e">
        <f t="shared" ref="K5:K10" si="7">J5*$C$10</f>
        <v>#DIV/0!</v>
      </c>
      <c r="L5">
        <f t="shared" ref="L5:L10" si="8">E5^$I$13</f>
        <v>0</v>
      </c>
      <c r="Q5" t="e">
        <f t="shared" ref="Q5:Q10" si="9">$P$12*E5^2+$O$12*E5</f>
        <v>#DIV/0!</v>
      </c>
    </row>
    <row r="6" spans="1:18">
      <c r="A6">
        <v>293</v>
      </c>
      <c r="B6">
        <f t="shared" si="0"/>
        <v>494.52828898000001</v>
      </c>
      <c r="C6">
        <f t="shared" si="1"/>
        <v>65.824584539999989</v>
      </c>
      <c r="D6">
        <v>29.6</v>
      </c>
      <c r="E6">
        <f t="shared" si="2"/>
        <v>0.18055555555555552</v>
      </c>
      <c r="F6">
        <f t="shared" si="3"/>
        <v>5.9855018731187488E-2</v>
      </c>
      <c r="G6">
        <f t="shared" si="4"/>
        <v>1099.7337555873498</v>
      </c>
      <c r="H6" t="e">
        <f t="shared" si="5"/>
        <v>#DIV/0!</v>
      </c>
      <c r="I6" t="e">
        <f>LN(E6)/LN(H6)</f>
        <v>#DIV/0!</v>
      </c>
      <c r="J6" t="e">
        <f t="shared" si="6"/>
        <v>#DIV/0!</v>
      </c>
      <c r="K6" t="e">
        <f t="shared" si="7"/>
        <v>#DIV/0!</v>
      </c>
      <c r="L6">
        <f t="shared" si="8"/>
        <v>4.4502393989706235E-2</v>
      </c>
      <c r="M6" t="e">
        <f>H6-L6</f>
        <v>#DIV/0!</v>
      </c>
      <c r="N6" t="e">
        <f>M6*$D$10</f>
        <v>#DIV/0!</v>
      </c>
      <c r="O6" t="e">
        <f>(H6-E6^2)/(E6-E6^2)</f>
        <v>#DIV/0!</v>
      </c>
      <c r="P6" t="e">
        <f>1-O6</f>
        <v>#DIV/0!</v>
      </c>
      <c r="Q6" t="e">
        <f t="shared" si="9"/>
        <v>#DIV/0!</v>
      </c>
      <c r="R6" t="e">
        <f>Q6-H6</f>
        <v>#DIV/0!</v>
      </c>
    </row>
    <row r="7" spans="1:18">
      <c r="A7">
        <v>334</v>
      </c>
      <c r="B7">
        <f t="shared" si="0"/>
        <v>563.72849324000003</v>
      </c>
      <c r="C7">
        <f t="shared" si="1"/>
        <v>135.02478880000001</v>
      </c>
      <c r="D7">
        <v>82.1</v>
      </c>
      <c r="E7">
        <f t="shared" si="2"/>
        <v>0.37037037037037041</v>
      </c>
      <c r="F7">
        <f t="shared" si="3"/>
        <v>0.14563748503847046</v>
      </c>
      <c r="G7">
        <f t="shared" si="4"/>
        <v>927.12936346252422</v>
      </c>
      <c r="H7" t="e">
        <f t="shared" si="5"/>
        <v>#DIV/0!</v>
      </c>
      <c r="I7" t="e">
        <f>LN(E7)/LN(H7)</f>
        <v>#DIV/0!</v>
      </c>
      <c r="J7" t="e">
        <f t="shared" si="6"/>
        <v>#DIV/0!</v>
      </c>
      <c r="K7" t="e">
        <f t="shared" si="7"/>
        <v>#DIV/0!</v>
      </c>
      <c r="L7">
        <f t="shared" si="8"/>
        <v>0.16432447256169239</v>
      </c>
      <c r="M7" t="e">
        <f>H7-L7</f>
        <v>#DIV/0!</v>
      </c>
      <c r="N7" t="e">
        <f>M7*$D$10</f>
        <v>#DIV/0!</v>
      </c>
      <c r="O7" t="e">
        <f>(H7-E7^2)/(E7-E7^2)</f>
        <v>#DIV/0!</v>
      </c>
      <c r="P7" t="e">
        <f>1-O7</f>
        <v>#DIV/0!</v>
      </c>
      <c r="Q7" t="e">
        <f t="shared" si="9"/>
        <v>#DIV/0!</v>
      </c>
      <c r="R7" t="e">
        <f>Q7-H7</f>
        <v>#DIV/0!</v>
      </c>
    </row>
    <row r="8" spans="1:18">
      <c r="A8">
        <v>399</v>
      </c>
      <c r="B8">
        <f t="shared" si="0"/>
        <v>673.43613414000004</v>
      </c>
      <c r="C8">
        <f t="shared" si="1"/>
        <v>244.73242970000001</v>
      </c>
      <c r="D8">
        <v>133</v>
      </c>
      <c r="E8">
        <f t="shared" si="2"/>
        <v>0.67129629629629639</v>
      </c>
      <c r="F8">
        <f t="shared" si="3"/>
        <v>0.19749460009276953</v>
      </c>
      <c r="G8">
        <f t="shared" si="4"/>
        <v>1239.1854237282505</v>
      </c>
      <c r="H8" t="e">
        <f t="shared" si="5"/>
        <v>#DIV/0!</v>
      </c>
      <c r="I8" t="e">
        <f>LN(E8)/LN(H8)</f>
        <v>#DIV/0!</v>
      </c>
      <c r="J8" t="e">
        <f t="shared" si="6"/>
        <v>#DIV/0!</v>
      </c>
      <c r="K8" t="e">
        <f t="shared" si="7"/>
        <v>#DIV/0!</v>
      </c>
      <c r="L8">
        <f t="shared" si="8"/>
        <v>0.48450541845334399</v>
      </c>
      <c r="M8" t="e">
        <f>H8-L8</f>
        <v>#DIV/0!</v>
      </c>
      <c r="N8" t="e">
        <f>M8*$D$10</f>
        <v>#DIV/0!</v>
      </c>
      <c r="O8" t="e">
        <f>(H8-E8^2)/(E8-E8^2)</f>
        <v>#DIV/0!</v>
      </c>
      <c r="P8" t="e">
        <f>1-O8</f>
        <v>#DIV/0!</v>
      </c>
      <c r="Q8" t="e">
        <f t="shared" si="9"/>
        <v>#DIV/0!</v>
      </c>
      <c r="R8" t="e">
        <f>Q8-H8</f>
        <v>#DIV/0!</v>
      </c>
    </row>
    <row r="9" spans="1:18">
      <c r="A9">
        <v>435</v>
      </c>
      <c r="B9">
        <f t="shared" si="0"/>
        <v>734.19728910000003</v>
      </c>
      <c r="C9">
        <f t="shared" si="1"/>
        <v>305.49358466000001</v>
      </c>
      <c r="D9">
        <v>172</v>
      </c>
      <c r="E9">
        <f t="shared" si="2"/>
        <v>0.83796296296296302</v>
      </c>
      <c r="F9">
        <f t="shared" si="3"/>
        <v>0.23426945666176799</v>
      </c>
      <c r="G9">
        <f t="shared" si="4"/>
        <v>1304.0265214814731</v>
      </c>
      <c r="H9" t="e">
        <f t="shared" si="5"/>
        <v>#DIV/0!</v>
      </c>
      <c r="I9" t="e">
        <f>LN(E9)/LN(H9)</f>
        <v>#DIV/0!</v>
      </c>
      <c r="J9" t="e">
        <f t="shared" si="6"/>
        <v>#DIV/0!</v>
      </c>
      <c r="K9" t="e">
        <f t="shared" si="7"/>
        <v>#DIV/0!</v>
      </c>
      <c r="L9">
        <f t="shared" si="8"/>
        <v>0.72511814092926363</v>
      </c>
      <c r="M9" t="e">
        <f>H9-L9</f>
        <v>#DIV/0!</v>
      </c>
      <c r="N9" t="e">
        <f>M9*$D$10</f>
        <v>#DIV/0!</v>
      </c>
      <c r="O9" t="e">
        <f>(H9-E9^2)/(E9-E9^2)</f>
        <v>#DIV/0!</v>
      </c>
      <c r="P9" t="e">
        <f>1-O9</f>
        <v>#DIV/0!</v>
      </c>
      <c r="Q9" t="e">
        <f t="shared" si="9"/>
        <v>#DIV/0!</v>
      </c>
      <c r="R9" t="e">
        <f>Q9-H9</f>
        <v>#DIV/0!</v>
      </c>
    </row>
    <row r="10" spans="1:18">
      <c r="A10">
        <v>470</v>
      </c>
      <c r="B10">
        <f t="shared" si="0"/>
        <v>793.27063420000002</v>
      </c>
      <c r="C10">
        <f t="shared" si="1"/>
        <v>364.56692975999999</v>
      </c>
      <c r="E10">
        <f t="shared" si="2"/>
        <v>1</v>
      </c>
      <c r="F10">
        <f t="shared" si="3"/>
        <v>0</v>
      </c>
      <c r="G10" t="e">
        <f t="shared" si="4"/>
        <v>#DIV/0!</v>
      </c>
      <c r="H10" t="e">
        <f t="shared" si="5"/>
        <v>#DIV/0!</v>
      </c>
      <c r="I10" t="e">
        <f>LN(E10)/LN(H10)</f>
        <v>#DIV/0!</v>
      </c>
      <c r="J10" t="e">
        <f t="shared" si="6"/>
        <v>#DIV/0!</v>
      </c>
      <c r="K10" t="e">
        <f t="shared" si="7"/>
        <v>#DIV/0!</v>
      </c>
      <c r="L10">
        <f t="shared" si="8"/>
        <v>1</v>
      </c>
      <c r="M10" t="e">
        <f>H10-L10</f>
        <v>#DIV/0!</v>
      </c>
      <c r="N10" t="e">
        <f>M10*$D$10</f>
        <v>#DIV/0!</v>
      </c>
      <c r="O10" t="e">
        <f>(H10-E10^1.9)/(E10-E10^1.9)</f>
        <v>#DIV/0!</v>
      </c>
      <c r="Q10" t="e">
        <f t="shared" si="9"/>
        <v>#DIV/0!</v>
      </c>
    </row>
    <row r="12" spans="1:18">
      <c r="G12">
        <f>AVERAGE(G6:G9)</f>
        <v>1142.5187660648994</v>
      </c>
      <c r="I12">
        <v>0.55000000000000004</v>
      </c>
      <c r="O12" t="e">
        <f>AVERAGE(O6:O9)</f>
        <v>#DIV/0!</v>
      </c>
      <c r="P12" t="e">
        <f>AVERAGE(P6:P9)</f>
        <v>#DIV/0!</v>
      </c>
    </row>
    <row r="13" spans="1:18">
      <c r="I13">
        <f>1/I12</f>
        <v>1.8181818181818181</v>
      </c>
    </row>
    <row r="14" spans="1:18">
      <c r="I14" t="s">
        <v>10</v>
      </c>
    </row>
    <row r="16" spans="1:18">
      <c r="A16" t="s">
        <v>19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X65536"/>
  <sheetViews>
    <sheetView topLeftCell="A7" workbookViewId="0">
      <selection activeCell="D12" sqref="D12"/>
    </sheetView>
  </sheetViews>
  <sheetFormatPr defaultRowHeight="15"/>
  <sheetData>
    <row r="1" spans="1:24">
      <c r="A1">
        <v>1.68780986</v>
      </c>
      <c r="B1" t="s">
        <v>5</v>
      </c>
    </row>
    <row r="3" spans="1:24">
      <c r="A3" t="s">
        <v>7</v>
      </c>
    </row>
    <row r="4" spans="1:24">
      <c r="A4" t="s">
        <v>3</v>
      </c>
      <c r="B4" t="s">
        <v>6</v>
      </c>
      <c r="C4" t="s">
        <v>16</v>
      </c>
      <c r="D4" t="s">
        <v>12</v>
      </c>
      <c r="E4" t="s">
        <v>15</v>
      </c>
      <c r="L4" t="s">
        <v>8</v>
      </c>
      <c r="M4" t="s">
        <v>14</v>
      </c>
      <c r="R4" t="s">
        <v>10</v>
      </c>
      <c r="U4" t="s">
        <v>11</v>
      </c>
    </row>
    <row r="5" spans="1:24">
      <c r="A5">
        <v>82</v>
      </c>
      <c r="B5">
        <f>A5*$A$1</f>
        <v>138.40040852000001</v>
      </c>
      <c r="C5">
        <f t="shared" ref="C5:C12" si="0">$B$5-B5</f>
        <v>0</v>
      </c>
      <c r="D5">
        <v>0</v>
      </c>
      <c r="E5">
        <f t="shared" ref="E5:E12" si="1">D5/B5</f>
        <v>0</v>
      </c>
      <c r="F5" t="e">
        <f t="shared" ref="F5:F12" si="2">LN(C5)/LN(E5)</f>
        <v>#NUM!</v>
      </c>
      <c r="G5">
        <f>E5^0.1*$A$16</f>
        <v>0</v>
      </c>
      <c r="I5" t="e">
        <f>C5/E5</f>
        <v>#DIV/0!</v>
      </c>
      <c r="J5">
        <f t="shared" ref="J5:J12" si="3">$I$14*E5</f>
        <v>0</v>
      </c>
      <c r="L5">
        <f t="shared" ref="L5:L12" si="4">C5/($B$5-$B$14)</f>
        <v>0</v>
      </c>
      <c r="M5">
        <f t="shared" ref="M5:M12" si="5">D5/$D$10</f>
        <v>0</v>
      </c>
      <c r="P5">
        <f>M5^$O$13</f>
        <v>0</v>
      </c>
      <c r="Q5">
        <f t="shared" ref="Q5:Q12" si="6">P5*$C$11</f>
        <v>0</v>
      </c>
      <c r="R5">
        <f t="shared" ref="R5:R12" si="7">L5^$O$14</f>
        <v>0</v>
      </c>
      <c r="W5" t="e">
        <f t="shared" ref="W5:W12" si="8">$V$13*L5^2+$U$13*L5</f>
        <v>#DIV/0!</v>
      </c>
    </row>
    <row r="6" spans="1:24">
      <c r="A6">
        <v>75.599999999999994</v>
      </c>
      <c r="B6">
        <f t="shared" ref="B6:B14" si="9">A6*$A$1</f>
        <v>127.59842541599998</v>
      </c>
      <c r="C6">
        <f t="shared" si="0"/>
        <v>10.80198310400003</v>
      </c>
      <c r="D6">
        <v>2.2999999999999998</v>
      </c>
      <c r="E6">
        <f t="shared" si="1"/>
        <v>1.8025300802117856E-2</v>
      </c>
      <c r="F6">
        <f t="shared" si="2"/>
        <v>-0.59256529792369039</v>
      </c>
      <c r="G6">
        <f>E6^1*$A$16</f>
        <v>0.61286022727200706</v>
      </c>
      <c r="I6">
        <f t="shared" ref="I6:I12" si="10">C6/E6</f>
        <v>599.26784149593038</v>
      </c>
      <c r="J6">
        <f t="shared" si="3"/>
        <v>8.6627960651750371</v>
      </c>
      <c r="L6">
        <f t="shared" si="4"/>
        <v>0.18823529411764756</v>
      </c>
      <c r="M6">
        <f t="shared" si="5"/>
        <v>0.20909090909090908</v>
      </c>
      <c r="N6">
        <f t="shared" ref="N6:N12" si="11">M6/L6</f>
        <v>1.1107954545454515</v>
      </c>
      <c r="O6">
        <f t="shared" ref="O6:O12" si="12">LN(M6)/LN(L6)</f>
        <v>0.93708236534123512</v>
      </c>
      <c r="P6">
        <f t="shared" ref="P6:P12" si="13">L6^$O$13</f>
        <v>0.26170890392040863</v>
      </c>
      <c r="Q6">
        <f t="shared" si="6"/>
        <v>15.460020397033045</v>
      </c>
      <c r="R6">
        <f t="shared" si="7"/>
        <v>0.12485361255473193</v>
      </c>
      <c r="S6">
        <f t="shared" ref="S6:S12" si="14">M6-R6</f>
        <v>8.4237296536177148E-2</v>
      </c>
      <c r="T6">
        <f t="shared" ref="T6:T12" si="15">S6*$D$11</f>
        <v>0.71601702055750571</v>
      </c>
      <c r="U6">
        <f>(M6-L6^2)/(L6-L6^2)</f>
        <v>1.1364871541501937</v>
      </c>
      <c r="V6">
        <f>1-U6</f>
        <v>-0.13648715415019375</v>
      </c>
      <c r="W6" t="e">
        <f t="shared" si="8"/>
        <v>#DIV/0!</v>
      </c>
      <c r="X6" t="e">
        <f>W6-M6</f>
        <v>#DIV/0!</v>
      </c>
    </row>
    <row r="7" spans="1:24">
      <c r="A7">
        <v>66</v>
      </c>
      <c r="B7">
        <f t="shared" si="9"/>
        <v>111.39545076</v>
      </c>
      <c r="C7">
        <f t="shared" si="0"/>
        <v>27.004957760000011</v>
      </c>
      <c r="D7">
        <v>6.3</v>
      </c>
      <c r="E7">
        <f t="shared" si="1"/>
        <v>5.6555271844747637E-2</v>
      </c>
      <c r="F7">
        <f t="shared" si="2"/>
        <v>-1.1474249538993064</v>
      </c>
      <c r="G7">
        <f>E7^1*$A$16</f>
        <v>1.9228792427214196</v>
      </c>
      <c r="I7">
        <f t="shared" si="10"/>
        <v>477.49673689364465</v>
      </c>
      <c r="J7">
        <f t="shared" si="3"/>
        <v>27.179950658244838</v>
      </c>
      <c r="L7">
        <f t="shared" si="4"/>
        <v>0.47058823529411775</v>
      </c>
      <c r="M7">
        <f t="shared" si="5"/>
        <v>0.57272727272727275</v>
      </c>
      <c r="N7">
        <f t="shared" si="11"/>
        <v>1.2170454545454543</v>
      </c>
      <c r="O7">
        <f t="shared" si="12"/>
        <v>0.73940897980498455</v>
      </c>
      <c r="P7">
        <f t="shared" si="13"/>
        <v>0.54605474697789858</v>
      </c>
      <c r="Q7">
        <f t="shared" si="6"/>
        <v>32.257280511718591</v>
      </c>
      <c r="R7">
        <f t="shared" si="7"/>
        <v>0.39099081205518588</v>
      </c>
      <c r="S7">
        <f t="shared" si="14"/>
        <v>0.18173646067208687</v>
      </c>
      <c r="T7">
        <f t="shared" si="15"/>
        <v>1.5447599157127385</v>
      </c>
      <c r="U7">
        <f>(M7-L7^2)/(L7-L7^2)</f>
        <v>1.4099747474747473</v>
      </c>
      <c r="V7">
        <f>1-U7</f>
        <v>-0.40997474747474727</v>
      </c>
      <c r="W7" t="e">
        <f t="shared" si="8"/>
        <v>#DIV/0!</v>
      </c>
      <c r="X7" t="e">
        <f>W7-M7</f>
        <v>#DIV/0!</v>
      </c>
    </row>
    <row r="8" spans="1:24">
      <c r="A8">
        <v>60</v>
      </c>
      <c r="B8">
        <f t="shared" si="9"/>
        <v>101.26859159999999</v>
      </c>
      <c r="C8">
        <f t="shared" si="0"/>
        <v>37.13181692000002</v>
      </c>
      <c r="D8">
        <v>8</v>
      </c>
      <c r="E8">
        <f t="shared" si="1"/>
        <v>7.8997840037107817E-2</v>
      </c>
      <c r="F8">
        <f t="shared" si="2"/>
        <v>-1.4239548881816115</v>
      </c>
      <c r="G8">
        <f>E8^1*$A$16</f>
        <v>2.6859265612616658</v>
      </c>
      <c r="I8">
        <f t="shared" si="10"/>
        <v>470.03585037968145</v>
      </c>
      <c r="J8">
        <f t="shared" si="3"/>
        <v>37.965645363897551</v>
      </c>
      <c r="L8">
        <f t="shared" si="4"/>
        <v>0.64705882352941202</v>
      </c>
      <c r="M8">
        <f t="shared" si="5"/>
        <v>0.72727272727272729</v>
      </c>
      <c r="N8">
        <f t="shared" si="11"/>
        <v>1.1239669421487599</v>
      </c>
      <c r="O8">
        <f t="shared" si="12"/>
        <v>0.7315426400708962</v>
      </c>
      <c r="P8">
        <f t="shared" si="13"/>
        <v>0.70509676049679371</v>
      </c>
      <c r="Q8">
        <f t="shared" si="6"/>
        <v>41.652424261719148</v>
      </c>
      <c r="R8">
        <f t="shared" si="7"/>
        <v>0.58139078794604382</v>
      </c>
      <c r="S8">
        <f t="shared" si="14"/>
        <v>0.14588193932668347</v>
      </c>
      <c r="T8">
        <f t="shared" si="15"/>
        <v>1.2399964842768094</v>
      </c>
      <c r="U8">
        <f>(M8-L8^2)/(L8-L8^2)</f>
        <v>1.3512396694214868</v>
      </c>
      <c r="V8">
        <f>1-U8</f>
        <v>-0.35123966942148677</v>
      </c>
      <c r="W8" t="e">
        <f t="shared" si="8"/>
        <v>#DIV/0!</v>
      </c>
      <c r="X8" t="e">
        <f>W8-M8</f>
        <v>#DIV/0!</v>
      </c>
    </row>
    <row r="9" spans="1:24">
      <c r="A9">
        <v>53</v>
      </c>
      <c r="B9">
        <f t="shared" si="9"/>
        <v>89.453922579999997</v>
      </c>
      <c r="C9">
        <f t="shared" si="0"/>
        <v>48.946485940000017</v>
      </c>
      <c r="D9">
        <v>10.1</v>
      </c>
      <c r="E9">
        <f t="shared" si="1"/>
        <v>0.11290729024171542</v>
      </c>
      <c r="F9">
        <f t="shared" si="2"/>
        <v>-1.7837651565347845</v>
      </c>
      <c r="G9">
        <f>E9^1*$A$16</f>
        <v>3.8388478682183242</v>
      </c>
      <c r="I9">
        <f t="shared" si="10"/>
        <v>433.51041226136829</v>
      </c>
      <c r="J9">
        <f t="shared" si="3"/>
        <v>54.262219553117731</v>
      </c>
      <c r="L9">
        <f t="shared" si="4"/>
        <v>0.85294117647058842</v>
      </c>
      <c r="M9">
        <f t="shared" si="5"/>
        <v>0.9181818181818181</v>
      </c>
      <c r="N9">
        <f t="shared" si="11"/>
        <v>1.0764890282131658</v>
      </c>
      <c r="O9">
        <f t="shared" si="12"/>
        <v>0.53663604704915879</v>
      </c>
      <c r="P9">
        <f t="shared" si="13"/>
        <v>0.88013697503641353</v>
      </c>
      <c r="Q9">
        <f t="shared" si="6"/>
        <v>51.992635261596149</v>
      </c>
      <c r="R9">
        <f t="shared" si="7"/>
        <v>0.82023244958734565</v>
      </c>
      <c r="S9">
        <f t="shared" si="14"/>
        <v>9.7949368594472452E-2</v>
      </c>
      <c r="T9">
        <f t="shared" si="15"/>
        <v>0.8325696330530159</v>
      </c>
      <c r="U9">
        <f>(M9-L9^2)/(L9-L9^2)</f>
        <v>1.5201253918495281</v>
      </c>
      <c r="V9">
        <f>1-U9</f>
        <v>-0.52012539184952811</v>
      </c>
      <c r="W9" t="e">
        <f t="shared" si="8"/>
        <v>#DIV/0!</v>
      </c>
      <c r="X9" t="e">
        <f>W9-M9</f>
        <v>#DIV/0!</v>
      </c>
    </row>
    <row r="10" spans="1:24">
      <c r="A10">
        <v>48</v>
      </c>
      <c r="B10">
        <f t="shared" si="9"/>
        <v>81.014873280000003</v>
      </c>
      <c r="C10">
        <f t="shared" si="0"/>
        <v>57.38553524000001</v>
      </c>
      <c r="D10">
        <v>11</v>
      </c>
      <c r="E10">
        <f t="shared" si="1"/>
        <v>0.13577753756377905</v>
      </c>
      <c r="F10">
        <f t="shared" si="2"/>
        <v>-2.0282046594255534</v>
      </c>
      <c r="G10">
        <f>E10^1*$A$16</f>
        <v>4.6164362771684875</v>
      </c>
      <c r="I10">
        <f t="shared" si="10"/>
        <v>422.64380596123408</v>
      </c>
      <c r="J10">
        <f t="shared" si="3"/>
        <v>65.253452969198918</v>
      </c>
      <c r="L10">
        <f t="shared" si="4"/>
        <v>1</v>
      </c>
      <c r="M10">
        <f t="shared" si="5"/>
        <v>1</v>
      </c>
      <c r="N10">
        <f t="shared" si="11"/>
        <v>1</v>
      </c>
      <c r="O10" t="e">
        <f t="shared" si="12"/>
        <v>#DIV/0!</v>
      </c>
      <c r="P10">
        <f t="shared" si="13"/>
        <v>1</v>
      </c>
      <c r="Q10">
        <f t="shared" si="6"/>
        <v>59.073345100000012</v>
      </c>
      <c r="R10">
        <f t="shared" si="7"/>
        <v>1</v>
      </c>
      <c r="S10">
        <f t="shared" si="14"/>
        <v>0</v>
      </c>
      <c r="T10">
        <f t="shared" si="15"/>
        <v>0</v>
      </c>
      <c r="U10" t="e">
        <f>(M10-L10^2)/(L10-L10^2)</f>
        <v>#DIV/0!</v>
      </c>
      <c r="V10" t="e">
        <f>1-U10</f>
        <v>#DIV/0!</v>
      </c>
      <c r="W10" t="e">
        <f t="shared" si="8"/>
        <v>#DIV/0!</v>
      </c>
      <c r="X10" t="e">
        <f>W10-M10</f>
        <v>#DIV/0!</v>
      </c>
    </row>
    <row r="11" spans="1:24">
      <c r="A11">
        <v>47</v>
      </c>
      <c r="B11">
        <f t="shared" si="9"/>
        <v>79.327063420000002</v>
      </c>
      <c r="C11">
        <f t="shared" si="0"/>
        <v>59.073345100000012</v>
      </c>
      <c r="D11">
        <v>8.5</v>
      </c>
      <c r="E11">
        <f t="shared" si="1"/>
        <v>0.1071513255822473</v>
      </c>
      <c r="F11">
        <f t="shared" si="2"/>
        <v>-1.8261722540772742</v>
      </c>
      <c r="I11">
        <f t="shared" si="10"/>
        <v>551.30764625638199</v>
      </c>
      <c r="J11">
        <f t="shared" si="3"/>
        <v>51.495955147839766</v>
      </c>
      <c r="L11">
        <f t="shared" si="4"/>
        <v>1.0294117647058825</v>
      </c>
      <c r="M11">
        <f t="shared" si="5"/>
        <v>0.77272727272727271</v>
      </c>
      <c r="N11">
        <f t="shared" si="11"/>
        <v>0.75064935064935057</v>
      </c>
      <c r="O11">
        <f t="shared" si="12"/>
        <v>-8.894481460410173</v>
      </c>
      <c r="P11">
        <f t="shared" si="13"/>
        <v>1.0235404616587758</v>
      </c>
      <c r="Q11">
        <f t="shared" si="6"/>
        <v>60.463958915382193</v>
      </c>
      <c r="R11">
        <f t="shared" si="7"/>
        <v>1.036773546024909</v>
      </c>
      <c r="S11">
        <f t="shared" si="14"/>
        <v>-0.2640462732976363</v>
      </c>
      <c r="T11">
        <f t="shared" si="15"/>
        <v>-2.2443933230299087</v>
      </c>
      <c r="U11">
        <f>(M11-L11^1.9)/(L11-L11^1.9)</f>
        <v>10.433639076654472</v>
      </c>
      <c r="W11" t="e">
        <f t="shared" si="8"/>
        <v>#DIV/0!</v>
      </c>
    </row>
    <row r="12" spans="1:24">
      <c r="A12">
        <v>44</v>
      </c>
      <c r="B12">
        <f t="shared" si="9"/>
        <v>74.263633839999997</v>
      </c>
      <c r="C12">
        <f t="shared" si="0"/>
        <v>64.136774680000016</v>
      </c>
      <c r="D12">
        <v>3.8</v>
      </c>
      <c r="E12">
        <f t="shared" si="1"/>
        <v>5.1169055478581194E-2</v>
      </c>
      <c r="F12">
        <f t="shared" si="2"/>
        <v>-1.3997811582628692</v>
      </c>
      <c r="I12">
        <f t="shared" si="10"/>
        <v>1253.428934345817</v>
      </c>
      <c r="J12">
        <f t="shared" si="3"/>
        <v>24.591383928888185</v>
      </c>
      <c r="L12">
        <f t="shared" si="4"/>
        <v>1.1176470588235294</v>
      </c>
      <c r="M12">
        <f t="shared" si="5"/>
        <v>0.34545454545454546</v>
      </c>
      <c r="N12">
        <f t="shared" si="11"/>
        <v>0.30909090909090908</v>
      </c>
      <c r="O12">
        <f t="shared" si="12"/>
        <v>-9.5561981283604656</v>
      </c>
      <c r="P12">
        <f t="shared" si="13"/>
        <v>1.0933849793152954</v>
      </c>
      <c r="Q12">
        <f t="shared" si="6"/>
        <v>64.589908210248822</v>
      </c>
      <c r="R12">
        <f t="shared" si="7"/>
        <v>1.1486280012392325</v>
      </c>
      <c r="S12">
        <f t="shared" si="14"/>
        <v>-0.80317345578468702</v>
      </c>
      <c r="T12">
        <f t="shared" si="15"/>
        <v>-6.8269743741698399</v>
      </c>
      <c r="U12">
        <f>(M12-L12^1.9)/(L12-L12^1.9)</f>
        <v>7.5622849334832942</v>
      </c>
      <c r="W12" t="e">
        <f t="shared" si="8"/>
        <v>#DIV/0!</v>
      </c>
    </row>
    <row r="13" spans="1:24">
      <c r="O13">
        <f>AVERAGE(O6:O8)</f>
        <v>0.80267799507237181</v>
      </c>
      <c r="U13">
        <f>AVERAGE(U6:U9)</f>
        <v>1.3544567407239889</v>
      </c>
      <c r="V13" t="e">
        <f>AVERAGE(V6:V10)</f>
        <v>#DIV/0!</v>
      </c>
    </row>
    <row r="14" spans="1:24">
      <c r="A14">
        <v>48</v>
      </c>
      <c r="B14">
        <f t="shared" si="9"/>
        <v>81.014873280000003</v>
      </c>
      <c r="C14" t="s">
        <v>13</v>
      </c>
      <c r="I14">
        <f>AVERAGE(I6:I10)</f>
        <v>480.59092939837183</v>
      </c>
      <c r="O14">
        <f>1/O13</f>
        <v>1.245829593110793</v>
      </c>
    </row>
    <row r="15" spans="1:24">
      <c r="O15" t="s">
        <v>10</v>
      </c>
    </row>
    <row r="16" spans="1:24">
      <c r="A16">
        <f>A5-A14</f>
        <v>34</v>
      </c>
    </row>
    <row r="65536" spans="7:7">
      <c r="G65536">
        <f>E65536^0.1*$C$10</f>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A17"/>
  <sheetViews>
    <sheetView topLeftCell="A4" workbookViewId="0">
      <selection activeCell="A6" sqref="A6"/>
    </sheetView>
  </sheetViews>
  <sheetFormatPr defaultRowHeight="15"/>
  <sheetData>
    <row r="1" spans="1:27">
      <c r="A1">
        <v>1.68780986</v>
      </c>
      <c r="B1" t="s">
        <v>5</v>
      </c>
    </row>
    <row r="3" spans="1:27">
      <c r="A3" t="s">
        <v>7</v>
      </c>
    </row>
    <row r="4" spans="1:27">
      <c r="A4" t="s">
        <v>3</v>
      </c>
      <c r="B4" t="s">
        <v>6</v>
      </c>
      <c r="C4" t="s">
        <v>16</v>
      </c>
      <c r="D4" t="s">
        <v>21</v>
      </c>
      <c r="E4" t="s">
        <v>12</v>
      </c>
      <c r="F4" t="s">
        <v>15</v>
      </c>
      <c r="O4" t="s">
        <v>8</v>
      </c>
      <c r="P4" t="s">
        <v>14</v>
      </c>
      <c r="U4" t="s">
        <v>10</v>
      </c>
      <c r="X4" t="s">
        <v>11</v>
      </c>
    </row>
    <row r="5" spans="1:27">
      <c r="A5">
        <v>254</v>
      </c>
      <c r="B5">
        <f>A5*$A$1</f>
        <v>428.70370444000002</v>
      </c>
      <c r="C5">
        <f t="shared" ref="C5:C13" si="0">$B$5-B5</f>
        <v>0</v>
      </c>
      <c r="D5">
        <f t="shared" ref="D5:D13" si="1">C5/$C$13</f>
        <v>0</v>
      </c>
      <c r="E5">
        <v>0</v>
      </c>
      <c r="F5">
        <f t="shared" ref="F5:F12" si="2">E5/B5</f>
        <v>0</v>
      </c>
      <c r="G5">
        <f t="shared" ref="G5:G12" si="3">ASIN(F5)</f>
        <v>0</v>
      </c>
      <c r="H5">
        <v>0</v>
      </c>
      <c r="I5" t="e">
        <f t="shared" ref="I5:I12" si="4">C5/F5</f>
        <v>#DIV/0!</v>
      </c>
      <c r="J5">
        <f>$I$14*H5</f>
        <v>0</v>
      </c>
      <c r="O5">
        <f t="shared" ref="O5:O13" si="5">C5/($B$5-$B$15)</f>
        <v>0</v>
      </c>
      <c r="P5">
        <f t="shared" ref="P5:P12" si="6">E5/$E$10</f>
        <v>0</v>
      </c>
      <c r="S5" t="e">
        <f>P5^$R$14</f>
        <v>#DIV/0!</v>
      </c>
      <c r="T5" t="e">
        <f t="shared" ref="T5:T13" si="7">S5*$C$11</f>
        <v>#DIV/0!</v>
      </c>
      <c r="U5" t="e">
        <f t="shared" ref="U5:U13" si="8">O5^$R$15</f>
        <v>#DIV/0!</v>
      </c>
      <c r="Z5">
        <f t="shared" ref="Z5:Z13" si="9">$Y$14*O5^2+$X$14*O5</f>
        <v>0</v>
      </c>
    </row>
    <row r="6" spans="1:27">
      <c r="A6">
        <v>224</v>
      </c>
      <c r="B6">
        <f t="shared" ref="B6:B17" si="10">A6*$A$1</f>
        <v>378.06940864000001</v>
      </c>
      <c r="C6">
        <f t="shared" si="0"/>
        <v>50.634295800000018</v>
      </c>
      <c r="D6">
        <f t="shared" si="1"/>
        <v>0.15873015873015878</v>
      </c>
      <c r="E6">
        <v>25.4</v>
      </c>
      <c r="F6">
        <f t="shared" si="2"/>
        <v>6.7183430924415352E-2</v>
      </c>
      <c r="G6">
        <f t="shared" si="3"/>
        <v>6.723407385975802E-2</v>
      </c>
      <c r="H6">
        <v>6.7183430924415352E-2</v>
      </c>
      <c r="I6">
        <f t="shared" si="4"/>
        <v>753.67237283499378</v>
      </c>
      <c r="J6">
        <f t="shared" ref="J6:J12" si="11">$I$14*H6</f>
        <v>72.404415024997505</v>
      </c>
      <c r="O6">
        <f t="shared" si="5"/>
        <v>0.15873015873015878</v>
      </c>
      <c r="P6">
        <f t="shared" si="6"/>
        <v>0.95849056603773575</v>
      </c>
      <c r="Q6">
        <f t="shared" ref="Q6:Q12" si="12">P6/O6</f>
        <v>6.0384905660377335</v>
      </c>
      <c r="R6">
        <f t="shared" ref="R6:R12" si="13">LN(P6)/LN(O6)</f>
        <v>2.3034184027641458E-2</v>
      </c>
      <c r="S6">
        <f t="shared" ref="S6:S13" si="14">O6^$R$14</f>
        <v>1.6334079029503146</v>
      </c>
      <c r="T6">
        <f t="shared" si="7"/>
        <v>487.41673123545894</v>
      </c>
      <c r="U6">
        <f t="shared" si="8"/>
        <v>996.34748852531936</v>
      </c>
      <c r="V6">
        <f t="shared" ref="V6:V12" si="15">P6-U6</f>
        <v>-995.3889979592816</v>
      </c>
      <c r="W6">
        <f t="shared" ref="W6:W12" si="16">V6*$E$11</f>
        <v>-19410.085460205992</v>
      </c>
      <c r="X6">
        <f>(P6-O6^2)/(O6-O6^2)</f>
        <v>6.9891491634033436</v>
      </c>
      <c r="Y6">
        <f>1-X6</f>
        <v>-5.9891491634033436</v>
      </c>
      <c r="Z6">
        <f t="shared" si="9"/>
        <v>0.72213156695340763</v>
      </c>
      <c r="AA6">
        <f>Z6-P6</f>
        <v>-0.23635899908432811</v>
      </c>
    </row>
    <row r="7" spans="1:27">
      <c r="A7">
        <v>184</v>
      </c>
      <c r="B7">
        <f t="shared" si="10"/>
        <v>310.55701424</v>
      </c>
      <c r="C7">
        <f t="shared" si="0"/>
        <v>118.14669020000002</v>
      </c>
      <c r="D7">
        <f t="shared" si="1"/>
        <v>0.37037037037037041</v>
      </c>
      <c r="E7">
        <v>33.6</v>
      </c>
      <c r="F7">
        <f t="shared" si="2"/>
        <v>0.10819269396386505</v>
      </c>
      <c r="G7">
        <f t="shared" si="3"/>
        <v>0.10840489143277675</v>
      </c>
      <c r="H7">
        <v>0.10819269396386505</v>
      </c>
      <c r="I7">
        <f t="shared" si="4"/>
        <v>1092.0024806800677</v>
      </c>
      <c r="J7">
        <f t="shared" si="11"/>
        <v>116.60060536719898</v>
      </c>
      <c r="O7">
        <f t="shared" si="5"/>
        <v>0.37037037037037041</v>
      </c>
      <c r="P7">
        <f t="shared" si="6"/>
        <v>1.267924528301887</v>
      </c>
      <c r="Q7">
        <f t="shared" si="12"/>
        <v>3.4233962264150946</v>
      </c>
      <c r="R7">
        <f t="shared" si="13"/>
        <v>-0.23899412055167255</v>
      </c>
      <c r="S7">
        <f t="shared" si="14"/>
        <v>1.3031560732579177</v>
      </c>
      <c r="T7">
        <f t="shared" si="7"/>
        <v>388.86800557884379</v>
      </c>
      <c r="U7">
        <f t="shared" si="8"/>
        <v>41.504103905281838</v>
      </c>
      <c r="V7">
        <f t="shared" si="15"/>
        <v>-40.236179376979948</v>
      </c>
      <c r="W7">
        <f t="shared" si="16"/>
        <v>-784.60549785110902</v>
      </c>
      <c r="X7">
        <f>(P7-O7^2)/(O7-O7^2)</f>
        <v>4.8489234184239738</v>
      </c>
      <c r="Y7">
        <f>1-X7</f>
        <v>-3.8489234184239738</v>
      </c>
      <c r="Z7">
        <f t="shared" si="9"/>
        <v>1.4084987990260673</v>
      </c>
      <c r="AA7">
        <f>Z7-P7</f>
        <v>0.14057427072418038</v>
      </c>
    </row>
    <row r="8" spans="1:27">
      <c r="A8">
        <v>156.5</v>
      </c>
      <c r="B8">
        <f t="shared" si="10"/>
        <v>264.14224309000002</v>
      </c>
      <c r="C8">
        <f t="shared" si="0"/>
        <v>164.56146135</v>
      </c>
      <c r="D8">
        <f t="shared" si="1"/>
        <v>0.51587301587301582</v>
      </c>
      <c r="E8">
        <v>39</v>
      </c>
      <c r="F8">
        <f t="shared" si="2"/>
        <v>0.14764772019715036</v>
      </c>
      <c r="G8">
        <f t="shared" si="3"/>
        <v>0.14818950172336595</v>
      </c>
      <c r="H8">
        <v>0.14764772019715036</v>
      </c>
      <c r="I8">
        <f t="shared" si="4"/>
        <v>1114.5547058245475</v>
      </c>
      <c r="J8">
        <f t="shared" si="11"/>
        <v>159.12177546687582</v>
      </c>
      <c r="O8">
        <f t="shared" si="5"/>
        <v>0.51587301587301582</v>
      </c>
      <c r="P8">
        <f t="shared" si="6"/>
        <v>1.4716981132075471</v>
      </c>
      <c r="Q8">
        <f t="shared" si="12"/>
        <v>2.8528301886792455</v>
      </c>
      <c r="R8">
        <f t="shared" si="13"/>
        <v>-0.58380426657675077</v>
      </c>
      <c r="S8">
        <f t="shared" si="14"/>
        <v>1.1929786087451184</v>
      </c>
      <c r="T8">
        <f t="shared" si="7"/>
        <v>355.9905231620877</v>
      </c>
      <c r="U8">
        <f t="shared" si="8"/>
        <v>11.975186238504209</v>
      </c>
      <c r="V8">
        <f t="shared" si="15"/>
        <v>-10.503488125296663</v>
      </c>
      <c r="W8">
        <f t="shared" si="16"/>
        <v>-204.81801844328493</v>
      </c>
      <c r="X8">
        <f>(P8-O8^2)/(O8-O8^2)</f>
        <v>4.8271574389112279</v>
      </c>
      <c r="Y8">
        <f>1-X8</f>
        <v>-3.8271574389112279</v>
      </c>
      <c r="Z8">
        <f t="shared" si="9"/>
        <v>1.6970882519064465</v>
      </c>
      <c r="AA8">
        <f>Z8-P8</f>
        <v>0.22539013869889946</v>
      </c>
    </row>
    <row r="9" spans="1:27">
      <c r="A9">
        <v>124</v>
      </c>
      <c r="B9">
        <f t="shared" si="10"/>
        <v>209.28842263999999</v>
      </c>
      <c r="C9">
        <f t="shared" si="0"/>
        <v>219.41528180000003</v>
      </c>
      <c r="D9">
        <f t="shared" si="1"/>
        <v>0.6878306878306879</v>
      </c>
      <c r="E9">
        <v>34</v>
      </c>
      <c r="F9">
        <f t="shared" si="2"/>
        <v>0.1624552355601814</v>
      </c>
      <c r="G9">
        <f t="shared" si="3"/>
        <v>0.16317843624672093</v>
      </c>
      <c r="H9">
        <v>0.1624552355601814</v>
      </c>
      <c r="I9">
        <f t="shared" si="4"/>
        <v>1350.6199479715619</v>
      </c>
      <c r="J9">
        <f t="shared" si="11"/>
        <v>175.08001804368206</v>
      </c>
      <c r="O9">
        <f t="shared" si="5"/>
        <v>0.6878306878306879</v>
      </c>
      <c r="P9">
        <f t="shared" si="6"/>
        <v>1.2830188679245282</v>
      </c>
      <c r="Q9">
        <f t="shared" si="12"/>
        <v>1.8653120464441215</v>
      </c>
      <c r="R9">
        <f t="shared" si="13"/>
        <v>-0.66597387473526082</v>
      </c>
      <c r="S9">
        <f t="shared" si="14"/>
        <v>1.1049063768050735</v>
      </c>
      <c r="T9">
        <f t="shared" si="7"/>
        <v>329.70934787985107</v>
      </c>
      <c r="U9">
        <f t="shared" si="8"/>
        <v>4.0702761838790344</v>
      </c>
      <c r="V9">
        <f t="shared" si="15"/>
        <v>-2.7872573159545064</v>
      </c>
      <c r="W9">
        <f t="shared" si="16"/>
        <v>-54.351517661112872</v>
      </c>
      <c r="X9">
        <f>(P9-O9^2)/(O9-O9^2)</f>
        <v>3.7719318097955767</v>
      </c>
      <c r="Y9">
        <f>1-X9</f>
        <v>-2.7719318097955767</v>
      </c>
      <c r="Z9">
        <f t="shared" si="9"/>
        <v>1.8456035245667355</v>
      </c>
      <c r="AA9">
        <f>Z9-P9</f>
        <v>0.56258465664220725</v>
      </c>
    </row>
    <row r="10" spans="1:27">
      <c r="A10">
        <v>96.3</v>
      </c>
      <c r="B10">
        <f t="shared" si="10"/>
        <v>162.53608951799998</v>
      </c>
      <c r="C10">
        <f t="shared" si="0"/>
        <v>266.16761492200004</v>
      </c>
      <c r="D10">
        <f t="shared" si="1"/>
        <v>0.83439153439153446</v>
      </c>
      <c r="E10">
        <v>26.5</v>
      </c>
      <c r="F10">
        <f t="shared" si="2"/>
        <v>0.1630407134722241</v>
      </c>
      <c r="G10">
        <f t="shared" si="3"/>
        <v>0.16377182542668584</v>
      </c>
      <c r="H10">
        <v>0.17</v>
      </c>
      <c r="I10">
        <f t="shared" si="4"/>
        <v>1632.5223881416885</v>
      </c>
      <c r="J10">
        <f t="shared" si="11"/>
        <v>183.21110406072478</v>
      </c>
      <c r="O10">
        <f t="shared" si="5"/>
        <v>0.83439153439153446</v>
      </c>
      <c r="P10">
        <f t="shared" si="6"/>
        <v>1</v>
      </c>
      <c r="Q10">
        <f t="shared" si="12"/>
        <v>1.1984781230183892</v>
      </c>
      <c r="R10">
        <f t="shared" si="13"/>
        <v>0</v>
      </c>
      <c r="S10">
        <f t="shared" si="14"/>
        <v>1.0494502354339847</v>
      </c>
      <c r="T10">
        <f t="shared" si="7"/>
        <v>313.16097003424085</v>
      </c>
      <c r="U10">
        <f t="shared" si="8"/>
        <v>1.9721949889579211</v>
      </c>
      <c r="V10">
        <f t="shared" si="15"/>
        <v>-0.97219498895792111</v>
      </c>
      <c r="W10">
        <f t="shared" si="16"/>
        <v>-18.957802284679463</v>
      </c>
      <c r="X10">
        <f>(P10-O10^2)/(O10-O10^2)</f>
        <v>2.1984781230183894</v>
      </c>
      <c r="Y10">
        <f>1-X10</f>
        <v>-1.1984781230183894</v>
      </c>
      <c r="Z10">
        <f t="shared" si="9"/>
        <v>1.8075296326756778</v>
      </c>
      <c r="AA10">
        <f>Z10-P10</f>
        <v>0.80752963267567779</v>
      </c>
    </row>
    <row r="11" spans="1:27">
      <c r="A11">
        <v>77.2</v>
      </c>
      <c r="B11">
        <f t="shared" si="10"/>
        <v>130.29892119199999</v>
      </c>
      <c r="C11">
        <f t="shared" si="0"/>
        <v>298.40478324800006</v>
      </c>
      <c r="D11">
        <f t="shared" si="1"/>
        <v>0.93544973544973553</v>
      </c>
      <c r="E11">
        <v>19.5</v>
      </c>
      <c r="F11">
        <f t="shared" si="2"/>
        <v>0.14965588219465051</v>
      </c>
      <c r="G11">
        <f t="shared" si="3"/>
        <v>0.15022022625005466</v>
      </c>
      <c r="H11">
        <v>0.18</v>
      </c>
      <c r="I11">
        <f t="shared" si="4"/>
        <v>1993.9395556793331</v>
      </c>
      <c r="J11">
        <f t="shared" si="11"/>
        <v>193.98822782900268</v>
      </c>
      <c r="O11">
        <f t="shared" si="5"/>
        <v>0.93544973544973553</v>
      </c>
      <c r="P11">
        <f t="shared" si="6"/>
        <v>0.73584905660377353</v>
      </c>
      <c r="Q11">
        <f t="shared" si="12"/>
        <v>0.78662597114317412</v>
      </c>
      <c r="R11">
        <f t="shared" si="13"/>
        <v>4.5967343340589286</v>
      </c>
      <c r="S11">
        <f t="shared" si="14"/>
        <v>1.0179480165723713</v>
      </c>
      <c r="T11">
        <f t="shared" si="7"/>
        <v>303.76055724301006</v>
      </c>
      <c r="U11">
        <f t="shared" si="8"/>
        <v>1.2844148810104572</v>
      </c>
      <c r="V11">
        <f t="shared" si="15"/>
        <v>-0.54856582440668367</v>
      </c>
      <c r="W11">
        <f t="shared" si="16"/>
        <v>-10.697033575930332</v>
      </c>
      <c r="X11">
        <f>(P11-O11^1.9)/(O11-O11^1.9)</f>
        <v>-2.6607270819661664</v>
      </c>
      <c r="Z11">
        <f t="shared" si="9"/>
        <v>1.6930138925441423</v>
      </c>
    </row>
    <row r="12" spans="1:27">
      <c r="A12">
        <v>71.5</v>
      </c>
      <c r="B12">
        <f t="shared" si="10"/>
        <v>120.67840499</v>
      </c>
      <c r="C12">
        <f t="shared" si="0"/>
        <v>308.02529945000003</v>
      </c>
      <c r="D12">
        <f t="shared" si="1"/>
        <v>0.96560846560846569</v>
      </c>
      <c r="E12">
        <v>13.5</v>
      </c>
      <c r="F12">
        <f t="shared" si="2"/>
        <v>0.1118675706819184</v>
      </c>
      <c r="G12">
        <f t="shared" si="3"/>
        <v>0.112102219565935</v>
      </c>
      <c r="H12">
        <v>0.19</v>
      </c>
      <c r="I12">
        <f t="shared" si="4"/>
        <v>2753.4816173476393</v>
      </c>
      <c r="J12">
        <f t="shared" si="11"/>
        <v>204.76535159728061</v>
      </c>
      <c r="O12">
        <f t="shared" si="5"/>
        <v>0.96560846560846569</v>
      </c>
      <c r="P12">
        <f t="shared" si="6"/>
        <v>0.50943396226415094</v>
      </c>
      <c r="Q12">
        <f t="shared" si="12"/>
        <v>0.52757818557766856</v>
      </c>
      <c r="R12">
        <f t="shared" si="13"/>
        <v>19.271883069703293</v>
      </c>
      <c r="S12">
        <f t="shared" si="14"/>
        <v>1.0093733981891555</v>
      </c>
      <c r="T12">
        <f t="shared" si="7"/>
        <v>301.20185010293221</v>
      </c>
      <c r="U12">
        <f t="shared" si="8"/>
        <v>1.1402834262031047</v>
      </c>
      <c r="V12">
        <f t="shared" si="15"/>
        <v>-0.6308494639389538</v>
      </c>
      <c r="W12">
        <f t="shared" si="16"/>
        <v>-12.301564546809599</v>
      </c>
      <c r="X12">
        <f>(P12-O12^1.9)/(O12-O12^1.9)</f>
        <v>-14.236322111076136</v>
      </c>
      <c r="Z12">
        <f t="shared" si="9"/>
        <v>1.6448810075116285</v>
      </c>
    </row>
    <row r="13" spans="1:27">
      <c r="A13">
        <v>65</v>
      </c>
      <c r="B13">
        <f t="shared" si="10"/>
        <v>109.7076409</v>
      </c>
      <c r="C13">
        <f t="shared" si="0"/>
        <v>318.99606354000002</v>
      </c>
      <c r="D13">
        <f t="shared" si="1"/>
        <v>1</v>
      </c>
      <c r="J13">
        <f>$I$14*H13</f>
        <v>0</v>
      </c>
      <c r="O13">
        <f t="shared" si="5"/>
        <v>1</v>
      </c>
      <c r="S13">
        <f t="shared" si="14"/>
        <v>1</v>
      </c>
      <c r="T13">
        <f t="shared" si="7"/>
        <v>298.40478324800006</v>
      </c>
      <c r="U13">
        <f t="shared" si="8"/>
        <v>1</v>
      </c>
      <c r="Z13">
        <f t="shared" si="9"/>
        <v>1.5821624669230281</v>
      </c>
    </row>
    <row r="14" spans="1:27">
      <c r="I14">
        <f>AVERAGE(I6:I9)</f>
        <v>1077.7123768277927</v>
      </c>
      <c r="R14">
        <f>AVERAGE(R6:R8)</f>
        <v>-0.26658806770026061</v>
      </c>
      <c r="X14">
        <f>AVERAGE(X6:X9)</f>
        <v>5.1092904576335307</v>
      </c>
      <c r="Y14">
        <f>AVERAGE(Y6:Y10)</f>
        <v>-3.5271279907105026</v>
      </c>
    </row>
    <row r="15" spans="1:27">
      <c r="A15">
        <v>65</v>
      </c>
      <c r="B15">
        <f t="shared" si="10"/>
        <v>109.7076409</v>
      </c>
      <c r="C15" t="s">
        <v>13</v>
      </c>
      <c r="R15">
        <f>1/R14</f>
        <v>-3.7511056238434275</v>
      </c>
    </row>
    <row r="16" spans="1:27">
      <c r="R16" t="s">
        <v>10</v>
      </c>
    </row>
    <row r="17" spans="1:3">
      <c r="A17">
        <f>A5-A15</f>
        <v>189</v>
      </c>
      <c r="B17">
        <f t="shared" si="10"/>
        <v>318.99606354000002</v>
      </c>
      <c r="C17" t="s">
        <v>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S15"/>
  <sheetViews>
    <sheetView topLeftCell="C1" workbookViewId="0">
      <selection activeCell="C5" sqref="C5"/>
    </sheetView>
  </sheetViews>
  <sheetFormatPr defaultRowHeight="15"/>
  <sheetData>
    <row r="1" spans="1:19">
      <c r="A1">
        <v>1.68780986</v>
      </c>
      <c r="B1" t="s">
        <v>5</v>
      </c>
    </row>
    <row r="3" spans="1:19">
      <c r="A3" t="s">
        <v>7</v>
      </c>
    </row>
    <row r="4" spans="1:19">
      <c r="A4" t="s">
        <v>3</v>
      </c>
      <c r="B4" t="s">
        <v>6</v>
      </c>
      <c r="D4" t="s">
        <v>12</v>
      </c>
      <c r="G4" t="s">
        <v>8</v>
      </c>
      <c r="H4" t="s">
        <v>14</v>
      </c>
      <c r="M4" t="s">
        <v>10</v>
      </c>
      <c r="P4" t="s">
        <v>11</v>
      </c>
    </row>
    <row r="5" spans="1:19">
      <c r="A5">
        <v>82</v>
      </c>
      <c r="B5">
        <f>A5*$A$1</f>
        <v>138.40040852000001</v>
      </c>
      <c r="C5">
        <f t="shared" ref="C5:C12" si="0">$B$5-B5</f>
        <v>0</v>
      </c>
      <c r="D5">
        <v>0</v>
      </c>
      <c r="E5" t="e">
        <f t="shared" ref="E5:E12" si="1">D5/C5</f>
        <v>#DIV/0!</v>
      </c>
      <c r="G5">
        <f t="shared" ref="G5:G12" si="2">C5/($B$5-$B$14)</f>
        <v>0</v>
      </c>
      <c r="H5">
        <f t="shared" ref="H5:H12" si="3">D5/B5</f>
        <v>0</v>
      </c>
      <c r="K5">
        <f>H5^$J$13</f>
        <v>0</v>
      </c>
      <c r="L5">
        <f t="shared" ref="L5:L12" si="4">K5*$C$11</f>
        <v>0</v>
      </c>
      <c r="M5">
        <f t="shared" ref="M5:M12" si="5">G5^$J$14</f>
        <v>0</v>
      </c>
      <c r="R5" t="e">
        <f t="shared" ref="R5:R12" si="6">$Q$13*G5^2+$P$13*G5</f>
        <v>#DIV/0!</v>
      </c>
    </row>
    <row r="6" spans="1:19">
      <c r="A6">
        <v>75.599999999999994</v>
      </c>
      <c r="B6">
        <f t="shared" ref="B6:B14" si="7">A6*$A$1</f>
        <v>127.59842541599998</v>
      </c>
      <c r="C6">
        <f t="shared" si="0"/>
        <v>10.80198310400003</v>
      </c>
      <c r="D6">
        <v>2.2999999999999998</v>
      </c>
      <c r="E6">
        <f t="shared" si="1"/>
        <v>0.21292386572501654</v>
      </c>
      <c r="G6">
        <f t="shared" si="2"/>
        <v>0.18823529411764756</v>
      </c>
      <c r="H6">
        <f t="shared" si="3"/>
        <v>1.8025300802117856E-2</v>
      </c>
      <c r="I6">
        <f t="shared" ref="I6:I12" si="8">H6/G6</f>
        <v>9.575941051125085E-2</v>
      </c>
      <c r="J6">
        <f t="shared" ref="J6:J12" si="9">LN(H6)/LN(G6)</f>
        <v>2.4046877440440766</v>
      </c>
      <c r="K6">
        <f t="shared" ref="K6:K12" si="10">G6^$J$13</f>
        <v>1.2233408770459054E-3</v>
      </c>
      <c r="L6">
        <f t="shared" si="4"/>
        <v>7.2266837804669457E-2</v>
      </c>
      <c r="M6">
        <f t="shared" si="5"/>
        <v>0.65974497529730847</v>
      </c>
      <c r="N6">
        <f t="shared" ref="N6:N12" si="11">H6-M6</f>
        <v>-0.64171967449519063</v>
      </c>
      <c r="O6">
        <f t="shared" ref="O6:O12" si="12">N6*$D$11</f>
        <v>-5.4546172332091203</v>
      </c>
      <c r="P6">
        <f>(H6-G6^2)/(G6-G6^2)</f>
        <v>-0.11391956676150326</v>
      </c>
      <c r="Q6">
        <f>1-P6</f>
        <v>1.1139195667615032</v>
      </c>
      <c r="R6" t="e">
        <f t="shared" si="6"/>
        <v>#DIV/0!</v>
      </c>
      <c r="S6" t="e">
        <f>R6-H6</f>
        <v>#DIV/0!</v>
      </c>
    </row>
    <row r="7" spans="1:19">
      <c r="A7">
        <v>66</v>
      </c>
      <c r="B7">
        <f t="shared" si="7"/>
        <v>111.39545076</v>
      </c>
      <c r="C7">
        <f t="shared" si="0"/>
        <v>27.004957760000011</v>
      </c>
      <c r="D7">
        <v>6.3</v>
      </c>
      <c r="E7">
        <f t="shared" si="1"/>
        <v>0.2332904963595839</v>
      </c>
      <c r="G7">
        <f t="shared" si="2"/>
        <v>0.47058823529411775</v>
      </c>
      <c r="H7">
        <f t="shared" si="3"/>
        <v>5.6555271844747637E-2</v>
      </c>
      <c r="I7">
        <f t="shared" si="8"/>
        <v>0.1201799526700887</v>
      </c>
      <c r="J7">
        <f t="shared" si="9"/>
        <v>3.810883940234822</v>
      </c>
      <c r="K7">
        <f t="shared" si="10"/>
        <v>4.8471181554961489E-2</v>
      </c>
      <c r="L7">
        <f t="shared" si="4"/>
        <v>2.8633548354009952</v>
      </c>
      <c r="M7">
        <f t="shared" si="5"/>
        <v>0.82885121817485652</v>
      </c>
      <c r="N7">
        <f t="shared" si="11"/>
        <v>-0.7722959463301089</v>
      </c>
      <c r="O7">
        <f t="shared" si="12"/>
        <v>-6.5645155438059257</v>
      </c>
      <c r="P7">
        <f>(H7-G7^2)/(G7-G7^2)</f>
        <v>-0.66188231162316602</v>
      </c>
      <c r="Q7">
        <f>1-P7</f>
        <v>1.661882311623166</v>
      </c>
      <c r="R7" t="e">
        <f t="shared" si="6"/>
        <v>#DIV/0!</v>
      </c>
      <c r="S7" t="e">
        <f>R7-H7</f>
        <v>#DIV/0!</v>
      </c>
    </row>
    <row r="8" spans="1:19">
      <c r="A8">
        <v>60</v>
      </c>
      <c r="B8">
        <f t="shared" si="7"/>
        <v>101.26859159999999</v>
      </c>
      <c r="C8">
        <f t="shared" si="0"/>
        <v>37.13181692000002</v>
      </c>
      <c r="D8">
        <v>8</v>
      </c>
      <c r="E8">
        <f t="shared" si="1"/>
        <v>0.21544865464665755</v>
      </c>
      <c r="G8">
        <f t="shared" si="2"/>
        <v>0.64705882352941202</v>
      </c>
      <c r="H8">
        <f t="shared" si="3"/>
        <v>7.8997840037107817E-2</v>
      </c>
      <c r="I8">
        <f t="shared" si="8"/>
        <v>0.12208757096643931</v>
      </c>
      <c r="J8">
        <f t="shared" si="9"/>
        <v>5.8309887316574009</v>
      </c>
      <c r="K8">
        <f t="shared" si="10"/>
        <v>0.1741168798751915</v>
      </c>
      <c r="L8">
        <f t="shared" si="4"/>
        <v>10.285666532602434</v>
      </c>
      <c r="M8">
        <f t="shared" si="5"/>
        <v>0.89726064268752748</v>
      </c>
      <c r="N8">
        <f t="shared" si="11"/>
        <v>-0.81826280265041962</v>
      </c>
      <c r="O8">
        <f t="shared" si="12"/>
        <v>-6.9552338225285668</v>
      </c>
      <c r="P8">
        <f>(H8-G8^2)/(G8-G8^2)</f>
        <v>-1.4874185489284235</v>
      </c>
      <c r="Q8">
        <f>1-P8</f>
        <v>2.4874185489284235</v>
      </c>
      <c r="R8" t="e">
        <f t="shared" si="6"/>
        <v>#DIV/0!</v>
      </c>
      <c r="S8" t="e">
        <f>R8-H8</f>
        <v>#DIV/0!</v>
      </c>
    </row>
    <row r="9" spans="1:19">
      <c r="A9">
        <v>53</v>
      </c>
      <c r="B9">
        <f t="shared" si="7"/>
        <v>89.453922579999997</v>
      </c>
      <c r="C9">
        <f t="shared" si="0"/>
        <v>48.946485940000017</v>
      </c>
      <c r="D9">
        <v>10.1</v>
      </c>
      <c r="E9">
        <f t="shared" si="1"/>
        <v>0.20634780630382465</v>
      </c>
      <c r="G9">
        <f t="shared" si="2"/>
        <v>0.85294117647058842</v>
      </c>
      <c r="H9">
        <f t="shared" si="3"/>
        <v>0.11290729024171542</v>
      </c>
      <c r="I9">
        <f t="shared" si="8"/>
        <v>0.13237406442132149</v>
      </c>
      <c r="J9">
        <f t="shared" si="9"/>
        <v>13.712585576780054</v>
      </c>
      <c r="K9">
        <f t="shared" si="10"/>
        <v>0.52796383885778186</v>
      </c>
      <c r="L9">
        <f t="shared" si="4"/>
        <v>31.188590053166543</v>
      </c>
      <c r="M9">
        <f t="shared" si="5"/>
        <v>0.96116184038873498</v>
      </c>
      <c r="N9">
        <f t="shared" si="11"/>
        <v>-0.84825455014701956</v>
      </c>
      <c r="O9">
        <f t="shared" si="12"/>
        <v>-7.2101636762496666</v>
      </c>
      <c r="P9">
        <f>(H9-G9^2)/(G9-G9^2)</f>
        <v>-4.8998563619350213</v>
      </c>
      <c r="Q9">
        <f>1-P9</f>
        <v>5.8998563619350213</v>
      </c>
      <c r="R9" t="e">
        <f t="shared" si="6"/>
        <v>#DIV/0!</v>
      </c>
      <c r="S9" t="e">
        <f>R9-H9</f>
        <v>#DIV/0!</v>
      </c>
    </row>
    <row r="10" spans="1:19">
      <c r="A10">
        <v>48</v>
      </c>
      <c r="B10">
        <f t="shared" si="7"/>
        <v>81.014873280000003</v>
      </c>
      <c r="C10">
        <f t="shared" si="0"/>
        <v>57.38553524000001</v>
      </c>
      <c r="D10">
        <v>11</v>
      </c>
      <c r="E10">
        <f t="shared" si="1"/>
        <v>0.19168593538415862</v>
      </c>
      <c r="G10">
        <f t="shared" si="2"/>
        <v>1</v>
      </c>
      <c r="H10">
        <f t="shared" si="3"/>
        <v>0.13577753756377905</v>
      </c>
      <c r="I10">
        <f t="shared" si="8"/>
        <v>0.13577753756377905</v>
      </c>
      <c r="J10" t="e">
        <f t="shared" si="9"/>
        <v>#DIV/0!</v>
      </c>
      <c r="K10">
        <f t="shared" si="10"/>
        <v>1</v>
      </c>
      <c r="L10">
        <f t="shared" si="4"/>
        <v>59.073345100000012</v>
      </c>
      <c r="M10">
        <f t="shared" si="5"/>
        <v>1</v>
      </c>
      <c r="N10">
        <f t="shared" si="11"/>
        <v>-0.86422246243622092</v>
      </c>
      <c r="O10">
        <f t="shared" si="12"/>
        <v>-7.3458909307078777</v>
      </c>
      <c r="P10" t="e">
        <f>(H10-G10^2)/(G10-G10^2)</f>
        <v>#DIV/0!</v>
      </c>
      <c r="Q10" t="e">
        <f>1-P10</f>
        <v>#DIV/0!</v>
      </c>
      <c r="R10" t="e">
        <f t="shared" si="6"/>
        <v>#DIV/0!</v>
      </c>
      <c r="S10" t="e">
        <f>R10-H10</f>
        <v>#DIV/0!</v>
      </c>
    </row>
    <row r="11" spans="1:19">
      <c r="A11">
        <v>47</v>
      </c>
      <c r="B11">
        <f t="shared" si="7"/>
        <v>79.327063420000002</v>
      </c>
      <c r="C11">
        <f t="shared" si="0"/>
        <v>59.073345100000012</v>
      </c>
      <c r="D11">
        <v>8.5</v>
      </c>
      <c r="E11">
        <f t="shared" si="1"/>
        <v>0.14388892292473207</v>
      </c>
      <c r="G11">
        <f t="shared" si="2"/>
        <v>1.0294117647058825</v>
      </c>
      <c r="H11">
        <f t="shared" si="3"/>
        <v>0.1071513255822473</v>
      </c>
      <c r="I11">
        <f t="shared" si="8"/>
        <v>0.10408985913704022</v>
      </c>
      <c r="J11">
        <f t="shared" si="9"/>
        <v>-77.050809650673543</v>
      </c>
      <c r="K11">
        <f t="shared" si="10"/>
        <v>1.1234452031193496</v>
      </c>
      <c r="L11">
        <f t="shared" si="4"/>
        <v>66.365666184808944</v>
      </c>
      <c r="M11">
        <f t="shared" si="5"/>
        <v>1.0072449936221757</v>
      </c>
      <c r="N11">
        <f t="shared" si="11"/>
        <v>-0.90009366803992841</v>
      </c>
      <c r="O11">
        <f t="shared" si="12"/>
        <v>-7.6507961783393919</v>
      </c>
      <c r="P11">
        <f>(H11-G11^1.9)/(G11-G11^1.9)</f>
        <v>34.894810123917637</v>
      </c>
      <c r="R11" t="e">
        <f t="shared" si="6"/>
        <v>#DIV/0!</v>
      </c>
    </row>
    <row r="12" spans="1:19">
      <c r="A12">
        <v>44</v>
      </c>
      <c r="B12">
        <f t="shared" si="7"/>
        <v>74.263633839999997</v>
      </c>
      <c r="C12">
        <f t="shared" si="0"/>
        <v>64.136774680000016</v>
      </c>
      <c r="D12">
        <v>3.8</v>
      </c>
      <c r="E12">
        <f t="shared" si="1"/>
        <v>5.9248380027830845E-2</v>
      </c>
      <c r="G12">
        <f t="shared" si="2"/>
        <v>1.1176470588235294</v>
      </c>
      <c r="H12">
        <f t="shared" si="3"/>
        <v>5.1169055478581194E-2</v>
      </c>
      <c r="I12">
        <f t="shared" si="8"/>
        <v>4.578283911241475E-2</v>
      </c>
      <c r="J12">
        <f t="shared" si="9"/>
        <v>-26.7260358809291</v>
      </c>
      <c r="K12">
        <f t="shared" si="10"/>
        <v>1.5630339585435895</v>
      </c>
      <c r="L12">
        <f t="shared" si="4"/>
        <v>92.333644436064574</v>
      </c>
      <c r="M12">
        <f t="shared" si="5"/>
        <v>1.0280861180495517</v>
      </c>
      <c r="N12">
        <f t="shared" si="11"/>
        <v>-0.97691706257097055</v>
      </c>
      <c r="O12">
        <f t="shared" si="12"/>
        <v>-8.3037950318532499</v>
      </c>
      <c r="P12">
        <f>(H12-G12^1.9)/(G12-G12^1.9)</f>
        <v>10.063196563131822</v>
      </c>
      <c r="R12" t="e">
        <f t="shared" si="6"/>
        <v>#DIV/0!</v>
      </c>
    </row>
    <row r="13" spans="1:19">
      <c r="J13">
        <f>AVERAGE(J6:J8)</f>
        <v>4.0155201386454333</v>
      </c>
      <c r="P13">
        <f>AVERAGE(P6:P9)</f>
        <v>-1.7907691973120285</v>
      </c>
      <c r="Q13" t="e">
        <f>AVERAGE(Q6:Q10)</f>
        <v>#DIV/0!</v>
      </c>
    </row>
    <row r="14" spans="1:19">
      <c r="A14">
        <v>48</v>
      </c>
      <c r="B14">
        <f t="shared" si="7"/>
        <v>81.014873280000003</v>
      </c>
      <c r="C14" t="s">
        <v>13</v>
      </c>
      <c r="J14">
        <f>1/J13</f>
        <v>0.24903374045518617</v>
      </c>
    </row>
    <row r="15" spans="1:19">
      <c r="J15" t="s">
        <v>10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L107"/>
  <sheetViews>
    <sheetView topLeftCell="A83" workbookViewId="0">
      <selection activeCell="A88" sqref="A88"/>
    </sheetView>
  </sheetViews>
  <sheetFormatPr defaultRowHeight="15"/>
  <sheetData>
    <row r="1" spans="1:12">
      <c r="A1">
        <f>10/4000</f>
        <v>2.5000000000000001E-3</v>
      </c>
      <c r="B1">
        <f>ATAN(A1)</f>
        <v>2.4999947916861977E-3</v>
      </c>
      <c r="D1">
        <f>DEGREES(B1)</f>
        <v>0.14323915036830656</v>
      </c>
    </row>
    <row r="2" spans="1:12">
      <c r="D2">
        <f>360/7</f>
        <v>51.428571428571431</v>
      </c>
      <c r="G2" t="s">
        <v>0</v>
      </c>
      <c r="J2" t="s">
        <v>1</v>
      </c>
      <c r="K2" t="s">
        <v>2</v>
      </c>
    </row>
    <row r="3" spans="1:12">
      <c r="G3">
        <v>32</v>
      </c>
      <c r="J3">
        <f>100/200</f>
        <v>0.5</v>
      </c>
      <c r="K3">
        <v>0.1</v>
      </c>
    </row>
    <row r="5" spans="1:12">
      <c r="B5">
        <v>10</v>
      </c>
      <c r="C5">
        <v>0</v>
      </c>
      <c r="D5">
        <v>100</v>
      </c>
      <c r="F5">
        <f>D5-B5</f>
        <v>90</v>
      </c>
      <c r="G5">
        <f>(1- (B5-C5)/(D5-C5))^2</f>
        <v>0.81</v>
      </c>
      <c r="H5">
        <f>D5-B5</f>
        <v>90</v>
      </c>
      <c r="I5">
        <f>G5*$G$3</f>
        <v>25.92</v>
      </c>
      <c r="J5">
        <f>I5*$J$3</f>
        <v>12.96</v>
      </c>
    </row>
    <row r="6" spans="1:12">
      <c r="B6">
        <f>B5+10</f>
        <v>20</v>
      </c>
      <c r="C6">
        <v>0</v>
      </c>
      <c r="D6">
        <v>100</v>
      </c>
      <c r="G6">
        <f t="shared" ref="G6:G24" si="0">(1- (B6-C6)/(D6-C6))^2</f>
        <v>0.64000000000000012</v>
      </c>
      <c r="I6">
        <f t="shared" ref="I6:I69" si="1">G6*$G$3</f>
        <v>20.480000000000004</v>
      </c>
      <c r="J6">
        <f t="shared" ref="J6:J69" si="2">I6*$J$3</f>
        <v>10.240000000000002</v>
      </c>
      <c r="K6">
        <f>SQRT(0.1)</f>
        <v>0.31622776601683794</v>
      </c>
      <c r="L6">
        <f>SQRT(K6)</f>
        <v>0.56234132519034907</v>
      </c>
    </row>
    <row r="7" spans="1:12">
      <c r="B7">
        <f t="shared" ref="B7:B70" si="3">B6+10</f>
        <v>30</v>
      </c>
      <c r="C7">
        <v>0</v>
      </c>
      <c r="D7">
        <v>100</v>
      </c>
      <c r="G7">
        <f t="shared" si="0"/>
        <v>0.48999999999999994</v>
      </c>
      <c r="I7">
        <f t="shared" si="1"/>
        <v>15.679999999999998</v>
      </c>
      <c r="J7">
        <f t="shared" si="2"/>
        <v>7.839999999999999</v>
      </c>
    </row>
    <row r="8" spans="1:12">
      <c r="B8">
        <f t="shared" si="3"/>
        <v>40</v>
      </c>
      <c r="C8">
        <v>0</v>
      </c>
      <c r="D8">
        <v>100</v>
      </c>
      <c r="G8">
        <f t="shared" si="0"/>
        <v>0.36</v>
      </c>
      <c r="I8">
        <f t="shared" si="1"/>
        <v>11.52</v>
      </c>
      <c r="J8">
        <f t="shared" si="2"/>
        <v>5.76</v>
      </c>
    </row>
    <row r="9" spans="1:12">
      <c r="B9">
        <f t="shared" si="3"/>
        <v>50</v>
      </c>
      <c r="C9">
        <v>0</v>
      </c>
      <c r="D9">
        <v>100</v>
      </c>
      <c r="G9">
        <f t="shared" si="0"/>
        <v>0.25</v>
      </c>
      <c r="I9">
        <f t="shared" si="1"/>
        <v>8</v>
      </c>
      <c r="J9">
        <f t="shared" si="2"/>
        <v>4</v>
      </c>
    </row>
    <row r="10" spans="1:12">
      <c r="B10">
        <f t="shared" si="3"/>
        <v>60</v>
      </c>
      <c r="C10">
        <v>0</v>
      </c>
      <c r="D10">
        <v>100</v>
      </c>
      <c r="G10">
        <f t="shared" si="0"/>
        <v>0.16000000000000003</v>
      </c>
      <c r="I10">
        <f t="shared" si="1"/>
        <v>5.120000000000001</v>
      </c>
      <c r="J10">
        <f t="shared" si="2"/>
        <v>2.5600000000000005</v>
      </c>
    </row>
    <row r="11" spans="1:12">
      <c r="B11">
        <f t="shared" si="3"/>
        <v>70</v>
      </c>
      <c r="C11">
        <v>0</v>
      </c>
      <c r="D11">
        <v>100</v>
      </c>
      <c r="G11">
        <f t="shared" si="0"/>
        <v>9.0000000000000024E-2</v>
      </c>
      <c r="I11">
        <f t="shared" si="1"/>
        <v>2.8800000000000008</v>
      </c>
      <c r="J11">
        <f t="shared" si="2"/>
        <v>1.4400000000000004</v>
      </c>
    </row>
    <row r="12" spans="1:12">
      <c r="B12">
        <f t="shared" si="3"/>
        <v>80</v>
      </c>
      <c r="C12">
        <v>0</v>
      </c>
      <c r="D12">
        <v>100</v>
      </c>
      <c r="G12">
        <f t="shared" si="0"/>
        <v>3.999999999999998E-2</v>
      </c>
      <c r="I12">
        <f t="shared" si="1"/>
        <v>1.2799999999999994</v>
      </c>
      <c r="J12">
        <f t="shared" si="2"/>
        <v>0.63999999999999968</v>
      </c>
    </row>
    <row r="13" spans="1:12">
      <c r="B13">
        <f t="shared" si="3"/>
        <v>90</v>
      </c>
      <c r="C13">
        <v>0</v>
      </c>
      <c r="D13">
        <v>100</v>
      </c>
      <c r="G13">
        <f t="shared" si="0"/>
        <v>9.999999999999995E-3</v>
      </c>
      <c r="I13">
        <f t="shared" si="1"/>
        <v>0.31999999999999984</v>
      </c>
      <c r="J13">
        <f t="shared" si="2"/>
        <v>0.15999999999999992</v>
      </c>
    </row>
    <row r="14" spans="1:12">
      <c r="B14">
        <f t="shared" si="3"/>
        <v>100</v>
      </c>
      <c r="C14">
        <v>0</v>
      </c>
      <c r="D14">
        <v>100</v>
      </c>
      <c r="G14">
        <f t="shared" si="0"/>
        <v>0</v>
      </c>
      <c r="I14">
        <f t="shared" si="1"/>
        <v>0</v>
      </c>
      <c r="J14">
        <f t="shared" si="2"/>
        <v>0</v>
      </c>
    </row>
    <row r="15" spans="1:12">
      <c r="B15">
        <f t="shared" si="3"/>
        <v>110</v>
      </c>
      <c r="C15">
        <v>0</v>
      </c>
      <c r="D15">
        <v>100</v>
      </c>
      <c r="G15">
        <f t="shared" si="0"/>
        <v>1.0000000000000018E-2</v>
      </c>
      <c r="I15">
        <f t="shared" si="1"/>
        <v>0.32000000000000056</v>
      </c>
      <c r="J15">
        <f t="shared" si="2"/>
        <v>0.16000000000000028</v>
      </c>
    </row>
    <row r="16" spans="1:12">
      <c r="B16">
        <f t="shared" si="3"/>
        <v>120</v>
      </c>
      <c r="C16">
        <v>0</v>
      </c>
      <c r="D16">
        <v>100</v>
      </c>
      <c r="G16">
        <f t="shared" si="0"/>
        <v>3.999999999999998E-2</v>
      </c>
      <c r="I16">
        <f t="shared" si="1"/>
        <v>1.2799999999999994</v>
      </c>
      <c r="J16">
        <f t="shared" si="2"/>
        <v>0.63999999999999968</v>
      </c>
    </row>
    <row r="17" spans="2:10">
      <c r="B17">
        <f t="shared" si="3"/>
        <v>130</v>
      </c>
      <c r="C17">
        <v>0</v>
      </c>
      <c r="D17">
        <v>100</v>
      </c>
      <c r="G17">
        <f t="shared" si="0"/>
        <v>9.0000000000000024E-2</v>
      </c>
      <c r="I17">
        <f t="shared" si="1"/>
        <v>2.8800000000000008</v>
      </c>
      <c r="J17">
        <f t="shared" si="2"/>
        <v>1.4400000000000004</v>
      </c>
    </row>
    <row r="18" spans="2:10">
      <c r="B18">
        <f t="shared" si="3"/>
        <v>140</v>
      </c>
      <c r="C18">
        <v>0</v>
      </c>
      <c r="D18">
        <v>100</v>
      </c>
      <c r="G18">
        <f t="shared" si="0"/>
        <v>0.15999999999999992</v>
      </c>
      <c r="I18">
        <f t="shared" si="1"/>
        <v>5.1199999999999974</v>
      </c>
      <c r="J18">
        <f t="shared" si="2"/>
        <v>2.5599999999999987</v>
      </c>
    </row>
    <row r="19" spans="2:10">
      <c r="B19">
        <f t="shared" si="3"/>
        <v>150</v>
      </c>
      <c r="C19">
        <v>0</v>
      </c>
      <c r="D19">
        <v>100</v>
      </c>
      <c r="G19">
        <f t="shared" si="0"/>
        <v>0.25</v>
      </c>
      <c r="I19">
        <f t="shared" si="1"/>
        <v>8</v>
      </c>
      <c r="J19">
        <f t="shared" si="2"/>
        <v>4</v>
      </c>
    </row>
    <row r="20" spans="2:10">
      <c r="B20">
        <f t="shared" si="3"/>
        <v>160</v>
      </c>
      <c r="C20">
        <v>0</v>
      </c>
      <c r="D20">
        <v>100</v>
      </c>
      <c r="G20">
        <f t="shared" si="0"/>
        <v>0.3600000000000001</v>
      </c>
      <c r="I20">
        <f t="shared" si="1"/>
        <v>11.520000000000003</v>
      </c>
      <c r="J20">
        <f t="shared" si="2"/>
        <v>5.7600000000000016</v>
      </c>
    </row>
    <row r="21" spans="2:10">
      <c r="B21">
        <f t="shared" si="3"/>
        <v>170</v>
      </c>
      <c r="C21">
        <v>0</v>
      </c>
      <c r="D21">
        <v>100</v>
      </c>
      <c r="G21">
        <f t="shared" si="0"/>
        <v>0.48999999999999994</v>
      </c>
      <c r="I21">
        <f t="shared" si="1"/>
        <v>15.679999999999998</v>
      </c>
      <c r="J21">
        <f t="shared" si="2"/>
        <v>7.839999999999999</v>
      </c>
    </row>
    <row r="22" spans="2:10">
      <c r="B22">
        <f t="shared" si="3"/>
        <v>180</v>
      </c>
      <c r="C22">
        <v>0</v>
      </c>
      <c r="D22">
        <v>100</v>
      </c>
      <c r="G22">
        <f t="shared" si="0"/>
        <v>0.64000000000000012</v>
      </c>
      <c r="I22">
        <f t="shared" si="1"/>
        <v>20.480000000000004</v>
      </c>
      <c r="J22">
        <f t="shared" si="2"/>
        <v>10.240000000000002</v>
      </c>
    </row>
    <row r="23" spans="2:10">
      <c r="B23">
        <f t="shared" si="3"/>
        <v>190</v>
      </c>
      <c r="C23">
        <v>0</v>
      </c>
      <c r="D23">
        <v>100</v>
      </c>
      <c r="G23">
        <f t="shared" si="0"/>
        <v>0.80999999999999983</v>
      </c>
      <c r="I23">
        <f t="shared" si="1"/>
        <v>25.919999999999995</v>
      </c>
      <c r="J23">
        <f t="shared" si="2"/>
        <v>12.959999999999997</v>
      </c>
    </row>
    <row r="24" spans="2:10">
      <c r="B24">
        <f t="shared" si="3"/>
        <v>200</v>
      </c>
      <c r="C24">
        <v>0</v>
      </c>
      <c r="D24">
        <v>100</v>
      </c>
      <c r="G24">
        <f t="shared" si="0"/>
        <v>1</v>
      </c>
      <c r="I24">
        <f t="shared" si="1"/>
        <v>32</v>
      </c>
      <c r="J24">
        <f t="shared" si="2"/>
        <v>16</v>
      </c>
    </row>
    <row r="25" spans="2:10">
      <c r="B25">
        <f t="shared" si="3"/>
        <v>210</v>
      </c>
      <c r="C25">
        <v>0</v>
      </c>
      <c r="D25">
        <v>100</v>
      </c>
      <c r="G25">
        <f t="shared" ref="G25:G69" si="4">1- (B25-C25)/(D25-C25)</f>
        <v>-1.1000000000000001</v>
      </c>
      <c r="I25">
        <f t="shared" si="1"/>
        <v>-35.200000000000003</v>
      </c>
      <c r="J25">
        <f t="shared" si="2"/>
        <v>-17.600000000000001</v>
      </c>
    </row>
    <row r="26" spans="2:10">
      <c r="B26">
        <f t="shared" si="3"/>
        <v>220</v>
      </c>
      <c r="C26">
        <v>0</v>
      </c>
      <c r="D26">
        <v>100</v>
      </c>
      <c r="G26">
        <f t="shared" si="4"/>
        <v>-1.2000000000000002</v>
      </c>
      <c r="I26">
        <f t="shared" si="1"/>
        <v>-38.400000000000006</v>
      </c>
      <c r="J26">
        <f t="shared" si="2"/>
        <v>-19.200000000000003</v>
      </c>
    </row>
    <row r="27" spans="2:10">
      <c r="B27">
        <f t="shared" si="3"/>
        <v>230</v>
      </c>
      <c r="C27">
        <v>0</v>
      </c>
      <c r="D27">
        <v>100</v>
      </c>
      <c r="G27">
        <f t="shared" si="4"/>
        <v>-1.2999999999999998</v>
      </c>
      <c r="I27">
        <f t="shared" si="1"/>
        <v>-41.599999999999994</v>
      </c>
      <c r="J27">
        <f t="shared" si="2"/>
        <v>-20.799999999999997</v>
      </c>
    </row>
    <row r="28" spans="2:10">
      <c r="B28">
        <f t="shared" si="3"/>
        <v>240</v>
      </c>
      <c r="C28">
        <v>0</v>
      </c>
      <c r="D28">
        <v>100</v>
      </c>
      <c r="G28">
        <f t="shared" si="4"/>
        <v>-1.4</v>
      </c>
      <c r="I28">
        <f t="shared" si="1"/>
        <v>-44.8</v>
      </c>
      <c r="J28">
        <f t="shared" si="2"/>
        <v>-22.4</v>
      </c>
    </row>
    <row r="29" spans="2:10">
      <c r="B29">
        <f t="shared" si="3"/>
        <v>250</v>
      </c>
      <c r="C29">
        <v>0</v>
      </c>
      <c r="D29">
        <v>100</v>
      </c>
      <c r="G29">
        <f t="shared" si="4"/>
        <v>-1.5</v>
      </c>
      <c r="I29">
        <f t="shared" si="1"/>
        <v>-48</v>
      </c>
      <c r="J29">
        <f t="shared" si="2"/>
        <v>-24</v>
      </c>
    </row>
    <row r="30" spans="2:10">
      <c r="B30">
        <f t="shared" si="3"/>
        <v>260</v>
      </c>
      <c r="C30">
        <v>0</v>
      </c>
      <c r="D30">
        <v>100</v>
      </c>
      <c r="G30">
        <f t="shared" si="4"/>
        <v>-1.6</v>
      </c>
      <c r="I30">
        <f t="shared" si="1"/>
        <v>-51.2</v>
      </c>
      <c r="J30">
        <f t="shared" si="2"/>
        <v>-25.6</v>
      </c>
    </row>
    <row r="31" spans="2:10">
      <c r="B31">
        <f t="shared" si="3"/>
        <v>270</v>
      </c>
      <c r="C31">
        <v>0</v>
      </c>
      <c r="D31">
        <v>100</v>
      </c>
      <c r="G31">
        <f t="shared" si="4"/>
        <v>-1.7000000000000002</v>
      </c>
      <c r="I31">
        <f t="shared" si="1"/>
        <v>-54.400000000000006</v>
      </c>
      <c r="J31">
        <f t="shared" si="2"/>
        <v>-27.200000000000003</v>
      </c>
    </row>
    <row r="32" spans="2:10">
      <c r="B32">
        <f t="shared" si="3"/>
        <v>280</v>
      </c>
      <c r="C32">
        <v>0</v>
      </c>
      <c r="D32">
        <v>100</v>
      </c>
      <c r="G32">
        <f t="shared" si="4"/>
        <v>-1.7999999999999998</v>
      </c>
      <c r="I32">
        <f t="shared" si="1"/>
        <v>-57.599999999999994</v>
      </c>
      <c r="J32">
        <f t="shared" si="2"/>
        <v>-28.799999999999997</v>
      </c>
    </row>
    <row r="33" spans="2:10">
      <c r="B33">
        <f t="shared" si="3"/>
        <v>290</v>
      </c>
      <c r="C33">
        <v>0</v>
      </c>
      <c r="D33">
        <v>100</v>
      </c>
      <c r="G33">
        <f t="shared" si="4"/>
        <v>-1.9</v>
      </c>
      <c r="I33">
        <f t="shared" si="1"/>
        <v>-60.8</v>
      </c>
      <c r="J33">
        <f t="shared" si="2"/>
        <v>-30.4</v>
      </c>
    </row>
    <row r="34" spans="2:10">
      <c r="B34">
        <f t="shared" si="3"/>
        <v>300</v>
      </c>
      <c r="C34">
        <v>0</v>
      </c>
      <c r="D34">
        <v>100</v>
      </c>
      <c r="G34">
        <f t="shared" si="4"/>
        <v>-2</v>
      </c>
      <c r="I34">
        <f t="shared" si="1"/>
        <v>-64</v>
      </c>
      <c r="J34">
        <f t="shared" si="2"/>
        <v>-32</v>
      </c>
    </row>
    <row r="35" spans="2:10">
      <c r="B35">
        <f t="shared" si="3"/>
        <v>310</v>
      </c>
      <c r="C35">
        <v>0</v>
      </c>
      <c r="D35">
        <v>100</v>
      </c>
      <c r="G35">
        <f t="shared" si="4"/>
        <v>-2.1</v>
      </c>
      <c r="I35">
        <f t="shared" si="1"/>
        <v>-67.2</v>
      </c>
      <c r="J35">
        <f t="shared" si="2"/>
        <v>-33.6</v>
      </c>
    </row>
    <row r="36" spans="2:10">
      <c r="B36">
        <f t="shared" si="3"/>
        <v>320</v>
      </c>
      <c r="C36">
        <v>0</v>
      </c>
      <c r="D36">
        <v>100</v>
      </c>
      <c r="G36">
        <f t="shared" si="4"/>
        <v>-2.2000000000000002</v>
      </c>
      <c r="I36">
        <f t="shared" si="1"/>
        <v>-70.400000000000006</v>
      </c>
      <c r="J36">
        <f t="shared" si="2"/>
        <v>-35.200000000000003</v>
      </c>
    </row>
    <row r="37" spans="2:10">
      <c r="B37">
        <f t="shared" si="3"/>
        <v>330</v>
      </c>
      <c r="C37">
        <v>0</v>
      </c>
      <c r="D37">
        <v>100</v>
      </c>
      <c r="G37">
        <f t="shared" si="4"/>
        <v>-2.2999999999999998</v>
      </c>
      <c r="I37">
        <f t="shared" si="1"/>
        <v>-73.599999999999994</v>
      </c>
      <c r="J37">
        <f t="shared" si="2"/>
        <v>-36.799999999999997</v>
      </c>
    </row>
    <row r="38" spans="2:10">
      <c r="B38">
        <f t="shared" si="3"/>
        <v>340</v>
      </c>
      <c r="C38">
        <v>0</v>
      </c>
      <c r="D38">
        <v>100</v>
      </c>
      <c r="G38">
        <f t="shared" si="4"/>
        <v>-2.4</v>
      </c>
      <c r="I38">
        <f t="shared" si="1"/>
        <v>-76.8</v>
      </c>
      <c r="J38">
        <f t="shared" si="2"/>
        <v>-38.4</v>
      </c>
    </row>
    <row r="39" spans="2:10">
      <c r="B39">
        <f t="shared" si="3"/>
        <v>350</v>
      </c>
      <c r="C39">
        <v>0</v>
      </c>
      <c r="D39">
        <v>100</v>
      </c>
      <c r="G39">
        <f t="shared" si="4"/>
        <v>-2.5</v>
      </c>
      <c r="I39">
        <f t="shared" si="1"/>
        <v>-80</v>
      </c>
      <c r="J39">
        <f t="shared" si="2"/>
        <v>-40</v>
      </c>
    </row>
    <row r="40" spans="2:10">
      <c r="B40">
        <f t="shared" si="3"/>
        <v>360</v>
      </c>
      <c r="C40">
        <v>0</v>
      </c>
      <c r="D40">
        <v>100</v>
      </c>
      <c r="G40">
        <f t="shared" si="4"/>
        <v>-2.6</v>
      </c>
      <c r="I40">
        <f t="shared" si="1"/>
        <v>-83.2</v>
      </c>
      <c r="J40">
        <f t="shared" si="2"/>
        <v>-41.6</v>
      </c>
    </row>
    <row r="41" spans="2:10">
      <c r="B41">
        <f t="shared" si="3"/>
        <v>370</v>
      </c>
      <c r="C41">
        <v>0</v>
      </c>
      <c r="D41">
        <v>100</v>
      </c>
      <c r="G41">
        <f t="shared" si="4"/>
        <v>-2.7</v>
      </c>
      <c r="I41">
        <f t="shared" si="1"/>
        <v>-86.4</v>
      </c>
      <c r="J41">
        <f t="shared" si="2"/>
        <v>-43.2</v>
      </c>
    </row>
    <row r="42" spans="2:10">
      <c r="B42">
        <f t="shared" si="3"/>
        <v>380</v>
      </c>
      <c r="C42">
        <v>0</v>
      </c>
      <c r="D42">
        <v>100</v>
      </c>
      <c r="G42">
        <f t="shared" si="4"/>
        <v>-2.8</v>
      </c>
      <c r="I42">
        <f t="shared" si="1"/>
        <v>-89.6</v>
      </c>
      <c r="J42">
        <f t="shared" si="2"/>
        <v>-44.8</v>
      </c>
    </row>
    <row r="43" spans="2:10">
      <c r="B43">
        <f t="shared" si="3"/>
        <v>390</v>
      </c>
      <c r="C43">
        <v>0</v>
      </c>
      <c r="D43">
        <v>100</v>
      </c>
      <c r="G43">
        <f t="shared" si="4"/>
        <v>-2.9</v>
      </c>
      <c r="I43">
        <f t="shared" si="1"/>
        <v>-92.8</v>
      </c>
      <c r="J43">
        <f t="shared" si="2"/>
        <v>-46.4</v>
      </c>
    </row>
    <row r="44" spans="2:10">
      <c r="B44">
        <f t="shared" si="3"/>
        <v>400</v>
      </c>
      <c r="C44">
        <v>0</v>
      </c>
      <c r="D44">
        <v>100</v>
      </c>
      <c r="G44">
        <f t="shared" si="4"/>
        <v>-3</v>
      </c>
      <c r="I44">
        <f t="shared" si="1"/>
        <v>-96</v>
      </c>
      <c r="J44">
        <f t="shared" si="2"/>
        <v>-48</v>
      </c>
    </row>
    <row r="45" spans="2:10">
      <c r="B45">
        <f t="shared" si="3"/>
        <v>410</v>
      </c>
      <c r="C45">
        <v>0</v>
      </c>
      <c r="D45">
        <v>100</v>
      </c>
      <c r="G45">
        <f t="shared" si="4"/>
        <v>-3.0999999999999996</v>
      </c>
      <c r="I45">
        <f t="shared" si="1"/>
        <v>-99.199999999999989</v>
      </c>
      <c r="J45">
        <f t="shared" si="2"/>
        <v>-49.599999999999994</v>
      </c>
    </row>
    <row r="46" spans="2:10">
      <c r="B46">
        <f t="shared" si="3"/>
        <v>420</v>
      </c>
      <c r="C46">
        <v>0</v>
      </c>
      <c r="D46">
        <v>100</v>
      </c>
      <c r="G46">
        <f t="shared" si="4"/>
        <v>-3.2</v>
      </c>
      <c r="I46">
        <f t="shared" si="1"/>
        <v>-102.4</v>
      </c>
      <c r="J46">
        <f t="shared" si="2"/>
        <v>-51.2</v>
      </c>
    </row>
    <row r="47" spans="2:10">
      <c r="B47">
        <f t="shared" si="3"/>
        <v>430</v>
      </c>
      <c r="C47">
        <v>0</v>
      </c>
      <c r="D47">
        <v>100</v>
      </c>
      <c r="G47">
        <f t="shared" si="4"/>
        <v>-3.3</v>
      </c>
      <c r="I47">
        <f t="shared" si="1"/>
        <v>-105.6</v>
      </c>
      <c r="J47">
        <f t="shared" si="2"/>
        <v>-52.8</v>
      </c>
    </row>
    <row r="48" spans="2:10">
      <c r="B48">
        <f t="shared" si="3"/>
        <v>440</v>
      </c>
      <c r="C48">
        <v>0</v>
      </c>
      <c r="D48">
        <v>100</v>
      </c>
      <c r="G48">
        <f t="shared" si="4"/>
        <v>-3.4000000000000004</v>
      </c>
      <c r="I48">
        <f t="shared" si="1"/>
        <v>-108.80000000000001</v>
      </c>
      <c r="J48">
        <f t="shared" si="2"/>
        <v>-54.400000000000006</v>
      </c>
    </row>
    <row r="49" spans="2:10">
      <c r="B49">
        <f t="shared" si="3"/>
        <v>450</v>
      </c>
      <c r="C49">
        <v>0</v>
      </c>
      <c r="D49">
        <v>100</v>
      </c>
      <c r="G49">
        <f t="shared" si="4"/>
        <v>-3.5</v>
      </c>
      <c r="I49">
        <f t="shared" si="1"/>
        <v>-112</v>
      </c>
      <c r="J49">
        <f t="shared" si="2"/>
        <v>-56</v>
      </c>
    </row>
    <row r="50" spans="2:10">
      <c r="B50">
        <f t="shared" si="3"/>
        <v>460</v>
      </c>
      <c r="C50">
        <v>0</v>
      </c>
      <c r="D50">
        <v>100</v>
      </c>
      <c r="G50">
        <f t="shared" si="4"/>
        <v>-3.5999999999999996</v>
      </c>
      <c r="I50">
        <f t="shared" si="1"/>
        <v>-115.19999999999999</v>
      </c>
      <c r="J50">
        <f t="shared" si="2"/>
        <v>-57.599999999999994</v>
      </c>
    </row>
    <row r="51" spans="2:10">
      <c r="B51">
        <f t="shared" si="3"/>
        <v>470</v>
      </c>
      <c r="C51">
        <v>0</v>
      </c>
      <c r="D51">
        <v>100</v>
      </c>
      <c r="G51">
        <f t="shared" si="4"/>
        <v>-3.7</v>
      </c>
      <c r="I51">
        <f t="shared" si="1"/>
        <v>-118.4</v>
      </c>
      <c r="J51">
        <f t="shared" si="2"/>
        <v>-59.2</v>
      </c>
    </row>
    <row r="52" spans="2:10">
      <c r="B52">
        <f t="shared" si="3"/>
        <v>480</v>
      </c>
      <c r="C52">
        <v>0</v>
      </c>
      <c r="D52">
        <v>100</v>
      </c>
      <c r="G52">
        <f t="shared" si="4"/>
        <v>-3.8</v>
      </c>
      <c r="I52">
        <f t="shared" si="1"/>
        <v>-121.6</v>
      </c>
      <c r="J52">
        <f t="shared" si="2"/>
        <v>-60.8</v>
      </c>
    </row>
    <row r="53" spans="2:10">
      <c r="B53">
        <f t="shared" si="3"/>
        <v>490</v>
      </c>
      <c r="C53">
        <v>0</v>
      </c>
      <c r="D53">
        <v>100</v>
      </c>
      <c r="G53">
        <f t="shared" si="4"/>
        <v>-3.9000000000000004</v>
      </c>
      <c r="I53">
        <f t="shared" si="1"/>
        <v>-124.80000000000001</v>
      </c>
      <c r="J53">
        <f t="shared" si="2"/>
        <v>-62.400000000000006</v>
      </c>
    </row>
    <row r="54" spans="2:10">
      <c r="B54">
        <f t="shared" si="3"/>
        <v>500</v>
      </c>
      <c r="C54">
        <v>0</v>
      </c>
      <c r="D54">
        <v>100</v>
      </c>
      <c r="G54">
        <f t="shared" si="4"/>
        <v>-4</v>
      </c>
      <c r="I54">
        <f t="shared" si="1"/>
        <v>-128</v>
      </c>
      <c r="J54">
        <f t="shared" si="2"/>
        <v>-64</v>
      </c>
    </row>
    <row r="55" spans="2:10">
      <c r="B55">
        <f t="shared" si="3"/>
        <v>510</v>
      </c>
      <c r="C55">
        <v>0</v>
      </c>
      <c r="D55">
        <v>100</v>
      </c>
      <c r="G55">
        <f t="shared" si="4"/>
        <v>-4.0999999999999996</v>
      </c>
      <c r="I55">
        <f t="shared" si="1"/>
        <v>-131.19999999999999</v>
      </c>
      <c r="J55">
        <f t="shared" si="2"/>
        <v>-65.599999999999994</v>
      </c>
    </row>
    <row r="56" spans="2:10">
      <c r="B56">
        <f t="shared" si="3"/>
        <v>520</v>
      </c>
      <c r="C56">
        <v>0</v>
      </c>
      <c r="D56">
        <v>100</v>
      </c>
      <c r="G56">
        <f t="shared" si="4"/>
        <v>-4.2</v>
      </c>
      <c r="I56">
        <f t="shared" si="1"/>
        <v>-134.4</v>
      </c>
      <c r="J56">
        <f t="shared" si="2"/>
        <v>-67.2</v>
      </c>
    </row>
    <row r="57" spans="2:10">
      <c r="B57">
        <f t="shared" si="3"/>
        <v>530</v>
      </c>
      <c r="C57">
        <v>0</v>
      </c>
      <c r="D57">
        <v>100</v>
      </c>
      <c r="G57">
        <f t="shared" si="4"/>
        <v>-4.3</v>
      </c>
      <c r="I57">
        <f t="shared" si="1"/>
        <v>-137.6</v>
      </c>
      <c r="J57">
        <f t="shared" si="2"/>
        <v>-68.8</v>
      </c>
    </row>
    <row r="58" spans="2:10">
      <c r="B58">
        <f t="shared" si="3"/>
        <v>540</v>
      </c>
      <c r="C58">
        <v>0</v>
      </c>
      <c r="D58">
        <v>100</v>
      </c>
      <c r="G58">
        <f t="shared" si="4"/>
        <v>-4.4000000000000004</v>
      </c>
      <c r="I58">
        <f t="shared" si="1"/>
        <v>-140.80000000000001</v>
      </c>
      <c r="J58">
        <f t="shared" si="2"/>
        <v>-70.400000000000006</v>
      </c>
    </row>
    <row r="59" spans="2:10">
      <c r="B59">
        <f t="shared" si="3"/>
        <v>550</v>
      </c>
      <c r="C59">
        <v>0</v>
      </c>
      <c r="D59">
        <v>100</v>
      </c>
      <c r="G59">
        <f t="shared" si="4"/>
        <v>-4.5</v>
      </c>
      <c r="I59">
        <f t="shared" si="1"/>
        <v>-144</v>
      </c>
      <c r="J59">
        <f t="shared" si="2"/>
        <v>-72</v>
      </c>
    </row>
    <row r="60" spans="2:10">
      <c r="B60">
        <f t="shared" si="3"/>
        <v>560</v>
      </c>
      <c r="C60">
        <v>0</v>
      </c>
      <c r="D60">
        <v>100</v>
      </c>
      <c r="G60">
        <f t="shared" si="4"/>
        <v>-4.5999999999999996</v>
      </c>
      <c r="I60">
        <f t="shared" si="1"/>
        <v>-147.19999999999999</v>
      </c>
      <c r="J60">
        <f t="shared" si="2"/>
        <v>-73.599999999999994</v>
      </c>
    </row>
    <row r="61" spans="2:10">
      <c r="B61">
        <f t="shared" si="3"/>
        <v>570</v>
      </c>
      <c r="C61">
        <v>0</v>
      </c>
      <c r="D61">
        <v>100</v>
      </c>
      <c r="G61">
        <f t="shared" si="4"/>
        <v>-4.7</v>
      </c>
      <c r="I61">
        <f t="shared" si="1"/>
        <v>-150.4</v>
      </c>
      <c r="J61">
        <f t="shared" si="2"/>
        <v>-75.2</v>
      </c>
    </row>
    <row r="62" spans="2:10">
      <c r="B62">
        <f t="shared" si="3"/>
        <v>580</v>
      </c>
      <c r="C62">
        <v>0</v>
      </c>
      <c r="D62">
        <v>100</v>
      </c>
      <c r="G62">
        <f t="shared" si="4"/>
        <v>-4.8</v>
      </c>
      <c r="I62">
        <f t="shared" si="1"/>
        <v>-153.6</v>
      </c>
      <c r="J62">
        <f t="shared" si="2"/>
        <v>-76.8</v>
      </c>
    </row>
    <row r="63" spans="2:10">
      <c r="B63">
        <f t="shared" si="3"/>
        <v>590</v>
      </c>
      <c r="C63">
        <v>0</v>
      </c>
      <c r="D63">
        <v>100</v>
      </c>
      <c r="G63">
        <f t="shared" si="4"/>
        <v>-4.9000000000000004</v>
      </c>
      <c r="I63">
        <f t="shared" si="1"/>
        <v>-156.80000000000001</v>
      </c>
      <c r="J63">
        <f t="shared" si="2"/>
        <v>-78.400000000000006</v>
      </c>
    </row>
    <row r="64" spans="2:10">
      <c r="B64">
        <f t="shared" si="3"/>
        <v>600</v>
      </c>
      <c r="C64">
        <v>0</v>
      </c>
      <c r="D64">
        <v>100</v>
      </c>
      <c r="G64">
        <f t="shared" si="4"/>
        <v>-5</v>
      </c>
      <c r="I64">
        <f t="shared" si="1"/>
        <v>-160</v>
      </c>
      <c r="J64">
        <f t="shared" si="2"/>
        <v>-80</v>
      </c>
    </row>
    <row r="65" spans="2:10">
      <c r="B65">
        <f t="shared" si="3"/>
        <v>610</v>
      </c>
      <c r="C65">
        <v>0</v>
      </c>
      <c r="D65">
        <v>100</v>
      </c>
      <c r="G65">
        <f t="shared" si="4"/>
        <v>-5.0999999999999996</v>
      </c>
      <c r="I65">
        <f t="shared" si="1"/>
        <v>-163.19999999999999</v>
      </c>
      <c r="J65">
        <f t="shared" si="2"/>
        <v>-81.599999999999994</v>
      </c>
    </row>
    <row r="66" spans="2:10">
      <c r="B66">
        <f t="shared" si="3"/>
        <v>620</v>
      </c>
      <c r="C66">
        <v>0</v>
      </c>
      <c r="D66">
        <v>100</v>
      </c>
      <c r="G66">
        <f t="shared" si="4"/>
        <v>-5.2</v>
      </c>
      <c r="I66">
        <f t="shared" si="1"/>
        <v>-166.4</v>
      </c>
      <c r="J66">
        <f t="shared" si="2"/>
        <v>-83.2</v>
      </c>
    </row>
    <row r="67" spans="2:10">
      <c r="B67">
        <f t="shared" si="3"/>
        <v>630</v>
      </c>
      <c r="C67">
        <v>0</v>
      </c>
      <c r="D67">
        <v>100</v>
      </c>
      <c r="G67">
        <f t="shared" si="4"/>
        <v>-5.3</v>
      </c>
      <c r="I67">
        <f t="shared" si="1"/>
        <v>-169.6</v>
      </c>
      <c r="J67">
        <f t="shared" si="2"/>
        <v>-84.8</v>
      </c>
    </row>
    <row r="68" spans="2:10">
      <c r="B68">
        <f t="shared" si="3"/>
        <v>640</v>
      </c>
      <c r="C68">
        <v>0</v>
      </c>
      <c r="D68">
        <v>100</v>
      </c>
      <c r="G68">
        <f t="shared" si="4"/>
        <v>-5.4</v>
      </c>
      <c r="I68">
        <f t="shared" si="1"/>
        <v>-172.8</v>
      </c>
      <c r="J68">
        <f t="shared" si="2"/>
        <v>-86.4</v>
      </c>
    </row>
    <row r="69" spans="2:10">
      <c r="B69">
        <f t="shared" si="3"/>
        <v>650</v>
      </c>
      <c r="C69">
        <v>0</v>
      </c>
      <c r="D69">
        <v>100</v>
      </c>
      <c r="G69">
        <f t="shared" si="4"/>
        <v>-5.5</v>
      </c>
      <c r="I69">
        <f t="shared" si="1"/>
        <v>-176</v>
      </c>
      <c r="J69">
        <f t="shared" si="2"/>
        <v>-88</v>
      </c>
    </row>
    <row r="70" spans="2:10">
      <c r="B70">
        <f t="shared" si="3"/>
        <v>660</v>
      </c>
      <c r="C70">
        <v>0</v>
      </c>
      <c r="D70">
        <v>100</v>
      </c>
      <c r="G70">
        <f t="shared" ref="G70:G107" si="5">1- (B70-C70)/(D70-C70)</f>
        <v>-5.6</v>
      </c>
      <c r="I70">
        <f t="shared" ref="I70:I107" si="6">G70*$G$3</f>
        <v>-179.2</v>
      </c>
      <c r="J70">
        <f t="shared" ref="J70:J107" si="7">I70*$J$3</f>
        <v>-89.6</v>
      </c>
    </row>
    <row r="71" spans="2:10">
      <c r="B71">
        <f t="shared" ref="B71:B107" si="8">B70+10</f>
        <v>670</v>
      </c>
      <c r="C71">
        <v>0</v>
      </c>
      <c r="D71">
        <v>100</v>
      </c>
      <c r="G71">
        <f t="shared" si="5"/>
        <v>-5.7</v>
      </c>
      <c r="I71">
        <f t="shared" si="6"/>
        <v>-182.4</v>
      </c>
      <c r="J71">
        <f t="shared" si="7"/>
        <v>-91.2</v>
      </c>
    </row>
    <row r="72" spans="2:10">
      <c r="B72">
        <f t="shared" si="8"/>
        <v>680</v>
      </c>
      <c r="C72">
        <v>0</v>
      </c>
      <c r="D72">
        <v>100</v>
      </c>
      <c r="G72">
        <f t="shared" si="5"/>
        <v>-5.8</v>
      </c>
      <c r="I72">
        <f t="shared" si="6"/>
        <v>-185.6</v>
      </c>
      <c r="J72">
        <f t="shared" si="7"/>
        <v>-92.8</v>
      </c>
    </row>
    <row r="73" spans="2:10">
      <c r="B73">
        <f t="shared" si="8"/>
        <v>690</v>
      </c>
      <c r="C73">
        <v>0</v>
      </c>
      <c r="D73">
        <v>100</v>
      </c>
      <c r="G73">
        <f t="shared" si="5"/>
        <v>-5.9</v>
      </c>
      <c r="I73">
        <f t="shared" si="6"/>
        <v>-188.8</v>
      </c>
      <c r="J73">
        <f t="shared" si="7"/>
        <v>-94.4</v>
      </c>
    </row>
    <row r="74" spans="2:10">
      <c r="B74">
        <f t="shared" si="8"/>
        <v>700</v>
      </c>
      <c r="C74">
        <v>0</v>
      </c>
      <c r="D74">
        <v>100</v>
      </c>
      <c r="G74">
        <f t="shared" si="5"/>
        <v>-6</v>
      </c>
      <c r="I74">
        <f t="shared" si="6"/>
        <v>-192</v>
      </c>
      <c r="J74">
        <f t="shared" si="7"/>
        <v>-96</v>
      </c>
    </row>
    <row r="75" spans="2:10">
      <c r="B75">
        <f t="shared" si="8"/>
        <v>710</v>
      </c>
      <c r="C75">
        <v>0</v>
      </c>
      <c r="D75">
        <v>100</v>
      </c>
      <c r="G75">
        <f t="shared" si="5"/>
        <v>-6.1</v>
      </c>
      <c r="I75">
        <f t="shared" si="6"/>
        <v>-195.2</v>
      </c>
      <c r="J75">
        <f t="shared" si="7"/>
        <v>-97.6</v>
      </c>
    </row>
    <row r="76" spans="2:10">
      <c r="B76">
        <f t="shared" si="8"/>
        <v>720</v>
      </c>
      <c r="C76">
        <v>0</v>
      </c>
      <c r="D76">
        <v>100</v>
      </c>
      <c r="G76">
        <f t="shared" si="5"/>
        <v>-6.2</v>
      </c>
      <c r="I76">
        <f t="shared" si="6"/>
        <v>-198.4</v>
      </c>
      <c r="J76">
        <f t="shared" si="7"/>
        <v>-99.2</v>
      </c>
    </row>
    <row r="77" spans="2:10">
      <c r="B77">
        <f t="shared" si="8"/>
        <v>730</v>
      </c>
      <c r="C77">
        <v>0</v>
      </c>
      <c r="D77">
        <v>100</v>
      </c>
      <c r="G77">
        <f t="shared" si="5"/>
        <v>-6.3</v>
      </c>
      <c r="I77">
        <f t="shared" si="6"/>
        <v>-201.6</v>
      </c>
      <c r="J77">
        <f t="shared" si="7"/>
        <v>-100.8</v>
      </c>
    </row>
    <row r="78" spans="2:10">
      <c r="B78">
        <f t="shared" si="8"/>
        <v>740</v>
      </c>
      <c r="C78">
        <v>0</v>
      </c>
      <c r="D78">
        <v>100</v>
      </c>
      <c r="G78">
        <f t="shared" si="5"/>
        <v>-6.4</v>
      </c>
      <c r="I78">
        <f t="shared" si="6"/>
        <v>-204.8</v>
      </c>
      <c r="J78">
        <f t="shared" si="7"/>
        <v>-102.4</v>
      </c>
    </row>
    <row r="79" spans="2:10">
      <c r="B79">
        <f t="shared" si="8"/>
        <v>750</v>
      </c>
      <c r="C79">
        <v>0</v>
      </c>
      <c r="D79">
        <v>100</v>
      </c>
      <c r="G79">
        <f t="shared" si="5"/>
        <v>-6.5</v>
      </c>
      <c r="I79">
        <f t="shared" si="6"/>
        <v>-208</v>
      </c>
      <c r="J79">
        <f t="shared" si="7"/>
        <v>-104</v>
      </c>
    </row>
    <row r="80" spans="2:10">
      <c r="B80">
        <f t="shared" si="8"/>
        <v>760</v>
      </c>
      <c r="C80">
        <v>0</v>
      </c>
      <c r="D80">
        <v>100</v>
      </c>
      <c r="G80">
        <f t="shared" si="5"/>
        <v>-6.6</v>
      </c>
      <c r="I80">
        <f t="shared" si="6"/>
        <v>-211.2</v>
      </c>
      <c r="J80">
        <f t="shared" si="7"/>
        <v>-105.6</v>
      </c>
    </row>
    <row r="81" spans="2:10">
      <c r="B81">
        <f t="shared" si="8"/>
        <v>770</v>
      </c>
      <c r="C81">
        <v>0</v>
      </c>
      <c r="D81">
        <v>100</v>
      </c>
      <c r="G81">
        <f t="shared" si="5"/>
        <v>-6.7</v>
      </c>
      <c r="I81">
        <f t="shared" si="6"/>
        <v>-214.4</v>
      </c>
      <c r="J81">
        <f t="shared" si="7"/>
        <v>-107.2</v>
      </c>
    </row>
    <row r="82" spans="2:10">
      <c r="B82">
        <f t="shared" si="8"/>
        <v>780</v>
      </c>
      <c r="C82">
        <v>0</v>
      </c>
      <c r="D82">
        <v>100</v>
      </c>
      <c r="G82">
        <f t="shared" si="5"/>
        <v>-6.8</v>
      </c>
      <c r="I82">
        <f t="shared" si="6"/>
        <v>-217.6</v>
      </c>
      <c r="J82">
        <f t="shared" si="7"/>
        <v>-108.8</v>
      </c>
    </row>
    <row r="83" spans="2:10">
      <c r="B83">
        <f t="shared" si="8"/>
        <v>790</v>
      </c>
      <c r="C83">
        <v>0</v>
      </c>
      <c r="D83">
        <v>100</v>
      </c>
      <c r="G83">
        <f t="shared" si="5"/>
        <v>-6.9</v>
      </c>
      <c r="I83">
        <f t="shared" si="6"/>
        <v>-220.8</v>
      </c>
      <c r="J83">
        <f t="shared" si="7"/>
        <v>-110.4</v>
      </c>
    </row>
    <row r="84" spans="2:10">
      <c r="B84">
        <f t="shared" si="8"/>
        <v>800</v>
      </c>
      <c r="C84">
        <v>0</v>
      </c>
      <c r="D84">
        <v>100</v>
      </c>
      <c r="G84">
        <f t="shared" si="5"/>
        <v>-7</v>
      </c>
      <c r="I84">
        <f t="shared" si="6"/>
        <v>-224</v>
      </c>
      <c r="J84">
        <f t="shared" si="7"/>
        <v>-112</v>
      </c>
    </row>
    <row r="85" spans="2:10">
      <c r="B85">
        <f t="shared" si="8"/>
        <v>810</v>
      </c>
      <c r="C85">
        <v>0</v>
      </c>
      <c r="D85">
        <v>100</v>
      </c>
      <c r="G85">
        <f t="shared" si="5"/>
        <v>-7.1</v>
      </c>
      <c r="I85">
        <f t="shared" si="6"/>
        <v>-227.2</v>
      </c>
      <c r="J85">
        <f t="shared" si="7"/>
        <v>-113.6</v>
      </c>
    </row>
    <row r="86" spans="2:10">
      <c r="B86">
        <f t="shared" si="8"/>
        <v>820</v>
      </c>
      <c r="C86">
        <v>0</v>
      </c>
      <c r="D86">
        <v>100</v>
      </c>
      <c r="G86">
        <f t="shared" si="5"/>
        <v>-7.1999999999999993</v>
      </c>
      <c r="I86">
        <f t="shared" si="6"/>
        <v>-230.39999999999998</v>
      </c>
      <c r="J86">
        <f t="shared" si="7"/>
        <v>-115.19999999999999</v>
      </c>
    </row>
    <row r="87" spans="2:10">
      <c r="B87">
        <f t="shared" si="8"/>
        <v>830</v>
      </c>
      <c r="C87">
        <v>0</v>
      </c>
      <c r="D87">
        <v>100</v>
      </c>
      <c r="G87">
        <f t="shared" si="5"/>
        <v>-7.3000000000000007</v>
      </c>
      <c r="I87">
        <f t="shared" si="6"/>
        <v>-233.60000000000002</v>
      </c>
      <c r="J87">
        <f t="shared" si="7"/>
        <v>-116.80000000000001</v>
      </c>
    </row>
    <row r="88" spans="2:10">
      <c r="B88">
        <f t="shared" si="8"/>
        <v>840</v>
      </c>
      <c r="C88">
        <v>0</v>
      </c>
      <c r="D88">
        <v>100</v>
      </c>
      <c r="G88">
        <f t="shared" si="5"/>
        <v>-7.4</v>
      </c>
      <c r="I88">
        <f t="shared" si="6"/>
        <v>-236.8</v>
      </c>
      <c r="J88">
        <f t="shared" si="7"/>
        <v>-118.4</v>
      </c>
    </row>
    <row r="89" spans="2:10">
      <c r="B89">
        <f t="shared" si="8"/>
        <v>850</v>
      </c>
      <c r="C89">
        <v>0</v>
      </c>
      <c r="D89">
        <v>100</v>
      </c>
      <c r="G89">
        <f t="shared" si="5"/>
        <v>-7.5</v>
      </c>
      <c r="I89">
        <f t="shared" si="6"/>
        <v>-240</v>
      </c>
      <c r="J89">
        <f t="shared" si="7"/>
        <v>-120</v>
      </c>
    </row>
    <row r="90" spans="2:10">
      <c r="B90">
        <f t="shared" si="8"/>
        <v>860</v>
      </c>
      <c r="C90">
        <v>0</v>
      </c>
      <c r="D90">
        <v>100</v>
      </c>
      <c r="G90">
        <f t="shared" si="5"/>
        <v>-7.6</v>
      </c>
      <c r="I90">
        <f t="shared" si="6"/>
        <v>-243.2</v>
      </c>
      <c r="J90">
        <f t="shared" si="7"/>
        <v>-121.6</v>
      </c>
    </row>
    <row r="91" spans="2:10">
      <c r="B91">
        <f t="shared" si="8"/>
        <v>870</v>
      </c>
      <c r="C91">
        <v>0</v>
      </c>
      <c r="D91">
        <v>100</v>
      </c>
      <c r="G91">
        <f t="shared" si="5"/>
        <v>-7.6999999999999993</v>
      </c>
      <c r="I91">
        <f t="shared" si="6"/>
        <v>-246.39999999999998</v>
      </c>
      <c r="J91">
        <f t="shared" si="7"/>
        <v>-123.19999999999999</v>
      </c>
    </row>
    <row r="92" spans="2:10">
      <c r="B92">
        <f t="shared" si="8"/>
        <v>880</v>
      </c>
      <c r="C92">
        <v>0</v>
      </c>
      <c r="D92">
        <v>100</v>
      </c>
      <c r="G92">
        <f t="shared" si="5"/>
        <v>-7.8000000000000007</v>
      </c>
      <c r="I92">
        <f t="shared" si="6"/>
        <v>-249.60000000000002</v>
      </c>
      <c r="J92">
        <f t="shared" si="7"/>
        <v>-124.80000000000001</v>
      </c>
    </row>
    <row r="93" spans="2:10">
      <c r="B93">
        <f t="shared" si="8"/>
        <v>890</v>
      </c>
      <c r="C93">
        <v>0</v>
      </c>
      <c r="D93">
        <v>100</v>
      </c>
      <c r="G93">
        <f t="shared" si="5"/>
        <v>-7.9</v>
      </c>
      <c r="I93">
        <f t="shared" si="6"/>
        <v>-252.8</v>
      </c>
      <c r="J93">
        <f t="shared" si="7"/>
        <v>-126.4</v>
      </c>
    </row>
    <row r="94" spans="2:10">
      <c r="B94">
        <f t="shared" si="8"/>
        <v>900</v>
      </c>
      <c r="C94">
        <v>0</v>
      </c>
      <c r="D94">
        <v>100</v>
      </c>
      <c r="G94">
        <f t="shared" si="5"/>
        <v>-8</v>
      </c>
      <c r="I94">
        <f t="shared" si="6"/>
        <v>-256</v>
      </c>
      <c r="J94">
        <f t="shared" si="7"/>
        <v>-128</v>
      </c>
    </row>
    <row r="95" spans="2:10">
      <c r="B95">
        <f t="shared" si="8"/>
        <v>910</v>
      </c>
      <c r="C95">
        <v>0</v>
      </c>
      <c r="D95">
        <v>100</v>
      </c>
      <c r="G95">
        <f t="shared" si="5"/>
        <v>-8.1</v>
      </c>
      <c r="I95">
        <f t="shared" si="6"/>
        <v>-259.2</v>
      </c>
      <c r="J95">
        <f t="shared" si="7"/>
        <v>-129.6</v>
      </c>
    </row>
    <row r="96" spans="2:10">
      <c r="B96">
        <f t="shared" si="8"/>
        <v>920</v>
      </c>
      <c r="C96">
        <v>0</v>
      </c>
      <c r="D96">
        <v>100</v>
      </c>
      <c r="G96">
        <f t="shared" si="5"/>
        <v>-8.1999999999999993</v>
      </c>
      <c r="I96">
        <f t="shared" si="6"/>
        <v>-262.39999999999998</v>
      </c>
      <c r="J96">
        <f t="shared" si="7"/>
        <v>-131.19999999999999</v>
      </c>
    </row>
    <row r="97" spans="2:10">
      <c r="B97">
        <f t="shared" si="8"/>
        <v>930</v>
      </c>
      <c r="C97">
        <v>0</v>
      </c>
      <c r="D97">
        <v>100</v>
      </c>
      <c r="G97">
        <f t="shared" si="5"/>
        <v>-8.3000000000000007</v>
      </c>
      <c r="I97">
        <f t="shared" si="6"/>
        <v>-265.60000000000002</v>
      </c>
      <c r="J97">
        <f t="shared" si="7"/>
        <v>-132.80000000000001</v>
      </c>
    </row>
    <row r="98" spans="2:10">
      <c r="B98">
        <f t="shared" si="8"/>
        <v>940</v>
      </c>
      <c r="C98">
        <v>0</v>
      </c>
      <c r="D98">
        <v>100</v>
      </c>
      <c r="G98">
        <f t="shared" si="5"/>
        <v>-8.4</v>
      </c>
      <c r="I98">
        <f t="shared" si="6"/>
        <v>-268.8</v>
      </c>
      <c r="J98">
        <f t="shared" si="7"/>
        <v>-134.4</v>
      </c>
    </row>
    <row r="99" spans="2:10">
      <c r="B99">
        <f t="shared" si="8"/>
        <v>950</v>
      </c>
      <c r="C99">
        <v>0</v>
      </c>
      <c r="D99">
        <v>100</v>
      </c>
      <c r="G99">
        <f t="shared" si="5"/>
        <v>-8.5</v>
      </c>
      <c r="I99">
        <f t="shared" si="6"/>
        <v>-272</v>
      </c>
      <c r="J99">
        <f t="shared" si="7"/>
        <v>-136</v>
      </c>
    </row>
    <row r="100" spans="2:10">
      <c r="B100">
        <f t="shared" si="8"/>
        <v>960</v>
      </c>
      <c r="C100">
        <v>0</v>
      </c>
      <c r="D100">
        <v>100</v>
      </c>
      <c r="G100">
        <f t="shared" si="5"/>
        <v>-8.6</v>
      </c>
      <c r="I100">
        <f t="shared" si="6"/>
        <v>-275.2</v>
      </c>
      <c r="J100">
        <f t="shared" si="7"/>
        <v>-137.6</v>
      </c>
    </row>
    <row r="101" spans="2:10">
      <c r="B101">
        <f t="shared" si="8"/>
        <v>970</v>
      </c>
      <c r="C101">
        <v>0</v>
      </c>
      <c r="D101">
        <v>100</v>
      </c>
      <c r="G101">
        <f t="shared" si="5"/>
        <v>-8.6999999999999993</v>
      </c>
      <c r="I101">
        <f t="shared" si="6"/>
        <v>-278.39999999999998</v>
      </c>
      <c r="J101">
        <f t="shared" si="7"/>
        <v>-139.19999999999999</v>
      </c>
    </row>
    <row r="102" spans="2:10">
      <c r="B102">
        <f t="shared" si="8"/>
        <v>980</v>
      </c>
      <c r="C102">
        <v>0</v>
      </c>
      <c r="D102">
        <v>100</v>
      </c>
      <c r="G102">
        <f t="shared" si="5"/>
        <v>-8.8000000000000007</v>
      </c>
      <c r="I102">
        <f t="shared" si="6"/>
        <v>-281.60000000000002</v>
      </c>
      <c r="J102">
        <f t="shared" si="7"/>
        <v>-140.80000000000001</v>
      </c>
    </row>
    <row r="103" spans="2:10">
      <c r="B103">
        <f t="shared" si="8"/>
        <v>990</v>
      </c>
      <c r="C103">
        <v>0</v>
      </c>
      <c r="D103">
        <v>100</v>
      </c>
      <c r="G103">
        <f t="shared" si="5"/>
        <v>-8.9</v>
      </c>
      <c r="I103">
        <f t="shared" si="6"/>
        <v>-284.8</v>
      </c>
      <c r="J103">
        <f t="shared" si="7"/>
        <v>-142.4</v>
      </c>
    </row>
    <row r="104" spans="2:10">
      <c r="B104">
        <f t="shared" si="8"/>
        <v>1000</v>
      </c>
      <c r="C104">
        <v>0</v>
      </c>
      <c r="D104">
        <v>100</v>
      </c>
      <c r="G104">
        <f t="shared" si="5"/>
        <v>-9</v>
      </c>
      <c r="I104">
        <f t="shared" si="6"/>
        <v>-288</v>
      </c>
      <c r="J104">
        <f t="shared" si="7"/>
        <v>-144</v>
      </c>
    </row>
    <row r="105" spans="2:10">
      <c r="B105">
        <f t="shared" si="8"/>
        <v>1010</v>
      </c>
      <c r="C105">
        <v>0</v>
      </c>
      <c r="D105">
        <v>100</v>
      </c>
      <c r="G105">
        <f t="shared" si="5"/>
        <v>-9.1</v>
      </c>
      <c r="I105">
        <f t="shared" si="6"/>
        <v>-291.2</v>
      </c>
      <c r="J105">
        <f t="shared" si="7"/>
        <v>-145.6</v>
      </c>
    </row>
    <row r="106" spans="2:10">
      <c r="B106">
        <f t="shared" si="8"/>
        <v>1020</v>
      </c>
      <c r="C106">
        <v>0</v>
      </c>
      <c r="D106">
        <v>100</v>
      </c>
      <c r="G106">
        <f t="shared" si="5"/>
        <v>-9.1999999999999993</v>
      </c>
      <c r="I106">
        <f t="shared" si="6"/>
        <v>-294.39999999999998</v>
      </c>
      <c r="J106">
        <f t="shared" si="7"/>
        <v>-147.19999999999999</v>
      </c>
    </row>
    <row r="107" spans="2:10">
      <c r="B107">
        <f t="shared" si="8"/>
        <v>1030</v>
      </c>
      <c r="C107">
        <v>0</v>
      </c>
      <c r="D107">
        <v>100</v>
      </c>
      <c r="G107">
        <f t="shared" si="5"/>
        <v>-9.3000000000000007</v>
      </c>
      <c r="I107">
        <f t="shared" si="6"/>
        <v>-297.60000000000002</v>
      </c>
      <c r="J107">
        <f t="shared" si="7"/>
        <v>-148.80000000000001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3:C6"/>
  <sheetViews>
    <sheetView workbookViewId="0">
      <selection activeCell="B6" sqref="B6"/>
    </sheetView>
  </sheetViews>
  <sheetFormatPr defaultRowHeight="15"/>
  <sheetData>
    <row r="3" spans="1:3">
      <c r="B3">
        <v>6076.11</v>
      </c>
      <c r="C3">
        <v>3600</v>
      </c>
    </row>
    <row r="4" spans="1:3">
      <c r="A4">
        <v>461</v>
      </c>
      <c r="B4">
        <f>A4/B3*C3</f>
        <v>273.13527898606179</v>
      </c>
    </row>
    <row r="6" spans="1:3">
      <c r="B6">
        <v>1.68780986</v>
      </c>
      <c r="C6">
        <f>B4*B6</f>
        <v>461.00041698652592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U56"/>
  <sheetViews>
    <sheetView tabSelected="1" workbookViewId="0">
      <selection activeCell="A20" sqref="A20"/>
    </sheetView>
  </sheetViews>
  <sheetFormatPr defaultRowHeight="15"/>
  <cols>
    <col min="1" max="1" width="11.5703125" customWidth="1"/>
    <col min="2" max="2" width="14.42578125" customWidth="1"/>
  </cols>
  <sheetData>
    <row r="1" spans="1:8">
      <c r="A1" s="1" t="s">
        <v>182</v>
      </c>
    </row>
    <row r="2" spans="1:8">
      <c r="A2" t="s">
        <v>103</v>
      </c>
    </row>
    <row r="4" spans="1:8" ht="28.5" customHeight="1">
      <c r="A4" s="12" t="s">
        <v>104</v>
      </c>
      <c r="B4" s="13"/>
      <c r="C4" s="13"/>
      <c r="D4" s="13"/>
      <c r="E4" s="13"/>
      <c r="F4" s="13"/>
    </row>
    <row r="5" spans="1:8" ht="27.75" customHeight="1">
      <c r="A5" s="13"/>
      <c r="B5" s="13"/>
      <c r="C5" s="13"/>
      <c r="D5" s="13"/>
      <c r="E5" s="13"/>
      <c r="F5" s="13"/>
    </row>
    <row r="7" spans="1:8">
      <c r="A7" s="9" t="s">
        <v>113</v>
      </c>
    </row>
    <row r="8" spans="1:8">
      <c r="A8" s="8" t="s">
        <v>171</v>
      </c>
    </row>
    <row r="9" spans="1:8">
      <c r="A9" s="1"/>
      <c r="B9" s="8" t="s">
        <v>111</v>
      </c>
      <c r="C9" s="8" t="s">
        <v>109</v>
      </c>
      <c r="D9" s="8" t="s">
        <v>110</v>
      </c>
    </row>
    <row r="10" spans="1:8">
      <c r="A10" s="1"/>
      <c r="B10" s="8"/>
      <c r="C10" s="8">
        <v>0.86897599999999997</v>
      </c>
      <c r="D10" s="8">
        <v>60</v>
      </c>
    </row>
    <row r="11" spans="1:8">
      <c r="A11" s="8" t="s">
        <v>230</v>
      </c>
      <c r="B11" s="8" t="s">
        <v>173</v>
      </c>
      <c r="C11" s="8"/>
      <c r="D11" s="8"/>
      <c r="F11" t="s">
        <v>224</v>
      </c>
    </row>
    <row r="12" spans="1:8">
      <c r="A12" s="1" t="s">
        <v>105</v>
      </c>
      <c r="B12" s="1" t="s">
        <v>106</v>
      </c>
      <c r="C12" s="1" t="s">
        <v>107</v>
      </c>
      <c r="D12" s="1" t="s">
        <v>108</v>
      </c>
    </row>
    <row r="13" spans="1:8">
      <c r="A13">
        <v>47.8</v>
      </c>
      <c r="B13">
        <v>11.8</v>
      </c>
      <c r="C13">
        <f t="shared" ref="C13:C28" si="0">A13/$C$10</f>
        <v>55.007272928136103</v>
      </c>
      <c r="D13">
        <f t="shared" ref="D13" si="1">B13*$D$10</f>
        <v>708</v>
      </c>
      <c r="F13">
        <v>56</v>
      </c>
      <c r="H13">
        <f>F13/$C$10</f>
        <v>64.443667028778705</v>
      </c>
    </row>
    <row r="14" spans="1:8">
      <c r="A14">
        <v>46.2</v>
      </c>
      <c r="B14">
        <v>10.8</v>
      </c>
      <c r="C14">
        <f t="shared" si="0"/>
        <v>53.166025298742433</v>
      </c>
      <c r="D14">
        <f t="shared" ref="D14:D28" si="2">B14*$D$10</f>
        <v>648</v>
      </c>
      <c r="E14">
        <v>13</v>
      </c>
      <c r="F14">
        <v>54</v>
      </c>
      <c r="H14">
        <f t="shared" ref="H14:H24" si="3">F14/$C$10</f>
        <v>62.142107492036608</v>
      </c>
    </row>
    <row r="15" spans="1:8">
      <c r="A15">
        <v>44.6</v>
      </c>
      <c r="B15">
        <v>10.4</v>
      </c>
      <c r="C15">
        <f t="shared" si="0"/>
        <v>51.324777669348755</v>
      </c>
      <c r="D15">
        <f t="shared" si="2"/>
        <v>624</v>
      </c>
      <c r="E15">
        <v>17</v>
      </c>
      <c r="F15">
        <v>53</v>
      </c>
      <c r="H15">
        <f t="shared" si="3"/>
        <v>60.991327723665556</v>
      </c>
    </row>
    <row r="16" spans="1:8">
      <c r="A16">
        <v>64.7</v>
      </c>
      <c r="B16">
        <v>8.6</v>
      </c>
      <c r="C16">
        <f t="shared" si="0"/>
        <v>74.455451013606819</v>
      </c>
      <c r="D16">
        <f t="shared" si="2"/>
        <v>516</v>
      </c>
      <c r="F16">
        <v>75.7</v>
      </c>
      <c r="H16">
        <f t="shared" si="3"/>
        <v>87.114028465688364</v>
      </c>
    </row>
    <row r="17" spans="1:8">
      <c r="A17">
        <v>59.3</v>
      </c>
      <c r="B17">
        <v>10.8</v>
      </c>
      <c r="C17">
        <f t="shared" si="0"/>
        <v>68.24124026440316</v>
      </c>
      <c r="D17">
        <f t="shared" si="2"/>
        <v>648</v>
      </c>
      <c r="F17">
        <v>69.8</v>
      </c>
      <c r="G17">
        <f>AVERAGE(G18:G28)</f>
        <v>1.1704145659958083</v>
      </c>
      <c r="H17">
        <f t="shared" si="3"/>
        <v>80.324427832299165</v>
      </c>
    </row>
    <row r="18" spans="1:8">
      <c r="A18">
        <v>71.8</v>
      </c>
      <c r="B18">
        <v>5.0999999999999996</v>
      </c>
      <c r="C18">
        <f t="shared" si="0"/>
        <v>82.625987369041269</v>
      </c>
      <c r="D18">
        <f t="shared" si="2"/>
        <v>306</v>
      </c>
      <c r="F18">
        <v>84.2</v>
      </c>
      <c r="G18">
        <f>F18/A18</f>
        <v>1.1727019498607243</v>
      </c>
      <c r="H18">
        <f t="shared" si="3"/>
        <v>96.895656496842264</v>
      </c>
    </row>
    <row r="19" spans="1:8">
      <c r="A19">
        <v>58.3</v>
      </c>
      <c r="B19">
        <v>11.3</v>
      </c>
      <c r="C19">
        <f t="shared" si="0"/>
        <v>67.090460496032108</v>
      </c>
      <c r="D19">
        <f t="shared" si="2"/>
        <v>678</v>
      </c>
      <c r="F19">
        <v>68.3</v>
      </c>
      <c r="G19">
        <f>F19/A19</f>
        <v>1.1715265866209263</v>
      </c>
      <c r="H19">
        <f t="shared" si="3"/>
        <v>78.598258179742587</v>
      </c>
    </row>
    <row r="20" spans="1:8">
      <c r="A20">
        <v>56.63</v>
      </c>
      <c r="B20">
        <v>11.9</v>
      </c>
      <c r="C20">
        <f t="shared" si="0"/>
        <v>65.168658282852462</v>
      </c>
      <c r="D20">
        <f t="shared" si="2"/>
        <v>714</v>
      </c>
      <c r="F20">
        <v>66.3</v>
      </c>
      <c r="G20">
        <f>F20/A20</f>
        <v>1.1707575490022955</v>
      </c>
      <c r="H20">
        <f t="shared" si="3"/>
        <v>76.296698643000497</v>
      </c>
    </row>
    <row r="21" spans="1:8">
      <c r="A21">
        <v>55.11</v>
      </c>
      <c r="B21">
        <v>11.9</v>
      </c>
      <c r="C21">
        <f t="shared" si="0"/>
        <v>63.419473034928473</v>
      </c>
      <c r="D21">
        <f t="shared" si="2"/>
        <v>714</v>
      </c>
      <c r="F21">
        <v>64.8</v>
      </c>
      <c r="G21">
        <f>F21/A21</f>
        <v>1.1758301578660859</v>
      </c>
      <c r="H21">
        <f t="shared" si="3"/>
        <v>74.570528990443918</v>
      </c>
    </row>
    <row r="22" spans="1:8">
      <c r="A22">
        <v>53.8</v>
      </c>
      <c r="B22">
        <v>12</v>
      </c>
      <c r="C22">
        <f t="shared" si="0"/>
        <v>61.911951538362395</v>
      </c>
      <c r="D22">
        <f t="shared" si="2"/>
        <v>720</v>
      </c>
      <c r="F22">
        <v>63.1</v>
      </c>
      <c r="G22">
        <f>F22/A22</f>
        <v>1.1728624535315986</v>
      </c>
      <c r="H22">
        <f t="shared" si="3"/>
        <v>72.614203384213141</v>
      </c>
    </row>
    <row r="23" spans="1:8">
      <c r="A23">
        <v>51.7</v>
      </c>
      <c r="B23">
        <v>11.5</v>
      </c>
      <c r="C23">
        <f t="shared" si="0"/>
        <v>59.495314024783198</v>
      </c>
      <c r="D23">
        <f t="shared" si="2"/>
        <v>690</v>
      </c>
      <c r="F23">
        <v>60.9</v>
      </c>
      <c r="G23">
        <f>F23/A23</f>
        <v>1.1779497098646035</v>
      </c>
      <c r="H23">
        <f t="shared" si="3"/>
        <v>70.082487893796838</v>
      </c>
    </row>
    <row r="24" spans="1:8">
      <c r="A24">
        <v>49.4</v>
      </c>
      <c r="B24">
        <v>12.2</v>
      </c>
      <c r="C24">
        <f t="shared" si="0"/>
        <v>56.848520557529781</v>
      </c>
      <c r="D24">
        <f t="shared" si="2"/>
        <v>732</v>
      </c>
      <c r="F24">
        <v>57.8</v>
      </c>
      <c r="G24">
        <f>F24/A24</f>
        <v>1.1700404858299596</v>
      </c>
      <c r="H24">
        <f t="shared" si="3"/>
        <v>66.515070611846582</v>
      </c>
    </row>
    <row r="25" spans="1:8">
      <c r="A25">
        <v>78</v>
      </c>
      <c r="B25">
        <v>2.2999999999999998</v>
      </c>
      <c r="C25">
        <f t="shared" ref="C25" si="4">A25/$C$10</f>
        <v>89.760821932941766</v>
      </c>
      <c r="D25">
        <f t="shared" ref="D25" si="5">B25*$D$10</f>
        <v>138</v>
      </c>
      <c r="F25">
        <v>91.3</v>
      </c>
    </row>
    <row r="26" spans="1:8">
      <c r="A26">
        <v>85</v>
      </c>
      <c r="B26">
        <v>0</v>
      </c>
      <c r="C26">
        <f>A26/$C$10</f>
        <v>97.816280311539103</v>
      </c>
      <c r="D26">
        <f t="shared" si="2"/>
        <v>0</v>
      </c>
      <c r="F26">
        <v>99</v>
      </c>
      <c r="G26">
        <f>F25/A25</f>
        <v>1.1705128205128206</v>
      </c>
      <c r="H26">
        <f>F25/$C$10</f>
        <v>105.0661928522767</v>
      </c>
    </row>
    <row r="27" spans="1:8">
      <c r="A27">
        <v>99.2</v>
      </c>
      <c r="B27">
        <v>-12.7</v>
      </c>
      <c r="C27">
        <f>A27/$C$10</f>
        <v>114.15735302240799</v>
      </c>
      <c r="D27">
        <f t="shared" si="2"/>
        <v>-762</v>
      </c>
      <c r="F27">
        <v>114.8</v>
      </c>
      <c r="G27">
        <f>F26/A26</f>
        <v>1.1647058823529413</v>
      </c>
      <c r="H27">
        <f>F26/$C$10</f>
        <v>113.92719706873378</v>
      </c>
    </row>
    <row r="28" spans="1:8">
      <c r="C28">
        <f t="shared" si="0"/>
        <v>0</v>
      </c>
      <c r="D28">
        <f t="shared" si="2"/>
        <v>0</v>
      </c>
      <c r="G28">
        <f>F27/A27</f>
        <v>1.157258064516129</v>
      </c>
      <c r="H28">
        <f>F27/$C$10</f>
        <v>132.10951740899634</v>
      </c>
    </row>
    <row r="30" spans="1:8">
      <c r="A30" s="9" t="s">
        <v>112</v>
      </c>
    </row>
    <row r="31" spans="1:8">
      <c r="A31" s="8" t="s">
        <v>114</v>
      </c>
    </row>
    <row r="32" spans="1:8">
      <c r="A32" s="8" t="s">
        <v>115</v>
      </c>
    </row>
    <row r="33" spans="1:21">
      <c r="A33" s="8"/>
    </row>
    <row r="34" spans="1:21">
      <c r="C34" s="1" t="s">
        <v>107</v>
      </c>
      <c r="D34" s="1" t="s">
        <v>108</v>
      </c>
    </row>
    <row r="35" spans="1:21">
      <c r="C35">
        <v>47</v>
      </c>
      <c r="D35">
        <v>625</v>
      </c>
    </row>
    <row r="36" spans="1:21">
      <c r="C36">
        <v>50</v>
      </c>
      <c r="D36">
        <v>650</v>
      </c>
    </row>
    <row r="37" spans="1:21">
      <c r="C37">
        <v>60</v>
      </c>
      <c r="D37">
        <v>680</v>
      </c>
    </row>
    <row r="38" spans="1:21">
      <c r="C38">
        <v>70</v>
      </c>
      <c r="D38">
        <v>650</v>
      </c>
      <c r="U38" t="s">
        <v>174</v>
      </c>
    </row>
    <row r="39" spans="1:21">
      <c r="C39">
        <v>80</v>
      </c>
      <c r="D39">
        <v>550</v>
      </c>
    </row>
    <row r="40" spans="1:21">
      <c r="C40">
        <v>90</v>
      </c>
      <c r="D40">
        <v>380</v>
      </c>
    </row>
    <row r="41" spans="1:21">
      <c r="C41">
        <v>100</v>
      </c>
      <c r="D41">
        <v>175</v>
      </c>
    </row>
    <row r="42" spans="1:21">
      <c r="C42">
        <v>106</v>
      </c>
      <c r="D42">
        <v>0</v>
      </c>
    </row>
    <row r="43" spans="1:21">
      <c r="C43">
        <v>111</v>
      </c>
      <c r="D43">
        <v>-200</v>
      </c>
    </row>
    <row r="44" spans="1:21">
      <c r="C44">
        <v>115</v>
      </c>
      <c r="D44">
        <v>-325</v>
      </c>
    </row>
    <row r="48" spans="1:21">
      <c r="A48" t="s">
        <v>178</v>
      </c>
    </row>
    <row r="49" spans="1:4">
      <c r="A49" t="s">
        <v>179</v>
      </c>
    </row>
    <row r="50" spans="1:4">
      <c r="A50" t="s">
        <v>180</v>
      </c>
    </row>
    <row r="51" spans="1:4">
      <c r="A51" t="s">
        <v>181</v>
      </c>
    </row>
    <row r="54" spans="1:4">
      <c r="C54">
        <v>380</v>
      </c>
      <c r="D54" t="s">
        <v>194</v>
      </c>
    </row>
    <row r="55" spans="1:4">
      <c r="C55">
        <v>422</v>
      </c>
      <c r="D55" t="s">
        <v>192</v>
      </c>
    </row>
    <row r="56" spans="1:4">
      <c r="C56">
        <v>408</v>
      </c>
      <c r="D56" t="s">
        <v>193</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dimension ref="A1:U48"/>
  <sheetViews>
    <sheetView workbookViewId="0">
      <selection activeCell="F44" sqref="F44"/>
    </sheetView>
  </sheetViews>
  <sheetFormatPr defaultRowHeight="15"/>
  <cols>
    <col min="1" max="1" width="11.5703125" customWidth="1"/>
    <col min="2" max="2" width="18.42578125" customWidth="1"/>
  </cols>
  <sheetData>
    <row r="1" spans="1:6">
      <c r="A1" s="1" t="s">
        <v>182</v>
      </c>
    </row>
    <row r="2" spans="1:6">
      <c r="A2" t="s">
        <v>103</v>
      </c>
    </row>
    <row r="4" spans="1:6" ht="28.5" customHeight="1">
      <c r="A4" s="12" t="s">
        <v>104</v>
      </c>
      <c r="B4" s="13"/>
      <c r="C4" s="13"/>
      <c r="D4" s="13"/>
      <c r="E4" s="13"/>
      <c r="F4" s="13"/>
    </row>
    <row r="5" spans="1:6" ht="27.75" customHeight="1">
      <c r="A5" s="13"/>
      <c r="B5" s="13"/>
      <c r="C5" s="13"/>
      <c r="D5" s="13"/>
      <c r="E5" s="13"/>
      <c r="F5" s="13"/>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C13">
        <f t="shared" ref="C13:C25" si="0">A13/$C$10</f>
        <v>0</v>
      </c>
      <c r="D13">
        <f t="shared" ref="D13:D25" si="1">B13*$D$10</f>
        <v>0</v>
      </c>
    </row>
    <row r="14" spans="1:6">
      <c r="C14">
        <f t="shared" si="0"/>
        <v>0</v>
      </c>
      <c r="D14">
        <f t="shared" si="1"/>
        <v>0</v>
      </c>
    </row>
    <row r="15" spans="1:6">
      <c r="C15">
        <f t="shared" si="0"/>
        <v>0</v>
      </c>
      <c r="D15">
        <f t="shared" si="1"/>
        <v>0</v>
      </c>
    </row>
    <row r="16" spans="1:6">
      <c r="C16">
        <f t="shared" si="0"/>
        <v>0</v>
      </c>
      <c r="D16">
        <f t="shared" si="1"/>
        <v>0</v>
      </c>
    </row>
    <row r="17" spans="1:4">
      <c r="C17">
        <f t="shared" si="0"/>
        <v>0</v>
      </c>
      <c r="D17">
        <f t="shared" si="1"/>
        <v>0</v>
      </c>
    </row>
    <row r="18" spans="1:4">
      <c r="C18">
        <f t="shared" si="0"/>
        <v>0</v>
      </c>
      <c r="D18">
        <f t="shared" si="1"/>
        <v>0</v>
      </c>
    </row>
    <row r="19" spans="1:4">
      <c r="A19">
        <v>42.5</v>
      </c>
      <c r="B19">
        <v>10.25</v>
      </c>
      <c r="C19">
        <f t="shared" si="0"/>
        <v>48.908140155769551</v>
      </c>
      <c r="D19">
        <f t="shared" si="1"/>
        <v>615</v>
      </c>
    </row>
    <row r="20" spans="1:4">
      <c r="A20">
        <v>107.9</v>
      </c>
      <c r="B20">
        <v>-12.7</v>
      </c>
      <c r="C20">
        <f t="shared" si="0"/>
        <v>124.16913700723612</v>
      </c>
      <c r="D20">
        <f t="shared" si="1"/>
        <v>-762</v>
      </c>
    </row>
    <row r="21" spans="1:4">
      <c r="A21">
        <v>90.25</v>
      </c>
      <c r="B21">
        <v>0.6</v>
      </c>
      <c r="C21">
        <f t="shared" si="0"/>
        <v>103.85787409548711</v>
      </c>
      <c r="D21">
        <f t="shared" si="1"/>
        <v>36</v>
      </c>
    </row>
    <row r="22" spans="1:4">
      <c r="A22">
        <v>77</v>
      </c>
      <c r="B22">
        <v>7</v>
      </c>
      <c r="C22">
        <f t="shared" si="0"/>
        <v>88.610042164570714</v>
      </c>
      <c r="D22">
        <f t="shared" si="1"/>
        <v>420</v>
      </c>
    </row>
    <row r="23" spans="1:4">
      <c r="A23">
        <v>61.7</v>
      </c>
      <c r="B23">
        <v>10.7</v>
      </c>
      <c r="C23">
        <f t="shared" si="0"/>
        <v>71.003111708493677</v>
      </c>
      <c r="D23">
        <f t="shared" si="1"/>
        <v>642</v>
      </c>
    </row>
    <row r="24" spans="1:4">
      <c r="A24">
        <v>51</v>
      </c>
      <c r="B24">
        <v>12</v>
      </c>
      <c r="C24">
        <f t="shared" si="0"/>
        <v>58.689768186923459</v>
      </c>
      <c r="D24">
        <f t="shared" si="1"/>
        <v>720</v>
      </c>
    </row>
    <row r="25" spans="1:4">
      <c r="A25">
        <v>47.75</v>
      </c>
      <c r="B25">
        <v>11.5</v>
      </c>
      <c r="C25">
        <f t="shared" si="0"/>
        <v>54.949733939717554</v>
      </c>
      <c r="D25">
        <f t="shared" si="1"/>
        <v>690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1:21">
      <c r="C33">
        <v>50</v>
      </c>
      <c r="D33">
        <v>650</v>
      </c>
    </row>
    <row r="34" spans="1:21">
      <c r="C34">
        <v>60</v>
      </c>
      <c r="D34">
        <v>680</v>
      </c>
      <c r="U34" t="s">
        <v>174</v>
      </c>
    </row>
    <row r="35" spans="1:21">
      <c r="C35">
        <v>70</v>
      </c>
      <c r="D35">
        <v>650</v>
      </c>
    </row>
    <row r="36" spans="1:21">
      <c r="C36">
        <v>80</v>
      </c>
      <c r="D36">
        <v>550</v>
      </c>
    </row>
    <row r="37" spans="1:21">
      <c r="C37">
        <v>90</v>
      </c>
      <c r="D37">
        <v>380</v>
      </c>
    </row>
    <row r="38" spans="1:21">
      <c r="C38">
        <v>100</v>
      </c>
      <c r="D38">
        <v>175</v>
      </c>
    </row>
    <row r="39" spans="1:21">
      <c r="C39">
        <v>106</v>
      </c>
      <c r="D39">
        <v>0</v>
      </c>
    </row>
    <row r="40" spans="1:21">
      <c r="C40">
        <v>111</v>
      </c>
      <c r="D40">
        <v>-200</v>
      </c>
    </row>
    <row r="41" spans="1:21">
      <c r="C41">
        <v>115</v>
      </c>
      <c r="D41">
        <v>-325</v>
      </c>
    </row>
    <row r="45" spans="1:21">
      <c r="A45" t="s">
        <v>178</v>
      </c>
    </row>
    <row r="46" spans="1:21">
      <c r="A46" t="s">
        <v>179</v>
      </c>
    </row>
    <row r="47" spans="1:21">
      <c r="A47" t="s">
        <v>180</v>
      </c>
    </row>
    <row r="48" spans="1:21">
      <c r="A48" t="s">
        <v>181</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dimension ref="A1:U41"/>
  <sheetViews>
    <sheetView topLeftCell="D1" workbookViewId="0">
      <selection activeCell="C25" sqref="C25"/>
    </sheetView>
  </sheetViews>
  <sheetFormatPr defaultRowHeight="15"/>
  <cols>
    <col min="1" max="1" width="11.5703125" customWidth="1"/>
    <col min="2" max="2" width="18.42578125" customWidth="1"/>
  </cols>
  <sheetData>
    <row r="1" spans="1:6">
      <c r="A1" s="1" t="s">
        <v>102</v>
      </c>
    </row>
    <row r="2" spans="1:6">
      <c r="A2" t="s">
        <v>103</v>
      </c>
    </row>
    <row r="4" spans="1:6" ht="28.5" customHeight="1">
      <c r="A4" s="12" t="s">
        <v>104</v>
      </c>
      <c r="B4" s="13"/>
      <c r="C4" s="13"/>
      <c r="D4" s="13"/>
      <c r="E4" s="13"/>
      <c r="F4" s="13"/>
    </row>
    <row r="5" spans="1:6" ht="27.75" customHeight="1">
      <c r="A5" s="13" t="s">
        <v>116</v>
      </c>
      <c r="B5" s="13"/>
      <c r="C5" s="13"/>
      <c r="D5" s="13"/>
      <c r="E5" s="13"/>
      <c r="F5" s="13"/>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A13">
        <v>109.6</v>
      </c>
      <c r="B13">
        <v>-11.25</v>
      </c>
      <c r="C13">
        <f t="shared" ref="C13:C25" si="0">A13/$C$10</f>
        <v>126.12546261346688</v>
      </c>
      <c r="D13">
        <f t="shared" ref="D13:D25" si="1">B13*$D$10</f>
        <v>-675</v>
      </c>
    </row>
    <row r="14" spans="1:6">
      <c r="A14">
        <v>107.8</v>
      </c>
      <c r="B14">
        <v>-8.3000000000000007</v>
      </c>
      <c r="C14">
        <f t="shared" si="0"/>
        <v>124.054059030399</v>
      </c>
      <c r="D14">
        <f t="shared" si="1"/>
        <v>-498.00000000000006</v>
      </c>
    </row>
    <row r="15" spans="1:6">
      <c r="A15">
        <v>101.8</v>
      </c>
      <c r="B15">
        <v>3</v>
      </c>
      <c r="C15">
        <f t="shared" si="0"/>
        <v>117.1493804201727</v>
      </c>
      <c r="D15">
        <f t="shared" si="1"/>
        <v>180</v>
      </c>
    </row>
    <row r="16" spans="1:6">
      <c r="A16">
        <v>93.4</v>
      </c>
      <c r="B16">
        <v>2.5</v>
      </c>
      <c r="C16">
        <f t="shared" si="0"/>
        <v>107.48283036585592</v>
      </c>
      <c r="D16">
        <f t="shared" si="1"/>
        <v>150</v>
      </c>
    </row>
    <row r="17" spans="1:4">
      <c r="A17">
        <v>78.900000000000006</v>
      </c>
      <c r="B17">
        <v>7.3</v>
      </c>
      <c r="C17">
        <f t="shared" si="0"/>
        <v>90.796523724475719</v>
      </c>
      <c r="D17">
        <f t="shared" si="1"/>
        <v>438</v>
      </c>
    </row>
    <row r="18" spans="1:4">
      <c r="A18">
        <v>71.3</v>
      </c>
      <c r="B18">
        <v>7.23</v>
      </c>
      <c r="C18">
        <f t="shared" si="0"/>
        <v>82.050597484855743</v>
      </c>
      <c r="D18">
        <f t="shared" si="1"/>
        <v>433.8</v>
      </c>
    </row>
    <row r="19" spans="1:4">
      <c r="A19">
        <v>65.2</v>
      </c>
      <c r="B19">
        <v>8.6</v>
      </c>
      <c r="C19">
        <f t="shared" si="0"/>
        <v>75.030840897792345</v>
      </c>
      <c r="D19">
        <f t="shared" si="1"/>
        <v>516</v>
      </c>
    </row>
    <row r="20" spans="1:4">
      <c r="A20">
        <v>59.5</v>
      </c>
      <c r="B20">
        <v>6.5</v>
      </c>
      <c r="C20">
        <f t="shared" si="0"/>
        <v>68.471396218077373</v>
      </c>
      <c r="D20">
        <f t="shared" si="1"/>
        <v>390</v>
      </c>
    </row>
    <row r="21" spans="1:4">
      <c r="A21">
        <v>54.9</v>
      </c>
      <c r="B21">
        <v>6.8</v>
      </c>
      <c r="C21">
        <f t="shared" si="0"/>
        <v>63.177809283570546</v>
      </c>
      <c r="D21">
        <f t="shared" si="1"/>
        <v>408</v>
      </c>
    </row>
    <row r="22" spans="1:4">
      <c r="A22">
        <v>53.4</v>
      </c>
      <c r="B22">
        <v>7.3</v>
      </c>
      <c r="C22">
        <f t="shared" si="0"/>
        <v>61.451639631013975</v>
      </c>
      <c r="D22">
        <f t="shared" si="1"/>
        <v>438</v>
      </c>
    </row>
    <row r="23" spans="1:4">
      <c r="A23">
        <v>49.6</v>
      </c>
      <c r="B23">
        <v>3</v>
      </c>
      <c r="C23">
        <f t="shared" si="0"/>
        <v>57.078676511203994</v>
      </c>
      <c r="D23">
        <f t="shared" si="1"/>
        <v>180</v>
      </c>
    </row>
    <row r="24" spans="1:4">
      <c r="A24">
        <v>59.2</v>
      </c>
      <c r="B24">
        <v>2.2999999999999998</v>
      </c>
      <c r="C24">
        <f t="shared" si="0"/>
        <v>68.126162287566061</v>
      </c>
      <c r="D24">
        <f t="shared" si="1"/>
        <v>138</v>
      </c>
    </row>
    <row r="25" spans="1:4">
      <c r="A25">
        <v>71.2</v>
      </c>
      <c r="B25">
        <v>6</v>
      </c>
      <c r="C25">
        <f t="shared" si="0"/>
        <v>81.935519508018643</v>
      </c>
      <c r="D25">
        <f t="shared" si="1"/>
        <v>360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3:21">
      <c r="C33">
        <v>50</v>
      </c>
      <c r="D33">
        <v>650</v>
      </c>
    </row>
    <row r="34" spans="3:21">
      <c r="C34">
        <v>60</v>
      </c>
      <c r="D34">
        <v>680</v>
      </c>
      <c r="U34" t="s">
        <v>174</v>
      </c>
    </row>
    <row r="35" spans="3:21">
      <c r="C35">
        <v>70</v>
      </c>
      <c r="D35">
        <v>650</v>
      </c>
    </row>
    <row r="36" spans="3:21">
      <c r="C36">
        <v>80</v>
      </c>
      <c r="D36">
        <v>550</v>
      </c>
    </row>
    <row r="37" spans="3:21">
      <c r="C37">
        <v>90</v>
      </c>
      <c r="D37">
        <v>380</v>
      </c>
    </row>
    <row r="38" spans="3:21">
      <c r="C38">
        <v>100</v>
      </c>
      <c r="D38">
        <v>175</v>
      </c>
    </row>
    <row r="39" spans="3:21">
      <c r="C39">
        <v>106</v>
      </c>
      <c r="D39">
        <v>0</v>
      </c>
    </row>
    <row r="40" spans="3:21">
      <c r="C40">
        <v>111</v>
      </c>
      <c r="D40">
        <v>-200</v>
      </c>
    </row>
    <row r="41" spans="3:21">
      <c r="C41">
        <v>115</v>
      </c>
      <c r="D41">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dimension ref="A1:F40"/>
  <sheetViews>
    <sheetView workbookViewId="0">
      <selection activeCell="A8" sqref="A8"/>
    </sheetView>
  </sheetViews>
  <sheetFormatPr defaultRowHeight="15"/>
  <cols>
    <col min="1" max="1" width="11.5703125" customWidth="1"/>
    <col min="2" max="2" width="18.42578125" customWidth="1"/>
  </cols>
  <sheetData>
    <row r="1" spans="1:6">
      <c r="A1" s="1" t="s">
        <v>102</v>
      </c>
    </row>
    <row r="2" spans="1:6">
      <c r="A2" t="s">
        <v>103</v>
      </c>
    </row>
    <row r="4" spans="1:6" ht="28.5" customHeight="1">
      <c r="A4" s="12" t="s">
        <v>104</v>
      </c>
      <c r="B4" s="13"/>
      <c r="C4" s="13"/>
      <c r="D4" s="13"/>
      <c r="E4" s="13"/>
      <c r="F4" s="13"/>
    </row>
    <row r="5" spans="1:6" ht="27.75" customHeight="1">
      <c r="A5" s="13" t="s">
        <v>116</v>
      </c>
      <c r="B5" s="13"/>
      <c r="C5" s="13"/>
      <c r="D5" s="13"/>
      <c r="E5" s="13"/>
      <c r="F5" s="13"/>
    </row>
    <row r="7" spans="1:6">
      <c r="A7" s="9" t="s">
        <v>113</v>
      </c>
    </row>
    <row r="8" spans="1:6">
      <c r="A8" s="8" t="s">
        <v>170</v>
      </c>
    </row>
    <row r="9" spans="1:6">
      <c r="A9" s="1"/>
      <c r="B9" s="8" t="s">
        <v>111</v>
      </c>
      <c r="C9" s="8" t="s">
        <v>109</v>
      </c>
      <c r="D9" s="8" t="s">
        <v>110</v>
      </c>
    </row>
    <row r="10" spans="1:6">
      <c r="A10" s="1"/>
      <c r="B10" s="8"/>
      <c r="C10" s="8">
        <v>0.86897599999999997</v>
      </c>
      <c r="D10" s="8">
        <v>60</v>
      </c>
    </row>
    <row r="11" spans="1:6">
      <c r="A11" s="1" t="s">
        <v>105</v>
      </c>
      <c r="B11" s="1" t="s">
        <v>106</v>
      </c>
      <c r="C11" s="1" t="s">
        <v>107</v>
      </c>
      <c r="D11" s="1" t="s">
        <v>108</v>
      </c>
    </row>
    <row r="12" spans="1:6">
      <c r="A12">
        <v>40.46</v>
      </c>
      <c r="B12">
        <v>9.6999999999999993</v>
      </c>
      <c r="C12">
        <f t="shared" ref="C12:C24" si="0">A12/$C$10</f>
        <v>46.56054942829261</v>
      </c>
      <c r="D12">
        <f t="shared" ref="D12:D24" si="1">B12*$D$10</f>
        <v>582</v>
      </c>
    </row>
    <row r="13" spans="1:6">
      <c r="A13">
        <v>43.8</v>
      </c>
      <c r="B13">
        <v>10.42</v>
      </c>
      <c r="C13">
        <f t="shared" si="0"/>
        <v>50.404153854651909</v>
      </c>
      <c r="D13">
        <f t="shared" si="1"/>
        <v>625.20000000000005</v>
      </c>
    </row>
    <row r="14" spans="1:6">
      <c r="A14">
        <v>47.6</v>
      </c>
      <c r="B14">
        <v>11.12</v>
      </c>
      <c r="C14">
        <f t="shared" si="0"/>
        <v>54.777116974461897</v>
      </c>
      <c r="D14">
        <f t="shared" si="1"/>
        <v>667.19999999999993</v>
      </c>
    </row>
    <row r="15" spans="1:6">
      <c r="A15">
        <v>51.4</v>
      </c>
      <c r="B15">
        <v>11.15</v>
      </c>
      <c r="C15">
        <f t="shared" si="0"/>
        <v>59.150080094271878</v>
      </c>
      <c r="D15">
        <f t="shared" si="1"/>
        <v>669</v>
      </c>
    </row>
    <row r="16" spans="1:6">
      <c r="A16">
        <v>61.3</v>
      </c>
      <c r="B16">
        <v>10.84</v>
      </c>
      <c r="C16">
        <f t="shared" si="0"/>
        <v>70.54279980114525</v>
      </c>
      <c r="D16">
        <f t="shared" si="1"/>
        <v>650.4</v>
      </c>
    </row>
    <row r="17" spans="1:4">
      <c r="A17">
        <v>73.8</v>
      </c>
      <c r="B17">
        <v>8.34</v>
      </c>
      <c r="C17">
        <f t="shared" si="0"/>
        <v>84.927546905783359</v>
      </c>
      <c r="D17">
        <f t="shared" si="1"/>
        <v>500.4</v>
      </c>
    </row>
    <row r="18" spans="1:4">
      <c r="A18">
        <v>77.599999999999994</v>
      </c>
      <c r="B18">
        <v>7.24</v>
      </c>
      <c r="C18">
        <f t="shared" si="0"/>
        <v>89.30051002559334</v>
      </c>
      <c r="D18">
        <f t="shared" si="1"/>
        <v>434.40000000000003</v>
      </c>
    </row>
    <row r="19" spans="1:4">
      <c r="A19">
        <v>86.4</v>
      </c>
      <c r="B19">
        <v>1.89</v>
      </c>
      <c r="C19">
        <f t="shared" si="0"/>
        <v>99.427371987258581</v>
      </c>
      <c r="D19">
        <f t="shared" si="1"/>
        <v>113.39999999999999</v>
      </c>
    </row>
    <row r="20" spans="1:4">
      <c r="A20">
        <v>88.6</v>
      </c>
      <c r="B20">
        <v>0</v>
      </c>
      <c r="C20">
        <f t="shared" si="0"/>
        <v>101.95908747767487</v>
      </c>
      <c r="D20">
        <f t="shared" si="1"/>
        <v>0</v>
      </c>
    </row>
    <row r="21" spans="1:4">
      <c r="A21">
        <v>89.3</v>
      </c>
      <c r="B21">
        <v>-0.35</v>
      </c>
      <c r="C21">
        <f t="shared" si="0"/>
        <v>102.76463331553461</v>
      </c>
      <c r="D21">
        <f t="shared" si="1"/>
        <v>-21</v>
      </c>
    </row>
    <row r="22" spans="1:4">
      <c r="A22">
        <v>89.6</v>
      </c>
      <c r="B22">
        <v>0.16600000000000001</v>
      </c>
      <c r="C22">
        <f t="shared" si="0"/>
        <v>103.10986724604592</v>
      </c>
      <c r="D22">
        <f t="shared" si="1"/>
        <v>9.9600000000000009</v>
      </c>
    </row>
    <row r="23" spans="1:4">
      <c r="A23">
        <v>96.2</v>
      </c>
      <c r="B23">
        <v>-8.6199999999999992</v>
      </c>
      <c r="C23">
        <f t="shared" si="0"/>
        <v>110.70501371729485</v>
      </c>
      <c r="D23">
        <f t="shared" si="1"/>
        <v>-517.19999999999993</v>
      </c>
    </row>
    <row r="24" spans="1:4">
      <c r="A24">
        <v>101.6</v>
      </c>
      <c r="B24">
        <v>-14.7</v>
      </c>
      <c r="C24">
        <f t="shared" si="0"/>
        <v>116.91922446649849</v>
      </c>
      <c r="D24">
        <f t="shared" si="1"/>
        <v>-882</v>
      </c>
    </row>
    <row r="26" spans="1:4">
      <c r="A26" s="9" t="s">
        <v>112</v>
      </c>
    </row>
    <row r="27" spans="1:4">
      <c r="A27" s="8" t="s">
        <v>114</v>
      </c>
    </row>
    <row r="28" spans="1:4">
      <c r="A28" s="8" t="s">
        <v>115</v>
      </c>
    </row>
    <row r="29" spans="1:4">
      <c r="A29" s="8"/>
    </row>
    <row r="30" spans="1:4">
      <c r="C30" s="1" t="s">
        <v>107</v>
      </c>
      <c r="D30" s="1" t="s">
        <v>108</v>
      </c>
    </row>
    <row r="31" spans="1:4">
      <c r="C31">
        <v>47</v>
      </c>
      <c r="D31">
        <v>625</v>
      </c>
    </row>
    <row r="32" spans="1:4">
      <c r="C32">
        <v>50</v>
      </c>
      <c r="D32">
        <v>650</v>
      </c>
    </row>
    <row r="33" spans="3:4">
      <c r="C33">
        <v>60</v>
      </c>
      <c r="D33">
        <v>680</v>
      </c>
    </row>
    <row r="34" spans="3:4">
      <c r="C34">
        <v>70</v>
      </c>
      <c r="D34">
        <v>650</v>
      </c>
    </row>
    <row r="35" spans="3:4">
      <c r="C35">
        <v>80</v>
      </c>
      <c r="D35">
        <v>550</v>
      </c>
    </row>
    <row r="36" spans="3:4">
      <c r="C36">
        <v>90</v>
      </c>
      <c r="D36">
        <v>380</v>
      </c>
    </row>
    <row r="37" spans="3:4">
      <c r="C37">
        <v>100</v>
      </c>
      <c r="D37">
        <v>175</v>
      </c>
    </row>
    <row r="38" spans="3:4">
      <c r="C38">
        <v>106</v>
      </c>
      <c r="D38">
        <v>0</v>
      </c>
    </row>
    <row r="39" spans="3:4">
      <c r="C39">
        <v>111</v>
      </c>
      <c r="D39">
        <v>-200</v>
      </c>
    </row>
    <row r="40" spans="3:4">
      <c r="C40">
        <v>115</v>
      </c>
      <c r="D40">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dimension ref="A1:AK175"/>
  <sheetViews>
    <sheetView topLeftCell="A31" workbookViewId="0">
      <selection activeCell="C44" sqref="C44"/>
    </sheetView>
  </sheetViews>
  <sheetFormatPr defaultRowHeight="15"/>
  <cols>
    <col min="3" max="3" width="12" bestFit="1" customWidth="1"/>
  </cols>
  <sheetData>
    <row r="1" spans="1:5">
      <c r="A1" s="1" t="s">
        <v>212</v>
      </c>
    </row>
    <row r="2" spans="1:5">
      <c r="A2" t="s">
        <v>218</v>
      </c>
      <c r="B2" t="s">
        <v>213</v>
      </c>
      <c r="C2" t="s">
        <v>214</v>
      </c>
      <c r="D2" t="s">
        <v>215</v>
      </c>
    </row>
    <row r="3" spans="1:5">
      <c r="B3">
        <v>45</v>
      </c>
      <c r="C3">
        <v>4.5</v>
      </c>
      <c r="D3">
        <f>0.45*B3*0.305*C3/(15*10^-6)</f>
        <v>1852875</v>
      </c>
      <c r="E3" t="s">
        <v>216</v>
      </c>
    </row>
    <row r="4" spans="1:5">
      <c r="B4">
        <v>100</v>
      </c>
      <c r="C4">
        <v>4.5</v>
      </c>
      <c r="D4">
        <f>0.45*B4*0.305*C4/(15*10^-6)</f>
        <v>4117500</v>
      </c>
      <c r="E4" t="s">
        <v>217</v>
      </c>
    </row>
    <row r="5" spans="1:5">
      <c r="A5">
        <v>76</v>
      </c>
      <c r="B5">
        <f>0.3048*A5</f>
        <v>23.1648</v>
      </c>
      <c r="C5">
        <f>5/12</f>
        <v>0.41666666666666669</v>
      </c>
      <c r="D5">
        <f>0.45*B5*0.305*C5/(15*10^-6)</f>
        <v>88315.800000000017</v>
      </c>
      <c r="E5" t="s">
        <v>219</v>
      </c>
    </row>
    <row r="7" spans="1:5">
      <c r="A7" s="8" t="s">
        <v>150</v>
      </c>
    </row>
    <row r="8" spans="1:5">
      <c r="A8" s="8" t="s">
        <v>151</v>
      </c>
    </row>
    <row r="10" spans="1:5">
      <c r="A10" t="s">
        <v>152</v>
      </c>
    </row>
    <row r="12" spans="1:5">
      <c r="A12" s="1" t="s">
        <v>146</v>
      </c>
    </row>
    <row r="13" spans="1:5">
      <c r="A13" t="s">
        <v>137</v>
      </c>
      <c r="B13" t="s">
        <v>147</v>
      </c>
      <c r="C13" t="s">
        <v>148</v>
      </c>
      <c r="D13" t="s">
        <v>149</v>
      </c>
    </row>
    <row r="14" spans="1:5">
      <c r="A14">
        <v>-6</v>
      </c>
      <c r="B14">
        <v>-0.1222</v>
      </c>
      <c r="C14">
        <v>3.6400000000000002E-2</v>
      </c>
      <c r="D14">
        <f>B14/C14</f>
        <v>-3.3571428571428572</v>
      </c>
    </row>
    <row r="15" spans="1:5">
      <c r="A15">
        <v>-4</v>
      </c>
      <c r="B15">
        <v>-5.8000000000000003E-2</v>
      </c>
      <c r="C15">
        <v>2.5899999999999999E-2</v>
      </c>
      <c r="D15">
        <f t="shared" ref="D15:D32" si="0">B15/C15</f>
        <v>-2.2393822393822393</v>
      </c>
    </row>
    <row r="16" spans="1:5">
      <c r="A16">
        <v>-3</v>
      </c>
      <c r="B16">
        <v>-2.4199999999999999E-2</v>
      </c>
      <c r="C16">
        <v>2.23E-2</v>
      </c>
      <c r="D16">
        <f t="shared" si="0"/>
        <v>-1.0852017937219731</v>
      </c>
    </row>
    <row r="17" spans="1:4">
      <c r="A17">
        <v>-2</v>
      </c>
      <c r="B17">
        <v>8.9999999999999993E-3</v>
      </c>
      <c r="C17">
        <v>1.9900000000000001E-2</v>
      </c>
      <c r="D17">
        <f t="shared" si="0"/>
        <v>0.45226130653266328</v>
      </c>
    </row>
    <row r="18" spans="1:4">
      <c r="A18">
        <v>-1</v>
      </c>
      <c r="B18">
        <v>4.02E-2</v>
      </c>
      <c r="C18">
        <v>1.8499999999999999E-2</v>
      </c>
      <c r="D18">
        <f t="shared" si="0"/>
        <v>2.172972972972973</v>
      </c>
    </row>
    <row r="19" spans="1:4">
      <c r="A19">
        <v>0</v>
      </c>
      <c r="B19">
        <v>7.3999999999999996E-2</v>
      </c>
      <c r="C19">
        <v>1.7399999999999999E-2</v>
      </c>
      <c r="D19">
        <f t="shared" si="0"/>
        <v>4.2528735632183912</v>
      </c>
    </row>
    <row r="20" spans="1:4">
      <c r="A20">
        <v>1</v>
      </c>
      <c r="B20">
        <v>0.11269999999999999</v>
      </c>
      <c r="C20">
        <v>1.72E-2</v>
      </c>
      <c r="D20">
        <f t="shared" si="0"/>
        <v>6.5523255813953485</v>
      </c>
    </row>
    <row r="21" spans="1:4">
      <c r="A21">
        <v>2</v>
      </c>
      <c r="B21">
        <v>0.1527</v>
      </c>
      <c r="C21">
        <v>1.7500000000000002E-2</v>
      </c>
      <c r="D21">
        <f t="shared" si="0"/>
        <v>8.7257142857142842</v>
      </c>
    </row>
    <row r="22" spans="1:4">
      <c r="A22">
        <v>3</v>
      </c>
      <c r="B22">
        <v>0.1895</v>
      </c>
      <c r="C22">
        <v>1.8599999999999998E-2</v>
      </c>
      <c r="D22">
        <f t="shared" si="0"/>
        <v>10.188172043010754</v>
      </c>
    </row>
    <row r="23" spans="1:4">
      <c r="A23">
        <v>4</v>
      </c>
      <c r="B23">
        <v>0.22450000000000001</v>
      </c>
      <c r="C23">
        <v>2.06E-2</v>
      </c>
      <c r="D23">
        <f t="shared" si="0"/>
        <v>10.898058252427184</v>
      </c>
    </row>
    <row r="24" spans="1:4">
      <c r="A24">
        <v>5</v>
      </c>
      <c r="B24">
        <v>0.25600000000000001</v>
      </c>
      <c r="C24">
        <v>2.35E-2</v>
      </c>
      <c r="D24">
        <f t="shared" si="0"/>
        <v>10.893617021276595</v>
      </c>
    </row>
    <row r="25" spans="1:4">
      <c r="A25">
        <v>6</v>
      </c>
      <c r="B25">
        <v>0.28699999999999998</v>
      </c>
      <c r="C25">
        <v>2.69E-2</v>
      </c>
      <c r="D25">
        <f t="shared" si="0"/>
        <v>10.669144981412638</v>
      </c>
    </row>
    <row r="26" spans="1:4">
      <c r="A26">
        <v>8</v>
      </c>
      <c r="B26">
        <v>0.34499999999999997</v>
      </c>
      <c r="C26">
        <v>3.4599999999999999E-2</v>
      </c>
      <c r="D26">
        <f t="shared" si="0"/>
        <v>9.9710982658959537</v>
      </c>
    </row>
    <row r="27" spans="1:4">
      <c r="A27">
        <v>10</v>
      </c>
      <c r="B27">
        <v>0.39500000000000002</v>
      </c>
      <c r="C27">
        <v>4.3200000000000002E-2</v>
      </c>
      <c r="D27">
        <f t="shared" si="0"/>
        <v>9.143518518518519</v>
      </c>
    </row>
    <row r="28" spans="1:4">
      <c r="A28">
        <v>12</v>
      </c>
      <c r="B28">
        <v>0.44800000000000001</v>
      </c>
      <c r="C28">
        <v>5.2900000000000003E-2</v>
      </c>
      <c r="D28">
        <f t="shared" si="0"/>
        <v>8.4688090737240067</v>
      </c>
    </row>
    <row r="29" spans="1:4">
      <c r="A29">
        <v>14</v>
      </c>
      <c r="B29">
        <v>0.495</v>
      </c>
      <c r="C29">
        <v>6.3500000000000001E-2</v>
      </c>
      <c r="D29">
        <f t="shared" si="0"/>
        <v>7.7952755905511806</v>
      </c>
    </row>
    <row r="30" spans="1:4">
      <c r="A30">
        <v>16</v>
      </c>
      <c r="B30">
        <v>0.53100000000000003</v>
      </c>
      <c r="C30">
        <v>7.7299999999999994E-2</v>
      </c>
      <c r="D30">
        <f t="shared" si="0"/>
        <v>6.8693402328589919</v>
      </c>
    </row>
    <row r="31" spans="1:4">
      <c r="A31">
        <v>18</v>
      </c>
      <c r="B31">
        <v>0.53300000000000003</v>
      </c>
      <c r="C31">
        <v>0.1089</v>
      </c>
      <c r="D31">
        <f t="shared" si="0"/>
        <v>4.8943985307621674</v>
      </c>
    </row>
    <row r="32" spans="1:4">
      <c r="A32">
        <v>20</v>
      </c>
      <c r="B32">
        <v>0.52100000000000002</v>
      </c>
      <c r="C32">
        <v>0.151</v>
      </c>
      <c r="D32">
        <f t="shared" si="0"/>
        <v>3.4503311258278146</v>
      </c>
    </row>
    <row r="34" spans="1:37">
      <c r="A34" s="1" t="s">
        <v>156</v>
      </c>
    </row>
    <row r="35" spans="1:37">
      <c r="A35" t="s">
        <v>157</v>
      </c>
    </row>
    <row r="36" spans="1:37">
      <c r="B36" t="s">
        <v>159</v>
      </c>
    </row>
    <row r="37" spans="1:37" ht="15" customHeight="1">
      <c r="F37" s="14" t="s">
        <v>183</v>
      </c>
      <c r="G37" s="14"/>
      <c r="H37" s="11"/>
      <c r="I37" s="14" t="s">
        <v>221</v>
      </c>
      <c r="J37" s="14"/>
      <c r="K37" s="11"/>
      <c r="L37" s="14" t="s">
        <v>222</v>
      </c>
      <c r="M37" s="14"/>
      <c r="N37" s="11"/>
      <c r="O37" s="14" t="s">
        <v>231</v>
      </c>
      <c r="P37" s="14"/>
      <c r="R37" s="14" t="s">
        <v>220</v>
      </c>
      <c r="S37" s="14"/>
      <c r="X37" s="14" t="s">
        <v>183</v>
      </c>
      <c r="Y37" s="14"/>
      <c r="AA37" s="14" t="s">
        <v>161</v>
      </c>
      <c r="AB37" s="14"/>
      <c r="AD37" s="14" t="s">
        <v>160</v>
      </c>
      <c r="AE37" s="14"/>
      <c r="AG37" s="14" t="s">
        <v>162</v>
      </c>
      <c r="AH37" s="14"/>
      <c r="AJ37" s="14" t="s">
        <v>163</v>
      </c>
      <c r="AK37" s="14"/>
    </row>
    <row r="38" spans="1:37" ht="15" customHeight="1">
      <c r="F38" s="14"/>
      <c r="G38" s="14"/>
      <c r="H38" s="11"/>
      <c r="I38" s="14"/>
      <c r="J38" s="14"/>
      <c r="K38" s="11"/>
      <c r="L38" s="14"/>
      <c r="M38" s="14"/>
      <c r="N38" s="11"/>
      <c r="O38" s="14"/>
      <c r="P38" s="14"/>
      <c r="R38" s="14"/>
      <c r="S38" s="14"/>
      <c r="X38" s="14"/>
      <c r="Y38" s="14"/>
      <c r="AA38" s="14"/>
      <c r="AB38" s="14"/>
      <c r="AD38" s="14"/>
      <c r="AE38" s="14"/>
      <c r="AG38" s="14"/>
      <c r="AH38" s="14"/>
      <c r="AJ38" s="14"/>
      <c r="AK38" s="14"/>
    </row>
    <row r="39" spans="1:37">
      <c r="F39" s="14"/>
      <c r="G39" s="14"/>
      <c r="H39" s="11"/>
      <c r="I39" s="14"/>
      <c r="J39" s="14"/>
      <c r="K39" s="11"/>
      <c r="L39" s="14"/>
      <c r="M39" s="14"/>
      <c r="N39" s="11"/>
      <c r="O39" s="14"/>
      <c r="P39" s="14"/>
      <c r="R39" s="14"/>
      <c r="S39" s="14"/>
      <c r="X39" s="14"/>
      <c r="Y39" s="14"/>
      <c r="AA39" s="14"/>
      <c r="AB39" s="14"/>
      <c r="AD39" s="14"/>
      <c r="AE39" s="14"/>
      <c r="AG39" s="14"/>
      <c r="AH39" s="14"/>
      <c r="AJ39" s="14"/>
      <c r="AK39" s="14"/>
    </row>
    <row r="40" spans="1:37">
      <c r="F40" s="14"/>
      <c r="G40" s="14"/>
      <c r="H40" s="11"/>
      <c r="I40" s="14"/>
      <c r="J40" s="14"/>
      <c r="K40" s="11"/>
      <c r="L40" s="14"/>
      <c r="M40" s="14"/>
      <c r="N40" s="11"/>
      <c r="O40" s="14"/>
      <c r="P40" s="14"/>
      <c r="R40" s="14"/>
      <c r="S40" s="14"/>
      <c r="X40" s="14"/>
      <c r="Y40" s="14"/>
      <c r="AA40" s="14"/>
      <c r="AB40" s="14"/>
      <c r="AD40" s="14"/>
      <c r="AE40" s="14"/>
      <c r="AG40" s="14"/>
      <c r="AH40" s="14"/>
      <c r="AJ40" s="14"/>
      <c r="AK40" s="14"/>
    </row>
    <row r="41" spans="1:37">
      <c r="AB41">
        <f>0.0378</f>
        <v>3.78E-2</v>
      </c>
      <c r="AE41">
        <f>0.0378</f>
        <v>3.78E-2</v>
      </c>
    </row>
    <row r="42" spans="1:37">
      <c r="S42">
        <v>2</v>
      </c>
      <c r="V42">
        <v>3.5</v>
      </c>
      <c r="Y42">
        <v>3.5</v>
      </c>
      <c r="AB42">
        <f>AB41/C57</f>
        <v>2.1724137931034484</v>
      </c>
      <c r="AE42">
        <v>1.25</v>
      </c>
      <c r="AH42">
        <f>AE41-AE55</f>
        <v>1.2924999999999999E-2</v>
      </c>
      <c r="AK42">
        <f>AE41-C55</f>
        <v>1.7899999999999999E-2</v>
      </c>
    </row>
    <row r="43" spans="1:37">
      <c r="A43" s="1" t="s">
        <v>137</v>
      </c>
      <c r="B43" s="1" t="s">
        <v>147</v>
      </c>
      <c r="C43" s="1" t="s">
        <v>148</v>
      </c>
      <c r="D43" s="1" t="s">
        <v>149</v>
      </c>
      <c r="E43" s="1"/>
      <c r="F43" s="1" t="s">
        <v>137</v>
      </c>
      <c r="G43" s="1" t="s">
        <v>138</v>
      </c>
      <c r="H43" s="1"/>
      <c r="I43" s="1" t="s">
        <v>137</v>
      </c>
      <c r="J43" s="1" t="s">
        <v>138</v>
      </c>
      <c r="K43" s="1"/>
      <c r="L43" s="1" t="s">
        <v>137</v>
      </c>
      <c r="M43" s="1" t="s">
        <v>138</v>
      </c>
      <c r="N43" s="1"/>
      <c r="O43" s="1" t="s">
        <v>137</v>
      </c>
      <c r="P43" s="1" t="s">
        <v>138</v>
      </c>
      <c r="Q43" s="1"/>
      <c r="R43" s="1" t="str">
        <f>A43</f>
        <v>AOA</v>
      </c>
      <c r="S43" s="1" t="str">
        <f>B43</f>
        <v>Lift Coeff</v>
      </c>
      <c r="T43" s="1"/>
      <c r="U43" s="1" t="str">
        <f>A43</f>
        <v>AOA</v>
      </c>
      <c r="V43" s="1" t="str">
        <f>B43</f>
        <v>Lift Coeff</v>
      </c>
      <c r="W43" s="1"/>
      <c r="X43" s="1" t="str">
        <f>D43</f>
        <v>L/D</v>
      </c>
      <c r="Y43" s="1">
        <f>Q43</f>
        <v>0</v>
      </c>
      <c r="Z43" s="1"/>
      <c r="AA43" s="1" t="str">
        <f>A43</f>
        <v>AOA</v>
      </c>
      <c r="AB43" s="1" t="str">
        <f>C43</f>
        <v>Drag Coeff</v>
      </c>
      <c r="AC43" s="1"/>
      <c r="AD43" s="1" t="str">
        <f>A43</f>
        <v>AOA</v>
      </c>
      <c r="AE43" s="1" t="str">
        <f>C43</f>
        <v>Drag Coeff</v>
      </c>
      <c r="AF43" s="1"/>
      <c r="AG43" s="1" t="str">
        <f>A43</f>
        <v>AOA</v>
      </c>
      <c r="AH43" s="1" t="str">
        <f>C43</f>
        <v>Drag Coeff</v>
      </c>
      <c r="AJ43" s="1" t="str">
        <f>A43</f>
        <v>AOA</v>
      </c>
      <c r="AK43" s="1" t="str">
        <f>C43</f>
        <v>Drag Coeff</v>
      </c>
    </row>
    <row r="44" spans="1:37">
      <c r="A44">
        <v>-90</v>
      </c>
      <c r="B44">
        <v>0</v>
      </c>
      <c r="C44">
        <v>2.8</v>
      </c>
      <c r="D44">
        <f t="shared" ref="D44:D51" si="1">B44/C44</f>
        <v>0</v>
      </c>
      <c r="F44">
        <f>A44</f>
        <v>-90</v>
      </c>
      <c r="G44">
        <f>C44</f>
        <v>2.8</v>
      </c>
      <c r="I44">
        <f>F44</f>
        <v>-90</v>
      </c>
      <c r="J44">
        <f>G44</f>
        <v>2.8</v>
      </c>
      <c r="L44">
        <f>I44</f>
        <v>-90</v>
      </c>
      <c r="M44">
        <f>J44-0.01</f>
        <v>2.79</v>
      </c>
      <c r="O44">
        <f>L44</f>
        <v>-90</v>
      </c>
      <c r="P44">
        <f>M44</f>
        <v>2.79</v>
      </c>
      <c r="R44">
        <f>F44</f>
        <v>-90</v>
      </c>
      <c r="S44">
        <f>B44*S$42</f>
        <v>0</v>
      </c>
      <c r="U44">
        <f>A44</f>
        <v>-90</v>
      </c>
      <c r="V44">
        <f>B44*V$42</f>
        <v>0</v>
      </c>
      <c r="X44">
        <f>A44</f>
        <v>-90</v>
      </c>
      <c r="Y44">
        <f>B44*V$42</f>
        <v>0</v>
      </c>
      <c r="AA44">
        <f>A44</f>
        <v>-90</v>
      </c>
      <c r="AB44">
        <f>C44*AB$42</f>
        <v>6.0827586206896553</v>
      </c>
      <c r="AD44">
        <f>A44</f>
        <v>-90</v>
      </c>
      <c r="AE44">
        <f>C44*AE$42</f>
        <v>3.5</v>
      </c>
      <c r="AG44">
        <f>A44</f>
        <v>-90</v>
      </c>
      <c r="AH44">
        <f>AE44+AH$42</f>
        <v>3.5129250000000001</v>
      </c>
      <c r="AJ44" s="1">
        <f>A44</f>
        <v>-90</v>
      </c>
      <c r="AK44">
        <f>C44+AK$42</f>
        <v>2.8178999999999998</v>
      </c>
    </row>
    <row r="45" spans="1:37">
      <c r="A45">
        <v>-60</v>
      </c>
      <c r="B45">
        <v>-0.05</v>
      </c>
      <c r="C45">
        <v>1.4</v>
      </c>
      <c r="D45">
        <f t="shared" si="1"/>
        <v>-3.5714285714285719E-2</v>
      </c>
      <c r="F45">
        <f t="shared" ref="F45:F73" si="2">A45</f>
        <v>-60</v>
      </c>
      <c r="G45">
        <f t="shared" ref="G45:G73" si="3">C45</f>
        <v>1.4</v>
      </c>
      <c r="I45">
        <f t="shared" ref="I45:I73" si="4">F45</f>
        <v>-60</v>
      </c>
      <c r="J45">
        <f t="shared" ref="J45:J73" si="5">G45</f>
        <v>1.4</v>
      </c>
      <c r="L45">
        <f t="shared" ref="L45:L73" si="6">I45</f>
        <v>-60</v>
      </c>
      <c r="M45">
        <f t="shared" ref="M45:M73" si="7">J45-0.01</f>
        <v>1.39</v>
      </c>
      <c r="O45">
        <f t="shared" ref="O45:O73" si="8">L45</f>
        <v>-60</v>
      </c>
      <c r="P45">
        <f t="shared" ref="P45:P73" si="9">M45</f>
        <v>1.39</v>
      </c>
      <c r="R45">
        <f>F45</f>
        <v>-60</v>
      </c>
      <c r="S45">
        <f>B45*S$42</f>
        <v>-0.1</v>
      </c>
      <c r="U45">
        <f>A45</f>
        <v>-60</v>
      </c>
      <c r="V45">
        <f>B45*V$42</f>
        <v>-0.17500000000000002</v>
      </c>
      <c r="X45">
        <f>A45</f>
        <v>-60</v>
      </c>
      <c r="Y45">
        <f>B45*V$42</f>
        <v>-0.17500000000000002</v>
      </c>
      <c r="AA45">
        <f>A45</f>
        <v>-60</v>
      </c>
      <c r="AB45">
        <f>C45*AB$42</f>
        <v>3.0413793103448277</v>
      </c>
      <c r="AD45">
        <f>A45</f>
        <v>-60</v>
      </c>
      <c r="AE45">
        <f>C45*AE$42</f>
        <v>1.75</v>
      </c>
      <c r="AG45">
        <f>A45</f>
        <v>-60</v>
      </c>
      <c r="AH45">
        <f>AE45+AH$42</f>
        <v>1.7629250000000001</v>
      </c>
      <c r="AJ45" s="1">
        <f>A45</f>
        <v>-60</v>
      </c>
      <c r="AK45">
        <f>C45+AK$42</f>
        <v>1.4178999999999999</v>
      </c>
    </row>
    <row r="46" spans="1:37">
      <c r="A46">
        <v>-30</v>
      </c>
      <c r="B46">
        <v>-0.2</v>
      </c>
      <c r="C46">
        <v>0.4</v>
      </c>
      <c r="D46">
        <f t="shared" si="1"/>
        <v>-0.5</v>
      </c>
      <c r="F46">
        <f t="shared" si="2"/>
        <v>-30</v>
      </c>
      <c r="G46">
        <f t="shared" si="3"/>
        <v>0.4</v>
      </c>
      <c r="I46">
        <f t="shared" si="4"/>
        <v>-30</v>
      </c>
      <c r="J46">
        <f t="shared" si="5"/>
        <v>0.4</v>
      </c>
      <c r="L46">
        <f t="shared" si="6"/>
        <v>-30</v>
      </c>
      <c r="M46">
        <f t="shared" si="7"/>
        <v>0.39</v>
      </c>
      <c r="O46">
        <f t="shared" si="8"/>
        <v>-30</v>
      </c>
      <c r="P46">
        <f t="shared" si="9"/>
        <v>0.39</v>
      </c>
      <c r="R46">
        <f>F46</f>
        <v>-30</v>
      </c>
      <c r="S46">
        <f>B46*S$42</f>
        <v>-0.4</v>
      </c>
      <c r="U46">
        <f>A46</f>
        <v>-30</v>
      </c>
      <c r="V46">
        <f>B46*V$42</f>
        <v>-0.70000000000000007</v>
      </c>
      <c r="X46">
        <f>A46</f>
        <v>-30</v>
      </c>
      <c r="Y46">
        <f>B46*V$42</f>
        <v>-0.70000000000000007</v>
      </c>
      <c r="AA46">
        <f>A46</f>
        <v>-30</v>
      </c>
      <c r="AB46">
        <f>C46*AB$42</f>
        <v>0.86896551724137938</v>
      </c>
      <c r="AD46">
        <f>A46</f>
        <v>-30</v>
      </c>
      <c r="AE46">
        <f>C46*AE$42</f>
        <v>0.5</v>
      </c>
      <c r="AG46">
        <f>A46</f>
        <v>-30</v>
      </c>
      <c r="AH46">
        <f>AE46+AH$42</f>
        <v>0.51292499999999996</v>
      </c>
      <c r="AJ46" s="1">
        <f>A46</f>
        <v>-30</v>
      </c>
      <c r="AK46">
        <f>C46+AK$42</f>
        <v>0.41790000000000005</v>
      </c>
    </row>
    <row r="47" spans="1:37">
      <c r="A47">
        <v>-20</v>
      </c>
      <c r="B47">
        <v>-0.3</v>
      </c>
      <c r="C47">
        <v>0.12</v>
      </c>
      <c r="D47">
        <f t="shared" si="1"/>
        <v>-2.5</v>
      </c>
      <c r="F47">
        <f>A47*15/18</f>
        <v>-16.666666666666668</v>
      </c>
      <c r="G47">
        <f t="shared" si="3"/>
        <v>0.12</v>
      </c>
      <c r="I47">
        <f t="shared" si="4"/>
        <v>-16.666666666666668</v>
      </c>
      <c r="J47">
        <f t="shared" si="5"/>
        <v>0.12</v>
      </c>
      <c r="L47">
        <f t="shared" si="6"/>
        <v>-16.666666666666668</v>
      </c>
      <c r="M47">
        <f t="shared" si="7"/>
        <v>0.11</v>
      </c>
      <c r="O47">
        <f t="shared" si="8"/>
        <v>-16.666666666666668</v>
      </c>
      <c r="P47">
        <f t="shared" si="9"/>
        <v>0.11</v>
      </c>
      <c r="R47">
        <f>F47</f>
        <v>-16.666666666666668</v>
      </c>
      <c r="S47">
        <f>B47*S$42</f>
        <v>-0.6</v>
      </c>
      <c r="U47">
        <f>A47</f>
        <v>-20</v>
      </c>
      <c r="V47">
        <f>B47*V$42</f>
        <v>-1.05</v>
      </c>
      <c r="X47">
        <f>A47*15/18</f>
        <v>-16.666666666666668</v>
      </c>
      <c r="Y47">
        <f>B47*V$42</f>
        <v>-1.05</v>
      </c>
      <c r="AA47">
        <f>A47</f>
        <v>-20</v>
      </c>
      <c r="AB47">
        <f>C47*AB$42</f>
        <v>0.26068965517241383</v>
      </c>
      <c r="AD47">
        <f>A47</f>
        <v>-20</v>
      </c>
      <c r="AE47">
        <f>C47*AE$42</f>
        <v>0.15</v>
      </c>
      <c r="AG47">
        <f>A47</f>
        <v>-20</v>
      </c>
      <c r="AH47">
        <f>AE47+AH$42</f>
        <v>0.16292499999999999</v>
      </c>
      <c r="AJ47" s="1">
        <f>A47</f>
        <v>-20</v>
      </c>
      <c r="AK47">
        <f>C47+AK$42</f>
        <v>0.13789999999999999</v>
      </c>
    </row>
    <row r="48" spans="1:37">
      <c r="A48">
        <v>-14</v>
      </c>
      <c r="B48">
        <v>-0.25600000000000001</v>
      </c>
      <c r="C48">
        <v>7.6999999999999999E-2</v>
      </c>
      <c r="D48">
        <f t="shared" si="1"/>
        <v>-3.3246753246753249</v>
      </c>
      <c r="F48">
        <f t="shared" ref="F48:F70" si="10">A48*15/18</f>
        <v>-11.666666666666666</v>
      </c>
      <c r="G48">
        <f t="shared" si="3"/>
        <v>7.6999999999999999E-2</v>
      </c>
      <c r="I48">
        <f t="shared" si="4"/>
        <v>-11.666666666666666</v>
      </c>
      <c r="J48">
        <f t="shared" si="5"/>
        <v>7.6999999999999999E-2</v>
      </c>
      <c r="L48">
        <f t="shared" si="6"/>
        <v>-11.666666666666666</v>
      </c>
      <c r="M48">
        <f t="shared" si="7"/>
        <v>6.7000000000000004E-2</v>
      </c>
      <c r="O48">
        <f t="shared" si="8"/>
        <v>-11.666666666666666</v>
      </c>
      <c r="P48">
        <f t="shared" si="9"/>
        <v>6.7000000000000004E-2</v>
      </c>
      <c r="R48">
        <f>F48</f>
        <v>-11.666666666666666</v>
      </c>
      <c r="S48">
        <f>B48*S$42</f>
        <v>-0.51200000000000001</v>
      </c>
      <c r="U48">
        <f>A48</f>
        <v>-14</v>
      </c>
      <c r="V48">
        <f>B48*V$42</f>
        <v>-0.89600000000000002</v>
      </c>
      <c r="X48">
        <f>A48*15/18</f>
        <v>-11.666666666666666</v>
      </c>
      <c r="Y48">
        <f>B48*V$42</f>
        <v>-0.89600000000000002</v>
      </c>
      <c r="AA48">
        <f>A48</f>
        <v>-14</v>
      </c>
      <c r="AB48">
        <f>C48*AB$42</f>
        <v>0.16727586206896553</v>
      </c>
      <c r="AD48">
        <f>A48</f>
        <v>-14</v>
      </c>
      <c r="AE48">
        <f>C48*AE$42</f>
        <v>9.6250000000000002E-2</v>
      </c>
      <c r="AG48">
        <f>A48</f>
        <v>-14</v>
      </c>
      <c r="AH48">
        <f>AE48+AH$42</f>
        <v>0.10917499999999999</v>
      </c>
      <c r="AJ48" s="1">
        <f>A48</f>
        <v>-14</v>
      </c>
      <c r="AK48">
        <f>C48+AK$42</f>
        <v>9.4899999999999998E-2</v>
      </c>
    </row>
    <row r="49" spans="1:37">
      <c r="A49">
        <v>-12</v>
      </c>
      <c r="B49">
        <v>-0.22450000000000001</v>
      </c>
      <c r="C49">
        <v>6.4000000000000001E-2</v>
      </c>
      <c r="D49">
        <f t="shared" si="1"/>
        <v>-3.5078125</v>
      </c>
      <c r="F49">
        <f t="shared" si="10"/>
        <v>-10</v>
      </c>
      <c r="G49">
        <f t="shared" si="3"/>
        <v>6.4000000000000001E-2</v>
      </c>
      <c r="I49">
        <f t="shared" si="4"/>
        <v>-10</v>
      </c>
      <c r="J49">
        <f t="shared" si="5"/>
        <v>6.4000000000000001E-2</v>
      </c>
      <c r="L49">
        <f t="shared" si="6"/>
        <v>-10</v>
      </c>
      <c r="M49">
        <f t="shared" si="7"/>
        <v>5.3999999999999999E-2</v>
      </c>
      <c r="O49">
        <f t="shared" si="8"/>
        <v>-10</v>
      </c>
      <c r="P49">
        <f t="shared" si="9"/>
        <v>5.3999999999999999E-2</v>
      </c>
      <c r="R49">
        <f>F49</f>
        <v>-10</v>
      </c>
      <c r="S49">
        <f>B49*S$42</f>
        <v>-0.44900000000000001</v>
      </c>
      <c r="U49">
        <f>A49</f>
        <v>-12</v>
      </c>
      <c r="V49">
        <f>B49*V$42</f>
        <v>-0.78575000000000006</v>
      </c>
      <c r="X49">
        <f>A49*15/18</f>
        <v>-10</v>
      </c>
      <c r="Y49">
        <f>B49*V$42</f>
        <v>-0.78575000000000006</v>
      </c>
      <c r="AA49">
        <f>A49</f>
        <v>-12</v>
      </c>
      <c r="AB49">
        <f>C49*AB$42</f>
        <v>0.13903448275862071</v>
      </c>
      <c r="AD49">
        <f>A49</f>
        <v>-12</v>
      </c>
      <c r="AE49">
        <f>C49*AE$42</f>
        <v>0.08</v>
      </c>
      <c r="AG49">
        <f>A49</f>
        <v>-12</v>
      </c>
      <c r="AH49">
        <f>AE49+AH$42</f>
        <v>9.2925000000000008E-2</v>
      </c>
      <c r="AJ49" s="1">
        <f>A49</f>
        <v>-12</v>
      </c>
      <c r="AK49">
        <f>C49+AK$42</f>
        <v>8.1900000000000001E-2</v>
      </c>
    </row>
    <row r="50" spans="1:37">
      <c r="A50">
        <v>-10</v>
      </c>
      <c r="B50">
        <v>-0.1895</v>
      </c>
      <c r="C50">
        <v>5.2999999999999999E-2</v>
      </c>
      <c r="D50">
        <f t="shared" si="1"/>
        <v>-3.5754716981132075</v>
      </c>
      <c r="F50">
        <f t="shared" si="10"/>
        <v>-8.3333333333333339</v>
      </c>
      <c r="G50">
        <f t="shared" si="3"/>
        <v>5.2999999999999999E-2</v>
      </c>
      <c r="I50">
        <f t="shared" si="4"/>
        <v>-8.3333333333333339</v>
      </c>
      <c r="J50">
        <f t="shared" si="5"/>
        <v>5.2999999999999999E-2</v>
      </c>
      <c r="L50">
        <f t="shared" si="6"/>
        <v>-8.3333333333333339</v>
      </c>
      <c r="M50">
        <f t="shared" si="7"/>
        <v>4.2999999999999997E-2</v>
      </c>
      <c r="O50">
        <f t="shared" si="8"/>
        <v>-8.3333333333333339</v>
      </c>
      <c r="P50">
        <f t="shared" si="9"/>
        <v>4.2999999999999997E-2</v>
      </c>
      <c r="R50">
        <f>F50</f>
        <v>-8.3333333333333339</v>
      </c>
      <c r="S50">
        <f>B50*S$42</f>
        <v>-0.379</v>
      </c>
      <c r="U50">
        <f>A50</f>
        <v>-10</v>
      </c>
      <c r="V50">
        <f>B50*V$42</f>
        <v>-0.66325000000000001</v>
      </c>
      <c r="X50">
        <f>A50*15/18</f>
        <v>-8.3333333333333339</v>
      </c>
      <c r="Y50">
        <f>B50*V$42</f>
        <v>-0.66325000000000001</v>
      </c>
      <c r="AA50">
        <f>A50</f>
        <v>-10</v>
      </c>
      <c r="AB50">
        <f>C50*AB$42</f>
        <v>0.11513793103448276</v>
      </c>
      <c r="AD50">
        <f>A50</f>
        <v>-10</v>
      </c>
      <c r="AE50">
        <f>C50*AE$42</f>
        <v>6.6250000000000003E-2</v>
      </c>
      <c r="AG50">
        <f>A50</f>
        <v>-10</v>
      </c>
      <c r="AH50">
        <f>AE50+AH$42</f>
        <v>7.9174999999999995E-2</v>
      </c>
      <c r="AJ50" s="1">
        <f>A50</f>
        <v>-10</v>
      </c>
      <c r="AK50">
        <f>C50+AK$42</f>
        <v>7.0899999999999991E-2</v>
      </c>
    </row>
    <row r="51" spans="1:37">
      <c r="A51">
        <v>-8</v>
      </c>
      <c r="B51">
        <v>-0.153</v>
      </c>
      <c r="C51">
        <v>4.2999999999999997E-2</v>
      </c>
      <c r="D51">
        <f t="shared" si="1"/>
        <v>-3.558139534883721</v>
      </c>
      <c r="F51">
        <f t="shared" si="10"/>
        <v>-6.666666666666667</v>
      </c>
      <c r="G51">
        <f t="shared" si="3"/>
        <v>4.2999999999999997E-2</v>
      </c>
      <c r="I51">
        <f t="shared" si="4"/>
        <v>-6.666666666666667</v>
      </c>
      <c r="J51">
        <f t="shared" si="5"/>
        <v>4.2999999999999997E-2</v>
      </c>
      <c r="L51">
        <f t="shared" si="6"/>
        <v>-6.666666666666667</v>
      </c>
      <c r="M51">
        <f t="shared" si="7"/>
        <v>3.2999999999999995E-2</v>
      </c>
      <c r="O51">
        <f t="shared" si="8"/>
        <v>-6.666666666666667</v>
      </c>
      <c r="P51">
        <f t="shared" si="9"/>
        <v>3.2999999999999995E-2</v>
      </c>
      <c r="R51">
        <f>F51</f>
        <v>-6.666666666666667</v>
      </c>
      <c r="S51">
        <f>B51*S$42</f>
        <v>-0.30599999999999999</v>
      </c>
      <c r="U51">
        <f>A51</f>
        <v>-8</v>
      </c>
      <c r="V51">
        <f>B51*V$42</f>
        <v>-0.53549999999999998</v>
      </c>
      <c r="X51">
        <f>A51*15/18</f>
        <v>-6.666666666666667</v>
      </c>
      <c r="Y51">
        <f>B51*V$42</f>
        <v>-0.53549999999999998</v>
      </c>
      <c r="AA51">
        <f>A51</f>
        <v>-8</v>
      </c>
      <c r="AB51">
        <f>C51*AB$42</f>
        <v>9.3413793103448273E-2</v>
      </c>
      <c r="AD51">
        <f>A51</f>
        <v>-8</v>
      </c>
      <c r="AE51">
        <f>C51*AE$42</f>
        <v>5.3749999999999992E-2</v>
      </c>
      <c r="AG51">
        <f>A51</f>
        <v>-8</v>
      </c>
      <c r="AH51">
        <f>AE51+AH$42</f>
        <v>6.6674999999999984E-2</v>
      </c>
      <c r="AJ51" s="1">
        <f>A51</f>
        <v>-8</v>
      </c>
      <c r="AK51">
        <f>C51+AK$42</f>
        <v>6.0899999999999996E-2</v>
      </c>
    </row>
    <row r="52" spans="1:37">
      <c r="A52">
        <v>-6</v>
      </c>
      <c r="B52">
        <v>-0.1222</v>
      </c>
      <c r="C52">
        <v>3.6400000000000002E-2</v>
      </c>
      <c r="D52">
        <f>B52/C52</f>
        <v>-3.3571428571428572</v>
      </c>
      <c r="F52">
        <f t="shared" si="10"/>
        <v>-5</v>
      </c>
      <c r="G52">
        <f t="shared" si="3"/>
        <v>3.6400000000000002E-2</v>
      </c>
      <c r="I52">
        <f t="shared" si="4"/>
        <v>-5</v>
      </c>
      <c r="J52">
        <f t="shared" si="5"/>
        <v>3.6400000000000002E-2</v>
      </c>
      <c r="L52">
        <f t="shared" si="6"/>
        <v>-5</v>
      </c>
      <c r="M52">
        <f t="shared" si="7"/>
        <v>2.64E-2</v>
      </c>
      <c r="O52">
        <f t="shared" si="8"/>
        <v>-5</v>
      </c>
      <c r="P52">
        <f t="shared" si="9"/>
        <v>2.64E-2</v>
      </c>
      <c r="R52">
        <f>F52</f>
        <v>-5</v>
      </c>
      <c r="S52">
        <f>B52*S$42</f>
        <v>-0.24440000000000001</v>
      </c>
      <c r="U52">
        <f>A52</f>
        <v>-6</v>
      </c>
      <c r="V52">
        <f>B52*V$42</f>
        <v>-0.42770000000000002</v>
      </c>
      <c r="X52">
        <f>A52*15/18</f>
        <v>-5</v>
      </c>
      <c r="Y52">
        <f>B52*V$42</f>
        <v>-0.42770000000000002</v>
      </c>
      <c r="AA52">
        <f>A52</f>
        <v>-6</v>
      </c>
      <c r="AB52">
        <f>C52*AB$42</f>
        <v>7.9075862068965524E-2</v>
      </c>
      <c r="AD52">
        <f>A52</f>
        <v>-6</v>
      </c>
      <c r="AE52">
        <f>C52*AE$42</f>
        <v>4.5499999999999999E-2</v>
      </c>
      <c r="AG52">
        <f>A52</f>
        <v>-6</v>
      </c>
      <c r="AH52">
        <f>AE52+AH$42</f>
        <v>5.8424999999999998E-2</v>
      </c>
      <c r="AJ52" s="1">
        <f>A52</f>
        <v>-6</v>
      </c>
      <c r="AK52">
        <f>C52+AK$42</f>
        <v>5.4300000000000001E-2</v>
      </c>
    </row>
    <row r="53" spans="1:37">
      <c r="A53">
        <v>-4</v>
      </c>
      <c r="B53">
        <v>-5.8000000000000003E-2</v>
      </c>
      <c r="C53">
        <v>2.5899999999999999E-2</v>
      </c>
      <c r="D53">
        <f t="shared" ref="D53:D69" si="11">B53/C53</f>
        <v>-2.2393822393822393</v>
      </c>
      <c r="F53">
        <f t="shared" si="10"/>
        <v>-3.3333333333333335</v>
      </c>
      <c r="G53">
        <f t="shared" si="3"/>
        <v>2.5899999999999999E-2</v>
      </c>
      <c r="I53">
        <f t="shared" si="4"/>
        <v>-3.3333333333333335</v>
      </c>
      <c r="J53">
        <v>1.4999999999999999E-2</v>
      </c>
      <c r="L53">
        <f t="shared" si="6"/>
        <v>-3.3333333333333335</v>
      </c>
      <c r="M53">
        <f t="shared" si="7"/>
        <v>4.9999999999999992E-3</v>
      </c>
      <c r="O53">
        <f t="shared" si="8"/>
        <v>-3.3333333333333335</v>
      </c>
      <c r="P53">
        <f t="shared" si="9"/>
        <v>4.9999999999999992E-3</v>
      </c>
      <c r="R53">
        <f>F53</f>
        <v>-3.3333333333333335</v>
      </c>
      <c r="S53">
        <f>B53*S$42</f>
        <v>-0.11600000000000001</v>
      </c>
      <c r="U53">
        <f>A53</f>
        <v>-4</v>
      </c>
      <c r="V53">
        <f>B53*V$42</f>
        <v>-0.20300000000000001</v>
      </c>
      <c r="X53">
        <f>A53*15/18</f>
        <v>-3.3333333333333335</v>
      </c>
      <c r="Y53">
        <f>B53*V$42</f>
        <v>-0.20300000000000001</v>
      </c>
      <c r="AA53">
        <f>A53</f>
        <v>-4</v>
      </c>
      <c r="AB53">
        <f>C53*AB$42</f>
        <v>5.6265517241379313E-2</v>
      </c>
      <c r="AD53">
        <f>A53</f>
        <v>-4</v>
      </c>
      <c r="AE53">
        <f>C53*AE$42</f>
        <v>3.2375000000000001E-2</v>
      </c>
      <c r="AG53">
        <f>A53</f>
        <v>-4</v>
      </c>
      <c r="AH53">
        <f>AE53+AH$42</f>
        <v>4.53E-2</v>
      </c>
      <c r="AJ53" s="1">
        <f>A53</f>
        <v>-4</v>
      </c>
      <c r="AK53">
        <f>C53+AK$42</f>
        <v>4.3799999999999999E-2</v>
      </c>
    </row>
    <row r="54" spans="1:37">
      <c r="A54">
        <v>-3</v>
      </c>
      <c r="B54">
        <v>-2.4199999999999999E-2</v>
      </c>
      <c r="C54">
        <v>2.23E-2</v>
      </c>
      <c r="D54">
        <f t="shared" si="11"/>
        <v>-1.0852017937219731</v>
      </c>
      <c r="F54">
        <f t="shared" si="10"/>
        <v>-2.5</v>
      </c>
      <c r="G54">
        <f t="shared" si="3"/>
        <v>2.23E-2</v>
      </c>
      <c r="I54">
        <f t="shared" si="4"/>
        <v>-2.5</v>
      </c>
      <c r="J54">
        <v>1.2999999999999999E-2</v>
      </c>
      <c r="L54">
        <f t="shared" si="6"/>
        <v>-2.5</v>
      </c>
      <c r="M54">
        <f t="shared" si="7"/>
        <v>2.9999999999999992E-3</v>
      </c>
      <c r="O54">
        <f t="shared" si="8"/>
        <v>-2.5</v>
      </c>
      <c r="P54">
        <f t="shared" si="9"/>
        <v>2.9999999999999992E-3</v>
      </c>
      <c r="R54">
        <f>F54</f>
        <v>-2.5</v>
      </c>
      <c r="S54">
        <f>B54*S$42</f>
        <v>-4.8399999999999999E-2</v>
      </c>
      <c r="U54">
        <f>A54</f>
        <v>-3</v>
      </c>
      <c r="V54">
        <f>B54*V$42</f>
        <v>-8.4699999999999998E-2</v>
      </c>
      <c r="X54">
        <f>A54*15/18</f>
        <v>-2.5</v>
      </c>
      <c r="Y54">
        <f>B54*V$42</f>
        <v>-8.4699999999999998E-2</v>
      </c>
      <c r="AA54">
        <f>A54</f>
        <v>-3</v>
      </c>
      <c r="AB54">
        <f>C54*AB$42</f>
        <v>4.8444827586206898E-2</v>
      </c>
      <c r="AD54">
        <f>A54</f>
        <v>-3</v>
      </c>
      <c r="AE54">
        <f>C54*AE$42</f>
        <v>2.7875E-2</v>
      </c>
      <c r="AG54">
        <f>A54</f>
        <v>-3</v>
      </c>
      <c r="AH54">
        <f>AE54+AH$42</f>
        <v>4.0800000000000003E-2</v>
      </c>
      <c r="AJ54" s="1">
        <f>A54</f>
        <v>-3</v>
      </c>
      <c r="AK54">
        <f>C54+AK$42</f>
        <v>4.02E-2</v>
      </c>
    </row>
    <row r="55" spans="1:37">
      <c r="A55">
        <v>-2</v>
      </c>
      <c r="B55">
        <v>8.9999999999999993E-3</v>
      </c>
      <c r="C55">
        <v>1.9900000000000001E-2</v>
      </c>
      <c r="D55">
        <f t="shared" si="11"/>
        <v>0.45226130653266328</v>
      </c>
      <c r="F55">
        <f t="shared" si="10"/>
        <v>-1.6666666666666667</v>
      </c>
      <c r="G55">
        <f t="shared" si="3"/>
        <v>1.9900000000000001E-2</v>
      </c>
      <c r="I55">
        <f t="shared" si="4"/>
        <v>-1.6666666666666667</v>
      </c>
      <c r="J55">
        <v>1.2E-2</v>
      </c>
      <c r="L55">
        <f t="shared" si="6"/>
        <v>-1.6666666666666667</v>
      </c>
      <c r="M55">
        <f t="shared" si="7"/>
        <v>2E-3</v>
      </c>
      <c r="O55">
        <f t="shared" si="8"/>
        <v>-1.6666666666666667</v>
      </c>
      <c r="P55">
        <f t="shared" si="9"/>
        <v>2E-3</v>
      </c>
      <c r="R55">
        <f>F55</f>
        <v>-1.6666666666666667</v>
      </c>
      <c r="S55">
        <f>B55*S$42</f>
        <v>1.7999999999999999E-2</v>
      </c>
      <c r="U55">
        <f>A55</f>
        <v>-2</v>
      </c>
      <c r="V55">
        <f>B55*V$42</f>
        <v>3.15E-2</v>
      </c>
      <c r="X55">
        <f>A55*15/18</f>
        <v>-1.6666666666666667</v>
      </c>
      <c r="Y55">
        <f>B55*V$42</f>
        <v>3.15E-2</v>
      </c>
      <c r="AA55">
        <f>A55</f>
        <v>-2</v>
      </c>
      <c r="AB55">
        <f>C55*AB$42</f>
        <v>4.3231034482758626E-2</v>
      </c>
      <c r="AD55">
        <f>A55</f>
        <v>-2</v>
      </c>
      <c r="AE55">
        <f>C55*AE$42</f>
        <v>2.4875000000000001E-2</v>
      </c>
      <c r="AG55">
        <f>A55</f>
        <v>-2</v>
      </c>
      <c r="AH55">
        <f>AE55+AH$42</f>
        <v>3.78E-2</v>
      </c>
      <c r="AJ55" s="1">
        <f>A55</f>
        <v>-2</v>
      </c>
      <c r="AK55">
        <f>C55+AK$42</f>
        <v>3.78E-2</v>
      </c>
    </row>
    <row r="56" spans="1:37">
      <c r="A56">
        <v>-1</v>
      </c>
      <c r="B56">
        <v>4.02E-2</v>
      </c>
      <c r="C56">
        <v>1.8499999999999999E-2</v>
      </c>
      <c r="D56">
        <f t="shared" si="11"/>
        <v>2.172972972972973</v>
      </c>
      <c r="F56">
        <f t="shared" si="10"/>
        <v>-0.83333333333333337</v>
      </c>
      <c r="G56">
        <f t="shared" si="3"/>
        <v>1.8499999999999999E-2</v>
      </c>
      <c r="I56">
        <f t="shared" si="4"/>
        <v>-0.83333333333333337</v>
      </c>
      <c r="J56">
        <v>1.0999999999999999E-2</v>
      </c>
      <c r="L56">
        <f t="shared" si="6"/>
        <v>-0.83333333333333337</v>
      </c>
      <c r="M56">
        <f t="shared" si="7"/>
        <v>9.9999999999999915E-4</v>
      </c>
      <c r="O56">
        <f t="shared" si="8"/>
        <v>-0.83333333333333337</v>
      </c>
      <c r="P56">
        <f t="shared" si="9"/>
        <v>9.9999999999999915E-4</v>
      </c>
      <c r="R56">
        <f>F56</f>
        <v>-0.83333333333333337</v>
      </c>
      <c r="S56">
        <f>B56*S$42</f>
        <v>8.0399999999999999E-2</v>
      </c>
      <c r="U56">
        <f>A56</f>
        <v>-1</v>
      </c>
      <c r="V56">
        <f>B56*V$42</f>
        <v>0.14069999999999999</v>
      </c>
      <c r="X56">
        <f>A56*15/18</f>
        <v>-0.83333333333333337</v>
      </c>
      <c r="Y56">
        <f>B56*V$42</f>
        <v>0.14069999999999999</v>
      </c>
      <c r="AA56">
        <f>A56</f>
        <v>-1</v>
      </c>
      <c r="AB56">
        <f>C56*AB$42</f>
        <v>4.0189655172413796E-2</v>
      </c>
      <c r="AD56">
        <f>A56</f>
        <v>-1</v>
      </c>
      <c r="AE56">
        <f>C56*AE$42</f>
        <v>2.3125E-2</v>
      </c>
      <c r="AG56">
        <f>A56</f>
        <v>-1</v>
      </c>
      <c r="AH56">
        <f>AE56+AH$42</f>
        <v>3.6049999999999999E-2</v>
      </c>
      <c r="AJ56" s="1">
        <f>A56</f>
        <v>-1</v>
      </c>
      <c r="AK56">
        <f>C56+AK$42</f>
        <v>3.6400000000000002E-2</v>
      </c>
    </row>
    <row r="57" spans="1:37">
      <c r="A57">
        <v>0</v>
      </c>
      <c r="B57">
        <v>7.3999999999999996E-2</v>
      </c>
      <c r="C57">
        <v>1.7399999999999999E-2</v>
      </c>
      <c r="D57">
        <f t="shared" si="11"/>
        <v>4.2528735632183912</v>
      </c>
      <c r="F57">
        <f t="shared" si="10"/>
        <v>0</v>
      </c>
      <c r="G57">
        <f t="shared" si="3"/>
        <v>1.7399999999999999E-2</v>
      </c>
      <c r="I57">
        <f t="shared" si="4"/>
        <v>0</v>
      </c>
      <c r="J57">
        <v>0.01</v>
      </c>
      <c r="L57">
        <f t="shared" si="6"/>
        <v>0</v>
      </c>
      <c r="M57">
        <f t="shared" si="7"/>
        <v>0</v>
      </c>
      <c r="O57">
        <f t="shared" si="8"/>
        <v>0</v>
      </c>
      <c r="P57">
        <f t="shared" si="9"/>
        <v>0</v>
      </c>
      <c r="R57">
        <f>F57</f>
        <v>0</v>
      </c>
      <c r="S57">
        <f>B57*S$42</f>
        <v>0.14799999999999999</v>
      </c>
      <c r="U57">
        <f>A57</f>
        <v>0</v>
      </c>
      <c r="V57">
        <f>B57*V$42</f>
        <v>0.25900000000000001</v>
      </c>
      <c r="X57">
        <f>A57*15/18</f>
        <v>0</v>
      </c>
      <c r="Y57">
        <f>B57*V$42</f>
        <v>0.25900000000000001</v>
      </c>
      <c r="AA57">
        <f>A57</f>
        <v>0</v>
      </c>
      <c r="AB57">
        <f>C57*AB$42</f>
        <v>3.78E-2</v>
      </c>
      <c r="AD57">
        <f>A57</f>
        <v>0</v>
      </c>
      <c r="AE57">
        <f>C57*AE$42</f>
        <v>2.1749999999999999E-2</v>
      </c>
      <c r="AG57">
        <f>A57</f>
        <v>0</v>
      </c>
      <c r="AH57">
        <f>AE57+AH$42</f>
        <v>3.4674999999999997E-2</v>
      </c>
      <c r="AJ57" s="1">
        <f>A57</f>
        <v>0</v>
      </c>
      <c r="AK57">
        <f>C57+AK$42</f>
        <v>3.5299999999999998E-2</v>
      </c>
    </row>
    <row r="58" spans="1:37">
      <c r="A58">
        <v>1</v>
      </c>
      <c r="B58">
        <v>0.11269999999999999</v>
      </c>
      <c r="C58">
        <v>1.72E-2</v>
      </c>
      <c r="D58">
        <f t="shared" si="11"/>
        <v>6.5523255813953485</v>
      </c>
      <c r="F58">
        <f t="shared" si="10"/>
        <v>0.83333333333333337</v>
      </c>
      <c r="G58">
        <f t="shared" si="3"/>
        <v>1.72E-2</v>
      </c>
      <c r="I58">
        <f t="shared" si="4"/>
        <v>0.83333333333333337</v>
      </c>
      <c r="J58">
        <v>1.0999999999999999E-2</v>
      </c>
      <c r="L58">
        <f t="shared" si="6"/>
        <v>0.83333333333333337</v>
      </c>
      <c r="M58">
        <f t="shared" si="7"/>
        <v>9.9999999999999915E-4</v>
      </c>
      <c r="O58">
        <f t="shared" si="8"/>
        <v>0.83333333333333337</v>
      </c>
      <c r="P58">
        <f t="shared" si="9"/>
        <v>9.9999999999999915E-4</v>
      </c>
      <c r="R58">
        <f>F58</f>
        <v>0.83333333333333337</v>
      </c>
      <c r="S58">
        <f>B58*S$42</f>
        <v>0.22539999999999999</v>
      </c>
      <c r="U58">
        <f>A58</f>
        <v>1</v>
      </c>
      <c r="V58">
        <f>B58*V$42</f>
        <v>0.39444999999999997</v>
      </c>
      <c r="X58">
        <f>A58*15/18</f>
        <v>0.83333333333333337</v>
      </c>
      <c r="Y58">
        <f>B58*V$42</f>
        <v>0.39444999999999997</v>
      </c>
      <c r="AA58">
        <f>A58</f>
        <v>1</v>
      </c>
      <c r="AB58">
        <f>C58*AB$42</f>
        <v>3.7365517241379313E-2</v>
      </c>
      <c r="AD58">
        <f>A58</f>
        <v>1</v>
      </c>
      <c r="AE58">
        <f>C58*AE$42</f>
        <v>2.1499999999999998E-2</v>
      </c>
      <c r="AG58">
        <f>A58</f>
        <v>1</v>
      </c>
      <c r="AH58">
        <f>AE58+AH$42</f>
        <v>3.4424999999999997E-2</v>
      </c>
      <c r="AJ58" s="1">
        <f>A58</f>
        <v>1</v>
      </c>
      <c r="AK58">
        <f>C58+AK$42</f>
        <v>3.5099999999999999E-2</v>
      </c>
    </row>
    <row r="59" spans="1:37">
      <c r="A59">
        <v>2</v>
      </c>
      <c r="B59">
        <v>0.1527</v>
      </c>
      <c r="C59">
        <v>1.7500000000000002E-2</v>
      </c>
      <c r="D59">
        <f t="shared" si="11"/>
        <v>8.7257142857142842</v>
      </c>
      <c r="F59">
        <f t="shared" si="10"/>
        <v>1.6666666666666667</v>
      </c>
      <c r="G59">
        <f t="shared" si="3"/>
        <v>1.7500000000000002E-2</v>
      </c>
      <c r="I59">
        <f t="shared" si="4"/>
        <v>1.6666666666666667</v>
      </c>
      <c r="J59">
        <v>1.4999999999999999E-2</v>
      </c>
      <c r="L59">
        <f t="shared" si="6"/>
        <v>1.6666666666666667</v>
      </c>
      <c r="M59">
        <f t="shared" si="7"/>
        <v>4.9999999999999992E-3</v>
      </c>
      <c r="O59">
        <f t="shared" si="8"/>
        <v>1.6666666666666667</v>
      </c>
      <c r="P59">
        <f t="shared" si="9"/>
        <v>4.9999999999999992E-3</v>
      </c>
      <c r="R59">
        <f>F59</f>
        <v>1.6666666666666667</v>
      </c>
      <c r="S59">
        <f>B59*S$42</f>
        <v>0.3054</v>
      </c>
      <c r="U59">
        <f>A59</f>
        <v>2</v>
      </c>
      <c r="V59">
        <f>B59*V$42</f>
        <v>0.53444999999999998</v>
      </c>
      <c r="X59">
        <f>A59*15/18</f>
        <v>1.6666666666666667</v>
      </c>
      <c r="Y59">
        <f>B59*V$42</f>
        <v>0.53444999999999998</v>
      </c>
      <c r="AA59">
        <f>A59</f>
        <v>2</v>
      </c>
      <c r="AB59">
        <f>C59*AB$42</f>
        <v>3.8017241379310347E-2</v>
      </c>
      <c r="AD59">
        <f>A59</f>
        <v>2</v>
      </c>
      <c r="AE59">
        <f>C59*AE$42</f>
        <v>2.1875000000000002E-2</v>
      </c>
      <c r="AG59">
        <f>A59</f>
        <v>2</v>
      </c>
      <c r="AH59">
        <f>AE59+AH$42</f>
        <v>3.4799999999999998E-2</v>
      </c>
      <c r="AJ59" s="1">
        <f>A59</f>
        <v>2</v>
      </c>
      <c r="AK59">
        <f>C59+AK$42</f>
        <v>3.5400000000000001E-2</v>
      </c>
    </row>
    <row r="60" spans="1:37">
      <c r="A60">
        <v>3</v>
      </c>
      <c r="B60">
        <v>0.1895</v>
      </c>
      <c r="C60">
        <v>1.8599999999999998E-2</v>
      </c>
      <c r="D60">
        <f t="shared" si="11"/>
        <v>10.188172043010754</v>
      </c>
      <c r="F60">
        <f t="shared" si="10"/>
        <v>2.5</v>
      </c>
      <c r="G60">
        <f t="shared" si="3"/>
        <v>1.8599999999999998E-2</v>
      </c>
      <c r="I60">
        <f t="shared" si="4"/>
        <v>2.5</v>
      </c>
      <c r="J60">
        <v>1.7500000000000002E-2</v>
      </c>
      <c r="L60">
        <f t="shared" si="6"/>
        <v>2.5</v>
      </c>
      <c r="M60">
        <f t="shared" si="7"/>
        <v>7.5000000000000015E-3</v>
      </c>
      <c r="O60">
        <f t="shared" si="8"/>
        <v>2.5</v>
      </c>
      <c r="P60">
        <f>Q60*M60</f>
        <v>7.3500000000000015E-3</v>
      </c>
      <c r="Q60">
        <v>0.98</v>
      </c>
      <c r="R60">
        <f>F60</f>
        <v>2.5</v>
      </c>
      <c r="S60">
        <f>B60*S$42</f>
        <v>0.379</v>
      </c>
      <c r="U60">
        <f>A60</f>
        <v>3</v>
      </c>
      <c r="V60">
        <f>B60*V$42</f>
        <v>0.66325000000000001</v>
      </c>
      <c r="X60">
        <f>A60*15/18</f>
        <v>2.5</v>
      </c>
      <c r="Y60">
        <f>B60*V$42</f>
        <v>0.66325000000000001</v>
      </c>
      <c r="AA60">
        <f>A60</f>
        <v>3</v>
      </c>
      <c r="AB60">
        <f>C60*AB$42</f>
        <v>4.0406896551724136E-2</v>
      </c>
      <c r="AD60">
        <f>A60</f>
        <v>3</v>
      </c>
      <c r="AE60">
        <f>C60*AE$42</f>
        <v>2.325E-2</v>
      </c>
      <c r="AG60">
        <f>A60</f>
        <v>3</v>
      </c>
      <c r="AH60">
        <f>AE60+AH$42</f>
        <v>3.6174999999999999E-2</v>
      </c>
      <c r="AJ60" s="1">
        <f>A60</f>
        <v>3</v>
      </c>
      <c r="AK60">
        <f>C60+AK$42</f>
        <v>3.6499999999999998E-2</v>
      </c>
    </row>
    <row r="61" spans="1:37">
      <c r="A61">
        <v>4</v>
      </c>
      <c r="B61">
        <v>0.22450000000000001</v>
      </c>
      <c r="C61">
        <v>2.06E-2</v>
      </c>
      <c r="D61">
        <f t="shared" si="11"/>
        <v>10.898058252427184</v>
      </c>
      <c r="F61">
        <f t="shared" si="10"/>
        <v>3.3333333333333335</v>
      </c>
      <c r="G61">
        <f t="shared" si="3"/>
        <v>2.06E-2</v>
      </c>
      <c r="I61">
        <f t="shared" si="4"/>
        <v>3.3333333333333335</v>
      </c>
      <c r="J61">
        <v>1.8499999999999999E-2</v>
      </c>
      <c r="L61">
        <f t="shared" si="6"/>
        <v>3.3333333333333335</v>
      </c>
      <c r="M61">
        <f t="shared" si="7"/>
        <v>8.4999999999999989E-3</v>
      </c>
      <c r="O61">
        <f t="shared" si="8"/>
        <v>3.3333333333333335</v>
      </c>
      <c r="P61">
        <f>Q61*M61</f>
        <v>8.0749999999999988E-3</v>
      </c>
      <c r="Q61">
        <v>0.95</v>
      </c>
      <c r="R61">
        <f>F61</f>
        <v>3.3333333333333335</v>
      </c>
      <c r="S61">
        <f>B61*S$42</f>
        <v>0.44900000000000001</v>
      </c>
      <c r="U61">
        <f>A61</f>
        <v>4</v>
      </c>
      <c r="V61">
        <f>B61*V$42</f>
        <v>0.78575000000000006</v>
      </c>
      <c r="X61">
        <f>A61*15/18</f>
        <v>3.3333333333333335</v>
      </c>
      <c r="Y61">
        <f>B61*V$42</f>
        <v>0.78575000000000006</v>
      </c>
      <c r="AA61">
        <f>A61</f>
        <v>4</v>
      </c>
      <c r="AB61">
        <f>C61*AB$42</f>
        <v>4.4751724137931034E-2</v>
      </c>
      <c r="AD61">
        <f>A61</f>
        <v>4</v>
      </c>
      <c r="AE61">
        <f>C61*AE$42</f>
        <v>2.5750000000000002E-2</v>
      </c>
      <c r="AG61">
        <f>A61</f>
        <v>4</v>
      </c>
      <c r="AH61">
        <f>AE61+AH$42</f>
        <v>3.8675000000000001E-2</v>
      </c>
      <c r="AJ61" s="1">
        <f>A61</f>
        <v>4</v>
      </c>
      <c r="AK61">
        <f>C61+AK$42</f>
        <v>3.85E-2</v>
      </c>
    </row>
    <row r="62" spans="1:37">
      <c r="A62">
        <v>5</v>
      </c>
      <c r="B62">
        <v>0.25600000000000001</v>
      </c>
      <c r="C62">
        <v>2.35E-2</v>
      </c>
      <c r="D62">
        <f t="shared" si="11"/>
        <v>10.893617021276595</v>
      </c>
      <c r="F62">
        <f t="shared" si="10"/>
        <v>4.166666666666667</v>
      </c>
      <c r="G62">
        <f t="shared" si="3"/>
        <v>2.35E-2</v>
      </c>
      <c r="I62">
        <f t="shared" si="4"/>
        <v>4.166666666666667</v>
      </c>
      <c r="J62">
        <v>2.0500000000000001E-2</v>
      </c>
      <c r="L62">
        <f t="shared" si="6"/>
        <v>4.166666666666667</v>
      </c>
      <c r="M62">
        <f t="shared" si="7"/>
        <v>1.0500000000000001E-2</v>
      </c>
      <c r="O62">
        <f t="shared" si="8"/>
        <v>4.166666666666667</v>
      </c>
      <c r="P62">
        <f>Q62*M62</f>
        <v>9.4500000000000001E-3</v>
      </c>
      <c r="Q62">
        <v>0.9</v>
      </c>
      <c r="R62">
        <f>F62</f>
        <v>4.166666666666667</v>
      </c>
      <c r="S62">
        <f>B62*S$42</f>
        <v>0.51200000000000001</v>
      </c>
      <c r="U62">
        <f>A62</f>
        <v>5</v>
      </c>
      <c r="V62">
        <f>B62*V$42</f>
        <v>0.89600000000000002</v>
      </c>
      <c r="X62">
        <f>A62*15/18</f>
        <v>4.166666666666667</v>
      </c>
      <c r="Y62">
        <f>B62*V$42</f>
        <v>0.89600000000000002</v>
      </c>
      <c r="AA62">
        <f>A62</f>
        <v>5</v>
      </c>
      <c r="AB62">
        <f>C62*AB$42</f>
        <v>5.1051724137931034E-2</v>
      </c>
      <c r="AD62">
        <f>A62</f>
        <v>5</v>
      </c>
      <c r="AE62">
        <f>C62*AE$42</f>
        <v>2.9374999999999998E-2</v>
      </c>
      <c r="AG62">
        <f>A62</f>
        <v>5</v>
      </c>
      <c r="AH62">
        <f>AE62+AH$42</f>
        <v>4.2299999999999997E-2</v>
      </c>
      <c r="AJ62" s="1">
        <f>A62</f>
        <v>5</v>
      </c>
      <c r="AK62">
        <f>C62+AK$42</f>
        <v>4.1399999999999999E-2</v>
      </c>
    </row>
    <row r="63" spans="1:37">
      <c r="A63">
        <v>6</v>
      </c>
      <c r="B63">
        <v>0.28699999999999998</v>
      </c>
      <c r="C63">
        <v>2.69E-2</v>
      </c>
      <c r="D63">
        <f t="shared" si="11"/>
        <v>10.669144981412638</v>
      </c>
      <c r="F63">
        <f t="shared" si="10"/>
        <v>5</v>
      </c>
      <c r="G63">
        <f t="shared" si="3"/>
        <v>2.69E-2</v>
      </c>
      <c r="I63">
        <f t="shared" si="4"/>
        <v>5</v>
      </c>
      <c r="J63">
        <v>2.5000000000000001E-2</v>
      </c>
      <c r="L63">
        <f t="shared" si="6"/>
        <v>5</v>
      </c>
      <c r="M63">
        <f t="shared" si="7"/>
        <v>1.5000000000000001E-2</v>
      </c>
      <c r="O63">
        <f t="shared" si="8"/>
        <v>5</v>
      </c>
      <c r="P63">
        <f>Q63*M63</f>
        <v>1.2750000000000001E-2</v>
      </c>
      <c r="Q63">
        <v>0.85</v>
      </c>
      <c r="R63">
        <f>F63</f>
        <v>5</v>
      </c>
      <c r="S63">
        <f>B63*S$42</f>
        <v>0.57399999999999995</v>
      </c>
      <c r="U63">
        <f>A63</f>
        <v>6</v>
      </c>
      <c r="V63">
        <f>B63*V$42</f>
        <v>1.0044999999999999</v>
      </c>
      <c r="X63">
        <f>A63*15/18</f>
        <v>5</v>
      </c>
      <c r="Y63">
        <f>B63*V$42</f>
        <v>1.0044999999999999</v>
      </c>
      <c r="AA63">
        <f>A63</f>
        <v>6</v>
      </c>
      <c r="AB63">
        <f>C63*AB$42</f>
        <v>5.8437931034482762E-2</v>
      </c>
      <c r="AD63">
        <f>A63</f>
        <v>6</v>
      </c>
      <c r="AE63">
        <f>C63*AE$42</f>
        <v>3.3625000000000002E-2</v>
      </c>
      <c r="AG63">
        <f>A63</f>
        <v>6</v>
      </c>
      <c r="AH63">
        <f>AE63+AH$42</f>
        <v>4.6550000000000001E-2</v>
      </c>
      <c r="AJ63" s="1">
        <f>A63</f>
        <v>6</v>
      </c>
      <c r="AK63">
        <f>C63+AK$42</f>
        <v>4.48E-2</v>
      </c>
    </row>
    <row r="64" spans="1:37">
      <c r="A64">
        <v>8</v>
      </c>
      <c r="B64">
        <v>0.34499999999999997</v>
      </c>
      <c r="C64">
        <v>3.4599999999999999E-2</v>
      </c>
      <c r="D64">
        <f t="shared" si="11"/>
        <v>9.9710982658959537</v>
      </c>
      <c r="F64">
        <f t="shared" si="10"/>
        <v>6.666666666666667</v>
      </c>
      <c r="G64">
        <f t="shared" si="3"/>
        <v>3.4599999999999999E-2</v>
      </c>
      <c r="I64">
        <f t="shared" si="4"/>
        <v>6.666666666666667</v>
      </c>
      <c r="J64">
        <v>3.5000000000000003E-2</v>
      </c>
      <c r="L64">
        <f t="shared" si="6"/>
        <v>6.666666666666667</v>
      </c>
      <c r="M64">
        <f t="shared" si="7"/>
        <v>2.5000000000000001E-2</v>
      </c>
      <c r="O64">
        <f t="shared" si="8"/>
        <v>6.666666666666667</v>
      </c>
      <c r="P64">
        <f t="shared" ref="P64:P70" si="12">Q64*M64</f>
        <v>2.0000000000000004E-2</v>
      </c>
      <c r="Q64">
        <v>0.8</v>
      </c>
      <c r="R64">
        <f>F64</f>
        <v>6.666666666666667</v>
      </c>
      <c r="S64">
        <f>B64*S$42</f>
        <v>0.69</v>
      </c>
      <c r="U64">
        <f>A64</f>
        <v>8</v>
      </c>
      <c r="V64">
        <f>B64*V$42</f>
        <v>1.2075</v>
      </c>
      <c r="X64">
        <f>A64*15/18</f>
        <v>6.666666666666667</v>
      </c>
      <c r="Y64">
        <f>B64*V$42</f>
        <v>1.2075</v>
      </c>
      <c r="AA64">
        <f>A64</f>
        <v>8</v>
      </c>
      <c r="AB64">
        <f>C64*AB$42</f>
        <v>7.5165517241379307E-2</v>
      </c>
      <c r="AD64">
        <f>A64</f>
        <v>8</v>
      </c>
      <c r="AE64">
        <f>C64*AE$42</f>
        <v>4.3249999999999997E-2</v>
      </c>
      <c r="AG64">
        <f>A64</f>
        <v>8</v>
      </c>
      <c r="AH64">
        <f>AE64+AH$42</f>
        <v>5.6174999999999996E-2</v>
      </c>
      <c r="AJ64" s="1">
        <f>A64</f>
        <v>8</v>
      </c>
      <c r="AK64">
        <f>C64+AK$42</f>
        <v>5.2499999999999998E-2</v>
      </c>
    </row>
    <row r="65" spans="1:37">
      <c r="A65">
        <v>10</v>
      </c>
      <c r="B65">
        <v>0.39500000000000002</v>
      </c>
      <c r="C65">
        <v>4.3200000000000002E-2</v>
      </c>
      <c r="D65">
        <f t="shared" si="11"/>
        <v>9.143518518518519</v>
      </c>
      <c r="F65">
        <f t="shared" si="10"/>
        <v>8.3333333333333339</v>
      </c>
      <c r="G65">
        <f t="shared" si="3"/>
        <v>4.3200000000000002E-2</v>
      </c>
      <c r="I65">
        <f t="shared" si="4"/>
        <v>8.3333333333333339</v>
      </c>
      <c r="J65">
        <v>4.2000000000000003E-2</v>
      </c>
      <c r="L65">
        <f t="shared" si="6"/>
        <v>8.3333333333333339</v>
      </c>
      <c r="M65">
        <f t="shared" si="7"/>
        <v>3.2000000000000001E-2</v>
      </c>
      <c r="O65">
        <f t="shared" si="8"/>
        <v>8.3333333333333339</v>
      </c>
      <c r="P65">
        <f t="shared" si="12"/>
        <v>2.4E-2</v>
      </c>
      <c r="Q65">
        <v>0.75</v>
      </c>
      <c r="R65">
        <f>F65</f>
        <v>8.3333333333333339</v>
      </c>
      <c r="S65">
        <f>B65*S$42</f>
        <v>0.79</v>
      </c>
      <c r="U65">
        <f>A65</f>
        <v>10</v>
      </c>
      <c r="V65">
        <f>B65*V$42</f>
        <v>1.3825000000000001</v>
      </c>
      <c r="X65">
        <f>A65*15/18</f>
        <v>8.3333333333333339</v>
      </c>
      <c r="Y65">
        <f>B65*V$42</f>
        <v>1.3825000000000001</v>
      </c>
      <c r="AA65">
        <f>A65</f>
        <v>10</v>
      </c>
      <c r="AB65">
        <f>C65*AB$42</f>
        <v>9.3848275862068981E-2</v>
      </c>
      <c r="AD65">
        <f>A65</f>
        <v>10</v>
      </c>
      <c r="AE65">
        <f>C65*AE$42</f>
        <v>5.4000000000000006E-2</v>
      </c>
      <c r="AG65">
        <f>A65</f>
        <v>10</v>
      </c>
      <c r="AH65">
        <f>AE65+AH$42</f>
        <v>6.6925000000000012E-2</v>
      </c>
      <c r="AJ65" s="1">
        <f>A65</f>
        <v>10</v>
      </c>
      <c r="AK65">
        <f>C65+AK$42</f>
        <v>6.1100000000000002E-2</v>
      </c>
    </row>
    <row r="66" spans="1:37">
      <c r="A66">
        <v>12</v>
      </c>
      <c r="B66">
        <v>0.44800000000000001</v>
      </c>
      <c r="C66">
        <v>5.2900000000000003E-2</v>
      </c>
      <c r="D66">
        <f t="shared" si="11"/>
        <v>8.4688090737240067</v>
      </c>
      <c r="F66">
        <f t="shared" si="10"/>
        <v>10</v>
      </c>
      <c r="G66">
        <f t="shared" si="3"/>
        <v>5.2900000000000003E-2</v>
      </c>
      <c r="I66">
        <f t="shared" si="4"/>
        <v>10</v>
      </c>
      <c r="J66">
        <v>5.5E-2</v>
      </c>
      <c r="L66">
        <f t="shared" si="6"/>
        <v>10</v>
      </c>
      <c r="M66">
        <f t="shared" si="7"/>
        <v>4.4999999999999998E-2</v>
      </c>
      <c r="O66">
        <f t="shared" si="8"/>
        <v>10</v>
      </c>
      <c r="P66">
        <f t="shared" si="12"/>
        <v>3.15E-2</v>
      </c>
      <c r="Q66">
        <v>0.7</v>
      </c>
      <c r="R66">
        <f>F66</f>
        <v>10</v>
      </c>
      <c r="S66">
        <f>B66*S$42</f>
        <v>0.89600000000000002</v>
      </c>
      <c r="U66">
        <f>A66</f>
        <v>12</v>
      </c>
      <c r="V66">
        <f>B66*V$42</f>
        <v>1.5680000000000001</v>
      </c>
      <c r="X66">
        <f>A66*15/18</f>
        <v>10</v>
      </c>
      <c r="Y66">
        <f>B66*V$42</f>
        <v>1.5680000000000001</v>
      </c>
      <c r="AA66">
        <f>A66</f>
        <v>12</v>
      </c>
      <c r="AB66">
        <f>C66*AB$42</f>
        <v>0.11492068965517242</v>
      </c>
      <c r="AD66">
        <f>A66</f>
        <v>12</v>
      </c>
      <c r="AE66">
        <f>C66*AE$42</f>
        <v>6.6125000000000003E-2</v>
      </c>
      <c r="AG66">
        <f>A66</f>
        <v>12</v>
      </c>
      <c r="AH66">
        <f>AE66+AH$42</f>
        <v>7.9050000000000009E-2</v>
      </c>
      <c r="AJ66" s="1">
        <f>A66</f>
        <v>12</v>
      </c>
      <c r="AK66">
        <f>C66+AK$42</f>
        <v>7.0800000000000002E-2</v>
      </c>
    </row>
    <row r="67" spans="1:37">
      <c r="A67">
        <v>14</v>
      </c>
      <c r="B67">
        <v>0.495</v>
      </c>
      <c r="C67">
        <v>6.3500000000000001E-2</v>
      </c>
      <c r="D67">
        <f t="shared" si="11"/>
        <v>7.7952755905511806</v>
      </c>
      <c r="F67">
        <f t="shared" si="10"/>
        <v>11.666666666666666</v>
      </c>
      <c r="G67">
        <f t="shared" si="3"/>
        <v>6.3500000000000001E-2</v>
      </c>
      <c r="I67">
        <f t="shared" si="4"/>
        <v>11.666666666666666</v>
      </c>
      <c r="J67">
        <v>7.3300000000000004E-2</v>
      </c>
      <c r="L67">
        <f t="shared" si="6"/>
        <v>11.666666666666666</v>
      </c>
      <c r="M67">
        <f t="shared" si="7"/>
        <v>6.3300000000000009E-2</v>
      </c>
      <c r="O67">
        <f t="shared" si="8"/>
        <v>11.666666666666666</v>
      </c>
      <c r="P67">
        <f t="shared" si="12"/>
        <v>3.7980000000000007E-2</v>
      </c>
      <c r="Q67">
        <v>0.6</v>
      </c>
      <c r="R67">
        <f>F67</f>
        <v>11.666666666666666</v>
      </c>
      <c r="S67">
        <f>B67*S$42</f>
        <v>0.99</v>
      </c>
      <c r="U67">
        <f>A67</f>
        <v>14</v>
      </c>
      <c r="V67">
        <f>B67*V$42</f>
        <v>1.7324999999999999</v>
      </c>
      <c r="X67">
        <f>A67*15/18</f>
        <v>11.666666666666666</v>
      </c>
      <c r="Y67">
        <f>B67*V$42</f>
        <v>1.7324999999999999</v>
      </c>
      <c r="AA67">
        <f>A67</f>
        <v>14</v>
      </c>
      <c r="AB67">
        <f>C67*AB$42</f>
        <v>0.13794827586206898</v>
      </c>
      <c r="AD67">
        <f>A67</f>
        <v>14</v>
      </c>
      <c r="AE67">
        <f>C67*AE$42</f>
        <v>7.9375000000000001E-2</v>
      </c>
      <c r="AG67">
        <f>A67</f>
        <v>14</v>
      </c>
      <c r="AH67">
        <f>AE67+AH$42</f>
        <v>9.2299999999999993E-2</v>
      </c>
      <c r="AJ67" s="1">
        <f>A67</f>
        <v>14</v>
      </c>
      <c r="AK67">
        <f>C67+AK$42</f>
        <v>8.14E-2</v>
      </c>
    </row>
    <row r="68" spans="1:37">
      <c r="A68">
        <v>16</v>
      </c>
      <c r="B68">
        <v>0.53100000000000003</v>
      </c>
      <c r="C68">
        <v>7.7299999999999994E-2</v>
      </c>
      <c r="D68">
        <f t="shared" si="11"/>
        <v>6.8693402328589919</v>
      </c>
      <c r="F68">
        <f t="shared" si="10"/>
        <v>13.333333333333334</v>
      </c>
      <c r="G68">
        <f t="shared" si="3"/>
        <v>7.7299999999999994E-2</v>
      </c>
      <c r="I68">
        <f t="shared" si="4"/>
        <v>13.333333333333334</v>
      </c>
      <c r="J68">
        <v>0.09</v>
      </c>
      <c r="L68">
        <f t="shared" si="6"/>
        <v>13.333333333333334</v>
      </c>
      <c r="M68">
        <f t="shared" si="7"/>
        <v>0.08</v>
      </c>
      <c r="O68">
        <f t="shared" si="8"/>
        <v>13.333333333333334</v>
      </c>
      <c r="P68">
        <f t="shared" si="12"/>
        <v>4.8000000000000001E-2</v>
      </c>
      <c r="Q68">
        <v>0.6</v>
      </c>
      <c r="R68">
        <f>F68</f>
        <v>13.333333333333334</v>
      </c>
      <c r="S68">
        <f>B68*S$42</f>
        <v>1.0620000000000001</v>
      </c>
      <c r="U68">
        <f>A68</f>
        <v>16</v>
      </c>
      <c r="V68">
        <f>B68*V$42</f>
        <v>1.8585</v>
      </c>
      <c r="X68">
        <f>A68*15/18</f>
        <v>13.333333333333334</v>
      </c>
      <c r="Y68">
        <f>B68*V$42</f>
        <v>1.8585</v>
      </c>
      <c r="AA68">
        <f>A68</f>
        <v>16</v>
      </c>
      <c r="AB68">
        <f>C68*AB$42</f>
        <v>0.16792758620689655</v>
      </c>
      <c r="AD68">
        <f>A68</f>
        <v>16</v>
      </c>
      <c r="AE68">
        <f>C68*AE$42</f>
        <v>9.6624999999999989E-2</v>
      </c>
      <c r="AG68">
        <f>A68</f>
        <v>16</v>
      </c>
      <c r="AH68">
        <f>AE68+AH$42</f>
        <v>0.10954999999999998</v>
      </c>
      <c r="AJ68" s="1">
        <f>A68</f>
        <v>16</v>
      </c>
      <c r="AK68">
        <f>C68+AK$42</f>
        <v>9.5199999999999993E-2</v>
      </c>
    </row>
    <row r="69" spans="1:37">
      <c r="A69">
        <v>18</v>
      </c>
      <c r="B69">
        <v>0.53300000000000003</v>
      </c>
      <c r="C69">
        <v>0.1089</v>
      </c>
      <c r="D69">
        <f t="shared" si="11"/>
        <v>4.8943985307621674</v>
      </c>
      <c r="F69">
        <f t="shared" si="10"/>
        <v>15</v>
      </c>
      <c r="G69">
        <f t="shared" si="3"/>
        <v>0.1089</v>
      </c>
      <c r="I69">
        <f t="shared" si="4"/>
        <v>15</v>
      </c>
      <c r="J69">
        <v>0.13500000000000001</v>
      </c>
      <c r="L69">
        <f t="shared" si="6"/>
        <v>15</v>
      </c>
      <c r="M69">
        <f t="shared" si="7"/>
        <v>0.125</v>
      </c>
      <c r="O69">
        <f t="shared" si="8"/>
        <v>15</v>
      </c>
      <c r="P69">
        <f t="shared" si="12"/>
        <v>7.4999999999999997E-2</v>
      </c>
      <c r="Q69">
        <v>0.6</v>
      </c>
      <c r="R69">
        <f>F69</f>
        <v>15</v>
      </c>
      <c r="S69">
        <f>B69*S$42</f>
        <v>1.0660000000000001</v>
      </c>
      <c r="U69">
        <f>A69</f>
        <v>18</v>
      </c>
      <c r="V69">
        <f>B69*V$42</f>
        <v>1.8655000000000002</v>
      </c>
      <c r="X69">
        <f>A69*15/18</f>
        <v>15</v>
      </c>
      <c r="Y69">
        <f>B69*V$42</f>
        <v>1.8655000000000002</v>
      </c>
      <c r="AA69">
        <f>A69</f>
        <v>18</v>
      </c>
      <c r="AB69">
        <f>C69*AB$42</f>
        <v>0.23657586206896553</v>
      </c>
      <c r="AD69">
        <f>A69</f>
        <v>18</v>
      </c>
      <c r="AE69">
        <f>C69*AE$42</f>
        <v>0.136125</v>
      </c>
      <c r="AG69">
        <f>A69</f>
        <v>18</v>
      </c>
      <c r="AH69">
        <f>AE69+AH$42</f>
        <v>0.14904999999999999</v>
      </c>
      <c r="AJ69" s="1">
        <f>A69</f>
        <v>18</v>
      </c>
      <c r="AK69">
        <f>C69+AK$42</f>
        <v>0.1268</v>
      </c>
    </row>
    <row r="70" spans="1:37">
      <c r="A70">
        <v>20</v>
      </c>
      <c r="B70">
        <v>0.52100000000000002</v>
      </c>
      <c r="C70">
        <v>0.151</v>
      </c>
      <c r="D70">
        <f>B70/C70</f>
        <v>3.4503311258278146</v>
      </c>
      <c r="F70">
        <f t="shared" si="10"/>
        <v>16.666666666666668</v>
      </c>
      <c r="G70">
        <f t="shared" si="3"/>
        <v>0.151</v>
      </c>
      <c r="I70">
        <f t="shared" si="4"/>
        <v>16.666666666666668</v>
      </c>
      <c r="J70">
        <v>0.23</v>
      </c>
      <c r="L70">
        <f t="shared" si="6"/>
        <v>16.666666666666668</v>
      </c>
      <c r="M70">
        <f t="shared" si="7"/>
        <v>0.22</v>
      </c>
      <c r="O70">
        <f t="shared" si="8"/>
        <v>16.666666666666668</v>
      </c>
      <c r="P70">
        <f t="shared" si="12"/>
        <v>0.11</v>
      </c>
      <c r="Q70">
        <v>0.5</v>
      </c>
      <c r="R70">
        <f>F70</f>
        <v>16.666666666666668</v>
      </c>
      <c r="S70">
        <f>B70*S$42</f>
        <v>1.042</v>
      </c>
      <c r="U70">
        <f>A70</f>
        <v>20</v>
      </c>
      <c r="V70">
        <f>B70*V$42</f>
        <v>1.8235000000000001</v>
      </c>
      <c r="X70">
        <f>A70*15/18</f>
        <v>16.666666666666668</v>
      </c>
      <c r="Y70">
        <f>B70*V$42</f>
        <v>1.8235000000000001</v>
      </c>
      <c r="AA70">
        <f>A70</f>
        <v>20</v>
      </c>
      <c r="AB70">
        <f>C70*AB$42</f>
        <v>0.32803448275862068</v>
      </c>
      <c r="AD70">
        <f>A70</f>
        <v>20</v>
      </c>
      <c r="AE70">
        <f>C70*AE$42</f>
        <v>0.18875</v>
      </c>
      <c r="AG70">
        <f>A70</f>
        <v>20</v>
      </c>
      <c r="AH70">
        <f>AE70+AH$42</f>
        <v>0.20167499999999999</v>
      </c>
      <c r="AJ70" s="1">
        <f>A70</f>
        <v>20</v>
      </c>
      <c r="AK70">
        <f>C70+AK$42</f>
        <v>0.16889999999999999</v>
      </c>
    </row>
    <row r="71" spans="1:37">
      <c r="A71">
        <v>30</v>
      </c>
      <c r="B71">
        <v>0.35</v>
      </c>
      <c r="C71">
        <v>0.4</v>
      </c>
      <c r="D71">
        <f>B71/C71</f>
        <v>0.87499999999999989</v>
      </c>
      <c r="F71">
        <f t="shared" si="2"/>
        <v>30</v>
      </c>
      <c r="G71">
        <f t="shared" si="3"/>
        <v>0.4</v>
      </c>
      <c r="I71">
        <f t="shared" si="4"/>
        <v>30</v>
      </c>
      <c r="J71">
        <f t="shared" si="5"/>
        <v>0.4</v>
      </c>
      <c r="L71">
        <f t="shared" si="6"/>
        <v>30</v>
      </c>
      <c r="M71">
        <f t="shared" si="7"/>
        <v>0.39</v>
      </c>
      <c r="O71">
        <f t="shared" si="8"/>
        <v>30</v>
      </c>
      <c r="P71">
        <f t="shared" si="9"/>
        <v>0.39</v>
      </c>
      <c r="R71">
        <f>F71</f>
        <v>30</v>
      </c>
      <c r="S71">
        <f>B71*S$42</f>
        <v>0.7</v>
      </c>
      <c r="U71">
        <f>A71</f>
        <v>30</v>
      </c>
      <c r="V71">
        <f>B71*V$42</f>
        <v>1.2249999999999999</v>
      </c>
      <c r="X71">
        <f>A71</f>
        <v>30</v>
      </c>
      <c r="Y71">
        <f>B71*V$42</f>
        <v>1.2249999999999999</v>
      </c>
      <c r="AA71">
        <f>A71</f>
        <v>30</v>
      </c>
      <c r="AB71">
        <f>C71*AB$42</f>
        <v>0.86896551724137938</v>
      </c>
      <c r="AD71">
        <f>A71</f>
        <v>30</v>
      </c>
      <c r="AE71">
        <f>C71*AE$42</f>
        <v>0.5</v>
      </c>
      <c r="AG71">
        <f>A71</f>
        <v>30</v>
      </c>
      <c r="AH71">
        <f>AE71+AH$42</f>
        <v>0.51292499999999996</v>
      </c>
      <c r="AJ71" s="1">
        <f>A71</f>
        <v>30</v>
      </c>
      <c r="AK71">
        <f>C71+AK$42</f>
        <v>0.41790000000000005</v>
      </c>
    </row>
    <row r="72" spans="1:37">
      <c r="A72">
        <v>60</v>
      </c>
      <c r="B72">
        <v>0.15</v>
      </c>
      <c r="C72">
        <v>1.4</v>
      </c>
      <c r="D72">
        <f>B72/C72</f>
        <v>0.10714285714285715</v>
      </c>
      <c r="F72">
        <f t="shared" si="2"/>
        <v>60</v>
      </c>
      <c r="G72">
        <f t="shared" si="3"/>
        <v>1.4</v>
      </c>
      <c r="I72">
        <f t="shared" si="4"/>
        <v>60</v>
      </c>
      <c r="J72">
        <f t="shared" si="5"/>
        <v>1.4</v>
      </c>
      <c r="L72">
        <f t="shared" si="6"/>
        <v>60</v>
      </c>
      <c r="M72">
        <f t="shared" si="7"/>
        <v>1.39</v>
      </c>
      <c r="O72">
        <f t="shared" si="8"/>
        <v>60</v>
      </c>
      <c r="P72">
        <f t="shared" si="9"/>
        <v>1.39</v>
      </c>
      <c r="R72">
        <f>F72</f>
        <v>60</v>
      </c>
      <c r="S72">
        <f>B72*S$42</f>
        <v>0.3</v>
      </c>
      <c r="U72">
        <f>A72</f>
        <v>60</v>
      </c>
      <c r="V72">
        <f>B72*V$42</f>
        <v>0.52500000000000002</v>
      </c>
      <c r="X72">
        <f>A72</f>
        <v>60</v>
      </c>
      <c r="Y72">
        <f>B72*V$42</f>
        <v>0.52500000000000002</v>
      </c>
      <c r="AA72">
        <f>A72</f>
        <v>60</v>
      </c>
      <c r="AB72">
        <f>C72*AB$42</f>
        <v>3.0413793103448277</v>
      </c>
      <c r="AD72">
        <f>A72</f>
        <v>60</v>
      </c>
      <c r="AE72">
        <f>C72*AE$42</f>
        <v>1.75</v>
      </c>
      <c r="AG72">
        <f>A72</f>
        <v>60</v>
      </c>
      <c r="AH72">
        <f>AE72+AH$42</f>
        <v>1.7629250000000001</v>
      </c>
      <c r="AJ72" s="1">
        <f>A72</f>
        <v>60</v>
      </c>
      <c r="AK72">
        <f>C72+AK$42</f>
        <v>1.4178999999999999</v>
      </c>
    </row>
    <row r="73" spans="1:37">
      <c r="A73">
        <v>90</v>
      </c>
      <c r="B73">
        <v>0</v>
      </c>
      <c r="C73">
        <v>2.8</v>
      </c>
      <c r="D73">
        <f>B73/C73</f>
        <v>0</v>
      </c>
      <c r="F73">
        <f t="shared" si="2"/>
        <v>90</v>
      </c>
      <c r="G73">
        <f t="shared" si="3"/>
        <v>2.8</v>
      </c>
      <c r="I73">
        <f t="shared" si="4"/>
        <v>90</v>
      </c>
      <c r="J73">
        <f t="shared" si="5"/>
        <v>2.8</v>
      </c>
      <c r="L73">
        <f t="shared" si="6"/>
        <v>90</v>
      </c>
      <c r="M73">
        <f t="shared" si="7"/>
        <v>2.79</v>
      </c>
      <c r="O73">
        <f t="shared" si="8"/>
        <v>90</v>
      </c>
      <c r="P73">
        <f t="shared" si="9"/>
        <v>2.79</v>
      </c>
      <c r="R73">
        <f>F73</f>
        <v>90</v>
      </c>
      <c r="S73">
        <f>B73*S$42</f>
        <v>0</v>
      </c>
      <c r="U73">
        <f>A73</f>
        <v>90</v>
      </c>
      <c r="V73">
        <f>B73*V$42</f>
        <v>0</v>
      </c>
      <c r="X73">
        <f>A73</f>
        <v>90</v>
      </c>
      <c r="Y73">
        <f>B73*V$42</f>
        <v>0</v>
      </c>
      <c r="AA73">
        <f>A73</f>
        <v>90</v>
      </c>
      <c r="AB73">
        <f>C73*AB$42</f>
        <v>6.0827586206896553</v>
      </c>
      <c r="AD73">
        <f>A73</f>
        <v>90</v>
      </c>
      <c r="AE73">
        <f>C73*AE$42</f>
        <v>3.5</v>
      </c>
      <c r="AG73">
        <f>A73</f>
        <v>90</v>
      </c>
      <c r="AH73">
        <f>AE73+AH$42</f>
        <v>3.5129250000000001</v>
      </c>
      <c r="AJ73" s="1">
        <f>A73</f>
        <v>90</v>
      </c>
      <c r="AK73">
        <f>C73+AK$42</f>
        <v>2.8178999999999998</v>
      </c>
    </row>
    <row r="84" spans="1:29">
      <c r="A84" s="8" t="s">
        <v>144</v>
      </c>
    </row>
    <row r="85" spans="1:29">
      <c r="A85" t="s">
        <v>137</v>
      </c>
      <c r="B85" t="s">
        <v>138</v>
      </c>
      <c r="AB85" t="s">
        <v>137</v>
      </c>
      <c r="AC85" t="s">
        <v>138</v>
      </c>
    </row>
    <row r="86" spans="1:29">
      <c r="A86">
        <v>-90</v>
      </c>
      <c r="B86">
        <v>1.5</v>
      </c>
      <c r="AB86">
        <v>-90</v>
      </c>
      <c r="AC86">
        <v>1.5</v>
      </c>
    </row>
    <row r="87" spans="1:29">
      <c r="A87">
        <v>-20</v>
      </c>
      <c r="B87">
        <v>0.9</v>
      </c>
      <c r="AB87">
        <v>-40</v>
      </c>
      <c r="AC87">
        <v>0.4</v>
      </c>
    </row>
    <row r="88" spans="1:29">
      <c r="A88">
        <v>-15.5</v>
      </c>
      <c r="B88">
        <v>5.0999999999999997E-2</v>
      </c>
      <c r="AB88">
        <v>-15.5</v>
      </c>
      <c r="AC88">
        <v>5.0999999999999997E-2</v>
      </c>
    </row>
    <row r="89" spans="1:29">
      <c r="A89">
        <v>0</v>
      </c>
      <c r="B89">
        <v>3.78E-2</v>
      </c>
      <c r="AB89">
        <v>0</v>
      </c>
      <c r="AC89">
        <v>3.78E-2</v>
      </c>
    </row>
    <row r="90" spans="1:29">
      <c r="A90">
        <v>15.5</v>
      </c>
      <c r="B90">
        <v>5.0999999999999997E-2</v>
      </c>
      <c r="AB90">
        <v>15.5</v>
      </c>
      <c r="AC90">
        <v>5.0999999999999997E-2</v>
      </c>
    </row>
    <row r="91" spans="1:29">
      <c r="A91">
        <v>20</v>
      </c>
      <c r="B91">
        <v>0.9</v>
      </c>
      <c r="AB91">
        <v>40</v>
      </c>
      <c r="AC91">
        <v>0.4</v>
      </c>
    </row>
    <row r="92" spans="1:29">
      <c r="A92">
        <v>90</v>
      </c>
      <c r="B92">
        <v>1.5</v>
      </c>
      <c r="AB92">
        <v>90</v>
      </c>
      <c r="AC92">
        <v>1.5</v>
      </c>
    </row>
    <row r="100" spans="1:33">
      <c r="A100" t="s">
        <v>145</v>
      </c>
    </row>
    <row r="101" spans="1:33">
      <c r="A101" t="s">
        <v>139</v>
      </c>
    </row>
    <row r="102" spans="1:33">
      <c r="A102" t="s">
        <v>140</v>
      </c>
      <c r="AE102" s="1" t="s">
        <v>158</v>
      </c>
    </row>
    <row r="103" spans="1:33">
      <c r="A103" t="s">
        <v>141</v>
      </c>
      <c r="AE103" t="s">
        <v>137</v>
      </c>
    </row>
    <row r="104" spans="1:33">
      <c r="A104" t="s">
        <v>142</v>
      </c>
      <c r="AE104" t="s">
        <v>153</v>
      </c>
      <c r="AF104" t="s">
        <v>155</v>
      </c>
      <c r="AG104" t="s">
        <v>154</v>
      </c>
    </row>
    <row r="105" spans="1:33">
      <c r="A105" t="s">
        <v>143</v>
      </c>
      <c r="AE105">
        <v>-0.2</v>
      </c>
      <c r="AF105">
        <f>DEGREES(AE105)</f>
        <v>-11.459155902616466</v>
      </c>
      <c r="AG105">
        <v>-0.5</v>
      </c>
    </row>
    <row r="106" spans="1:33">
      <c r="AE106">
        <v>0</v>
      </c>
      <c r="AF106">
        <f>DEGREES(AE106)</f>
        <v>0</v>
      </c>
      <c r="AG106">
        <v>0.15</v>
      </c>
    </row>
    <row r="107" spans="1:33">
      <c r="AE107">
        <v>0.23</v>
      </c>
      <c r="AF107">
        <f>DEGREES(AE107)</f>
        <v>13.178029288008934</v>
      </c>
      <c r="AG107">
        <v>1</v>
      </c>
    </row>
    <row r="108" spans="1:33">
      <c r="A108">
        <v>-1.57</v>
      </c>
      <c r="B108">
        <f>DEGREES(A108)</f>
        <v>-89.954373835539243</v>
      </c>
      <c r="C108">
        <v>1.5</v>
      </c>
      <c r="AE108">
        <v>0.3</v>
      </c>
      <c r="AF108">
        <f>DEGREES(AE108)</f>
        <v>17.188733853924695</v>
      </c>
      <c r="AG108">
        <v>1.03</v>
      </c>
    </row>
    <row r="109" spans="1:33">
      <c r="A109">
        <v>-0.26</v>
      </c>
      <c r="B109">
        <f>DEGREES(A109)</f>
        <v>-14.896902673401405</v>
      </c>
      <c r="C109">
        <v>3.5999999999999997E-2</v>
      </c>
      <c r="AE109">
        <v>0.6</v>
      </c>
      <c r="AF109">
        <f>DEGREES(AE109)</f>
        <v>34.377467707849391</v>
      </c>
      <c r="AG109">
        <v>0.4</v>
      </c>
    </row>
    <row r="110" spans="1:33">
      <c r="A110">
        <v>0</v>
      </c>
      <c r="B110">
        <f>DEGREES(A110)</f>
        <v>0</v>
      </c>
      <c r="C110">
        <v>2.8000000000000001E-2</v>
      </c>
    </row>
    <row r="111" spans="1:33">
      <c r="A111">
        <v>0.26</v>
      </c>
      <c r="B111">
        <f>DEGREES(A111)</f>
        <v>14.896902673401405</v>
      </c>
      <c r="C111">
        <v>3.5999999999999997E-2</v>
      </c>
      <c r="AE111" s="1" t="s">
        <v>164</v>
      </c>
    </row>
    <row r="112" spans="1:33">
      <c r="A112">
        <v>1.57</v>
      </c>
      <c r="B112">
        <f>DEGREES(A112)</f>
        <v>89.954373835539243</v>
      </c>
      <c r="C112">
        <v>1.5</v>
      </c>
      <c r="AF112" t="s">
        <v>165</v>
      </c>
      <c r="AG112" t="s">
        <v>138</v>
      </c>
    </row>
    <row r="113" spans="1:33">
      <c r="AF113">
        <v>-90</v>
      </c>
      <c r="AG113">
        <v>0.5</v>
      </c>
    </row>
    <row r="114" spans="1:33">
      <c r="AF114">
        <v>-30</v>
      </c>
      <c r="AG114">
        <v>0.05</v>
      </c>
    </row>
    <row r="115" spans="1:33">
      <c r="AF115">
        <v>0</v>
      </c>
      <c r="AG115">
        <v>0</v>
      </c>
    </row>
    <row r="116" spans="1:33">
      <c r="AF116">
        <v>30</v>
      </c>
      <c r="AG116">
        <v>0.05</v>
      </c>
    </row>
    <row r="117" spans="1:33">
      <c r="AF117">
        <v>90</v>
      </c>
      <c r="AG117">
        <v>0.5</v>
      </c>
    </row>
    <row r="124" spans="1:33">
      <c r="A124" s="1" t="s">
        <v>166</v>
      </c>
    </row>
    <row r="125" spans="1:33">
      <c r="A125" t="s">
        <v>167</v>
      </c>
    </row>
    <row r="126" spans="1:33">
      <c r="A126" s="2" t="s">
        <v>168</v>
      </c>
    </row>
    <row r="127" spans="1:33">
      <c r="A127" s="1" t="s">
        <v>137</v>
      </c>
      <c r="B127" s="1" t="s">
        <v>169</v>
      </c>
      <c r="C127" s="1" t="s">
        <v>154</v>
      </c>
    </row>
    <row r="128" spans="1:33">
      <c r="A128">
        <v>-0.27929999999999999</v>
      </c>
      <c r="B128">
        <f>DEGREES(A128)</f>
        <v>-16.002711218003892</v>
      </c>
      <c r="C128">
        <v>-1.298</v>
      </c>
    </row>
    <row r="129" spans="1:3">
      <c r="A129">
        <v>-0.1396</v>
      </c>
      <c r="B129">
        <f t="shared" ref="B129:B150" si="13">DEGREES(A129)</f>
        <v>-7.9984908200262925</v>
      </c>
      <c r="C129">
        <v>-0.51180000000000003</v>
      </c>
    </row>
    <row r="130" spans="1:3">
      <c r="A130">
        <v>-0.1047</v>
      </c>
      <c r="B130">
        <f t="shared" si="13"/>
        <v>-5.9988681150197189</v>
      </c>
      <c r="C130">
        <v>-0.32440000000000002</v>
      </c>
    </row>
    <row r="131" spans="1:3">
      <c r="A131">
        <v>-6.9800000000000001E-2</v>
      </c>
      <c r="B131">
        <f t="shared" si="13"/>
        <v>-3.9992454100131463</v>
      </c>
      <c r="C131">
        <v>-0.14460000000000001</v>
      </c>
    </row>
    <row r="132" spans="1:3">
      <c r="A132">
        <v>-3.49E-2</v>
      </c>
      <c r="B132">
        <f t="shared" si="13"/>
        <v>-1.9996227050065731</v>
      </c>
      <c r="C132">
        <v>5.8099999999999999E-2</v>
      </c>
    </row>
    <row r="133" spans="1:3">
      <c r="A133">
        <v>0</v>
      </c>
      <c r="B133">
        <f t="shared" si="13"/>
        <v>0</v>
      </c>
      <c r="C133">
        <v>0.17</v>
      </c>
    </row>
    <row r="134" spans="1:3">
      <c r="A134">
        <v>1.745E-2</v>
      </c>
      <c r="B134">
        <f t="shared" si="13"/>
        <v>0.99981135250328657</v>
      </c>
      <c r="C134">
        <v>0.35499999999999998</v>
      </c>
    </row>
    <row r="135" spans="1:3">
      <c r="A135">
        <v>3.4909999999999997E-2</v>
      </c>
      <c r="B135">
        <f t="shared" si="13"/>
        <v>2.0001956628017039</v>
      </c>
      <c r="C135">
        <v>0.53600000000000003</v>
      </c>
    </row>
    <row r="136" spans="1:3">
      <c r="A136">
        <v>4.2799999999999998E-2</v>
      </c>
      <c r="B136">
        <f t="shared" si="13"/>
        <v>2.4522593631599232</v>
      </c>
      <c r="C136">
        <v>0.69</v>
      </c>
    </row>
    <row r="137" spans="1:3">
      <c r="A137">
        <v>5.2299999999999999E-2</v>
      </c>
      <c r="B137">
        <f t="shared" si="13"/>
        <v>2.9965692685342056</v>
      </c>
      <c r="C137">
        <v>0.84</v>
      </c>
    </row>
    <row r="138" spans="1:3">
      <c r="A138">
        <v>6.9809999999999997E-2</v>
      </c>
      <c r="B138">
        <f t="shared" si="13"/>
        <v>3.9998183678082766</v>
      </c>
      <c r="C138">
        <v>0.98399999999999999</v>
      </c>
    </row>
    <row r="139" spans="1:3">
      <c r="A139">
        <v>0.1047</v>
      </c>
      <c r="B139">
        <f t="shared" si="13"/>
        <v>5.9988681150197189</v>
      </c>
      <c r="C139">
        <v>1.0449999999999999</v>
      </c>
    </row>
    <row r="140" spans="1:3">
      <c r="A140">
        <v>0.1396</v>
      </c>
      <c r="B140">
        <f t="shared" si="13"/>
        <v>7.9984908200262925</v>
      </c>
      <c r="C140">
        <v>1.18</v>
      </c>
    </row>
    <row r="141" spans="1:3">
      <c r="A141">
        <v>0.17449999999999999</v>
      </c>
      <c r="B141">
        <f t="shared" si="13"/>
        <v>9.9981135250328652</v>
      </c>
      <c r="C141">
        <v>1.3160000000000001</v>
      </c>
    </row>
    <row r="142" spans="1:3">
      <c r="A142">
        <v>0.1918</v>
      </c>
      <c r="B142">
        <f t="shared" si="13"/>
        <v>10.989330510609189</v>
      </c>
      <c r="C142">
        <v>1.59</v>
      </c>
    </row>
    <row r="143" spans="1:3">
      <c r="A143">
        <v>0.24429999999999999</v>
      </c>
      <c r="B143">
        <f t="shared" si="13"/>
        <v>13.997358935046011</v>
      </c>
      <c r="C143">
        <v>1.5649999999999999</v>
      </c>
    </row>
    <row r="144" spans="1:3">
      <c r="A144">
        <v>0.27929999999999999</v>
      </c>
      <c r="B144">
        <f t="shared" si="13"/>
        <v>16.002711218003892</v>
      </c>
      <c r="C144">
        <v>1.4910000000000001</v>
      </c>
    </row>
    <row r="145" spans="1:3">
      <c r="A145">
        <v>0.31419999999999998</v>
      </c>
      <c r="B145">
        <f t="shared" si="13"/>
        <v>18.002333923010465</v>
      </c>
      <c r="C145">
        <v>1.383</v>
      </c>
    </row>
    <row r="146" spans="1:3">
      <c r="A146">
        <v>0.33160000000000001</v>
      </c>
      <c r="B146">
        <f t="shared" si="13"/>
        <v>18.999280486538098</v>
      </c>
      <c r="C146">
        <v>1.214</v>
      </c>
    </row>
    <row r="147" spans="1:3">
      <c r="A147">
        <v>0.34910000000000002</v>
      </c>
      <c r="B147">
        <f t="shared" si="13"/>
        <v>20.001956628017041</v>
      </c>
      <c r="C147">
        <v>1.1910000000000001</v>
      </c>
    </row>
    <row r="148" spans="1:3">
      <c r="A148">
        <v>0.36649999999999999</v>
      </c>
      <c r="B148">
        <f t="shared" si="13"/>
        <v>20.99890319154467</v>
      </c>
      <c r="C148">
        <v>1.0369999999999999</v>
      </c>
    </row>
    <row r="149" spans="1:3">
      <c r="A149">
        <v>0.38400000000000001</v>
      </c>
      <c r="B149">
        <f t="shared" si="13"/>
        <v>22.001579333023614</v>
      </c>
      <c r="C149">
        <v>0.80310000000000004</v>
      </c>
    </row>
    <row r="150" spans="1:3">
      <c r="A150">
        <v>0.436</v>
      </c>
      <c r="B150">
        <f t="shared" si="13"/>
        <v>24.980959867703891</v>
      </c>
      <c r="C150">
        <v>0.67849999999999999</v>
      </c>
    </row>
    <row r="153" spans="1:3">
      <c r="A153" s="1" t="s">
        <v>137</v>
      </c>
      <c r="B153" s="1" t="s">
        <v>169</v>
      </c>
      <c r="C153" s="1" t="s">
        <v>138</v>
      </c>
    </row>
    <row r="154" spans="1:3">
      <c r="A154">
        <v>-1.57</v>
      </c>
      <c r="B154">
        <f t="shared" ref="B154:B175" si="14">DEGREES(A154)</f>
        <v>-89.954373835539243</v>
      </c>
      <c r="C154">
        <v>1.5</v>
      </c>
    </row>
    <row r="155" spans="1:3">
      <c r="A155">
        <v>-0.28000000000000003</v>
      </c>
      <c r="B155">
        <f t="shared" si="14"/>
        <v>-16.042818263663051</v>
      </c>
      <c r="C155">
        <v>0.79400000000000004</v>
      </c>
    </row>
    <row r="156" spans="1:3">
      <c r="A156">
        <v>-0.14000000000000001</v>
      </c>
      <c r="B156">
        <f t="shared" si="14"/>
        <v>-8.0214091318315255</v>
      </c>
      <c r="C156">
        <v>0.251</v>
      </c>
    </row>
    <row r="157" spans="1:3">
      <c r="A157">
        <v>-0.105</v>
      </c>
      <c r="B157">
        <f t="shared" si="14"/>
        <v>-6.0160568488736441</v>
      </c>
      <c r="C157">
        <v>0.16900000000000001</v>
      </c>
    </row>
    <row r="158" spans="1:3">
      <c r="A158">
        <v>-7.0000000000000007E-2</v>
      </c>
      <c r="B158">
        <f t="shared" si="14"/>
        <v>-4.0107045659157627</v>
      </c>
      <c r="C158">
        <v>4.41E-2</v>
      </c>
    </row>
    <row r="159" spans="1:3">
      <c r="A159">
        <v>-3.5000000000000003E-2</v>
      </c>
      <c r="B159">
        <f t="shared" si="14"/>
        <v>-2.0053522829578814</v>
      </c>
      <c r="C159">
        <v>1.7999999999999999E-2</v>
      </c>
    </row>
    <row r="160" spans="1:3">
      <c r="A160">
        <v>0</v>
      </c>
      <c r="B160">
        <f t="shared" si="14"/>
        <v>0</v>
      </c>
      <c r="C160">
        <v>7.7999999999999996E-3</v>
      </c>
    </row>
    <row r="161" spans="1:3">
      <c r="A161">
        <v>3.5000000000000003E-2</v>
      </c>
      <c r="B161">
        <f t="shared" si="14"/>
        <v>2.0053522829578814</v>
      </c>
      <c r="C161">
        <v>1.14E-2</v>
      </c>
    </row>
    <row r="162" spans="1:3">
      <c r="A162">
        <v>8.6999999999999994E-2</v>
      </c>
      <c r="B162">
        <f t="shared" si="14"/>
        <v>4.9847328176381618</v>
      </c>
      <c r="C162">
        <v>3.8399999999999997E-2</v>
      </c>
    </row>
    <row r="163" spans="1:3">
      <c r="A163">
        <v>0.104</v>
      </c>
      <c r="B163">
        <f t="shared" si="14"/>
        <v>5.9587610693605617</v>
      </c>
      <c r="C163">
        <v>7.8E-2</v>
      </c>
    </row>
    <row r="164" spans="1:3">
      <c r="A164">
        <v>0.157</v>
      </c>
      <c r="B164">
        <f t="shared" si="14"/>
        <v>8.9954373835539254</v>
      </c>
      <c r="C164">
        <v>0.13100000000000001</v>
      </c>
    </row>
    <row r="165" spans="1:3">
      <c r="A165">
        <v>0.17399999999999999</v>
      </c>
      <c r="B165">
        <f t="shared" si="14"/>
        <v>9.9694656352763236</v>
      </c>
      <c r="C165">
        <v>0.19600000000000001</v>
      </c>
    </row>
    <row r="166" spans="1:3">
      <c r="A166">
        <v>0.20899999999999999</v>
      </c>
      <c r="B166">
        <f t="shared" si="14"/>
        <v>11.974817918234205</v>
      </c>
      <c r="C166">
        <v>0.26300000000000001</v>
      </c>
    </row>
    <row r="167" spans="1:3">
      <c r="A167">
        <v>0.24399999999999999</v>
      </c>
      <c r="B167">
        <f t="shared" si="14"/>
        <v>13.980170201192086</v>
      </c>
      <c r="C167">
        <v>0.38600000000000001</v>
      </c>
    </row>
    <row r="168" spans="1:3">
      <c r="A168">
        <v>0.27900000000000003</v>
      </c>
      <c r="B168">
        <f t="shared" si="14"/>
        <v>15.985522484149969</v>
      </c>
      <c r="C168">
        <v>0.59899999999999998</v>
      </c>
    </row>
    <row r="169" spans="1:3">
      <c r="A169">
        <v>0.314</v>
      </c>
      <c r="B169">
        <f t="shared" si="14"/>
        <v>17.990874767107851</v>
      </c>
      <c r="C169">
        <v>0.82699999999999996</v>
      </c>
    </row>
    <row r="170" spans="1:3">
      <c r="A170">
        <v>0.33200000000000002</v>
      </c>
      <c r="B170">
        <f t="shared" si="14"/>
        <v>19.022198798343332</v>
      </c>
      <c r="C170">
        <v>1.0649999999999999</v>
      </c>
    </row>
    <row r="171" spans="1:3">
      <c r="A171">
        <v>0.34899999999999998</v>
      </c>
      <c r="B171">
        <f t="shared" si="14"/>
        <v>19.99622705006573</v>
      </c>
      <c r="C171">
        <v>1.3286</v>
      </c>
    </row>
    <row r="172" spans="1:3">
      <c r="A172">
        <v>0.36599999999999999</v>
      </c>
      <c r="B172">
        <f t="shared" si="14"/>
        <v>20.970255301788129</v>
      </c>
      <c r="C172">
        <v>1.3652</v>
      </c>
    </row>
    <row r="173" spans="1:3">
      <c r="A173">
        <v>0.38400000000000001</v>
      </c>
      <c r="B173">
        <f t="shared" si="14"/>
        <v>22.001579333023614</v>
      </c>
      <c r="C173">
        <v>1.4910000000000001</v>
      </c>
    </row>
    <row r="174" spans="1:3">
      <c r="A174">
        <v>0.41899999999999998</v>
      </c>
      <c r="B174">
        <f t="shared" si="14"/>
        <v>24.006931615981493</v>
      </c>
      <c r="C174">
        <v>1.494</v>
      </c>
    </row>
    <row r="175" spans="1:3">
      <c r="A175">
        <v>1.57</v>
      </c>
      <c r="B175">
        <f t="shared" si="14"/>
        <v>89.954373835539243</v>
      </c>
      <c r="C175">
        <v>1.5</v>
      </c>
    </row>
  </sheetData>
  <mergeCells count="10">
    <mergeCell ref="AA37:AB40"/>
    <mergeCell ref="AD37:AE40"/>
    <mergeCell ref="AG37:AH40"/>
    <mergeCell ref="AJ37:AK40"/>
    <mergeCell ref="X37:Y40"/>
    <mergeCell ref="F37:G40"/>
    <mergeCell ref="R37:S40"/>
    <mergeCell ref="I37:J40"/>
    <mergeCell ref="L37:M40"/>
    <mergeCell ref="O37:P40"/>
  </mergeCells>
  <hyperlinks>
    <hyperlink ref="A126" r:id="rId1"/>
  </hyperlinks>
  <pageMargins left="0.7" right="0.7" top="0.75" bottom="0.75" header="0.3" footer="0.3"/>
  <pageSetup orientation="portrait" horizontalDpi="384" verticalDpi="384" r:id="rId2"/>
  <drawing r:id="rId3"/>
</worksheet>
</file>

<file path=xl/worksheets/sheet7.xml><?xml version="1.0" encoding="utf-8"?>
<worksheet xmlns="http://schemas.openxmlformats.org/spreadsheetml/2006/main" xmlns:r="http://schemas.openxmlformats.org/officeDocument/2006/relationships">
  <dimension ref="B3:K83"/>
  <sheetViews>
    <sheetView workbookViewId="0"/>
  </sheetViews>
  <sheetFormatPr defaultRowHeight="15"/>
  <sheetData>
    <row r="3" spans="2:11">
      <c r="C3">
        <v>-10</v>
      </c>
      <c r="D3">
        <v>0</v>
      </c>
      <c r="E3">
        <v>15</v>
      </c>
      <c r="F3">
        <v>25</v>
      </c>
      <c r="G3">
        <v>35</v>
      </c>
      <c r="H3">
        <v>45</v>
      </c>
      <c r="I3">
        <v>55</v>
      </c>
      <c r="J3">
        <v>65</v>
      </c>
      <c r="K3">
        <v>90</v>
      </c>
    </row>
    <row r="4" spans="2:11" ht="18">
      <c r="B4" s="7">
        <v>-0.2</v>
      </c>
      <c r="C4" s="7">
        <v>-7.3400000000000007E-2</v>
      </c>
      <c r="D4" s="7">
        <v>4.1300000000000003E-2</v>
      </c>
      <c r="E4" s="7">
        <v>0.15029999999999999</v>
      </c>
      <c r="F4" s="7">
        <v>0.1842</v>
      </c>
      <c r="G4" s="7">
        <v>0.20300000000000001</v>
      </c>
      <c r="H4" s="7">
        <v>0.2142</v>
      </c>
      <c r="I4" s="7">
        <v>0.19739999999999999</v>
      </c>
      <c r="J4" s="7">
        <v>0.1691</v>
      </c>
      <c r="K4" s="7">
        <v>0</v>
      </c>
    </row>
    <row r="5" spans="2:11" ht="18">
      <c r="B5" s="7">
        <v>0</v>
      </c>
      <c r="C5" s="7">
        <v>-0.109</v>
      </c>
      <c r="D5" s="7">
        <v>0</v>
      </c>
      <c r="E5" s="7">
        <v>0.15029999999999999</v>
      </c>
      <c r="F5" s="7">
        <v>0.1842</v>
      </c>
      <c r="G5" s="7">
        <v>0.20300000000000001</v>
      </c>
      <c r="H5" s="7">
        <v>0.2162</v>
      </c>
      <c r="I5" s="7">
        <v>0.2021</v>
      </c>
      <c r="J5" s="7">
        <v>0.1691</v>
      </c>
      <c r="K5" s="7">
        <v>0</v>
      </c>
    </row>
    <row r="6" spans="2:11" ht="18">
      <c r="B6" s="7">
        <v>0.2</v>
      </c>
      <c r="C6" s="7">
        <v>-0.1222</v>
      </c>
      <c r="D6" s="7">
        <v>-3.7600000000000001E-2</v>
      </c>
      <c r="E6" s="7">
        <v>0.12970000000000001</v>
      </c>
      <c r="F6" s="7">
        <v>0.1804</v>
      </c>
      <c r="G6" s="7">
        <v>0.2001</v>
      </c>
      <c r="H6" s="7">
        <v>0.2162</v>
      </c>
      <c r="I6" s="7">
        <v>0.2021</v>
      </c>
      <c r="J6" s="7">
        <v>0.1691</v>
      </c>
      <c r="K6" s="7">
        <v>0</v>
      </c>
    </row>
    <row r="7" spans="2:11" ht="18">
      <c r="B7" s="7">
        <v>0.4</v>
      </c>
      <c r="C7" s="7">
        <v>-0.1222</v>
      </c>
      <c r="D7" s="7">
        <v>-8.7300000000000003E-2</v>
      </c>
      <c r="E7" s="7">
        <v>9.7699999999999995E-2</v>
      </c>
      <c r="F7" s="7">
        <v>0.17860000000000001</v>
      </c>
      <c r="G7" s="7">
        <v>0.1963</v>
      </c>
      <c r="H7" s="7">
        <v>0.2142</v>
      </c>
      <c r="I7" s="7">
        <v>0.2021</v>
      </c>
      <c r="J7" s="7">
        <v>0.1691</v>
      </c>
      <c r="K7" s="7">
        <v>0</v>
      </c>
    </row>
    <row r="8" spans="2:11" ht="18">
      <c r="B8" s="7">
        <v>0.6</v>
      </c>
      <c r="C8" s="7">
        <v>-0.1222</v>
      </c>
      <c r="D8" s="7">
        <v>-0.1222</v>
      </c>
      <c r="E8" s="7">
        <v>5.1700000000000003E-2</v>
      </c>
      <c r="F8" s="7">
        <v>0.16070000000000001</v>
      </c>
      <c r="G8" s="7">
        <v>0.18790000000000001</v>
      </c>
      <c r="H8" s="7">
        <v>0.2087</v>
      </c>
      <c r="I8" s="7">
        <v>0.19919999999999999</v>
      </c>
      <c r="J8" s="7">
        <v>0.1691</v>
      </c>
      <c r="K8" s="7">
        <v>0</v>
      </c>
    </row>
    <row r="9" spans="2:11" ht="18">
      <c r="B9" s="7">
        <v>0.8</v>
      </c>
      <c r="C9" s="7">
        <v>-0.1222</v>
      </c>
      <c r="D9" s="7">
        <v>-0.1222</v>
      </c>
      <c r="E9" s="7">
        <v>2.8999999999999998E-3</v>
      </c>
      <c r="F9" s="7">
        <v>0.1203</v>
      </c>
      <c r="G9" s="7">
        <v>0.18240000000000001</v>
      </c>
      <c r="H9" s="7">
        <v>0.20119999999999999</v>
      </c>
      <c r="I9" s="7">
        <v>0.19919999999999999</v>
      </c>
      <c r="J9" s="7">
        <v>0.1691</v>
      </c>
      <c r="K9" s="7">
        <v>0</v>
      </c>
    </row>
    <row r="10" spans="2:11" ht="18">
      <c r="B10" s="7">
        <v>1</v>
      </c>
      <c r="C10" s="7">
        <v>-0.1222</v>
      </c>
      <c r="D10" s="7">
        <v>-0.1222</v>
      </c>
      <c r="E10" s="7">
        <v>-4.8899999999999999E-2</v>
      </c>
      <c r="F10" s="7">
        <v>7.3400000000000007E-2</v>
      </c>
      <c r="G10" s="7">
        <v>0.17480000000000001</v>
      </c>
      <c r="H10" s="7">
        <v>0.1908</v>
      </c>
      <c r="I10" s="7">
        <v>0.19739999999999999</v>
      </c>
      <c r="J10" s="7">
        <v>0.1691</v>
      </c>
      <c r="K10" s="7">
        <v>0</v>
      </c>
    </row>
    <row r="11" spans="2:11" ht="18">
      <c r="B11" s="7">
        <v>1.2</v>
      </c>
      <c r="C11" s="7">
        <v>-0.1222</v>
      </c>
      <c r="D11" s="7">
        <v>-0.1222</v>
      </c>
      <c r="E11" s="7">
        <v>-0.10059999999999999</v>
      </c>
      <c r="F11" s="7">
        <v>2.2599999999999999E-2</v>
      </c>
      <c r="G11" s="7">
        <v>0.14369999999999999</v>
      </c>
      <c r="H11" s="7">
        <v>0.1842</v>
      </c>
      <c r="I11" s="7">
        <v>0.19739999999999999</v>
      </c>
      <c r="J11" s="7">
        <v>0.1691</v>
      </c>
      <c r="K11" s="7">
        <v>0</v>
      </c>
    </row>
    <row r="12" spans="2:11" ht="18">
      <c r="B12" s="7">
        <v>1.4</v>
      </c>
      <c r="C12" s="7">
        <v>-0.1222</v>
      </c>
      <c r="D12" s="7">
        <v>-0.1222</v>
      </c>
      <c r="E12" s="7">
        <v>-0.1222</v>
      </c>
      <c r="F12" s="7">
        <v>-3.2899999999999999E-2</v>
      </c>
      <c r="G12" s="7">
        <v>0.10340000000000001</v>
      </c>
      <c r="H12" s="7">
        <v>0.18129999999999999</v>
      </c>
      <c r="I12" s="7">
        <v>0.19359999999999999</v>
      </c>
      <c r="J12" s="7">
        <v>0.1691</v>
      </c>
      <c r="K12" s="7">
        <v>0</v>
      </c>
    </row>
    <row r="13" spans="2:11" ht="18">
      <c r="B13" s="7">
        <v>1.6</v>
      </c>
      <c r="C13" s="7">
        <v>-0.1222</v>
      </c>
      <c r="D13" s="7">
        <v>-0.1222</v>
      </c>
      <c r="E13" s="7">
        <v>-0.1222</v>
      </c>
      <c r="F13" s="7">
        <v>-8.3599999999999994E-2</v>
      </c>
      <c r="G13" s="7">
        <v>5.6399999999999999E-2</v>
      </c>
      <c r="H13" s="7">
        <v>0.17480000000000001</v>
      </c>
      <c r="I13" s="7">
        <v>0.18990000000000001</v>
      </c>
      <c r="J13" s="7">
        <v>0.1691</v>
      </c>
      <c r="K13" s="7">
        <v>0</v>
      </c>
    </row>
    <row r="14" spans="2:11" ht="18">
      <c r="B14" s="7">
        <v>1.8</v>
      </c>
      <c r="C14" s="7">
        <v>-0.1222</v>
      </c>
      <c r="D14" s="7">
        <v>-0.1222</v>
      </c>
      <c r="E14" s="7">
        <v>-0.1222</v>
      </c>
      <c r="F14" s="7">
        <v>-0.1222</v>
      </c>
      <c r="G14" s="7">
        <v>9.4999999999999998E-3</v>
      </c>
      <c r="H14" s="7">
        <v>0.15029999999999999</v>
      </c>
      <c r="I14" s="7">
        <v>0.1842</v>
      </c>
      <c r="J14" s="7">
        <v>0.1691</v>
      </c>
      <c r="K14" s="7">
        <v>0</v>
      </c>
    </row>
    <row r="15" spans="2:11" ht="18">
      <c r="B15" s="7">
        <v>2</v>
      </c>
      <c r="C15" s="7">
        <v>-0.1222</v>
      </c>
      <c r="D15" s="7">
        <v>-0.1222</v>
      </c>
      <c r="E15" s="7">
        <v>-0.1222</v>
      </c>
      <c r="F15" s="7">
        <v>-0.1222</v>
      </c>
      <c r="G15" s="7">
        <v>-3.7600000000000001E-2</v>
      </c>
      <c r="H15" s="7">
        <v>0.1174</v>
      </c>
      <c r="I15" s="7">
        <v>0.18340000000000001</v>
      </c>
      <c r="J15" s="7">
        <v>0.1691</v>
      </c>
      <c r="K15" s="7">
        <v>0</v>
      </c>
    </row>
    <row r="16" spans="2:11" ht="18">
      <c r="B16" s="7">
        <v>2.2000000000000002</v>
      </c>
      <c r="C16" s="7">
        <v>-0.1222</v>
      </c>
      <c r="D16" s="7">
        <v>-0.1222</v>
      </c>
      <c r="E16" s="7">
        <v>-0.1222</v>
      </c>
      <c r="F16" s="7">
        <v>-0.1222</v>
      </c>
      <c r="G16" s="7">
        <v>-8.4599999999999995E-2</v>
      </c>
      <c r="H16" s="7">
        <v>8.4599999999999995E-2</v>
      </c>
      <c r="I16" s="7">
        <v>0.1804</v>
      </c>
      <c r="J16" s="7">
        <v>0.1691</v>
      </c>
      <c r="K16" s="7">
        <v>0</v>
      </c>
    </row>
    <row r="17" spans="2:11" ht="18">
      <c r="B17" s="7">
        <v>2.4</v>
      </c>
      <c r="C17" s="7">
        <v>-0.1222</v>
      </c>
      <c r="D17" s="7">
        <v>-0.1222</v>
      </c>
      <c r="E17" s="7">
        <v>-0.1222</v>
      </c>
      <c r="F17" s="7">
        <v>-0.1222</v>
      </c>
      <c r="G17" s="7">
        <v>-0.1222</v>
      </c>
      <c r="H17" s="7">
        <v>4.5100000000000001E-2</v>
      </c>
      <c r="I17" s="7">
        <v>0.14729999999999999</v>
      </c>
      <c r="J17" s="7">
        <v>0.1691</v>
      </c>
      <c r="K17" s="7">
        <v>0</v>
      </c>
    </row>
    <row r="18" spans="2:11" ht="18">
      <c r="B18" s="7">
        <v>2.6</v>
      </c>
      <c r="C18" s="7">
        <v>-0.1222</v>
      </c>
      <c r="D18" s="7">
        <v>-0.1222</v>
      </c>
      <c r="E18" s="7">
        <v>-0.1222</v>
      </c>
      <c r="F18" s="7">
        <v>-0.1222</v>
      </c>
      <c r="G18" s="7">
        <v>-0.1222</v>
      </c>
      <c r="H18" s="7">
        <v>5.7000000000000002E-3</v>
      </c>
      <c r="I18" s="7">
        <v>9.3200000000000005E-2</v>
      </c>
      <c r="J18" s="7">
        <v>0.15029999999999999</v>
      </c>
      <c r="K18" s="7">
        <v>0</v>
      </c>
    </row>
    <row r="19" spans="2:11" ht="18">
      <c r="B19" s="7">
        <v>2.8</v>
      </c>
      <c r="C19" s="7">
        <v>-0.1222</v>
      </c>
      <c r="D19" s="7">
        <v>-0.1222</v>
      </c>
      <c r="E19" s="7">
        <v>-0.1222</v>
      </c>
      <c r="F19" s="7">
        <v>-0.1222</v>
      </c>
      <c r="G19" s="7">
        <v>-0.1222</v>
      </c>
      <c r="H19" s="7">
        <v>-3.3799999999999997E-2</v>
      </c>
      <c r="I19" s="7">
        <v>6.0999999999999999E-2</v>
      </c>
      <c r="J19" s="7">
        <v>0.1222</v>
      </c>
      <c r="K19" s="7">
        <v>0</v>
      </c>
    </row>
    <row r="20" spans="2:11" ht="18">
      <c r="B20" s="7">
        <v>3</v>
      </c>
      <c r="C20" s="7">
        <v>-0.1222</v>
      </c>
      <c r="D20" s="7">
        <v>-0.1222</v>
      </c>
      <c r="E20" s="7">
        <v>-0.1222</v>
      </c>
      <c r="F20" s="7">
        <v>-0.1222</v>
      </c>
      <c r="G20" s="7">
        <v>-0.1222</v>
      </c>
      <c r="H20" s="7">
        <v>-7.3400000000000007E-2</v>
      </c>
      <c r="I20" s="7">
        <v>3.2000000000000001E-2</v>
      </c>
      <c r="J20" s="7">
        <v>9.4E-2</v>
      </c>
      <c r="K20" s="7">
        <v>0</v>
      </c>
    </row>
    <row r="21" spans="2:11" ht="18">
      <c r="B21" s="7">
        <v>3.2</v>
      </c>
      <c r="C21" s="7">
        <v>-0.1222</v>
      </c>
      <c r="D21" s="7">
        <v>-0.1222</v>
      </c>
      <c r="E21" s="7">
        <v>-0.1222</v>
      </c>
      <c r="F21" s="7">
        <v>-0.1222</v>
      </c>
      <c r="G21" s="7">
        <v>-0.1222</v>
      </c>
      <c r="H21" s="7">
        <v>-0.1128</v>
      </c>
      <c r="I21" s="7">
        <v>2.8999999999999998E-3</v>
      </c>
      <c r="J21" s="7">
        <v>6.5799999999999997E-2</v>
      </c>
      <c r="K21" s="7">
        <v>0</v>
      </c>
    </row>
    <row r="22" spans="2:11" ht="18">
      <c r="B22" s="7">
        <v>3.4</v>
      </c>
      <c r="C22" s="7">
        <v>-0.1222</v>
      </c>
      <c r="D22" s="7">
        <v>-0.1222</v>
      </c>
      <c r="E22" s="7">
        <v>-0.1222</v>
      </c>
      <c r="F22" s="7">
        <v>-0.1222</v>
      </c>
      <c r="G22" s="7">
        <v>-0.1222</v>
      </c>
      <c r="H22" s="7">
        <v>-0.1222</v>
      </c>
      <c r="I22" s="7">
        <v>-2.63E-2</v>
      </c>
      <c r="J22" s="7">
        <v>3.7600000000000001E-2</v>
      </c>
      <c r="K22" s="7">
        <v>0</v>
      </c>
    </row>
    <row r="23" spans="2:11" ht="18">
      <c r="B23" s="7">
        <v>3.6</v>
      </c>
      <c r="C23" s="7">
        <v>-0.1222</v>
      </c>
      <c r="D23" s="7">
        <v>-0.1222</v>
      </c>
      <c r="E23" s="7">
        <v>-0.1222</v>
      </c>
      <c r="F23" s="7">
        <v>-0.1222</v>
      </c>
      <c r="G23" s="7">
        <v>-0.1222</v>
      </c>
      <c r="H23" s="7">
        <v>-0.1222</v>
      </c>
      <c r="I23" s="7">
        <v>-5.5500000000000001E-2</v>
      </c>
      <c r="J23" s="7">
        <v>9.4999999999999998E-3</v>
      </c>
      <c r="K23" s="7">
        <v>0</v>
      </c>
    </row>
    <row r="24" spans="2:11" ht="18">
      <c r="B24" s="7">
        <v>3.8</v>
      </c>
      <c r="C24" s="7">
        <v>-0.1222</v>
      </c>
      <c r="D24" s="7">
        <v>-0.1222</v>
      </c>
      <c r="E24" s="7">
        <v>-0.1222</v>
      </c>
      <c r="F24" s="7">
        <v>-0.1222</v>
      </c>
      <c r="G24" s="7">
        <v>-0.1222</v>
      </c>
      <c r="H24" s="7">
        <v>-0.1222</v>
      </c>
      <c r="I24" s="7">
        <v>-8.4599999999999995E-2</v>
      </c>
      <c r="J24" s="7">
        <v>-1.8800000000000001E-2</v>
      </c>
      <c r="K24" s="7">
        <v>0</v>
      </c>
    </row>
    <row r="25" spans="2:11" ht="18">
      <c r="B25" s="7">
        <v>4</v>
      </c>
      <c r="C25" s="7">
        <v>-0.1222</v>
      </c>
      <c r="D25" s="7">
        <v>-0.1222</v>
      </c>
      <c r="E25" s="7">
        <v>-0.1222</v>
      </c>
      <c r="F25" s="7">
        <v>-0.1222</v>
      </c>
      <c r="G25" s="7">
        <v>-0.1222</v>
      </c>
      <c r="H25" s="7">
        <v>-0.1222</v>
      </c>
      <c r="I25" s="7">
        <v>-0.1137</v>
      </c>
      <c r="J25" s="7">
        <v>-4.7100000000000003E-2</v>
      </c>
      <c r="K25" s="7">
        <v>0</v>
      </c>
    </row>
    <row r="26" spans="2:11" ht="18">
      <c r="B26" s="7">
        <v>6</v>
      </c>
      <c r="C26" s="7">
        <v>-0.1222</v>
      </c>
      <c r="D26" s="7">
        <v>-0.1222</v>
      </c>
      <c r="E26" s="7">
        <v>-0.1222</v>
      </c>
      <c r="F26" s="7">
        <v>-0.1222</v>
      </c>
      <c r="G26" s="7">
        <v>-0.1222</v>
      </c>
      <c r="H26" s="7">
        <v>-0.1222</v>
      </c>
      <c r="I26" s="7">
        <v>-0.1222</v>
      </c>
      <c r="J26" s="7">
        <v>-0.1222</v>
      </c>
      <c r="K26" s="7">
        <v>0</v>
      </c>
    </row>
    <row r="35" spans="2:11">
      <c r="C35">
        <v>-10</v>
      </c>
      <c r="D35">
        <v>0</v>
      </c>
      <c r="E35">
        <v>15</v>
      </c>
      <c r="F35">
        <v>25</v>
      </c>
      <c r="G35">
        <v>35</v>
      </c>
      <c r="H35">
        <v>45</v>
      </c>
      <c r="I35">
        <v>55</v>
      </c>
      <c r="J35">
        <v>65</v>
      </c>
      <c r="K35">
        <v>90</v>
      </c>
    </row>
    <row r="36" spans="2:11">
      <c r="B36">
        <v>-0.2</v>
      </c>
      <c r="C36">
        <v>1.0800000000000001E-2</v>
      </c>
      <c r="D36">
        <v>2.1499999999999998E-2</v>
      </c>
      <c r="E36">
        <v>7.5300000000000006E-2</v>
      </c>
      <c r="F36">
        <v>0.17100000000000001</v>
      </c>
      <c r="G36">
        <v>0.2949</v>
      </c>
      <c r="H36">
        <v>0.4194</v>
      </c>
      <c r="I36">
        <v>0.4839</v>
      </c>
      <c r="J36">
        <v>0.53549999999999998</v>
      </c>
      <c r="K36">
        <v>0.53549999999999998</v>
      </c>
    </row>
    <row r="37" spans="2:11">
      <c r="B37">
        <v>0</v>
      </c>
      <c r="C37">
        <v>4.2999999999999997E-2</v>
      </c>
      <c r="D37">
        <v>1.0800000000000001E-2</v>
      </c>
      <c r="E37">
        <v>6.4500000000000002E-2</v>
      </c>
      <c r="F37">
        <v>0.15939999999999999</v>
      </c>
      <c r="G37">
        <v>0.28199999999999997</v>
      </c>
      <c r="H37">
        <v>0.4194</v>
      </c>
      <c r="I37">
        <v>0.4859</v>
      </c>
      <c r="J37">
        <v>0.53549999999999998</v>
      </c>
      <c r="K37">
        <v>0.53549999999999998</v>
      </c>
    </row>
    <row r="38" spans="2:11">
      <c r="B38">
        <v>0.2</v>
      </c>
      <c r="C38">
        <v>6.13E-2</v>
      </c>
      <c r="D38">
        <v>1.72E-2</v>
      </c>
      <c r="E38">
        <v>6.2399999999999997E-2</v>
      </c>
      <c r="F38">
        <v>0.1484</v>
      </c>
      <c r="G38">
        <v>0.2697</v>
      </c>
      <c r="H38">
        <v>0.4194</v>
      </c>
      <c r="I38">
        <v>0.4859</v>
      </c>
      <c r="J38">
        <v>0.53549999999999998</v>
      </c>
      <c r="K38">
        <v>0.53549999999999998</v>
      </c>
    </row>
    <row r="39" spans="2:11">
      <c r="B39">
        <v>0.4</v>
      </c>
      <c r="C39">
        <v>8.2600000000000007E-2</v>
      </c>
      <c r="D39">
        <v>3.7600000000000001E-2</v>
      </c>
      <c r="E39">
        <v>5.3699999999999998E-2</v>
      </c>
      <c r="F39">
        <v>0.1368</v>
      </c>
      <c r="G39">
        <v>0.25619999999999998</v>
      </c>
      <c r="H39">
        <v>0.4194</v>
      </c>
      <c r="I39">
        <v>0.4859</v>
      </c>
      <c r="J39">
        <v>0.53549999999999998</v>
      </c>
      <c r="K39">
        <v>0.53549999999999998</v>
      </c>
    </row>
    <row r="40" spans="2:11">
      <c r="B40">
        <v>0.6</v>
      </c>
      <c r="C40">
        <v>0.1013</v>
      </c>
      <c r="D40">
        <v>5.7000000000000002E-2</v>
      </c>
      <c r="E40">
        <v>3.5499999999999997E-2</v>
      </c>
      <c r="F40">
        <v>0.12709999999999999</v>
      </c>
      <c r="G40">
        <v>0.24</v>
      </c>
      <c r="H40">
        <v>0.41099999999999998</v>
      </c>
      <c r="I40">
        <v>0.4839</v>
      </c>
      <c r="J40">
        <v>0.53549999999999998</v>
      </c>
      <c r="K40">
        <v>0.53549999999999998</v>
      </c>
    </row>
    <row r="41" spans="2:11">
      <c r="B41">
        <v>0.8</v>
      </c>
      <c r="C41">
        <v>0.11940000000000001</v>
      </c>
      <c r="D41">
        <v>7.6300000000000007E-2</v>
      </c>
      <c r="E41">
        <v>1.0800000000000001E-2</v>
      </c>
      <c r="F41">
        <v>0.10780000000000001</v>
      </c>
      <c r="G41">
        <v>0.2258</v>
      </c>
      <c r="H41">
        <v>0.39229999999999998</v>
      </c>
      <c r="I41">
        <v>0.4839</v>
      </c>
      <c r="J41">
        <v>0.53549999999999998</v>
      </c>
      <c r="K41">
        <v>0.53549999999999998</v>
      </c>
    </row>
    <row r="42" spans="2:11">
      <c r="B42">
        <v>1</v>
      </c>
      <c r="C42">
        <v>0.13739999999999999</v>
      </c>
      <c r="D42">
        <v>9.4799999999999995E-2</v>
      </c>
      <c r="E42">
        <v>1.0800000000000001E-2</v>
      </c>
      <c r="F42">
        <v>7.5499999999999998E-2</v>
      </c>
      <c r="G42">
        <v>0.21290000000000001</v>
      </c>
      <c r="H42">
        <v>0.37230000000000002</v>
      </c>
      <c r="I42">
        <v>0.48199999999999998</v>
      </c>
      <c r="J42">
        <v>0.53549999999999998</v>
      </c>
      <c r="K42">
        <v>0.53549999999999998</v>
      </c>
    </row>
    <row r="43" spans="2:11">
      <c r="B43">
        <v>1.2</v>
      </c>
      <c r="C43">
        <v>0.15609999999999999</v>
      </c>
      <c r="D43">
        <v>7.5800000000000006E-2</v>
      </c>
      <c r="E43">
        <v>-3.5499999999999997E-2</v>
      </c>
      <c r="F43">
        <v>2.9000000000000001E-2</v>
      </c>
      <c r="G43">
        <v>0.18840000000000001</v>
      </c>
      <c r="H43">
        <v>0.35680000000000001</v>
      </c>
      <c r="I43">
        <v>0.4788</v>
      </c>
      <c r="J43">
        <v>0.53549999999999998</v>
      </c>
      <c r="K43">
        <v>0.53549999999999998</v>
      </c>
    </row>
    <row r="44" spans="2:11">
      <c r="B44">
        <v>1.4</v>
      </c>
      <c r="C44">
        <v>0.17419999999999999</v>
      </c>
      <c r="D44">
        <v>0.13100000000000001</v>
      </c>
      <c r="E44">
        <v>-5.3600000000000002E-2</v>
      </c>
      <c r="F44">
        <v>-2.1499999999999998E-2</v>
      </c>
      <c r="G44">
        <v>0.1452</v>
      </c>
      <c r="H44">
        <v>0.35160000000000002</v>
      </c>
      <c r="I44">
        <v>0.47289999999999999</v>
      </c>
      <c r="J44">
        <v>0.53549999999999998</v>
      </c>
      <c r="K44">
        <v>0.53549999999999998</v>
      </c>
    </row>
    <row r="45" spans="2:11">
      <c r="B45">
        <v>1.6</v>
      </c>
      <c r="C45">
        <v>0.1923</v>
      </c>
      <c r="D45">
        <v>0.1497</v>
      </c>
      <c r="E45">
        <v>-6.2600000000000003E-2</v>
      </c>
      <c r="F45">
        <v>-6.4500000000000002E-2</v>
      </c>
      <c r="G45">
        <v>9.1600000000000001E-2</v>
      </c>
      <c r="H45">
        <v>0.34200000000000003</v>
      </c>
      <c r="I45">
        <v>0.46260000000000001</v>
      </c>
      <c r="J45">
        <v>0.51619999999999999</v>
      </c>
      <c r="K45">
        <v>0.53549999999999998</v>
      </c>
    </row>
    <row r="46" spans="2:11">
      <c r="B46">
        <v>1.8</v>
      </c>
      <c r="C46">
        <v>0.21099999999999999</v>
      </c>
      <c r="D46">
        <v>0.1678</v>
      </c>
      <c r="E46">
        <v>-6.4500000000000002E-2</v>
      </c>
      <c r="F46">
        <v>-0.10780000000000001</v>
      </c>
      <c r="G46">
        <v>2.69E-2</v>
      </c>
      <c r="H46">
        <v>0.30330000000000001</v>
      </c>
      <c r="I46">
        <v>0.44840000000000002</v>
      </c>
      <c r="J46">
        <v>0.50519999999999998</v>
      </c>
      <c r="K46">
        <v>0.53549999999999998</v>
      </c>
    </row>
    <row r="47" spans="2:11">
      <c r="B47">
        <v>2</v>
      </c>
      <c r="C47">
        <v>0.2291</v>
      </c>
      <c r="D47">
        <v>0.18579999999999999</v>
      </c>
      <c r="E47">
        <v>-8.2600000000000007E-2</v>
      </c>
      <c r="F47">
        <v>-0.15029999999999999</v>
      </c>
      <c r="G47">
        <v>-3.2300000000000002E-2</v>
      </c>
      <c r="H47">
        <v>0.2581</v>
      </c>
      <c r="I47">
        <v>0.42709999999999998</v>
      </c>
      <c r="J47">
        <v>0.49490000000000001</v>
      </c>
      <c r="K47">
        <v>0.53549999999999998</v>
      </c>
    </row>
    <row r="48" spans="2:11">
      <c r="B48">
        <v>2.2000000000000002</v>
      </c>
      <c r="C48">
        <v>0.24709999999999999</v>
      </c>
      <c r="D48">
        <v>0.20449999999999999</v>
      </c>
      <c r="E48">
        <v>-0.1013</v>
      </c>
      <c r="F48">
        <v>-0.19359999999999999</v>
      </c>
      <c r="G48">
        <v>-9.6799999999999997E-2</v>
      </c>
      <c r="H48">
        <v>0.2097</v>
      </c>
      <c r="I48">
        <v>0.41420000000000001</v>
      </c>
      <c r="J48">
        <v>0.47289999999999999</v>
      </c>
      <c r="K48">
        <v>0.53549999999999998</v>
      </c>
    </row>
    <row r="49" spans="2:11">
      <c r="B49">
        <v>2.4</v>
      </c>
      <c r="C49">
        <v>0.26579999999999998</v>
      </c>
      <c r="D49">
        <v>0.22259999999999999</v>
      </c>
      <c r="E49">
        <v>-0.11940000000000001</v>
      </c>
      <c r="F49">
        <v>-0.23680000000000001</v>
      </c>
      <c r="G49">
        <v>-0.1613</v>
      </c>
      <c r="H49">
        <v>0.1497</v>
      </c>
      <c r="I49">
        <v>0.40200000000000002</v>
      </c>
      <c r="J49">
        <v>0.46260000000000001</v>
      </c>
      <c r="K49">
        <v>0.53549999999999998</v>
      </c>
    </row>
    <row r="50" spans="2:11">
      <c r="B50">
        <v>2.6</v>
      </c>
      <c r="C50">
        <v>0.28389999999999999</v>
      </c>
      <c r="D50">
        <v>0.2407</v>
      </c>
      <c r="E50">
        <v>-0.13739999999999999</v>
      </c>
      <c r="F50">
        <v>-0.27939999999999998</v>
      </c>
      <c r="G50">
        <v>-0.20449999999999999</v>
      </c>
      <c r="H50">
        <v>6.2600000000000003E-2</v>
      </c>
      <c r="I50">
        <v>0.39229999999999998</v>
      </c>
      <c r="J50">
        <v>0.44650000000000001</v>
      </c>
      <c r="K50">
        <v>0.53549999999999998</v>
      </c>
    </row>
    <row r="51" spans="2:11">
      <c r="B51">
        <v>2.8</v>
      </c>
      <c r="C51">
        <v>0.30199999999999999</v>
      </c>
      <c r="D51">
        <v>0.25940000000000002</v>
      </c>
      <c r="E51">
        <v>-0.15609999999999999</v>
      </c>
      <c r="F51">
        <v>-0.3226</v>
      </c>
      <c r="G51">
        <v>-0.2452</v>
      </c>
      <c r="H51">
        <v>-2.1299999999999999E-2</v>
      </c>
      <c r="I51">
        <v>0.38390000000000002</v>
      </c>
      <c r="J51">
        <v>0.44069999999999998</v>
      </c>
      <c r="K51">
        <v>0.53549999999999998</v>
      </c>
    </row>
    <row r="52" spans="2:11">
      <c r="B52">
        <v>3</v>
      </c>
      <c r="C52">
        <v>0.32069999999999999</v>
      </c>
      <c r="D52">
        <v>0.27739999999999998</v>
      </c>
      <c r="E52">
        <v>-0.17419999999999999</v>
      </c>
      <c r="F52">
        <v>-0.36580000000000001</v>
      </c>
      <c r="G52">
        <v>-0.2903</v>
      </c>
      <c r="H52">
        <v>-9.6799999999999997E-2</v>
      </c>
      <c r="I52">
        <v>0.371</v>
      </c>
      <c r="J52">
        <v>0.44069999999999998</v>
      </c>
      <c r="K52">
        <v>0.53549999999999998</v>
      </c>
    </row>
    <row r="53" spans="2:11">
      <c r="B53">
        <v>3.2</v>
      </c>
      <c r="C53">
        <v>0.3387</v>
      </c>
      <c r="D53">
        <v>0.29549999999999998</v>
      </c>
      <c r="E53">
        <v>-0.1923</v>
      </c>
      <c r="F53">
        <v>-0.40839999999999999</v>
      </c>
      <c r="G53">
        <v>-0.33360000000000001</v>
      </c>
      <c r="H53">
        <v>-0.17230000000000001</v>
      </c>
      <c r="I53">
        <v>0.34710000000000002</v>
      </c>
      <c r="J53">
        <v>0.4304</v>
      </c>
      <c r="K53">
        <v>0.53549999999999998</v>
      </c>
    </row>
    <row r="54" spans="2:11">
      <c r="B54">
        <v>3.4</v>
      </c>
      <c r="C54">
        <v>0.35680000000000001</v>
      </c>
      <c r="D54">
        <v>0.31419999999999998</v>
      </c>
      <c r="E54">
        <v>-0.21099999999999999</v>
      </c>
      <c r="F54">
        <v>-0.45169999999999999</v>
      </c>
      <c r="G54">
        <v>-0.37619999999999998</v>
      </c>
      <c r="H54">
        <v>-0.24709999999999999</v>
      </c>
      <c r="I54">
        <v>0.26910000000000001</v>
      </c>
      <c r="J54">
        <v>0.4194</v>
      </c>
      <c r="K54">
        <v>0.53549999999999998</v>
      </c>
    </row>
    <row r="55" spans="2:11">
      <c r="B55">
        <v>3.6</v>
      </c>
      <c r="C55">
        <v>0.3755</v>
      </c>
      <c r="D55">
        <v>0.33229999999999998</v>
      </c>
      <c r="E55">
        <v>-0.2291</v>
      </c>
      <c r="F55">
        <v>-0.49490000000000001</v>
      </c>
      <c r="G55">
        <v>-0.4194</v>
      </c>
      <c r="H55">
        <v>-0.3226</v>
      </c>
      <c r="I55">
        <v>0.189</v>
      </c>
      <c r="J55">
        <v>0.40839999999999999</v>
      </c>
      <c r="K55">
        <v>0.53549999999999998</v>
      </c>
    </row>
    <row r="56" spans="2:11">
      <c r="B56">
        <v>3.8</v>
      </c>
      <c r="C56">
        <v>0.39360000000000001</v>
      </c>
      <c r="D56">
        <v>0.35039999999999999</v>
      </c>
      <c r="E56">
        <v>-0.24709999999999999</v>
      </c>
      <c r="F56">
        <v>-0.53549999999999998</v>
      </c>
      <c r="G56">
        <v>-0.46260000000000001</v>
      </c>
      <c r="H56">
        <v>-0.39810000000000001</v>
      </c>
      <c r="I56">
        <v>0.1052</v>
      </c>
      <c r="J56">
        <v>0.39550000000000002</v>
      </c>
      <c r="K56">
        <v>0.53549999999999998</v>
      </c>
    </row>
    <row r="57" spans="2:11">
      <c r="B57">
        <v>4</v>
      </c>
      <c r="C57">
        <v>0.41170000000000001</v>
      </c>
      <c r="D57">
        <v>0.36909999999999998</v>
      </c>
      <c r="E57">
        <v>-0.26579999999999998</v>
      </c>
      <c r="F57">
        <v>-0.53549999999999998</v>
      </c>
      <c r="G57">
        <v>-0.53549999999999998</v>
      </c>
      <c r="H57">
        <v>-0.47289999999999999</v>
      </c>
      <c r="I57">
        <v>2.1299999999999999E-2</v>
      </c>
      <c r="J57">
        <v>0.36580000000000001</v>
      </c>
      <c r="K57">
        <v>0.53549999999999998</v>
      </c>
    </row>
    <row r="58" spans="2:11">
      <c r="B58">
        <v>6</v>
      </c>
      <c r="C58">
        <v>0.53549999999999998</v>
      </c>
      <c r="D58">
        <v>0.53549999999999998</v>
      </c>
      <c r="E58">
        <v>-0.53549999999999998</v>
      </c>
      <c r="F58">
        <v>-0.53549999999999998</v>
      </c>
      <c r="G58">
        <v>-0.53549999999999998</v>
      </c>
      <c r="H58">
        <v>-0.53549999999999998</v>
      </c>
      <c r="I58">
        <v>-0.53549999999999998</v>
      </c>
      <c r="J58">
        <v>-0.3226</v>
      </c>
      <c r="K58">
        <v>0.53500000000000003</v>
      </c>
    </row>
    <row r="60" spans="2:11">
      <c r="C60">
        <v>-10</v>
      </c>
      <c r="D60">
        <v>0</v>
      </c>
      <c r="E60">
        <v>15</v>
      </c>
      <c r="F60">
        <v>25</v>
      </c>
      <c r="G60">
        <v>35</v>
      </c>
      <c r="H60">
        <v>45</v>
      </c>
      <c r="I60">
        <v>55</v>
      </c>
      <c r="J60">
        <v>65</v>
      </c>
      <c r="K60">
        <v>90</v>
      </c>
    </row>
    <row r="61" spans="2:11">
      <c r="B61">
        <v>-0.2</v>
      </c>
      <c r="C61">
        <f>C4/C36*$B61</f>
        <v>1.3592592592592594</v>
      </c>
      <c r="D61">
        <f t="shared" ref="D61:K61" si="0">D4/D36*$B61</f>
        <v>-0.38418604651162802</v>
      </c>
      <c r="E61">
        <f t="shared" si="0"/>
        <v>-0.39920318725099602</v>
      </c>
      <c r="F61">
        <f t="shared" si="0"/>
        <v>-0.2154385964912281</v>
      </c>
      <c r="G61">
        <f t="shared" si="0"/>
        <v>-0.13767378772465244</v>
      </c>
      <c r="H61">
        <f t="shared" si="0"/>
        <v>-0.10214592274678112</v>
      </c>
      <c r="I61">
        <f t="shared" si="0"/>
        <v>-8.1587104773713573E-2</v>
      </c>
      <c r="J61">
        <f t="shared" si="0"/>
        <v>-6.3155929038281974E-2</v>
      </c>
      <c r="K61">
        <f t="shared" si="0"/>
        <v>0</v>
      </c>
    </row>
    <row r="62" spans="2:11">
      <c r="B62">
        <v>0</v>
      </c>
      <c r="C62">
        <f>C5/C37*$B62</f>
        <v>0</v>
      </c>
      <c r="D62">
        <f t="shared" ref="D62:K62" si="1">D5/D37*$B62</f>
        <v>0</v>
      </c>
      <c r="E62">
        <f t="shared" si="1"/>
        <v>0</v>
      </c>
      <c r="F62">
        <f t="shared" si="1"/>
        <v>0</v>
      </c>
      <c r="G62">
        <f t="shared" si="1"/>
        <v>0</v>
      </c>
      <c r="H62">
        <f t="shared" si="1"/>
        <v>0</v>
      </c>
      <c r="I62">
        <f t="shared" si="1"/>
        <v>0</v>
      </c>
      <c r="J62">
        <f t="shared" si="1"/>
        <v>0</v>
      </c>
      <c r="K62">
        <f t="shared" si="1"/>
        <v>0</v>
      </c>
    </row>
    <row r="63" spans="2:11">
      <c r="B63">
        <v>0.2</v>
      </c>
      <c r="C63">
        <f>C6/C38*$B63</f>
        <v>-0.39869494290375207</v>
      </c>
      <c r="D63">
        <f t="shared" ref="D63:K63" si="2">D6/D38*$B63</f>
        <v>-0.43720930232558142</v>
      </c>
      <c r="E63">
        <f t="shared" si="2"/>
        <v>0.41570512820512828</v>
      </c>
      <c r="F63">
        <f t="shared" si="2"/>
        <v>0.24312668463611861</v>
      </c>
      <c r="G63">
        <f t="shared" si="2"/>
        <v>0.14838709677419357</v>
      </c>
      <c r="H63">
        <f t="shared" si="2"/>
        <v>0.10309966618979496</v>
      </c>
      <c r="I63">
        <f t="shared" si="2"/>
        <v>8.3185840707964601E-2</v>
      </c>
      <c r="J63">
        <f t="shared" si="2"/>
        <v>6.3155929038281974E-2</v>
      </c>
      <c r="K63">
        <f t="shared" si="2"/>
        <v>0</v>
      </c>
    </row>
    <row r="64" spans="2:11">
      <c r="B64">
        <v>0.4</v>
      </c>
      <c r="C64">
        <f>C7/C39*$B64</f>
        <v>-0.59176755447941887</v>
      </c>
      <c r="D64">
        <f t="shared" ref="D64:K64" si="3">D7/D39*$B64</f>
        <v>-0.92872340425531918</v>
      </c>
      <c r="E64">
        <f t="shared" si="3"/>
        <v>0.72774674115456239</v>
      </c>
      <c r="F64">
        <f t="shared" si="3"/>
        <v>0.52222222222222225</v>
      </c>
      <c r="G64">
        <f t="shared" si="3"/>
        <v>0.30647931303669013</v>
      </c>
      <c r="H64">
        <f t="shared" si="3"/>
        <v>0.20429184549356225</v>
      </c>
      <c r="I64">
        <f t="shared" si="3"/>
        <v>0.1663716814159292</v>
      </c>
      <c r="J64">
        <f t="shared" si="3"/>
        <v>0.12631185807656395</v>
      </c>
      <c r="K64">
        <f t="shared" si="3"/>
        <v>0</v>
      </c>
    </row>
    <row r="65" spans="2:11">
      <c r="B65">
        <v>0.6</v>
      </c>
      <c r="C65">
        <f t="shared" ref="C65:K83" si="4">C8/C40*$B65</f>
        <v>-0.72379072063178673</v>
      </c>
      <c r="D65">
        <f t="shared" si="4"/>
        <v>-1.2863157894736841</v>
      </c>
      <c r="E65">
        <f t="shared" si="4"/>
        <v>0.8738028169014086</v>
      </c>
      <c r="F65">
        <f t="shared" si="4"/>
        <v>0.75861526357199072</v>
      </c>
      <c r="G65">
        <f t="shared" si="4"/>
        <v>0.46975</v>
      </c>
      <c r="H65">
        <f t="shared" si="4"/>
        <v>0.30467153284671528</v>
      </c>
      <c r="I65">
        <f t="shared" si="4"/>
        <v>0.24699318040917542</v>
      </c>
      <c r="J65">
        <f t="shared" si="4"/>
        <v>0.18946778711484594</v>
      </c>
      <c r="K65">
        <f t="shared" si="4"/>
        <v>0</v>
      </c>
    </row>
    <row r="66" spans="2:11">
      <c r="B66">
        <v>0.8</v>
      </c>
      <c r="C66">
        <f t="shared" si="4"/>
        <v>-0.81876046901172528</v>
      </c>
      <c r="D66">
        <f t="shared" si="4"/>
        <v>-1.2812581913499344</v>
      </c>
      <c r="E66">
        <f t="shared" si="4"/>
        <v>0.21481481481481479</v>
      </c>
      <c r="F66">
        <f t="shared" si="4"/>
        <v>0.89276437847866408</v>
      </c>
      <c r="G66">
        <f t="shared" si="4"/>
        <v>0.64623560673162095</v>
      </c>
      <c r="H66">
        <f t="shared" si="4"/>
        <v>0.41029824114198316</v>
      </c>
      <c r="I66">
        <f t="shared" si="4"/>
        <v>0.32932424054556725</v>
      </c>
      <c r="J66">
        <f t="shared" si="4"/>
        <v>0.2526237161531279</v>
      </c>
      <c r="K66">
        <f t="shared" si="4"/>
        <v>0</v>
      </c>
    </row>
    <row r="67" spans="2:11">
      <c r="B67">
        <v>1</v>
      </c>
      <c r="C67">
        <f t="shared" si="4"/>
        <v>-0.88937409024745273</v>
      </c>
      <c r="D67">
        <f t="shared" si="4"/>
        <v>-1.289029535864979</v>
      </c>
      <c r="E67">
        <f t="shared" si="4"/>
        <v>-4.5277777777777777</v>
      </c>
      <c r="F67">
        <f t="shared" si="4"/>
        <v>0.97218543046357631</v>
      </c>
      <c r="G67">
        <f t="shared" si="4"/>
        <v>0.82104274307186476</v>
      </c>
      <c r="H67">
        <f t="shared" si="4"/>
        <v>0.51248992747784039</v>
      </c>
      <c r="I67">
        <f t="shared" si="4"/>
        <v>0.40954356846473028</v>
      </c>
      <c r="J67">
        <f t="shared" si="4"/>
        <v>0.31577964519140989</v>
      </c>
      <c r="K67">
        <f t="shared" si="4"/>
        <v>0</v>
      </c>
    </row>
    <row r="68" spans="2:11">
      <c r="B68">
        <v>1.2</v>
      </c>
      <c r="C68">
        <f t="shared" si="4"/>
        <v>-0.93939782190903265</v>
      </c>
      <c r="D68">
        <f t="shared" si="4"/>
        <v>-1.9345646437994721</v>
      </c>
      <c r="E68">
        <f t="shared" si="4"/>
        <v>3.4005633802816901</v>
      </c>
      <c r="F68">
        <f t="shared" si="4"/>
        <v>0.93517241379310323</v>
      </c>
      <c r="G68">
        <f t="shared" si="4"/>
        <v>0.91528662420382145</v>
      </c>
      <c r="H68">
        <f t="shared" si="4"/>
        <v>0.61950672645739902</v>
      </c>
      <c r="I68">
        <f t="shared" si="4"/>
        <v>0.49473684210526314</v>
      </c>
      <c r="J68">
        <f t="shared" si="4"/>
        <v>0.37893557422969187</v>
      </c>
      <c r="K68">
        <f t="shared" si="4"/>
        <v>0</v>
      </c>
    </row>
    <row r="69" spans="2:11">
      <c r="B69">
        <v>1.4</v>
      </c>
      <c r="C69">
        <f t="shared" si="4"/>
        <v>-0.9820895522388059</v>
      </c>
      <c r="D69">
        <f t="shared" si="4"/>
        <v>-1.3059541984732823</v>
      </c>
      <c r="E69">
        <f t="shared" si="4"/>
        <v>3.1917910447761195</v>
      </c>
      <c r="F69">
        <f t="shared" si="4"/>
        <v>2.1423255813953488</v>
      </c>
      <c r="G69">
        <f t="shared" si="4"/>
        <v>0.99696969696969695</v>
      </c>
      <c r="H69">
        <f t="shared" si="4"/>
        <v>0.72189988623435697</v>
      </c>
      <c r="I69">
        <f t="shared" si="4"/>
        <v>0.57314442799746246</v>
      </c>
      <c r="J69">
        <f t="shared" si="4"/>
        <v>0.44209150326797381</v>
      </c>
      <c r="K69">
        <f t="shared" si="4"/>
        <v>0</v>
      </c>
    </row>
    <row r="70" spans="2:11">
      <c r="B70">
        <v>1.6</v>
      </c>
      <c r="C70">
        <f t="shared" si="4"/>
        <v>-1.0167446697867915</v>
      </c>
      <c r="D70">
        <f t="shared" si="4"/>
        <v>-1.3060788243152974</v>
      </c>
      <c r="E70">
        <f t="shared" si="4"/>
        <v>3.1233226837060704</v>
      </c>
      <c r="F70">
        <f t="shared" si="4"/>
        <v>2.0737984496124029</v>
      </c>
      <c r="G70">
        <f t="shared" si="4"/>
        <v>0.98515283842794765</v>
      </c>
      <c r="H70">
        <f t="shared" si="4"/>
        <v>0.81777777777777771</v>
      </c>
      <c r="I70">
        <f t="shared" si="4"/>
        <v>0.65680933852140089</v>
      </c>
      <c r="J70">
        <f t="shared" si="4"/>
        <v>0.52413793103448281</v>
      </c>
      <c r="K70">
        <f t="shared" si="4"/>
        <v>0</v>
      </c>
    </row>
    <row r="71" spans="2:11">
      <c r="B71">
        <v>1.8</v>
      </c>
      <c r="C71">
        <f t="shared" si="4"/>
        <v>-1.0424644549763034</v>
      </c>
      <c r="D71">
        <f t="shared" si="4"/>
        <v>-1.3108462455303933</v>
      </c>
      <c r="E71">
        <f t="shared" si="4"/>
        <v>3.4102325581395347</v>
      </c>
      <c r="F71">
        <f t="shared" si="4"/>
        <v>2.0404452690166974</v>
      </c>
      <c r="G71">
        <f t="shared" si="4"/>
        <v>0.63568773234200737</v>
      </c>
      <c r="H71">
        <f t="shared" si="4"/>
        <v>0.89198813056379811</v>
      </c>
      <c r="I71">
        <f t="shared" si="4"/>
        <v>0.73942908117752004</v>
      </c>
      <c r="J71">
        <f t="shared" si="4"/>
        <v>0.6024940617577198</v>
      </c>
      <c r="K71">
        <f t="shared" si="4"/>
        <v>0</v>
      </c>
    </row>
    <row r="72" spans="2:11">
      <c r="B72">
        <v>2</v>
      </c>
      <c r="C72">
        <f t="shared" si="4"/>
        <v>-1.0667830641641205</v>
      </c>
      <c r="D72">
        <f t="shared" si="4"/>
        <v>-1.3153928955866523</v>
      </c>
      <c r="E72">
        <f t="shared" si="4"/>
        <v>2.9588377723970942</v>
      </c>
      <c r="F72">
        <f t="shared" si="4"/>
        <v>1.6260811709913507</v>
      </c>
      <c r="G72">
        <f t="shared" si="4"/>
        <v>2.3281733746130029</v>
      </c>
      <c r="H72">
        <f t="shared" si="4"/>
        <v>0.90972491282448664</v>
      </c>
      <c r="I72">
        <f t="shared" si="4"/>
        <v>0.85881526574572709</v>
      </c>
      <c r="J72">
        <f t="shared" si="4"/>
        <v>0.68337037785411192</v>
      </c>
      <c r="K72">
        <f t="shared" si="4"/>
        <v>0</v>
      </c>
    </row>
    <row r="73" spans="2:11">
      <c r="B73">
        <v>2.2000000000000002</v>
      </c>
      <c r="C73">
        <f t="shared" si="4"/>
        <v>-1.0879805746661273</v>
      </c>
      <c r="D73">
        <f t="shared" si="4"/>
        <v>-1.3146210268948657</v>
      </c>
      <c r="E73">
        <f t="shared" si="4"/>
        <v>2.6538993089832186</v>
      </c>
      <c r="F73">
        <f t="shared" si="4"/>
        <v>1.3886363636363639</v>
      </c>
      <c r="G73">
        <f t="shared" si="4"/>
        <v>1.9227272727272726</v>
      </c>
      <c r="H73">
        <f t="shared" si="4"/>
        <v>0.88755364806866954</v>
      </c>
      <c r="I73">
        <f t="shared" si="4"/>
        <v>0.95818445195557711</v>
      </c>
      <c r="J73">
        <f t="shared" si="4"/>
        <v>0.78667794459716645</v>
      </c>
      <c r="K73">
        <f t="shared" si="4"/>
        <v>0</v>
      </c>
    </row>
    <row r="74" spans="2:11">
      <c r="B74">
        <v>2.4</v>
      </c>
      <c r="C74">
        <f t="shared" si="4"/>
        <v>-1.1033860045146728</v>
      </c>
      <c r="D74">
        <f t="shared" si="4"/>
        <v>-1.3175202156334231</v>
      </c>
      <c r="E74">
        <f t="shared" si="4"/>
        <v>2.4562814070351755</v>
      </c>
      <c r="F74">
        <f t="shared" si="4"/>
        <v>1.2385135135135135</v>
      </c>
      <c r="G74">
        <f t="shared" si="4"/>
        <v>1.8182269063856169</v>
      </c>
      <c r="H74">
        <f t="shared" si="4"/>
        <v>0.72304609218436877</v>
      </c>
      <c r="I74">
        <f t="shared" si="4"/>
        <v>0.87940298507462666</v>
      </c>
      <c r="J74">
        <f t="shared" si="4"/>
        <v>0.87730220492866395</v>
      </c>
      <c r="K74">
        <f t="shared" si="4"/>
        <v>0</v>
      </c>
    </row>
    <row r="75" spans="2:11">
      <c r="B75">
        <v>2.6</v>
      </c>
      <c r="C75">
        <f t="shared" si="4"/>
        <v>-1.1191264529764002</v>
      </c>
      <c r="D75">
        <f t="shared" si="4"/>
        <v>-1.3199833818030744</v>
      </c>
      <c r="E75">
        <f t="shared" si="4"/>
        <v>2.3123726346433773</v>
      </c>
      <c r="F75">
        <f t="shared" si="4"/>
        <v>1.1371510379384395</v>
      </c>
      <c r="G75">
        <f t="shared" si="4"/>
        <v>1.5536430317848411</v>
      </c>
      <c r="H75">
        <f t="shared" si="4"/>
        <v>0.236741214057508</v>
      </c>
      <c r="I75">
        <f t="shared" si="4"/>
        <v>0.61769054295182269</v>
      </c>
      <c r="J75">
        <f t="shared" si="4"/>
        <v>0.87520716685330346</v>
      </c>
      <c r="K75">
        <f t="shared" si="4"/>
        <v>0</v>
      </c>
    </row>
    <row r="76" spans="2:11">
      <c r="B76">
        <v>2.8</v>
      </c>
      <c r="C76">
        <f t="shared" si="4"/>
        <v>-1.1329801324503312</v>
      </c>
      <c r="D76">
        <f t="shared" si="4"/>
        <v>-1.3190439475713183</v>
      </c>
      <c r="E76">
        <f t="shared" si="4"/>
        <v>2.1919282511210763</v>
      </c>
      <c r="F76">
        <f t="shared" si="4"/>
        <v>1.0606323620582765</v>
      </c>
      <c r="G76">
        <f t="shared" si="4"/>
        <v>1.3954323001631319</v>
      </c>
      <c r="H76">
        <f t="shared" si="4"/>
        <v>4.4431924882629099</v>
      </c>
      <c r="I76">
        <f t="shared" si="4"/>
        <v>0.44490752800208383</v>
      </c>
      <c r="J76">
        <f t="shared" si="4"/>
        <v>0.77640117994100299</v>
      </c>
      <c r="K76">
        <f t="shared" si="4"/>
        <v>0</v>
      </c>
    </row>
    <row r="77" spans="2:11">
      <c r="B77">
        <v>3</v>
      </c>
      <c r="C77">
        <f t="shared" si="4"/>
        <v>-1.1431244153414406</v>
      </c>
      <c r="D77">
        <f t="shared" si="4"/>
        <v>-1.3215573179524154</v>
      </c>
      <c r="E77">
        <f t="shared" si="4"/>
        <v>2.1044776119402986</v>
      </c>
      <c r="F77">
        <f t="shared" si="4"/>
        <v>1.0021869874248224</v>
      </c>
      <c r="G77">
        <f t="shared" si="4"/>
        <v>1.2628315535652772</v>
      </c>
      <c r="H77">
        <f t="shared" si="4"/>
        <v>2.2747933884297522</v>
      </c>
      <c r="I77">
        <f t="shared" si="4"/>
        <v>0.2587601078167116</v>
      </c>
      <c r="J77">
        <f t="shared" si="4"/>
        <v>0.63989108236895853</v>
      </c>
      <c r="K77">
        <f t="shared" si="4"/>
        <v>0</v>
      </c>
    </row>
    <row r="78" spans="2:11">
      <c r="B78">
        <v>3.2</v>
      </c>
      <c r="C78">
        <f t="shared" si="4"/>
        <v>-1.1545320342485976</v>
      </c>
      <c r="D78">
        <f t="shared" si="4"/>
        <v>-1.3233164128595603</v>
      </c>
      <c r="E78">
        <f t="shared" si="4"/>
        <v>2.0334893395735829</v>
      </c>
      <c r="F78">
        <f t="shared" si="4"/>
        <v>0.9574926542605291</v>
      </c>
      <c r="G78">
        <f t="shared" si="4"/>
        <v>1.1721822541966427</v>
      </c>
      <c r="H78">
        <f t="shared" si="4"/>
        <v>2.0949506674405107</v>
      </c>
      <c r="I78">
        <f t="shared" si="4"/>
        <v>2.6735811005473925E-2</v>
      </c>
      <c r="J78">
        <f t="shared" si="4"/>
        <v>0.48921933085501856</v>
      </c>
      <c r="K78">
        <f t="shared" si="4"/>
        <v>0</v>
      </c>
    </row>
    <row r="79" spans="2:11">
      <c r="B79">
        <v>3.4</v>
      </c>
      <c r="C79">
        <f t="shared" si="4"/>
        <v>-1.1644618834080718</v>
      </c>
      <c r="D79">
        <f t="shared" si="4"/>
        <v>-1.3223424570337365</v>
      </c>
      <c r="E79">
        <f t="shared" si="4"/>
        <v>1.9690995260663506</v>
      </c>
      <c r="F79">
        <f t="shared" si="4"/>
        <v>0.91981403586451183</v>
      </c>
      <c r="G79">
        <f t="shared" si="4"/>
        <v>1.1044125465178096</v>
      </c>
      <c r="H79">
        <f t="shared" si="4"/>
        <v>1.6814245244840147</v>
      </c>
      <c r="I79">
        <f t="shared" si="4"/>
        <v>-0.33229282794500187</v>
      </c>
      <c r="J79">
        <f t="shared" si="4"/>
        <v>0.30481640438721985</v>
      </c>
      <c r="K79">
        <f t="shared" si="4"/>
        <v>0</v>
      </c>
    </row>
    <row r="80" spans="2:11">
      <c r="B80">
        <v>3.6</v>
      </c>
      <c r="C80">
        <f t="shared" si="4"/>
        <v>-1.1715579227696407</v>
      </c>
      <c r="D80">
        <f t="shared" si="4"/>
        <v>-1.3238639783328319</v>
      </c>
      <c r="E80">
        <f t="shared" si="4"/>
        <v>1.9202095154954169</v>
      </c>
      <c r="F80">
        <f t="shared" si="4"/>
        <v>0.88890684986866031</v>
      </c>
      <c r="G80">
        <f t="shared" si="4"/>
        <v>1.0489270386266096</v>
      </c>
      <c r="H80">
        <f t="shared" si="4"/>
        <v>1.3636701797892128</v>
      </c>
      <c r="I80">
        <f t="shared" si="4"/>
        <v>-1.0571428571428572</v>
      </c>
      <c r="J80">
        <f t="shared" si="4"/>
        <v>8.3741429970617037E-2</v>
      </c>
      <c r="K80">
        <f t="shared" si="4"/>
        <v>0</v>
      </c>
    </row>
    <row r="81" spans="2:11">
      <c r="B81">
        <v>3.8</v>
      </c>
      <c r="C81">
        <f t="shared" si="4"/>
        <v>-1.1797764227642276</v>
      </c>
      <c r="D81">
        <f t="shared" si="4"/>
        <v>-1.3252283105022833</v>
      </c>
      <c r="E81">
        <f t="shared" si="4"/>
        <v>1.8792391744233106</v>
      </c>
      <c r="F81">
        <f t="shared" si="4"/>
        <v>0.86715219421101775</v>
      </c>
      <c r="G81">
        <f t="shared" si="4"/>
        <v>1.0038045827929096</v>
      </c>
      <c r="H81">
        <f t="shared" si="4"/>
        <v>1.1664405928158754</v>
      </c>
      <c r="I81">
        <f t="shared" si="4"/>
        <v>-3.0558935361216726</v>
      </c>
      <c r="J81">
        <f t="shared" si="4"/>
        <v>-0.18063211125158027</v>
      </c>
      <c r="K81">
        <f t="shared" si="4"/>
        <v>0</v>
      </c>
    </row>
    <row r="82" spans="2:11">
      <c r="B82">
        <v>4</v>
      </c>
      <c r="C82">
        <f t="shared" si="4"/>
        <v>-1.187272285644887</v>
      </c>
      <c r="D82">
        <f t="shared" si="4"/>
        <v>-1.3243023570848009</v>
      </c>
      <c r="E82">
        <f t="shared" si="4"/>
        <v>1.8389766741911213</v>
      </c>
      <c r="F82">
        <f t="shared" si="4"/>
        <v>0.91279178338001876</v>
      </c>
      <c r="G82">
        <f t="shared" si="4"/>
        <v>0.91279178338001876</v>
      </c>
      <c r="H82">
        <f t="shared" si="4"/>
        <v>1.0336223303023895</v>
      </c>
      <c r="I82">
        <f t="shared" si="4"/>
        <v>-21.352112676056336</v>
      </c>
      <c r="J82">
        <f t="shared" si="4"/>
        <v>-0.51503553854565343</v>
      </c>
      <c r="K82">
        <f t="shared" si="4"/>
        <v>0</v>
      </c>
    </row>
    <row r="83" spans="2:11">
      <c r="B83">
        <v>6</v>
      </c>
      <c r="C83">
        <f t="shared" si="4"/>
        <v>-1.369187675070028</v>
      </c>
      <c r="D83">
        <f t="shared" si="4"/>
        <v>-1.369187675070028</v>
      </c>
      <c r="E83">
        <f t="shared" si="4"/>
        <v>1.369187675070028</v>
      </c>
      <c r="F83">
        <f t="shared" si="4"/>
        <v>1.369187675070028</v>
      </c>
      <c r="G83">
        <f t="shared" si="4"/>
        <v>1.369187675070028</v>
      </c>
      <c r="H83">
        <f t="shared" si="4"/>
        <v>1.369187675070028</v>
      </c>
      <c r="I83">
        <f t="shared" si="4"/>
        <v>1.369187675070028</v>
      </c>
      <c r="J83">
        <f t="shared" si="4"/>
        <v>2.272783632982021</v>
      </c>
      <c r="K83">
        <f t="shared" si="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Z134"/>
  <sheetViews>
    <sheetView topLeftCell="A90" workbookViewId="0">
      <selection activeCell="A130" sqref="A130"/>
    </sheetView>
  </sheetViews>
  <sheetFormatPr defaultRowHeight="15"/>
  <sheetData>
    <row r="1" spans="1:6">
      <c r="A1" t="s">
        <v>67</v>
      </c>
    </row>
    <row r="2" spans="1:6">
      <c r="A2" t="s">
        <v>52</v>
      </c>
      <c r="E2">
        <v>1E-3</v>
      </c>
      <c r="F2">
        <v>0.11600000000000001</v>
      </c>
    </row>
    <row r="3" spans="1:6">
      <c r="A3" t="s">
        <v>53</v>
      </c>
      <c r="E3">
        <v>0.01</v>
      </c>
      <c r="F3">
        <v>0.17599999999999999</v>
      </c>
    </row>
    <row r="4" spans="1:6">
      <c r="A4" t="s">
        <v>54</v>
      </c>
      <c r="E4">
        <v>0.1</v>
      </c>
      <c r="F4">
        <v>0.14599999999999999</v>
      </c>
    </row>
    <row r="5" spans="1:6">
      <c r="A5" t="s">
        <v>55</v>
      </c>
      <c r="E5">
        <v>0.2</v>
      </c>
      <c r="F5">
        <v>0.123</v>
      </c>
    </row>
    <row r="6" spans="1:6">
      <c r="A6" t="s">
        <v>56</v>
      </c>
      <c r="E6">
        <v>0.3</v>
      </c>
      <c r="F6">
        <v>0.11</v>
      </c>
    </row>
    <row r="7" spans="1:6">
      <c r="A7" t="s">
        <v>57</v>
      </c>
      <c r="E7">
        <v>0.4</v>
      </c>
      <c r="F7">
        <v>8.1000000000000003E-2</v>
      </c>
    </row>
    <row r="8" spans="1:6">
      <c r="A8" t="s">
        <v>58</v>
      </c>
      <c r="E8">
        <v>0.5</v>
      </c>
      <c r="F8">
        <v>7.8E-2</v>
      </c>
    </row>
    <row r="9" spans="1:6">
      <c r="A9" t="s">
        <v>59</v>
      </c>
      <c r="E9">
        <v>0.60760000000000003</v>
      </c>
      <c r="F9">
        <v>7.5999999999999998E-2</v>
      </c>
    </row>
    <row r="10" spans="1:6">
      <c r="A10" t="s">
        <v>60</v>
      </c>
      <c r="E10">
        <v>0.8</v>
      </c>
      <c r="F10">
        <v>7.2999999999999995E-2</v>
      </c>
    </row>
    <row r="11" spans="1:6">
      <c r="A11" t="s">
        <v>61</v>
      </c>
      <c r="E11">
        <v>1</v>
      </c>
      <c r="F11">
        <v>6.9099999999999995E-2</v>
      </c>
    </row>
    <row r="12" spans="1:6">
      <c r="A12" t="s">
        <v>62</v>
      </c>
      <c r="E12">
        <v>1.2</v>
      </c>
      <c r="F12">
        <v>0.06</v>
      </c>
    </row>
    <row r="13" spans="1:6">
      <c r="A13" t="s">
        <v>63</v>
      </c>
      <c r="E13">
        <v>1.7</v>
      </c>
      <c r="F13">
        <v>0.02</v>
      </c>
    </row>
    <row r="14" spans="1:6">
      <c r="A14" t="s">
        <v>64</v>
      </c>
      <c r="E14">
        <v>1.9</v>
      </c>
      <c r="F14">
        <v>0</v>
      </c>
    </row>
    <row r="15" spans="1:6">
      <c r="A15" t="s">
        <v>65</v>
      </c>
      <c r="E15">
        <v>2</v>
      </c>
      <c r="F15">
        <v>-0.02</v>
      </c>
    </row>
    <row r="16" spans="1:6">
      <c r="A16" t="s">
        <v>66</v>
      </c>
      <c r="E16">
        <v>5</v>
      </c>
      <c r="F16">
        <v>-0.02</v>
      </c>
    </row>
    <row r="18" spans="1:26">
      <c r="A18" t="s">
        <v>75</v>
      </c>
      <c r="B18" t="s">
        <v>68</v>
      </c>
      <c r="F18" t="s">
        <v>67</v>
      </c>
      <c r="H18" t="s">
        <v>69</v>
      </c>
    </row>
    <row r="19" spans="1:26">
      <c r="A19" s="3">
        <v>0</v>
      </c>
      <c r="B19" s="4">
        <v>9.1999999999999998E-2</v>
      </c>
      <c r="C19" s="4"/>
      <c r="D19" s="4"/>
      <c r="F19">
        <v>6.4530000000000004E-2</v>
      </c>
      <c r="G19">
        <f>1.05*F19</f>
        <v>6.7756500000000011E-2</v>
      </c>
      <c r="H19">
        <f t="shared" ref="H19:H39" si="0">B19/F19 *A19</f>
        <v>0</v>
      </c>
    </row>
    <row r="20" spans="1:26">
      <c r="A20" s="4">
        <v>0.01</v>
      </c>
      <c r="B20" s="4">
        <v>9.1999999999999998E-2</v>
      </c>
      <c r="C20" s="4"/>
      <c r="D20" s="4"/>
      <c r="F20">
        <v>6.4530000000000004E-2</v>
      </c>
      <c r="G20">
        <f>1.05*F20</f>
        <v>6.7756500000000011E-2</v>
      </c>
      <c r="H20">
        <f t="shared" si="0"/>
        <v>1.4256934759026809E-2</v>
      </c>
    </row>
    <row r="21" spans="1:26">
      <c r="A21" s="4">
        <v>0.1</v>
      </c>
      <c r="B21" s="4">
        <v>8.7160000000000001E-2</v>
      </c>
      <c r="C21" s="4"/>
      <c r="D21" s="4"/>
      <c r="F21">
        <v>6.4000000000000001E-2</v>
      </c>
      <c r="G21">
        <f>1.05*F21</f>
        <v>6.720000000000001E-2</v>
      </c>
      <c r="H21">
        <f t="shared" si="0"/>
        <v>0.13618749999999999</v>
      </c>
    </row>
    <row r="22" spans="1:26">
      <c r="A22" s="3">
        <v>0.2</v>
      </c>
      <c r="B22" s="3">
        <v>8.1879999999999994E-2</v>
      </c>
      <c r="C22" s="3"/>
      <c r="D22" s="3"/>
      <c r="F22">
        <v>6.3530000000000003E-2</v>
      </c>
      <c r="G22">
        <f>1.05*F22</f>
        <v>6.6706500000000002E-2</v>
      </c>
      <c r="H22">
        <f t="shared" si="0"/>
        <v>0.25776798362978121</v>
      </c>
    </row>
    <row r="23" spans="1:26">
      <c r="A23" s="4">
        <v>0.3</v>
      </c>
      <c r="B23" s="4">
        <v>7.7439999999999995E-2</v>
      </c>
      <c r="C23" s="4"/>
      <c r="D23" s="4"/>
      <c r="F23">
        <v>6.2195199999999999E-2</v>
      </c>
      <c r="G23">
        <f>1.04*F23</f>
        <v>6.4683008E-2</v>
      </c>
      <c r="H23">
        <f t="shared" si="0"/>
        <v>0.37353364889895035</v>
      </c>
    </row>
    <row r="24" spans="1:26">
      <c r="A24" s="3">
        <v>0.4</v>
      </c>
      <c r="B24" s="3">
        <v>7.2999999999999995E-2</v>
      </c>
      <c r="C24" s="3"/>
      <c r="D24" s="3"/>
      <c r="F24">
        <v>6.0133199999999998E-2</v>
      </c>
      <c r="G24">
        <f>1.03*F24</f>
        <v>6.1937196E-2</v>
      </c>
      <c r="H24">
        <f t="shared" si="0"/>
        <v>0.48558865984181782</v>
      </c>
    </row>
    <row r="25" spans="1:26">
      <c r="A25" s="4">
        <v>0.5</v>
      </c>
      <c r="B25" s="4">
        <v>6.9400000000000003E-2</v>
      </c>
      <c r="C25" s="4"/>
      <c r="D25" s="4"/>
      <c r="F25">
        <v>5.8000000000000003E-2</v>
      </c>
      <c r="G25">
        <f>1.02*F25</f>
        <v>5.9160000000000004E-2</v>
      </c>
      <c r="H25">
        <f t="shared" si="0"/>
        <v>0.59827586206896555</v>
      </c>
    </row>
    <row r="26" spans="1:26">
      <c r="A26" s="5">
        <v>0.53580000000000005</v>
      </c>
      <c r="B26" s="4">
        <v>6.7680000000000004E-2</v>
      </c>
      <c r="C26" s="4"/>
      <c r="D26" s="4"/>
      <c r="F26">
        <v>5.6814000000000003E-2</v>
      </c>
      <c r="H26">
        <f t="shared" si="0"/>
        <v>0.63827479142464894</v>
      </c>
    </row>
    <row r="27" spans="1:26">
      <c r="A27" s="3">
        <v>0.64</v>
      </c>
      <c r="B27" s="3">
        <v>6.5000000000000002E-2</v>
      </c>
      <c r="C27" s="3"/>
      <c r="D27" s="3"/>
      <c r="F27">
        <v>5.5E-2</v>
      </c>
      <c r="H27">
        <f t="shared" si="0"/>
        <v>0.75636363636363646</v>
      </c>
      <c r="Z27" t="s">
        <v>174</v>
      </c>
    </row>
    <row r="28" spans="1:26">
      <c r="A28" s="4">
        <v>0.8</v>
      </c>
      <c r="B28" s="4">
        <v>0.06</v>
      </c>
      <c r="C28" s="4"/>
      <c r="D28" s="4"/>
      <c r="F28">
        <v>5.1839999999999997E-2</v>
      </c>
      <c r="H28">
        <f t="shared" si="0"/>
        <v>0.92592592592592604</v>
      </c>
    </row>
    <row r="29" spans="1:26">
      <c r="A29" s="3">
        <v>0.97599999999999998</v>
      </c>
      <c r="B29" s="3">
        <v>5.2012799999999998E-2</v>
      </c>
      <c r="C29" s="3"/>
      <c r="D29" s="3"/>
      <c r="F29">
        <v>4.9031999999999992E-2</v>
      </c>
      <c r="H29">
        <f t="shared" si="0"/>
        <v>1.035333920704846</v>
      </c>
    </row>
    <row r="30" spans="1:26">
      <c r="A30" s="3">
        <v>1.03</v>
      </c>
      <c r="B30" s="3">
        <v>4.5359999999999998E-2</v>
      </c>
      <c r="C30" s="3"/>
      <c r="D30" s="3"/>
      <c r="F30">
        <v>4.7815999999999997E-2</v>
      </c>
      <c r="H30">
        <f t="shared" si="0"/>
        <v>0.9770955328760248</v>
      </c>
    </row>
    <row r="31" spans="1:26">
      <c r="A31" s="3">
        <v>1.1000000000000001</v>
      </c>
      <c r="B31" s="3">
        <v>3.3119999999999997E-2</v>
      </c>
      <c r="C31" s="3"/>
      <c r="D31" s="3"/>
      <c r="F31">
        <v>4.2860000000000002E-2</v>
      </c>
      <c r="H31">
        <f t="shared" si="0"/>
        <v>0.85002333177788136</v>
      </c>
    </row>
    <row r="32" spans="1:26">
      <c r="A32" s="3">
        <v>1.2</v>
      </c>
      <c r="B32" s="3">
        <v>1.44E-2</v>
      </c>
      <c r="C32" s="3"/>
      <c r="D32" s="3"/>
      <c r="F32">
        <v>3.5999999999999997E-2</v>
      </c>
      <c r="H32">
        <f t="shared" si="0"/>
        <v>0.48</v>
      </c>
    </row>
    <row r="33" spans="1:8">
      <c r="A33" s="3">
        <v>1.3</v>
      </c>
      <c r="B33" s="3">
        <v>-2.1599999999999998E-2</v>
      </c>
      <c r="C33" s="3"/>
      <c r="D33" s="3"/>
      <c r="F33">
        <v>2.1599999999999998E-2</v>
      </c>
      <c r="H33">
        <f t="shared" si="0"/>
        <v>-1.3</v>
      </c>
    </row>
    <row r="34" spans="1:8">
      <c r="A34" s="3">
        <v>1.5</v>
      </c>
      <c r="B34" s="3">
        <v>-8.6399999999999991E-2</v>
      </c>
      <c r="C34" s="3"/>
      <c r="D34" s="3"/>
      <c r="F34">
        <v>-7.1999999999999998E-3</v>
      </c>
      <c r="H34">
        <f t="shared" si="0"/>
        <v>17.999999999999996</v>
      </c>
    </row>
    <row r="35" spans="1:8">
      <c r="A35" s="3">
        <v>1.7</v>
      </c>
      <c r="B35" s="3">
        <v>-0.18</v>
      </c>
      <c r="C35" s="3"/>
      <c r="D35" s="3"/>
      <c r="F35">
        <v>-3.5999999999999997E-2</v>
      </c>
      <c r="H35">
        <f t="shared" si="0"/>
        <v>8.5</v>
      </c>
    </row>
    <row r="36" spans="1:8">
      <c r="A36" s="3">
        <v>1.9</v>
      </c>
      <c r="B36" s="3">
        <v>-0.36</v>
      </c>
      <c r="C36" s="3"/>
      <c r="D36" s="3"/>
      <c r="F36">
        <v>-8.6399999999999991E-2</v>
      </c>
      <c r="H36">
        <f t="shared" si="0"/>
        <v>7.916666666666667</v>
      </c>
    </row>
    <row r="37" spans="1:8">
      <c r="A37" s="3">
        <v>2</v>
      </c>
      <c r="B37" s="3">
        <v>-0.72</v>
      </c>
      <c r="C37" s="3"/>
      <c r="D37" s="3"/>
      <c r="F37">
        <v>-8.6399999999999991E-2</v>
      </c>
      <c r="H37">
        <f t="shared" si="0"/>
        <v>16.666666666666668</v>
      </c>
    </row>
    <row r="38" spans="1:8">
      <c r="A38" s="3">
        <v>3</v>
      </c>
      <c r="B38" s="3">
        <v>-0.72</v>
      </c>
      <c r="C38" s="3"/>
      <c r="D38" s="3"/>
      <c r="F38">
        <v>-0.1152</v>
      </c>
      <c r="H38">
        <f t="shared" si="0"/>
        <v>18.75</v>
      </c>
    </row>
    <row r="39" spans="1:8">
      <c r="A39" s="3">
        <v>5</v>
      </c>
      <c r="B39" s="3">
        <v>-0.72</v>
      </c>
      <c r="C39" s="3"/>
      <c r="D39" s="3"/>
      <c r="F39">
        <v>-0.28799999999999998</v>
      </c>
      <c r="H39">
        <f t="shared" si="0"/>
        <v>12.5</v>
      </c>
    </row>
    <row r="41" spans="1:8">
      <c r="A41" t="s">
        <v>201</v>
      </c>
      <c r="D41" t="s">
        <v>203</v>
      </c>
    </row>
    <row r="42" spans="1:8">
      <c r="A42" s="2" t="s">
        <v>202</v>
      </c>
    </row>
    <row r="43" spans="1:8">
      <c r="A43" s="2"/>
      <c r="C43" t="s">
        <v>207</v>
      </c>
      <c r="D43" t="s">
        <v>209</v>
      </c>
    </row>
    <row r="44" spans="1:8">
      <c r="A44" s="2">
        <v>99.2</v>
      </c>
      <c r="B44" t="s">
        <v>204</v>
      </c>
      <c r="C44">
        <v>1.68781</v>
      </c>
      <c r="D44">
        <f>C44*A44</f>
        <v>167.43075200000001</v>
      </c>
      <c r="E44" t="s">
        <v>6</v>
      </c>
    </row>
    <row r="45" spans="1:8">
      <c r="A45" s="2">
        <v>1250</v>
      </c>
      <c r="B45" t="s">
        <v>205</v>
      </c>
      <c r="C45">
        <f>1/60</f>
        <v>1.6666666666666666E-2</v>
      </c>
      <c r="D45">
        <f>C45*A45</f>
        <v>20.833333333333332</v>
      </c>
      <c r="E45" t="s">
        <v>26</v>
      </c>
    </row>
    <row r="46" spans="1:8">
      <c r="A46">
        <v>112</v>
      </c>
      <c r="B46" t="s">
        <v>206</v>
      </c>
      <c r="C46">
        <f>1/12</f>
        <v>8.3333333333333329E-2</v>
      </c>
      <c r="D46">
        <f>C46*A46</f>
        <v>9.3333333333333321</v>
      </c>
      <c r="E46" t="s">
        <v>208</v>
      </c>
    </row>
    <row r="47" spans="1:8">
      <c r="C47" t="s">
        <v>210</v>
      </c>
      <c r="D47">
        <f>D44/(D45*D46)</f>
        <v>0.86107243885714313</v>
      </c>
    </row>
    <row r="49" spans="1:8">
      <c r="A49" s="2"/>
      <c r="C49" t="s">
        <v>207</v>
      </c>
      <c r="D49" t="s">
        <v>209</v>
      </c>
    </row>
    <row r="50" spans="1:8">
      <c r="A50" s="2">
        <v>61</v>
      </c>
      <c r="B50" t="s">
        <v>204</v>
      </c>
      <c r="C50">
        <v>1.68781</v>
      </c>
      <c r="D50">
        <f>C50*A50</f>
        <v>102.95641000000001</v>
      </c>
      <c r="E50" t="s">
        <v>6</v>
      </c>
    </row>
    <row r="51" spans="1:8">
      <c r="A51" s="2">
        <v>1170</v>
      </c>
      <c r="B51" t="s">
        <v>205</v>
      </c>
      <c r="C51">
        <f>1/60</f>
        <v>1.6666666666666666E-2</v>
      </c>
      <c r="D51">
        <f>C51*A51</f>
        <v>19.5</v>
      </c>
      <c r="E51" t="s">
        <v>26</v>
      </c>
    </row>
    <row r="52" spans="1:8">
      <c r="A52">
        <v>112</v>
      </c>
      <c r="B52" t="s">
        <v>206</v>
      </c>
      <c r="C52">
        <f>1/12</f>
        <v>8.3333333333333329E-2</v>
      </c>
      <c r="D52">
        <f>C52*A52</f>
        <v>9.3333333333333321</v>
      </c>
      <c r="E52" t="s">
        <v>208</v>
      </c>
    </row>
    <row r="53" spans="1:8">
      <c r="C53" t="s">
        <v>210</v>
      </c>
      <c r="D53">
        <f>D50/(D51*D52)</f>
        <v>0.56569456043956057</v>
      </c>
    </row>
    <row r="54" spans="1:8">
      <c r="A54" t="s">
        <v>72</v>
      </c>
      <c r="H54">
        <f>0.72*0.0681</f>
        <v>4.9031999999999992E-2</v>
      </c>
    </row>
    <row r="55" spans="1:8">
      <c r="A55" t="s">
        <v>74</v>
      </c>
      <c r="H55">
        <f>0.72*0.076*1.02</f>
        <v>5.58144E-2</v>
      </c>
    </row>
    <row r="57" spans="1:8">
      <c r="A57">
        <f>1177/1150*0.5235</f>
        <v>0.53579086956521738</v>
      </c>
    </row>
    <row r="59" spans="1:8">
      <c r="A59" s="15" t="s">
        <v>184</v>
      </c>
    </row>
    <row r="60" spans="1:8">
      <c r="A60" t="s">
        <v>185</v>
      </c>
    </row>
    <row r="61" spans="1:8">
      <c r="A61">
        <f>54/39</f>
        <v>1.3846153846153846</v>
      </c>
      <c r="B61" t="s">
        <v>186</v>
      </c>
    </row>
    <row r="65" spans="1:11">
      <c r="H65" t="s">
        <v>177</v>
      </c>
    </row>
    <row r="66" spans="1:11">
      <c r="H66" t="s">
        <v>75</v>
      </c>
      <c r="I66" t="s">
        <v>175</v>
      </c>
      <c r="J66" t="s">
        <v>75</v>
      </c>
      <c r="K66" t="s">
        <v>176</v>
      </c>
    </row>
    <row r="67" spans="1:11">
      <c r="A67" t="s">
        <v>75</v>
      </c>
      <c r="B67" t="s">
        <v>68</v>
      </c>
      <c r="F67" t="s">
        <v>67</v>
      </c>
      <c r="I67">
        <v>0.6</v>
      </c>
      <c r="K67">
        <v>1</v>
      </c>
    </row>
    <row r="68" spans="1:11">
      <c r="A68" s="3">
        <v>0</v>
      </c>
      <c r="B68" s="4">
        <v>9.1999999999999998E-2</v>
      </c>
      <c r="C68" s="4"/>
      <c r="D68" s="4"/>
      <c r="F68">
        <v>6.4530000000000004E-2</v>
      </c>
      <c r="H68">
        <f>A68</f>
        <v>0</v>
      </c>
      <c r="I68">
        <f>I$67*B68</f>
        <v>5.5199999999999999E-2</v>
      </c>
      <c r="J68">
        <f>A68</f>
        <v>0</v>
      </c>
      <c r="K68">
        <f>K$67*F68</f>
        <v>6.4530000000000004E-2</v>
      </c>
    </row>
    <row r="69" spans="1:11">
      <c r="A69" s="4">
        <v>0.01</v>
      </c>
      <c r="B69" s="4">
        <v>9.1999999999999998E-2</v>
      </c>
      <c r="C69" s="4"/>
      <c r="D69" s="4"/>
      <c r="F69">
        <v>6.4530000000000004E-2</v>
      </c>
      <c r="H69">
        <f t="shared" ref="H69:H88" si="1">A69</f>
        <v>0.01</v>
      </c>
      <c r="I69">
        <f>I$67*B69</f>
        <v>5.5199999999999999E-2</v>
      </c>
      <c r="J69">
        <f t="shared" ref="J69:J88" si="2">A69</f>
        <v>0.01</v>
      </c>
      <c r="K69">
        <f>K$67*F69</f>
        <v>6.4530000000000004E-2</v>
      </c>
    </row>
    <row r="70" spans="1:11">
      <c r="A70" s="4">
        <v>0.1</v>
      </c>
      <c r="B70" s="4">
        <v>8.7160000000000001E-2</v>
      </c>
      <c r="C70" s="4"/>
      <c r="D70" s="4"/>
      <c r="F70">
        <v>6.4000000000000001E-2</v>
      </c>
      <c r="H70">
        <f t="shared" si="1"/>
        <v>0.1</v>
      </c>
      <c r="I70">
        <f>I$67*B70</f>
        <v>5.2296000000000002E-2</v>
      </c>
      <c r="J70">
        <f t="shared" si="2"/>
        <v>0.1</v>
      </c>
      <c r="K70">
        <f>K$67*F70</f>
        <v>6.4000000000000001E-2</v>
      </c>
    </row>
    <row r="71" spans="1:11">
      <c r="A71" s="3">
        <v>0.2</v>
      </c>
      <c r="B71" s="3">
        <v>8.1879999999999994E-2</v>
      </c>
      <c r="C71" s="3"/>
      <c r="D71" s="3"/>
      <c r="F71">
        <v>6.3530000000000003E-2</v>
      </c>
      <c r="H71">
        <f t="shared" si="1"/>
        <v>0.2</v>
      </c>
      <c r="I71">
        <f>I$67*B71</f>
        <v>4.9127999999999998E-2</v>
      </c>
      <c r="J71">
        <f t="shared" si="2"/>
        <v>0.2</v>
      </c>
      <c r="K71">
        <f>K$67*F71</f>
        <v>6.3530000000000003E-2</v>
      </c>
    </row>
    <row r="72" spans="1:11">
      <c r="A72" s="4">
        <v>0.3</v>
      </c>
      <c r="B72" s="4">
        <v>7.7439999999999995E-2</v>
      </c>
      <c r="C72" s="4"/>
      <c r="D72" s="4"/>
      <c r="F72">
        <v>6.2195199999999999E-2</v>
      </c>
      <c r="H72">
        <f t="shared" si="1"/>
        <v>0.3</v>
      </c>
      <c r="I72">
        <f>I$67*B72</f>
        <v>4.6463999999999998E-2</v>
      </c>
      <c r="J72">
        <f t="shared" si="2"/>
        <v>0.3</v>
      </c>
      <c r="K72">
        <f>K$67*F72</f>
        <v>6.2195199999999999E-2</v>
      </c>
    </row>
    <row r="73" spans="1:11">
      <c r="A73" s="3">
        <v>0.4</v>
      </c>
      <c r="B73" s="3">
        <v>7.2999999999999995E-2</v>
      </c>
      <c r="C73" s="3"/>
      <c r="D73" s="3"/>
      <c r="F73">
        <v>6.0133199999999998E-2</v>
      </c>
      <c r="H73">
        <f t="shared" si="1"/>
        <v>0.4</v>
      </c>
      <c r="I73">
        <f>I$67*B73</f>
        <v>4.3799999999999999E-2</v>
      </c>
      <c r="J73">
        <f t="shared" si="2"/>
        <v>0.4</v>
      </c>
      <c r="K73">
        <f>K$67*F73</f>
        <v>6.0133199999999998E-2</v>
      </c>
    </row>
    <row r="74" spans="1:11">
      <c r="A74" s="4">
        <v>0.5</v>
      </c>
      <c r="B74" s="4">
        <v>6.9400000000000003E-2</v>
      </c>
      <c r="C74" s="4"/>
      <c r="D74" s="4"/>
      <c r="F74">
        <v>5.8000000000000003E-2</v>
      </c>
      <c r="H74">
        <f t="shared" si="1"/>
        <v>0.5</v>
      </c>
      <c r="I74">
        <f>I$67*B74</f>
        <v>4.1640000000000003E-2</v>
      </c>
      <c r="J74">
        <f t="shared" si="2"/>
        <v>0.5</v>
      </c>
      <c r="K74">
        <f>K$67*F74</f>
        <v>5.8000000000000003E-2</v>
      </c>
    </row>
    <row r="75" spans="1:11">
      <c r="A75" s="5">
        <v>0.53580000000000005</v>
      </c>
      <c r="B75" s="4">
        <v>6.7680000000000004E-2</v>
      </c>
      <c r="C75" s="4"/>
      <c r="D75" s="4"/>
      <c r="F75">
        <v>5.6814000000000003E-2</v>
      </c>
      <c r="H75">
        <f t="shared" si="1"/>
        <v>0.53580000000000005</v>
      </c>
      <c r="I75">
        <f>I$67*B75</f>
        <v>4.0607999999999998E-2</v>
      </c>
      <c r="J75">
        <f t="shared" si="2"/>
        <v>0.53580000000000005</v>
      </c>
      <c r="K75">
        <f>K$67*F75</f>
        <v>5.6814000000000003E-2</v>
      </c>
    </row>
    <row r="76" spans="1:11">
      <c r="A76" s="3">
        <v>0.64</v>
      </c>
      <c r="B76" s="3">
        <v>6.5000000000000002E-2</v>
      </c>
      <c r="C76" s="3"/>
      <c r="D76" s="3"/>
      <c r="F76">
        <v>5.5E-2</v>
      </c>
      <c r="H76">
        <f t="shared" si="1"/>
        <v>0.64</v>
      </c>
      <c r="I76">
        <f>I$67*B76</f>
        <v>3.9E-2</v>
      </c>
      <c r="J76">
        <f t="shared" si="2"/>
        <v>0.64</v>
      </c>
      <c r="K76">
        <f>K$67*F76</f>
        <v>5.5E-2</v>
      </c>
    </row>
    <row r="77" spans="1:11">
      <c r="A77" s="4">
        <v>0.8</v>
      </c>
      <c r="B77" s="4">
        <v>0.06</v>
      </c>
      <c r="C77" s="4"/>
      <c r="D77" s="4"/>
      <c r="F77">
        <v>5.1839999999999997E-2</v>
      </c>
      <c r="H77">
        <f t="shared" si="1"/>
        <v>0.8</v>
      </c>
      <c r="I77">
        <f>I$67*B77</f>
        <v>3.5999999999999997E-2</v>
      </c>
      <c r="J77">
        <f t="shared" si="2"/>
        <v>0.8</v>
      </c>
      <c r="K77">
        <f>K$67*F77</f>
        <v>5.1839999999999997E-2</v>
      </c>
    </row>
    <row r="78" spans="1:11">
      <c r="A78" s="3">
        <v>0.97599999999999998</v>
      </c>
      <c r="B78" s="3">
        <v>5.2012799999999998E-2</v>
      </c>
      <c r="C78" s="3"/>
      <c r="D78" s="3"/>
      <c r="F78">
        <v>4.9031999999999992E-2</v>
      </c>
      <c r="H78">
        <f t="shared" si="1"/>
        <v>0.97599999999999998</v>
      </c>
      <c r="I78">
        <f>I$67*B78</f>
        <v>3.1207679999999998E-2</v>
      </c>
      <c r="J78">
        <f t="shared" si="2"/>
        <v>0.97599999999999998</v>
      </c>
      <c r="K78">
        <f>K$67*F78</f>
        <v>4.9031999999999992E-2</v>
      </c>
    </row>
    <row r="79" spans="1:11">
      <c r="A79" s="3">
        <v>1.03</v>
      </c>
      <c r="B79" s="3">
        <v>4.5359999999999998E-2</v>
      </c>
      <c r="C79" s="3"/>
      <c r="D79" s="3"/>
      <c r="F79">
        <v>4.7815999999999997E-2</v>
      </c>
      <c r="H79">
        <f t="shared" si="1"/>
        <v>1.03</v>
      </c>
      <c r="I79">
        <f>I$67*B79</f>
        <v>2.7215999999999997E-2</v>
      </c>
      <c r="J79">
        <f t="shared" si="2"/>
        <v>1.03</v>
      </c>
      <c r="K79">
        <f>K$67*F79</f>
        <v>4.7815999999999997E-2</v>
      </c>
    </row>
    <row r="80" spans="1:11">
      <c r="A80" s="3">
        <v>1.1000000000000001</v>
      </c>
      <c r="B80" s="3">
        <v>3.3119999999999997E-2</v>
      </c>
      <c r="C80" s="3"/>
      <c r="D80" s="3"/>
      <c r="F80">
        <v>4.2860000000000002E-2</v>
      </c>
      <c r="H80">
        <f t="shared" si="1"/>
        <v>1.1000000000000001</v>
      </c>
      <c r="I80">
        <f>I$67*B80</f>
        <v>1.9871999999999997E-2</v>
      </c>
      <c r="J80">
        <f t="shared" si="2"/>
        <v>1.1000000000000001</v>
      </c>
      <c r="K80">
        <f>K$67*F80</f>
        <v>4.2860000000000002E-2</v>
      </c>
    </row>
    <row r="81" spans="1:12">
      <c r="A81" s="3">
        <v>1.2</v>
      </c>
      <c r="B81" s="3">
        <v>1.44E-2</v>
      </c>
      <c r="C81" s="3"/>
      <c r="D81" s="3"/>
      <c r="F81">
        <v>3.5999999999999997E-2</v>
      </c>
      <c r="H81">
        <f t="shared" si="1"/>
        <v>1.2</v>
      </c>
      <c r="I81">
        <f>I$67*B81</f>
        <v>8.6400000000000001E-3</v>
      </c>
      <c r="J81">
        <f t="shared" si="2"/>
        <v>1.2</v>
      </c>
      <c r="K81">
        <f>K$67*F81</f>
        <v>3.5999999999999997E-2</v>
      </c>
    </row>
    <row r="82" spans="1:12">
      <c r="A82" s="3">
        <v>1.3</v>
      </c>
      <c r="B82" s="3">
        <v>-2.1599999999999998E-2</v>
      </c>
      <c r="C82" s="3"/>
      <c r="D82" s="3"/>
      <c r="F82">
        <v>2.1599999999999998E-2</v>
      </c>
      <c r="H82">
        <f t="shared" si="1"/>
        <v>1.3</v>
      </c>
      <c r="I82">
        <f>I$67*B82</f>
        <v>-1.2959999999999998E-2</v>
      </c>
      <c r="J82">
        <f t="shared" si="2"/>
        <v>1.3</v>
      </c>
      <c r="K82">
        <f>K$67*F82</f>
        <v>2.1599999999999998E-2</v>
      </c>
    </row>
    <row r="83" spans="1:12">
      <c r="A83" s="3">
        <v>1.5</v>
      </c>
      <c r="B83" s="3">
        <v>-8.6399999999999991E-2</v>
      </c>
      <c r="C83" s="3"/>
      <c r="D83" s="3"/>
      <c r="F83">
        <v>-7.1999999999999998E-3</v>
      </c>
      <c r="H83">
        <f t="shared" si="1"/>
        <v>1.5</v>
      </c>
      <c r="I83">
        <f>I$67*B83</f>
        <v>-5.183999999999999E-2</v>
      </c>
      <c r="J83">
        <f t="shared" si="2"/>
        <v>1.5</v>
      </c>
      <c r="K83">
        <f>K$67*F83</f>
        <v>-7.1999999999999998E-3</v>
      </c>
    </row>
    <row r="84" spans="1:12">
      <c r="A84" s="3">
        <v>1.7</v>
      </c>
      <c r="B84" s="3">
        <v>-0.18</v>
      </c>
      <c r="C84" s="3"/>
      <c r="D84" s="3"/>
      <c r="F84">
        <v>-3.5999999999999997E-2</v>
      </c>
      <c r="H84">
        <f t="shared" si="1"/>
        <v>1.7</v>
      </c>
      <c r="I84">
        <f>I$67*B84</f>
        <v>-0.108</v>
      </c>
      <c r="J84">
        <f t="shared" si="2"/>
        <v>1.7</v>
      </c>
      <c r="K84">
        <f>K$67*F84</f>
        <v>-3.5999999999999997E-2</v>
      </c>
    </row>
    <row r="85" spans="1:12">
      <c r="A85" s="3">
        <v>1.9</v>
      </c>
      <c r="B85" s="3">
        <v>-0.36</v>
      </c>
      <c r="C85" s="3"/>
      <c r="D85" s="3"/>
      <c r="F85">
        <v>-8.6399999999999991E-2</v>
      </c>
      <c r="H85">
        <f t="shared" si="1"/>
        <v>1.9</v>
      </c>
      <c r="I85">
        <f>I$67*B85</f>
        <v>-0.216</v>
      </c>
      <c r="J85">
        <f t="shared" si="2"/>
        <v>1.9</v>
      </c>
      <c r="K85">
        <f>K$67*F85</f>
        <v>-8.6399999999999991E-2</v>
      </c>
    </row>
    <row r="86" spans="1:12">
      <c r="A86" s="3">
        <v>2</v>
      </c>
      <c r="B86" s="3">
        <v>-0.72</v>
      </c>
      <c r="C86" s="3"/>
      <c r="D86" s="3"/>
      <c r="F86">
        <v>-8.6399999999999991E-2</v>
      </c>
      <c r="H86">
        <f t="shared" si="1"/>
        <v>2</v>
      </c>
      <c r="I86">
        <f>I$67*B86</f>
        <v>-0.432</v>
      </c>
      <c r="J86">
        <f t="shared" si="2"/>
        <v>2</v>
      </c>
      <c r="K86">
        <f>K$67*F86</f>
        <v>-8.6399999999999991E-2</v>
      </c>
    </row>
    <row r="87" spans="1:12">
      <c r="A87" s="3">
        <v>3</v>
      </c>
      <c r="B87" s="3">
        <v>-0.72</v>
      </c>
      <c r="C87" s="3"/>
      <c r="D87" s="3"/>
      <c r="F87">
        <v>-0.1152</v>
      </c>
      <c r="H87">
        <f t="shared" si="1"/>
        <v>3</v>
      </c>
      <c r="I87">
        <f>I$67*B87</f>
        <v>-0.432</v>
      </c>
      <c r="J87">
        <f t="shared" si="2"/>
        <v>3</v>
      </c>
      <c r="K87">
        <f>K$67*F87</f>
        <v>-0.1152</v>
      </c>
    </row>
    <row r="88" spans="1:12">
      <c r="A88" s="3">
        <v>5</v>
      </c>
      <c r="B88" s="3">
        <v>-0.72</v>
      </c>
      <c r="C88" s="3"/>
      <c r="D88" s="3"/>
      <c r="F88">
        <v>-0.28799999999999998</v>
      </c>
      <c r="H88">
        <f t="shared" si="1"/>
        <v>5</v>
      </c>
      <c r="I88">
        <f>I$67*B88</f>
        <v>-0.432</v>
      </c>
      <c r="J88">
        <f t="shared" si="2"/>
        <v>5</v>
      </c>
      <c r="K88">
        <f>K$67*F88</f>
        <v>-0.28799999999999998</v>
      </c>
    </row>
    <row r="91" spans="1:12">
      <c r="A91" s="1" t="s">
        <v>189</v>
      </c>
      <c r="C91" s="1" t="s">
        <v>188</v>
      </c>
      <c r="E91" s="1" t="s">
        <v>211</v>
      </c>
      <c r="G91" s="1" t="s">
        <v>226</v>
      </c>
      <c r="I91" s="1" t="s">
        <v>229</v>
      </c>
    </row>
    <row r="92" spans="1:12">
      <c r="A92" t="s">
        <v>177</v>
      </c>
      <c r="C92" s="13" t="s">
        <v>187</v>
      </c>
      <c r="D92" s="13"/>
      <c r="G92" t="s">
        <v>227</v>
      </c>
      <c r="I92" t="s">
        <v>227</v>
      </c>
    </row>
    <row r="93" spans="1:12">
      <c r="A93" t="s">
        <v>75</v>
      </c>
      <c r="B93" t="s">
        <v>175</v>
      </c>
      <c r="C93" t="s">
        <v>75</v>
      </c>
      <c r="D93" t="s">
        <v>175</v>
      </c>
      <c r="E93" t="s">
        <v>75</v>
      </c>
      <c r="F93" t="s">
        <v>175</v>
      </c>
      <c r="G93" t="s">
        <v>75</v>
      </c>
      <c r="H93" t="s">
        <v>175</v>
      </c>
      <c r="I93" t="s">
        <v>75</v>
      </c>
      <c r="J93" t="s">
        <v>175</v>
      </c>
      <c r="K93" t="s">
        <v>75</v>
      </c>
      <c r="L93" t="s">
        <v>176</v>
      </c>
    </row>
    <row r="94" spans="1:12">
      <c r="B94">
        <v>0.6</v>
      </c>
      <c r="L94">
        <v>1</v>
      </c>
    </row>
    <row r="95" spans="1:12">
      <c r="A95">
        <v>0</v>
      </c>
      <c r="B95">
        <v>0.112</v>
      </c>
      <c r="C95">
        <f>A95</f>
        <v>0</v>
      </c>
      <c r="D95">
        <v>0.128</v>
      </c>
      <c r="E95">
        <f>C95</f>
        <v>0</v>
      </c>
      <c r="F95">
        <v>9.7000000000000003E-2</v>
      </c>
      <c r="G95">
        <f>E95</f>
        <v>0</v>
      </c>
      <c r="H95">
        <v>8.6999999999999994E-2</v>
      </c>
      <c r="I95">
        <f>G95</f>
        <v>0</v>
      </c>
      <c r="J95">
        <v>9.7000000000000003E-2</v>
      </c>
      <c r="K95">
        <v>0</v>
      </c>
      <c r="L95">
        <v>6.4530000000000004E-2</v>
      </c>
    </row>
    <row r="96" spans="1:12">
      <c r="A96">
        <v>0.01</v>
      </c>
      <c r="B96">
        <v>0.111</v>
      </c>
      <c r="C96">
        <f t="shared" ref="C96:E115" si="3">A96</f>
        <v>0.01</v>
      </c>
      <c r="D96">
        <v>0.127</v>
      </c>
      <c r="E96">
        <f>C97</f>
        <v>0.1</v>
      </c>
      <c r="F96">
        <v>9.6000000000000002E-2</v>
      </c>
      <c r="G96">
        <f t="shared" ref="G96:G115" si="4">E96</f>
        <v>0.1</v>
      </c>
      <c r="H96">
        <v>8.5000000000000006E-2</v>
      </c>
      <c r="I96">
        <f t="shared" ref="I96:I115" si="5">G96</f>
        <v>0.1</v>
      </c>
      <c r="J96">
        <v>9.5000000000000001E-2</v>
      </c>
      <c r="K96">
        <v>0.01</v>
      </c>
      <c r="L96">
        <v>6.4530000000000004E-2</v>
      </c>
    </row>
    <row r="97" spans="1:12">
      <c r="A97">
        <v>0.1</v>
      </c>
      <c r="B97">
        <v>0.11</v>
      </c>
      <c r="C97">
        <f t="shared" si="3"/>
        <v>0.1</v>
      </c>
      <c r="D97">
        <v>0.125</v>
      </c>
      <c r="E97">
        <f>C98</f>
        <v>0.2</v>
      </c>
      <c r="F97">
        <v>9.5000000000000001E-2</v>
      </c>
      <c r="G97">
        <f t="shared" si="4"/>
        <v>0.2</v>
      </c>
      <c r="H97">
        <v>0.08</v>
      </c>
      <c r="I97">
        <f t="shared" si="5"/>
        <v>0.2</v>
      </c>
      <c r="J97">
        <v>0.09</v>
      </c>
      <c r="K97">
        <v>0.1</v>
      </c>
      <c r="L97">
        <v>6.4000000000000001E-2</v>
      </c>
    </row>
    <row r="98" spans="1:12">
      <c r="A98">
        <v>0.2</v>
      </c>
      <c r="B98">
        <v>0.1</v>
      </c>
      <c r="C98">
        <f t="shared" si="3"/>
        <v>0.2</v>
      </c>
      <c r="D98">
        <v>0.12</v>
      </c>
      <c r="E98">
        <f>C99</f>
        <v>0.3</v>
      </c>
      <c r="F98">
        <v>9.4E-2</v>
      </c>
      <c r="G98">
        <f t="shared" si="4"/>
        <v>0.3</v>
      </c>
      <c r="H98">
        <v>7.0000000000000007E-2</v>
      </c>
      <c r="I98">
        <f t="shared" si="5"/>
        <v>0.3</v>
      </c>
      <c r="J98">
        <v>0.08</v>
      </c>
      <c r="K98">
        <v>0.2</v>
      </c>
      <c r="L98">
        <v>6.3530000000000003E-2</v>
      </c>
    </row>
    <row r="99" spans="1:12">
      <c r="A99">
        <v>0.3</v>
      </c>
      <c r="B99">
        <v>0.09</v>
      </c>
      <c r="C99">
        <f t="shared" si="3"/>
        <v>0.3</v>
      </c>
      <c r="D99">
        <v>0.11</v>
      </c>
      <c r="E99">
        <f>C100</f>
        <v>0.4</v>
      </c>
      <c r="F99">
        <v>9.2999999999999999E-2</v>
      </c>
      <c r="G99">
        <f t="shared" si="4"/>
        <v>0.4</v>
      </c>
      <c r="H99">
        <v>0.06</v>
      </c>
      <c r="I99">
        <f t="shared" si="5"/>
        <v>0.4</v>
      </c>
      <c r="J99">
        <v>7.0000000000000007E-2</v>
      </c>
      <c r="K99">
        <v>0.3</v>
      </c>
      <c r="L99">
        <v>6.2195199999999999E-2</v>
      </c>
    </row>
    <row r="100" spans="1:12">
      <c r="A100">
        <v>0.4</v>
      </c>
      <c r="B100">
        <v>0.08</v>
      </c>
      <c r="C100">
        <f t="shared" si="3"/>
        <v>0.4</v>
      </c>
      <c r="D100">
        <v>0.1</v>
      </c>
      <c r="E100">
        <f>C101</f>
        <v>0.5</v>
      </c>
      <c r="F100">
        <v>0.09</v>
      </c>
      <c r="G100">
        <f t="shared" si="4"/>
        <v>0.5</v>
      </c>
      <c r="H100">
        <v>5.8000000000000003E-2</v>
      </c>
      <c r="I100">
        <f t="shared" si="5"/>
        <v>0.5</v>
      </c>
      <c r="J100">
        <v>6.6000000000000003E-2</v>
      </c>
      <c r="K100">
        <v>0.4</v>
      </c>
      <c r="L100">
        <v>6.0133199999999998E-2</v>
      </c>
    </row>
    <row r="101" spans="1:12">
      <c r="A101">
        <v>0.5</v>
      </c>
      <c r="B101">
        <v>7.0000000000000007E-2</v>
      </c>
      <c r="C101">
        <f t="shared" si="3"/>
        <v>0.5</v>
      </c>
      <c r="D101">
        <v>0.09</v>
      </c>
      <c r="E101">
        <f>C102</f>
        <v>0.53580000000000005</v>
      </c>
      <c r="F101">
        <v>8.8999999999999996E-2</v>
      </c>
      <c r="G101">
        <v>0.56420000000000003</v>
      </c>
      <c r="H101">
        <v>5.2999999999999999E-2</v>
      </c>
      <c r="I101">
        <v>0.56569999999999998</v>
      </c>
      <c r="J101">
        <v>6.3E-2</v>
      </c>
      <c r="K101">
        <v>0.5</v>
      </c>
      <c r="L101">
        <v>5.8000000000000003E-2</v>
      </c>
    </row>
    <row r="102" spans="1:12">
      <c r="A102">
        <v>0.53580000000000005</v>
      </c>
      <c r="B102">
        <v>0.06</v>
      </c>
      <c r="C102">
        <f t="shared" si="3"/>
        <v>0.53580000000000005</v>
      </c>
      <c r="D102">
        <f>1.35*B102</f>
        <v>8.1000000000000003E-2</v>
      </c>
      <c r="E102">
        <v>0.63200000000000001</v>
      </c>
      <c r="F102">
        <v>8.4820999999999994E-2</v>
      </c>
      <c r="G102">
        <v>0.68</v>
      </c>
      <c r="H102">
        <v>4.8000000000000001E-2</v>
      </c>
      <c r="I102">
        <f t="shared" si="5"/>
        <v>0.68</v>
      </c>
      <c r="J102">
        <v>5.1999999999999998E-2</v>
      </c>
      <c r="K102">
        <v>0.53580000000000005</v>
      </c>
      <c r="L102">
        <v>5.6814000000000003E-2</v>
      </c>
    </row>
    <row r="103" spans="1:12">
      <c r="A103">
        <v>0.64</v>
      </c>
      <c r="B103">
        <v>0.05</v>
      </c>
      <c r="C103">
        <f t="shared" si="3"/>
        <v>0.64</v>
      </c>
      <c r="D103">
        <v>7.0000000000000007E-2</v>
      </c>
      <c r="E103">
        <f>C104</f>
        <v>0.8</v>
      </c>
      <c r="F103">
        <v>7.6999999999999999E-2</v>
      </c>
      <c r="G103">
        <f t="shared" si="4"/>
        <v>0.8</v>
      </c>
      <c r="H103">
        <v>4.4999999999999998E-2</v>
      </c>
      <c r="I103">
        <f t="shared" si="5"/>
        <v>0.8</v>
      </c>
      <c r="J103">
        <f>H103*F129</f>
        <v>4.4081632653061219E-2</v>
      </c>
      <c r="K103">
        <v>0.64</v>
      </c>
      <c r="L103">
        <v>5.5E-2</v>
      </c>
    </row>
    <row r="104" spans="1:12">
      <c r="A104">
        <v>0.8</v>
      </c>
      <c r="B104">
        <v>0.04</v>
      </c>
      <c r="C104">
        <f t="shared" si="3"/>
        <v>0.8</v>
      </c>
      <c r="D104">
        <v>0.05</v>
      </c>
      <c r="E104">
        <v>0.86109999999999998</v>
      </c>
      <c r="F104">
        <v>7.2344000000000006E-2</v>
      </c>
      <c r="G104">
        <f t="shared" si="4"/>
        <v>0.86109999999999998</v>
      </c>
      <c r="H104">
        <v>4.2999999999999997E-2</v>
      </c>
      <c r="I104">
        <f t="shared" si="5"/>
        <v>0.86109999999999998</v>
      </c>
      <c r="J104">
        <f>H104*F129</f>
        <v>4.2122448979591831E-2</v>
      </c>
      <c r="K104">
        <v>0.8</v>
      </c>
      <c r="L104">
        <v>5.1839999999999997E-2</v>
      </c>
    </row>
    <row r="105" spans="1:12">
      <c r="A105">
        <v>0.97599999999999998</v>
      </c>
      <c r="B105">
        <v>3.1207679999999998E-2</v>
      </c>
      <c r="C105">
        <f t="shared" si="3"/>
        <v>0.97599999999999998</v>
      </c>
      <c r="D105">
        <f>0.7*B78</f>
        <v>3.6408959999999997E-2</v>
      </c>
      <c r="E105">
        <f>C105</f>
        <v>0.97599999999999998</v>
      </c>
      <c r="F105">
        <v>6.3E-2</v>
      </c>
      <c r="G105">
        <f t="shared" si="4"/>
        <v>0.97599999999999998</v>
      </c>
      <c r="H105">
        <v>3.3000000000000002E-2</v>
      </c>
      <c r="I105">
        <f t="shared" si="5"/>
        <v>0.97599999999999998</v>
      </c>
      <c r="J105">
        <f>H105*F133</f>
        <v>3.1630188679245282E-2</v>
      </c>
      <c r="K105">
        <v>0.97599999999999998</v>
      </c>
      <c r="L105">
        <v>4.9031999999999992E-2</v>
      </c>
    </row>
    <row r="106" spans="1:12">
      <c r="A106">
        <v>1.03</v>
      </c>
      <c r="B106">
        <v>2.7215999999999997E-2</v>
      </c>
      <c r="C106">
        <f t="shared" si="3"/>
        <v>1.03</v>
      </c>
      <c r="D106">
        <v>2.5000000000000001E-2</v>
      </c>
      <c r="E106">
        <v>1.04</v>
      </c>
      <c r="F106">
        <v>5.8000000000000003E-2</v>
      </c>
      <c r="G106">
        <f t="shared" si="4"/>
        <v>1.04</v>
      </c>
      <c r="H106">
        <v>2.8000000000000001E-2</v>
      </c>
      <c r="I106">
        <f t="shared" si="5"/>
        <v>1.04</v>
      </c>
      <c r="J106">
        <f t="shared" ref="J96:J115" si="6">H106</f>
        <v>2.8000000000000001E-2</v>
      </c>
      <c r="K106">
        <v>1.03</v>
      </c>
      <c r="L106">
        <v>4.7815999999999997E-2</v>
      </c>
    </row>
    <row r="107" spans="1:12">
      <c r="A107">
        <v>1.1000000000000001</v>
      </c>
      <c r="B107">
        <v>1.9871999999999997E-2</v>
      </c>
      <c r="C107">
        <f t="shared" si="3"/>
        <v>1.1000000000000001</v>
      </c>
      <c r="D107">
        <v>1.4999999999999999E-2</v>
      </c>
      <c r="E107">
        <f>C107</f>
        <v>1.1000000000000001</v>
      </c>
      <c r="F107">
        <v>5.2999999999999999E-2</v>
      </c>
      <c r="G107">
        <f t="shared" si="4"/>
        <v>1.1000000000000001</v>
      </c>
      <c r="H107">
        <v>2.3E-2</v>
      </c>
      <c r="I107">
        <f t="shared" si="5"/>
        <v>1.1000000000000001</v>
      </c>
      <c r="J107">
        <f t="shared" si="6"/>
        <v>2.3E-2</v>
      </c>
      <c r="K107">
        <v>1.1000000000000001</v>
      </c>
      <c r="L107">
        <v>4.2860000000000002E-2</v>
      </c>
    </row>
    <row r="108" spans="1:12">
      <c r="A108">
        <v>1.2</v>
      </c>
      <c r="B108">
        <v>8.6400000000000001E-3</v>
      </c>
      <c r="C108">
        <f t="shared" si="3"/>
        <v>1.2</v>
      </c>
      <c r="D108">
        <v>4.0000000000000001E-3</v>
      </c>
      <c r="E108">
        <f>C108</f>
        <v>1.2</v>
      </c>
      <c r="F108">
        <v>4.2999999999999997E-2</v>
      </c>
      <c r="G108">
        <f t="shared" si="4"/>
        <v>1.2</v>
      </c>
      <c r="H108">
        <v>1.2999999999999999E-2</v>
      </c>
      <c r="I108">
        <f t="shared" si="5"/>
        <v>1.2</v>
      </c>
      <c r="J108">
        <f t="shared" si="6"/>
        <v>1.2999999999999999E-2</v>
      </c>
      <c r="K108">
        <v>1.2</v>
      </c>
      <c r="L108">
        <v>3.5999999999999997E-2</v>
      </c>
    </row>
    <row r="109" spans="1:12">
      <c r="A109">
        <v>1.3</v>
      </c>
      <c r="B109">
        <v>-1.2959999999999998E-2</v>
      </c>
      <c r="C109">
        <f t="shared" si="3"/>
        <v>1.3</v>
      </c>
      <c r="D109">
        <v>-1.2959999999999998E-2</v>
      </c>
      <c r="E109">
        <f>C109</f>
        <v>1.3</v>
      </c>
      <c r="F109">
        <v>0.03</v>
      </c>
      <c r="G109">
        <f t="shared" si="4"/>
        <v>1.3</v>
      </c>
      <c r="H109">
        <v>0</v>
      </c>
      <c r="I109">
        <f t="shared" si="5"/>
        <v>1.3</v>
      </c>
      <c r="J109">
        <v>-0.01</v>
      </c>
      <c r="K109">
        <v>1.3</v>
      </c>
      <c r="L109">
        <v>2.1599999999999998E-2</v>
      </c>
    </row>
    <row r="110" spans="1:12">
      <c r="A110">
        <v>1.5</v>
      </c>
      <c r="B110">
        <v>-5.183999999999999E-2</v>
      </c>
      <c r="C110">
        <f t="shared" si="3"/>
        <v>1.5</v>
      </c>
      <c r="D110">
        <v>-5.183999999999999E-2</v>
      </c>
      <c r="E110">
        <f>C110</f>
        <v>1.5</v>
      </c>
      <c r="F110">
        <v>0</v>
      </c>
      <c r="G110">
        <f t="shared" si="4"/>
        <v>1.5</v>
      </c>
      <c r="H110">
        <v>-0.08</v>
      </c>
      <c r="I110">
        <f t="shared" si="5"/>
        <v>1.5</v>
      </c>
      <c r="J110">
        <f t="shared" si="6"/>
        <v>-0.08</v>
      </c>
      <c r="K110">
        <v>1.5</v>
      </c>
      <c r="L110">
        <v>-7.1999999999999998E-3</v>
      </c>
    </row>
    <row r="111" spans="1:12">
      <c r="A111">
        <v>1.7</v>
      </c>
      <c r="B111">
        <v>-0.108</v>
      </c>
      <c r="C111">
        <f t="shared" si="3"/>
        <v>1.7</v>
      </c>
      <c r="D111">
        <v>-0.108</v>
      </c>
      <c r="E111">
        <f>C111</f>
        <v>1.7</v>
      </c>
      <c r="F111">
        <v>-0.08</v>
      </c>
      <c r="G111">
        <f t="shared" si="4"/>
        <v>1.7</v>
      </c>
      <c r="H111">
        <v>-0.19</v>
      </c>
      <c r="I111">
        <f t="shared" si="5"/>
        <v>1.7</v>
      </c>
      <c r="J111">
        <f t="shared" si="6"/>
        <v>-0.19</v>
      </c>
      <c r="K111">
        <v>1.7</v>
      </c>
      <c r="L111">
        <v>-3.5999999999999997E-2</v>
      </c>
    </row>
    <row r="112" spans="1:12">
      <c r="A112">
        <v>1.9</v>
      </c>
      <c r="B112">
        <v>-0.216</v>
      </c>
      <c r="C112">
        <f t="shared" si="3"/>
        <v>1.9</v>
      </c>
      <c r="D112">
        <v>-0.216</v>
      </c>
      <c r="E112">
        <f>C112</f>
        <v>1.9</v>
      </c>
      <c r="F112">
        <v>-0.19</v>
      </c>
      <c r="G112">
        <f t="shared" si="4"/>
        <v>1.9</v>
      </c>
      <c r="H112">
        <v>-0.432</v>
      </c>
      <c r="I112">
        <f t="shared" si="5"/>
        <v>1.9</v>
      </c>
      <c r="J112">
        <f t="shared" si="6"/>
        <v>-0.432</v>
      </c>
      <c r="K112">
        <v>1.9</v>
      </c>
      <c r="L112">
        <v>-8.6399999999999991E-2</v>
      </c>
    </row>
    <row r="113" spans="1:12">
      <c r="A113">
        <v>2</v>
      </c>
      <c r="B113">
        <v>-0.432</v>
      </c>
      <c r="C113">
        <f t="shared" si="3"/>
        <v>2</v>
      </c>
      <c r="D113">
        <v>-0.432</v>
      </c>
      <c r="E113">
        <f>C113</f>
        <v>2</v>
      </c>
      <c r="F113">
        <v>-0.432</v>
      </c>
      <c r="G113">
        <f t="shared" si="4"/>
        <v>2</v>
      </c>
      <c r="H113">
        <v>-0.432</v>
      </c>
      <c r="I113">
        <f t="shared" si="5"/>
        <v>2</v>
      </c>
      <c r="J113">
        <f t="shared" si="6"/>
        <v>-0.432</v>
      </c>
      <c r="K113">
        <v>2</v>
      </c>
      <c r="L113">
        <v>-8.6399999999999991E-2</v>
      </c>
    </row>
    <row r="114" spans="1:12">
      <c r="A114">
        <v>3</v>
      </c>
      <c r="B114">
        <v>-0.432</v>
      </c>
      <c r="C114">
        <f t="shared" si="3"/>
        <v>3</v>
      </c>
      <c r="D114">
        <v>-0.432</v>
      </c>
      <c r="E114">
        <f>C114</f>
        <v>3</v>
      </c>
      <c r="F114">
        <v>-2</v>
      </c>
      <c r="G114">
        <f t="shared" si="4"/>
        <v>3</v>
      </c>
      <c r="H114">
        <v>-2</v>
      </c>
      <c r="I114">
        <f t="shared" si="5"/>
        <v>3</v>
      </c>
      <c r="J114">
        <f t="shared" si="6"/>
        <v>-2</v>
      </c>
      <c r="K114">
        <v>3</v>
      </c>
      <c r="L114">
        <v>-0.1152</v>
      </c>
    </row>
    <row r="115" spans="1:12">
      <c r="A115">
        <v>5</v>
      </c>
      <c r="B115">
        <v>-0.432</v>
      </c>
      <c r="C115">
        <f t="shared" si="3"/>
        <v>5</v>
      </c>
      <c r="D115">
        <v>-0.432</v>
      </c>
      <c r="E115">
        <f>C115</f>
        <v>5</v>
      </c>
      <c r="F115">
        <v>-10</v>
      </c>
      <c r="G115">
        <f t="shared" si="4"/>
        <v>5</v>
      </c>
      <c r="H115">
        <v>-10</v>
      </c>
      <c r="I115">
        <f t="shared" si="5"/>
        <v>5</v>
      </c>
      <c r="J115">
        <f t="shared" si="6"/>
        <v>-10</v>
      </c>
      <c r="K115">
        <v>5</v>
      </c>
      <c r="L115">
        <v>-0.28799999999999998</v>
      </c>
    </row>
    <row r="118" spans="1:12">
      <c r="A118" t="s">
        <v>190</v>
      </c>
      <c r="B118" t="s">
        <v>191</v>
      </c>
    </row>
    <row r="119" spans="1:12">
      <c r="A119">
        <v>385</v>
      </c>
    </row>
    <row r="122" spans="1:12">
      <c r="A122">
        <v>0.44</v>
      </c>
      <c r="B122">
        <v>0.54</v>
      </c>
    </row>
    <row r="123" spans="1:12">
      <c r="A123" t="s">
        <v>196</v>
      </c>
      <c r="D123" t="s">
        <v>197</v>
      </c>
      <c r="I123" s="1" t="s">
        <v>224</v>
      </c>
      <c r="J123" s="1" t="s">
        <v>205</v>
      </c>
      <c r="K123" s="1" t="s">
        <v>225</v>
      </c>
    </row>
    <row r="124" spans="1:12">
      <c r="A124">
        <v>277</v>
      </c>
      <c r="B124" t="s">
        <v>194</v>
      </c>
      <c r="D124">
        <v>5.5599999999999997E-2</v>
      </c>
      <c r="F124">
        <f>A126/A124</f>
        <v>1.1335740072202165</v>
      </c>
      <c r="I124">
        <v>81.5</v>
      </c>
      <c r="J124" t="s">
        <v>228</v>
      </c>
      <c r="K124">
        <v>-23</v>
      </c>
    </row>
    <row r="125" spans="1:12">
      <c r="A125">
        <v>422</v>
      </c>
      <c r="B125" t="s">
        <v>192</v>
      </c>
    </row>
    <row r="126" spans="1:12">
      <c r="A126">
        <v>314</v>
      </c>
      <c r="B126" t="s">
        <v>193</v>
      </c>
      <c r="D126">
        <f>A126/A124*D124</f>
        <v>6.3026714801444034E-2</v>
      </c>
      <c r="G126" t="s">
        <v>210</v>
      </c>
      <c r="H126">
        <f>D53</f>
        <v>0.56569456043956057</v>
      </c>
    </row>
    <row r="127" spans="1:12">
      <c r="H127">
        <f>380/370*0.077</f>
        <v>7.908108108108107E-2</v>
      </c>
    </row>
    <row r="128" spans="1:12">
      <c r="A128" t="s">
        <v>195</v>
      </c>
      <c r="D128" t="s">
        <v>197</v>
      </c>
    </row>
    <row r="129" spans="1:11">
      <c r="A129">
        <v>245</v>
      </c>
      <c r="B129" t="s">
        <v>194</v>
      </c>
      <c r="D129">
        <v>4.1980000000000003E-2</v>
      </c>
      <c r="E129" t="s">
        <v>198</v>
      </c>
      <c r="F129">
        <f>A130/A129</f>
        <v>0.97959183673469385</v>
      </c>
      <c r="I129">
        <v>119</v>
      </c>
      <c r="J129" t="s">
        <v>223</v>
      </c>
      <c r="K129">
        <v>0</v>
      </c>
    </row>
    <row r="130" spans="1:11">
      <c r="A130">
        <v>240</v>
      </c>
      <c r="B130" t="s">
        <v>193</v>
      </c>
      <c r="D130">
        <f>D129*A130/A129</f>
        <v>4.1123265306122453E-2</v>
      </c>
      <c r="E130" t="s">
        <v>199</v>
      </c>
      <c r="G130" t="s">
        <v>210</v>
      </c>
      <c r="H130">
        <f>D47</f>
        <v>0.86107243885714313</v>
      </c>
    </row>
    <row r="132" spans="1:11">
      <c r="A132" t="s">
        <v>200</v>
      </c>
      <c r="D132" t="s">
        <v>197</v>
      </c>
    </row>
    <row r="133" spans="1:11">
      <c r="A133">
        <v>265</v>
      </c>
      <c r="B133" t="s">
        <v>194</v>
      </c>
      <c r="D133">
        <v>4.0800000000000003E-2</v>
      </c>
      <c r="F133">
        <f>A134/A133</f>
        <v>0.95849056603773586</v>
      </c>
      <c r="I133">
        <v>122.4</v>
      </c>
      <c r="J133" t="s">
        <v>223</v>
      </c>
      <c r="K133">
        <v>0</v>
      </c>
    </row>
    <row r="134" spans="1:11">
      <c r="A134">
        <v>254</v>
      </c>
      <c r="B134" t="s">
        <v>193</v>
      </c>
      <c r="D134">
        <f>D133*A134/A133</f>
        <v>3.9106415094339625E-2</v>
      </c>
    </row>
  </sheetData>
  <mergeCells count="1">
    <mergeCell ref="C92:D92"/>
  </mergeCells>
  <hyperlinks>
    <hyperlink ref="A4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dimension ref="A1:U14"/>
  <sheetViews>
    <sheetView workbookViewId="0">
      <selection activeCell="K13" sqref="K13"/>
    </sheetView>
  </sheetViews>
  <sheetFormatPr defaultRowHeight="15"/>
  <sheetData>
    <row r="1" spans="1:21">
      <c r="A1">
        <v>1.68780986</v>
      </c>
      <c r="B1" t="s">
        <v>5</v>
      </c>
      <c r="C1" t="s">
        <v>17</v>
      </c>
    </row>
    <row r="3" spans="1:21">
      <c r="A3" t="s">
        <v>7</v>
      </c>
    </row>
    <row r="4" spans="1:21">
      <c r="A4" t="s">
        <v>3</v>
      </c>
      <c r="B4" t="s">
        <v>6</v>
      </c>
      <c r="D4" t="s">
        <v>4</v>
      </c>
      <c r="E4" t="s">
        <v>8</v>
      </c>
      <c r="F4" t="s">
        <v>9</v>
      </c>
      <c r="J4" t="s">
        <v>15</v>
      </c>
      <c r="K4" t="s">
        <v>22</v>
      </c>
      <c r="M4" t="s">
        <v>23</v>
      </c>
      <c r="O4" t="s">
        <v>10</v>
      </c>
      <c r="R4" t="s">
        <v>11</v>
      </c>
    </row>
    <row r="5" spans="1:21">
      <c r="A5">
        <v>82</v>
      </c>
      <c r="B5">
        <f t="shared" ref="B5:B10" si="0">A5*$A$1</f>
        <v>138.40040852000001</v>
      </c>
      <c r="C5">
        <f t="shared" ref="C5:C10" si="1">B5-$B$5</f>
        <v>0</v>
      </c>
      <c r="D5">
        <v>0</v>
      </c>
      <c r="E5">
        <f t="shared" ref="E5:E10" si="2">C5/$C$10</f>
        <v>0</v>
      </c>
      <c r="F5">
        <f t="shared" ref="F5:F10" si="3">D5/$D$10</f>
        <v>0</v>
      </c>
      <c r="H5">
        <f t="shared" ref="H5:H10" si="4">F5^$G$12</f>
        <v>0</v>
      </c>
      <c r="I5">
        <f t="shared" ref="I5:I10" si="5">H5*$C$10</f>
        <v>0</v>
      </c>
      <c r="J5">
        <f t="shared" ref="J5:J10" si="6">D5/B5</f>
        <v>0</v>
      </c>
      <c r="K5" t="e">
        <f t="shared" ref="K5:K10" si="7">C5/J5</f>
        <v>#DIV/0!</v>
      </c>
      <c r="L5">
        <f t="shared" ref="L5:L10" si="8">J5*$K$13</f>
        <v>0</v>
      </c>
      <c r="M5" t="e">
        <f t="shared" ref="M5:M10" si="9">C5/D5</f>
        <v>#DIV/0!</v>
      </c>
      <c r="N5">
        <f t="shared" ref="N5:N10" si="10">D5*$M$13</f>
        <v>0</v>
      </c>
      <c r="O5">
        <f t="shared" ref="O5:O10" si="11">E5^$G$13</f>
        <v>0</v>
      </c>
      <c r="T5">
        <f t="shared" ref="T5:T10" si="12">$S$12*E5^2+$R$12*E5</f>
        <v>0</v>
      </c>
    </row>
    <row r="6" spans="1:21">
      <c r="A6">
        <v>100</v>
      </c>
      <c r="B6">
        <f t="shared" si="0"/>
        <v>168.78098600000001</v>
      </c>
      <c r="C6">
        <f t="shared" si="1"/>
        <v>30.380577479999999</v>
      </c>
      <c r="D6">
        <v>15.9</v>
      </c>
      <c r="E6">
        <f t="shared" si="2"/>
        <v>0.16981132075471697</v>
      </c>
      <c r="F6">
        <f t="shared" si="3"/>
        <v>4.8773006134969328E-2</v>
      </c>
      <c r="G6">
        <f>LN(E6)/LN(F6)</f>
        <v>0.58699599098930977</v>
      </c>
      <c r="H6">
        <f t="shared" si="4"/>
        <v>0.1898885325675613</v>
      </c>
      <c r="I6">
        <f t="shared" si="5"/>
        <v>33.972548182256872</v>
      </c>
      <c r="J6">
        <f t="shared" si="6"/>
        <v>9.4204924244251059E-2</v>
      </c>
      <c r="K6">
        <f t="shared" si="7"/>
        <v>322.49458002036448</v>
      </c>
      <c r="L6">
        <f t="shared" si="8"/>
        <v>24.779302478828921</v>
      </c>
      <c r="M6">
        <f t="shared" si="9"/>
        <v>1.9107281433962264</v>
      </c>
      <c r="N6">
        <f t="shared" si="10"/>
        <v>18.505824834497638</v>
      </c>
      <c r="O6">
        <f t="shared" si="11"/>
        <v>3.9805157362284231E-2</v>
      </c>
      <c r="P6">
        <f>F6-O6</f>
        <v>8.9678487726850969E-3</v>
      </c>
      <c r="Q6">
        <f>P6*$D$10</f>
        <v>2.9235186998953417</v>
      </c>
      <c r="R6">
        <f>(F6-E6^2)/(E6-E6^2)</f>
        <v>0.14142266220487085</v>
      </c>
      <c r="S6">
        <f>1-R6</f>
        <v>0.85857733779512913</v>
      </c>
      <c r="T6">
        <f t="shared" si="12"/>
        <v>4.4996330313164495E-2</v>
      </c>
      <c r="U6">
        <f>T6-F6</f>
        <v>-3.7766758218048327E-3</v>
      </c>
    </row>
    <row r="7" spans="1:21">
      <c r="A7">
        <v>112.3</v>
      </c>
      <c r="B7">
        <f t="shared" si="0"/>
        <v>189.54104727800001</v>
      </c>
      <c r="C7">
        <f t="shared" si="1"/>
        <v>51.140638757999994</v>
      </c>
      <c r="D7">
        <v>31.5</v>
      </c>
      <c r="E7">
        <f t="shared" si="2"/>
        <v>0.28584905660377358</v>
      </c>
      <c r="F7">
        <f t="shared" si="3"/>
        <v>9.6625766871165641E-2</v>
      </c>
      <c r="G7">
        <f>LN(E7)/LN(F7)</f>
        <v>0.53587492446407814</v>
      </c>
      <c r="H7">
        <f t="shared" si="4"/>
        <v>0.27656748763824945</v>
      </c>
      <c r="I7">
        <f t="shared" si="5"/>
        <v>49.480093254674145</v>
      </c>
      <c r="J7">
        <f t="shared" si="6"/>
        <v>0.16619091459275798</v>
      </c>
      <c r="K7">
        <f t="shared" si="7"/>
        <v>307.72222948118082</v>
      </c>
      <c r="L7">
        <f t="shared" si="8"/>
        <v>43.714221681766105</v>
      </c>
      <c r="M7">
        <f t="shared" si="9"/>
        <v>1.6235123415238093</v>
      </c>
      <c r="N7">
        <f t="shared" si="10"/>
        <v>36.662483162683998</v>
      </c>
      <c r="O7">
        <f t="shared" si="11"/>
        <v>0.10260245475083023</v>
      </c>
      <c r="P7">
        <f>F7-O7</f>
        <v>-5.9766878796645856E-3</v>
      </c>
      <c r="Q7">
        <f>P7*$D$10</f>
        <v>-1.9484002487706549</v>
      </c>
      <c r="R7">
        <f>(F7-E7^2)/(E7-E7^2)</f>
        <v>7.3068137020119023E-2</v>
      </c>
      <c r="S7">
        <f>1-R7</f>
        <v>0.92693186297988095</v>
      </c>
      <c r="T7">
        <f t="shared" si="12"/>
        <v>0.10511080425169445</v>
      </c>
      <c r="U7">
        <f>T7-F7</f>
        <v>8.4850373805288037E-3</v>
      </c>
    </row>
    <row r="8" spans="1:21">
      <c r="A8">
        <v>129</v>
      </c>
      <c r="B8">
        <f t="shared" si="0"/>
        <v>217.72747193999999</v>
      </c>
      <c r="C8">
        <f t="shared" si="1"/>
        <v>79.327063419999973</v>
      </c>
      <c r="D8">
        <v>73</v>
      </c>
      <c r="E8">
        <f t="shared" si="2"/>
        <v>0.44339622641509419</v>
      </c>
      <c r="F8">
        <f t="shared" si="3"/>
        <v>0.22392638036809817</v>
      </c>
      <c r="G8">
        <f>LN(E8)/LN(F8)</f>
        <v>0.54348494551224569</v>
      </c>
      <c r="H8">
        <f t="shared" si="4"/>
        <v>0.43909439461444555</v>
      </c>
      <c r="I8">
        <f t="shared" si="5"/>
        <v>78.557431962305159</v>
      </c>
      <c r="J8">
        <f t="shared" si="6"/>
        <v>0.3352815303900506</v>
      </c>
      <c r="K8">
        <f t="shared" si="7"/>
        <v>236.59836951863898</v>
      </c>
      <c r="L8">
        <f t="shared" si="8"/>
        <v>88.191169662839997</v>
      </c>
      <c r="M8">
        <f t="shared" si="9"/>
        <v>1.0866721016438352</v>
      </c>
      <c r="N8">
        <f t="shared" si="10"/>
        <v>84.963849869077208</v>
      </c>
      <c r="O8">
        <f t="shared" si="11"/>
        <v>0.22793111921741063</v>
      </c>
      <c r="P8">
        <f>F8-O8</f>
        <v>-4.0047388493124614E-3</v>
      </c>
      <c r="Q8">
        <f>P8*$D$10</f>
        <v>-1.3055448648758623</v>
      </c>
      <c r="R8">
        <f>(F8-E8^2)/(E8-E8^2)</f>
        <v>0.11072369629136404</v>
      </c>
      <c r="S8">
        <f>1-R8</f>
        <v>0.88927630370863597</v>
      </c>
      <c r="T8">
        <f t="shared" si="12"/>
        <v>0.22489119579992689</v>
      </c>
      <c r="U8">
        <f>T8-F8</f>
        <v>9.6481543182871943E-4</v>
      </c>
    </row>
    <row r="9" spans="1:21">
      <c r="A9">
        <v>169</v>
      </c>
      <c r="B9">
        <f t="shared" si="0"/>
        <v>285.23986633999999</v>
      </c>
      <c r="C9">
        <f t="shared" si="1"/>
        <v>146.83945781999998</v>
      </c>
      <c r="D9">
        <v>226</v>
      </c>
      <c r="E9">
        <f t="shared" si="2"/>
        <v>0.820754716981132</v>
      </c>
      <c r="F9">
        <f t="shared" si="3"/>
        <v>0.69325153374233128</v>
      </c>
      <c r="G9">
        <f>LN(E9)/LN(F9)</f>
        <v>0.53916828012810081</v>
      </c>
      <c r="H9">
        <f t="shared" si="4"/>
        <v>0.81750414151355677</v>
      </c>
      <c r="I9">
        <f t="shared" si="5"/>
        <v>146.25790436756614</v>
      </c>
      <c r="J9">
        <f t="shared" si="6"/>
        <v>0.79231561457335942</v>
      </c>
      <c r="K9">
        <f t="shared" si="7"/>
        <v>185.32950142484452</v>
      </c>
      <c r="L9">
        <f t="shared" si="8"/>
        <v>208.40766477672346</v>
      </c>
      <c r="M9">
        <f t="shared" si="9"/>
        <v>0.64973211424778754</v>
      </c>
      <c r="N9">
        <f t="shared" si="10"/>
        <v>263.03876808782809</v>
      </c>
      <c r="O9">
        <f t="shared" si="11"/>
        <v>0.69827153858823165</v>
      </c>
      <c r="P9">
        <f>F9-O9</f>
        <v>-5.0200048459003721E-3</v>
      </c>
      <c r="Q9">
        <f>P9*$D$10</f>
        <v>-1.6365215797635213</v>
      </c>
      <c r="R9">
        <f>(F9-E9^2)/(E9-E9^2)</f>
        <v>0.13331774538949545</v>
      </c>
      <c r="S9">
        <f>1-R9</f>
        <v>0.86668225461050452</v>
      </c>
      <c r="T9">
        <f t="shared" si="12"/>
        <v>0.69050270991049656</v>
      </c>
      <c r="U9">
        <f>T9-F9</f>
        <v>-2.7488238318347236E-3</v>
      </c>
    </row>
    <row r="10" spans="1:21">
      <c r="A10">
        <v>188</v>
      </c>
      <c r="B10">
        <f t="shared" si="0"/>
        <v>317.30825368000001</v>
      </c>
      <c r="C10">
        <f t="shared" si="1"/>
        <v>178.90784515999999</v>
      </c>
      <c r="D10">
        <v>326</v>
      </c>
      <c r="E10">
        <f t="shared" si="2"/>
        <v>1</v>
      </c>
      <c r="F10">
        <f t="shared" si="3"/>
        <v>1</v>
      </c>
      <c r="G10" t="e">
        <f>LN(E10)/LN(F10)</f>
        <v>#DIV/0!</v>
      </c>
      <c r="H10">
        <f t="shared" si="4"/>
        <v>1</v>
      </c>
      <c r="I10">
        <f t="shared" si="5"/>
        <v>178.90784515999999</v>
      </c>
      <c r="J10">
        <f t="shared" si="6"/>
        <v>1.0273921217591946</v>
      </c>
      <c r="K10">
        <f t="shared" si="7"/>
        <v>174.13784023733572</v>
      </c>
      <c r="L10">
        <f t="shared" si="8"/>
        <v>270.24128891001698</v>
      </c>
      <c r="M10">
        <f t="shared" si="9"/>
        <v>0.54879707104294473</v>
      </c>
      <c r="N10">
        <f t="shared" si="10"/>
        <v>379.42760352492013</v>
      </c>
      <c r="O10">
        <f t="shared" si="11"/>
        <v>1</v>
      </c>
      <c r="P10">
        <f>F10-O10</f>
        <v>0</v>
      </c>
      <c r="Q10">
        <f>P10*$D$10</f>
        <v>0</v>
      </c>
      <c r="R10" t="e">
        <f>(F10-E10^1.9)/(E10-E10^1.9)</f>
        <v>#DIV/0!</v>
      </c>
      <c r="T10">
        <f t="shared" si="12"/>
        <v>1</v>
      </c>
    </row>
    <row r="12" spans="1:21">
      <c r="G12">
        <v>0.55000000000000004</v>
      </c>
      <c r="R12">
        <f>AVERAGE(R6:R9)</f>
        <v>0.11463306022646233</v>
      </c>
      <c r="S12">
        <f>AVERAGE(S6:S9)</f>
        <v>0.88536693977353764</v>
      </c>
    </row>
    <row r="13" spans="1:21">
      <c r="G13">
        <f>1/G12</f>
        <v>1.8181818181818181</v>
      </c>
      <c r="K13">
        <f>AVERAGE(K6:K9)</f>
        <v>263.03617011125721</v>
      </c>
      <c r="M13">
        <f>AVERAGE(M6:M10)</f>
        <v>1.1638883543709206</v>
      </c>
    </row>
    <row r="14" spans="1:21">
      <c r="G14"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Camel JSBSim Physics Calcs</vt:lpstr>
      <vt:lpstr>Camel JSBSim Climb vs Speed1.3b</vt:lpstr>
      <vt:lpstr>Camel JSBSim Climb vs Speed1.3a</vt:lpstr>
      <vt:lpstr>Camel JSBSim Climb vs Speed1.3</vt:lpstr>
      <vt:lpstr>Camel JSBSim Climb vs Speed1.0</vt:lpstr>
      <vt:lpstr>AOAvsDrag</vt:lpstr>
      <vt:lpstr>Sheet5</vt:lpstr>
      <vt:lpstr>C_THRUST, C_POWER</vt:lpstr>
      <vt:lpstr>Camel-down</vt:lpstr>
      <vt:lpstr>Zero-down</vt:lpstr>
      <vt:lpstr>Camel-up</vt:lpstr>
      <vt:lpstr>Zero-up</vt:lpstr>
      <vt:lpstr>Sheet3 (3)</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Hugh</dc:creator>
  <cp:lastModifiedBy>Brent Hugh</cp:lastModifiedBy>
  <dcterms:created xsi:type="dcterms:W3CDTF">2011-10-12T06:03:39Z</dcterms:created>
  <dcterms:modified xsi:type="dcterms:W3CDTF">2013-04-15T23:47:19Z</dcterms:modified>
</cp:coreProperties>
</file>