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hogar/Desktop/Nikolás ECI 201/FCFI/"/>
    </mc:Choice>
  </mc:AlternateContent>
  <xr:revisionPtr revIDLastSave="0" documentId="13_ncr:1_{70EC8A54-1301-5C41-8DD0-151DA0933A33}" xr6:coauthVersionLast="36" xr6:coauthVersionMax="36" xr10:uidLastSave="{00000000-0000-0000-0000-000000000000}"/>
  <bookViews>
    <workbookView xWindow="0" yWindow="460" windowWidth="24920" windowHeight="15540" xr2:uid="{9EADBAAE-FBD0-4E64-B4C5-24F6FD871340}"/>
  </bookViews>
  <sheets>
    <sheet name="GR. 15" sheetId="1" r:id="rId1"/>
    <sheet name="Hoja1"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2" l="1"/>
  <c r="J56" i="2" l="1"/>
  <c r="K56" i="2" s="1"/>
  <c r="L56" i="2" s="1"/>
  <c r="J57" i="2" s="1"/>
  <c r="L55" i="2"/>
  <c r="B12" i="2"/>
  <c r="B11" i="2"/>
  <c r="B10" i="2"/>
  <c r="B9" i="2"/>
  <c r="I14" i="1"/>
  <c r="E6" i="2"/>
  <c r="E5" i="2"/>
  <c r="L54" i="2"/>
  <c r="E3" i="2"/>
  <c r="J55" i="2"/>
  <c r="K55" i="2"/>
  <c r="K57" i="2" l="1"/>
  <c r="L57" i="2" s="1"/>
  <c r="J58" i="2"/>
  <c r="K58" i="2" l="1"/>
  <c r="L58" i="2" s="1"/>
  <c r="J59" i="2" s="1"/>
  <c r="K59" i="2" l="1"/>
  <c r="L59" i="2" s="1"/>
  <c r="J60" i="2" s="1"/>
  <c r="K60" i="2" l="1"/>
  <c r="L60" i="2" s="1"/>
  <c r="J61" i="2"/>
  <c r="K61" i="2" l="1"/>
  <c r="L61" i="2" s="1"/>
  <c r="J62" i="2"/>
  <c r="K62" i="2" l="1"/>
  <c r="L62" i="2" s="1"/>
  <c r="J63" i="2" s="1"/>
  <c r="K63" i="2" l="1"/>
  <c r="L63" i="2" s="1"/>
  <c r="J64" i="2" s="1"/>
  <c r="K64" i="2" s="1"/>
  <c r="L64" i="2" s="1"/>
  <c r="J10" i="2" l="1"/>
  <c r="K10" i="2"/>
  <c r="L10" i="2"/>
  <c r="J11" i="2"/>
  <c r="L9" i="2"/>
  <c r="K9" i="2"/>
  <c r="K8" i="2"/>
  <c r="L8" i="2"/>
  <c r="J9" i="2" s="1"/>
  <c r="K7" i="2"/>
  <c r="K6" i="2"/>
  <c r="J8" i="2"/>
  <c r="J7" i="2"/>
  <c r="J6" i="2"/>
  <c r="K5" i="2"/>
  <c r="J5" i="2"/>
  <c r="I12" i="1"/>
  <c r="I10" i="1"/>
  <c r="B6" i="2"/>
  <c r="B3" i="2"/>
  <c r="I36" i="1"/>
  <c r="D55" i="2"/>
  <c r="D54" i="2"/>
  <c r="B54" i="2"/>
  <c r="B53" i="2"/>
  <c r="E48" i="2"/>
  <c r="F48" i="2"/>
  <c r="G48" i="2"/>
  <c r="B49" i="2" s="1"/>
  <c r="I32" i="1" s="1"/>
  <c r="D48" i="2"/>
  <c r="F34" i="2"/>
  <c r="G34" i="2"/>
  <c r="E34" i="2"/>
  <c r="F33" i="2"/>
  <c r="G33" i="2"/>
  <c r="E33" i="2"/>
  <c r="F32" i="2"/>
  <c r="G32" i="2"/>
  <c r="E32" i="2"/>
  <c r="F31" i="2"/>
  <c r="G31" i="2"/>
  <c r="E31" i="2"/>
  <c r="G38" i="2"/>
  <c r="G39" i="2"/>
  <c r="G40" i="2"/>
  <c r="E38" i="2"/>
  <c r="B41" i="2"/>
  <c r="F28" i="2"/>
  <c r="G28" i="2"/>
  <c r="E28" i="2"/>
  <c r="F27" i="2"/>
  <c r="F30" i="2" s="1"/>
  <c r="G27" i="2"/>
  <c r="G30" i="2" s="1"/>
  <c r="F26" i="2"/>
  <c r="G26" i="2"/>
  <c r="E26" i="2"/>
  <c r="F25" i="2"/>
  <c r="G25" i="2"/>
  <c r="E25" i="2"/>
  <c r="E27" i="2" s="1"/>
  <c r="E30" i="2" s="1"/>
  <c r="B50" i="2" l="1"/>
  <c r="I34" i="1" s="1"/>
  <c r="K11" i="2"/>
  <c r="L11" i="2" s="1"/>
  <c r="J12" i="2"/>
  <c r="E39" i="2"/>
  <c r="E40" i="2" s="1"/>
  <c r="F38" i="2" s="1"/>
  <c r="F39" i="2" s="1"/>
  <c r="F40" i="2" s="1"/>
  <c r="I38" i="1"/>
  <c r="E38" i="1"/>
  <c r="K36" i="1"/>
  <c r="K34" i="1"/>
  <c r="K32" i="1"/>
  <c r="K14" i="1"/>
  <c r="K12" i="1"/>
  <c r="K10" i="1"/>
  <c r="K2" i="1"/>
  <c r="A2" i="1"/>
  <c r="B32" i="1" s="1"/>
  <c r="K12" i="2" l="1"/>
  <c r="L12" i="2" s="1"/>
  <c r="J13" i="2" s="1"/>
  <c r="C3" i="1"/>
  <c r="B30" i="1" s="1"/>
  <c r="G19" i="1"/>
  <c r="D2" i="1"/>
  <c r="A4" i="1"/>
  <c r="B12" i="1"/>
  <c r="D19" i="1"/>
  <c r="H19" i="1"/>
  <c r="G20" i="1"/>
  <c r="F21" i="1"/>
  <c r="E22" i="1"/>
  <c r="B36" i="1"/>
  <c r="E19" i="1"/>
  <c r="D20" i="1"/>
  <c r="H20" i="1"/>
  <c r="G21" i="1"/>
  <c r="F22" i="1"/>
  <c r="B34" i="1"/>
  <c r="F36" i="1"/>
  <c r="B16" i="1"/>
  <c r="F20" i="1"/>
  <c r="E21" i="1"/>
  <c r="D22" i="1"/>
  <c r="B3" i="1"/>
  <c r="B10" i="1"/>
  <c r="A16" i="1"/>
  <c r="F19" i="1"/>
  <c r="E20" i="1"/>
  <c r="D21" i="1"/>
  <c r="H21" i="1"/>
  <c r="K13" i="2" l="1"/>
  <c r="L13" i="2" s="1"/>
  <c r="J14" i="2" s="1"/>
  <c r="G22" i="1"/>
  <c r="H22" i="1"/>
  <c r="B24" i="1"/>
  <c r="AA38" i="1"/>
  <c r="AA12" i="1"/>
  <c r="AA14" i="1"/>
  <c r="AA32" i="1"/>
  <c r="AA36" i="1"/>
  <c r="AA34" i="1"/>
  <c r="B4" i="1"/>
  <c r="B14" i="1"/>
  <c r="K14" i="2" l="1"/>
  <c r="L14" i="2" s="1"/>
  <c r="J15" i="2"/>
  <c r="K15" i="2" l="1"/>
  <c r="L15" i="2" s="1"/>
  <c r="J16" i="2"/>
  <c r="K16" i="2" l="1"/>
  <c r="L16" i="2" s="1"/>
  <c r="J17" i="2" s="1"/>
  <c r="K17" i="2" l="1"/>
  <c r="L17" i="2" s="1"/>
  <c r="J18" i="2" s="1"/>
  <c r="K18" i="2" l="1"/>
  <c r="L18" i="2" s="1"/>
  <c r="J19" i="2"/>
  <c r="K19" i="2" l="1"/>
  <c r="L19" i="2" s="1"/>
  <c r="J20" i="2"/>
  <c r="K20" i="2" l="1"/>
  <c r="L20" i="2" s="1"/>
  <c r="J21" i="2" s="1"/>
  <c r="J22" i="2" l="1"/>
  <c r="K21" i="2"/>
  <c r="L21" i="2" s="1"/>
  <c r="K22" i="2" l="1"/>
  <c r="L22" i="2" s="1"/>
  <c r="J23" i="2"/>
  <c r="K23" i="2" l="1"/>
  <c r="L23" i="2" s="1"/>
  <c r="J24" i="2"/>
  <c r="K24" i="2" l="1"/>
  <c r="L24" i="2" s="1"/>
  <c r="J25" i="2" s="1"/>
  <c r="K25" i="2" l="1"/>
  <c r="L25" i="2" s="1"/>
  <c r="J26" i="2" s="1"/>
  <c r="K26" i="2" l="1"/>
  <c r="L26" i="2" s="1"/>
  <c r="J27" i="2"/>
  <c r="K27" i="2" l="1"/>
  <c r="L27" i="2" s="1"/>
  <c r="J28" i="2"/>
  <c r="K28" i="2" l="1"/>
  <c r="L28" i="2" s="1"/>
  <c r="J29" i="2" s="1"/>
  <c r="K29" i="2" l="1"/>
  <c r="L29" i="2" s="1"/>
  <c r="J30" i="2" s="1"/>
  <c r="K30" i="2" l="1"/>
  <c r="L30" i="2" s="1"/>
  <c r="J31" i="2"/>
  <c r="K31" i="2" l="1"/>
  <c r="L31" i="2" s="1"/>
  <c r="J32" i="2"/>
  <c r="K32" i="2" l="1"/>
  <c r="L32" i="2" s="1"/>
  <c r="J33" i="2" s="1"/>
  <c r="K33" i="2" l="1"/>
  <c r="L33" i="2" s="1"/>
  <c r="J34" i="2" s="1"/>
  <c r="K34" i="2" l="1"/>
  <c r="L34" i="2" s="1"/>
  <c r="J35" i="2" s="1"/>
  <c r="K35" i="2" l="1"/>
  <c r="L35" i="2" s="1"/>
  <c r="J36" i="2"/>
  <c r="K36" i="2" l="1"/>
  <c r="L36" i="2" s="1"/>
  <c r="J37" i="2" s="1"/>
  <c r="K37" i="2" l="1"/>
  <c r="L37" i="2" s="1"/>
  <c r="J38" i="2" s="1"/>
  <c r="K38" i="2" l="1"/>
  <c r="L38" i="2" s="1"/>
  <c r="J39" i="2"/>
  <c r="K39" i="2" l="1"/>
  <c r="L39" i="2" s="1"/>
  <c r="J40" i="2"/>
  <c r="K40" i="2" l="1"/>
  <c r="L40" i="2" s="1"/>
  <c r="J41" i="2" s="1"/>
  <c r="K41" i="2" l="1"/>
  <c r="L41" i="2" s="1"/>
  <c r="J42" i="2" s="1"/>
  <c r="K42" i="2" l="1"/>
  <c r="L42" i="2" s="1"/>
  <c r="J43" i="2"/>
  <c r="K43" i="2" l="1"/>
  <c r="L43" i="2" s="1"/>
  <c r="J44" i="2"/>
  <c r="K44" i="2" l="1"/>
  <c r="L44" i="2" s="1"/>
  <c r="J45" i="2" s="1"/>
  <c r="K45" i="2" l="1"/>
  <c r="L45" i="2" s="1"/>
  <c r="J46" i="2" s="1"/>
  <c r="K46" i="2" l="1"/>
  <c r="L46" i="2" s="1"/>
  <c r="J47" i="2"/>
  <c r="K47" i="2" l="1"/>
  <c r="L47" i="2" s="1"/>
  <c r="J48" i="2"/>
  <c r="K48" i="2" l="1"/>
  <c r="L48" i="2" s="1"/>
  <c r="J49" i="2" s="1"/>
  <c r="K49" i="2" l="1"/>
  <c r="L49" i="2" s="1"/>
  <c r="J50" i="2" s="1"/>
  <c r="K50" i="2" l="1"/>
  <c r="L50" i="2" s="1"/>
  <c r="J51" i="2"/>
  <c r="K51" i="2" l="1"/>
  <c r="L51" i="2" s="1"/>
  <c r="J52" i="2"/>
  <c r="K52" i="2" l="1"/>
  <c r="L52" i="2" s="1"/>
  <c r="J53" i="2" s="1"/>
  <c r="K53" i="2" l="1"/>
  <c r="L53" i="2" s="1"/>
  <c r="J54" i="2" s="1"/>
  <c r="K54" i="2" l="1"/>
</calcChain>
</file>

<file path=xl/sharedStrings.xml><?xml version="1.0" encoding="utf-8"?>
<sst xmlns="http://schemas.openxmlformats.org/spreadsheetml/2006/main" count="128" uniqueCount="68">
  <si>
    <t>DIGITA TU ID</t>
  </si>
  <si>
    <t>SI ESTE ES TU NOMBRE, ESTE ES TU EXAMEN</t>
  </si>
  <si>
    <t>SI</t>
  </si>
  <si>
    <t>NO</t>
  </si>
  <si>
    <t>NO SE</t>
  </si>
  <si>
    <t>JUAN JOSE DE JESUS ACEVEDO CORTES</t>
  </si>
  <si>
    <t>A</t>
  </si>
  <si>
    <t>EDUARDO ARIAS BARRERA</t>
  </si>
  <si>
    <t>B</t>
  </si>
  <si>
    <t>LUIS ALBERTO ASTROZ GOMEZ</t>
  </si>
  <si>
    <t>JUAN DIEGO BERNAL DIAZ</t>
  </si>
  <si>
    <t>NIKOLAS  BERNAL GIRALDO</t>
  </si>
  <si>
    <t>LAURA SOFIA BORDA BELTRAN</t>
  </si>
  <si>
    <t>JULIAN BUITRAGO CARRASCO</t>
  </si>
  <si>
    <t>JUAN PABLO CASTELLANOS PEREZ</t>
  </si>
  <si>
    <t>JUAN CAMILO CEPEDA BECERRA</t>
  </si>
  <si>
    <t>JULIANA  FRANCO VELASCO</t>
  </si>
  <si>
    <t>LAURA CAMILA HERNANDEZ FIQUE</t>
  </si>
  <si>
    <t>MILLER HARVEY HERNANDEZ SANCHEZ</t>
  </si>
  <si>
    <t>MARIANA HERRERA SIERRA</t>
  </si>
  <si>
    <t>JOSE ALEXANDER LEON AVENDAÑO</t>
  </si>
  <si>
    <t>NICOLAS LOPEZ ARIZA</t>
  </si>
  <si>
    <t>SANTIAGO  LOPEZ OSORIO</t>
  </si>
  <si>
    <t>NAZLY LISBETH LOZADA GELVES</t>
  </si>
  <si>
    <t>KARIN NICOLE LUGO CORREA</t>
  </si>
  <si>
    <t>KEVIN ANDRES MELO PEREZ</t>
  </si>
  <si>
    <t>SAUL EDUARDO MONTAÑEZ SALGADO</t>
  </si>
  <si>
    <t>VALERIA ANDREA MUÑOZ FUENTES</t>
  </si>
  <si>
    <t>JOHAN SANTIAGO PEREZ PIEDRAHITA</t>
  </si>
  <si>
    <t>SANTIAGO JOSE PINTO FELICIANO</t>
  </si>
  <si>
    <t>MIGUEL ANGEL RODRIGUEZ ROJAS</t>
  </si>
  <si>
    <t>SARAI RUIZ GUTIERREZ</t>
  </si>
  <si>
    <t>DIEGO FERNANDO TENJO LOPEZ</t>
  </si>
  <si>
    <t>ANDRES RICARDO VARGAS PERALTA</t>
  </si>
  <si>
    <t>2.</t>
  </si>
  <si>
    <t>UNIDADES</t>
  </si>
  <si>
    <t>PRECIO UNITARIO</t>
  </si>
  <si>
    <t>COSTO UNITARIO</t>
  </si>
  <si>
    <t>GASTOS FIJOS</t>
  </si>
  <si>
    <t>INGRESOS</t>
  </si>
  <si>
    <t>COSTOS</t>
  </si>
  <si>
    <t>UTILIDAD BRUTA</t>
  </si>
  <si>
    <t>GASTOS OPERACIONALES</t>
  </si>
  <si>
    <t>DEPRECIACION</t>
  </si>
  <si>
    <t>UTILIDAD(PERDIDA) OPERACIONAL</t>
  </si>
  <si>
    <t>GASTOS FINANCIEROS</t>
  </si>
  <si>
    <t>UTILIDAD(PERDIDA) ANTES DE IMPUESTOS</t>
  </si>
  <si>
    <t>IMPUESTOS</t>
  </si>
  <si>
    <t>UTILIDAD(PERDIDA) NETA</t>
  </si>
  <si>
    <t>DEUDA</t>
  </si>
  <si>
    <t>TASA</t>
  </si>
  <si>
    <t>No. PAGOS</t>
  </si>
  <si>
    <t>CUOTA</t>
  </si>
  <si>
    <t>SALDO</t>
  </si>
  <si>
    <t>INTERES</t>
  </si>
  <si>
    <t>A CAPITAL</t>
  </si>
  <si>
    <t>INTERESES</t>
  </si>
  <si>
    <t>INVERSION</t>
  </si>
  <si>
    <t>FLUJO DE CAJA LIBRE(N)</t>
  </si>
  <si>
    <t>VAN</t>
  </si>
  <si>
    <t>TIR</t>
  </si>
  <si>
    <t>e</t>
  </si>
  <si>
    <t>d</t>
  </si>
  <si>
    <t>Kd</t>
  </si>
  <si>
    <t>Ke</t>
  </si>
  <si>
    <t>WACC</t>
  </si>
  <si>
    <t xml:space="preserve">1. </t>
  </si>
  <si>
    <t>VP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</si>
</sst>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164" formatCode="_([$€-2]\ * #,##0.00_);_([$€-2]\ * \(#,##0.00\);_([$€-2]\ * &quot;-&quot;??_)"/>
    <numFmt numFmtId="165" formatCode="0.0000%"/>
    <numFmt numFmtId="166" formatCode="#,##0.00\ ;\(#,##0.00\)"/>
    <numFmt numFmtId="167" formatCode="_(* #,##0_);_(* \(#,##0\);_(* &quot;-&quot;??_);_(@_)"/>
    <numFmt numFmtId="168" formatCode="_(* #,##0.00_);_(* \(#,##0.00\);_(* &quot;-&quot;??_);_(@_)"/>
    <numFmt numFmtId="169" formatCode="&quot;$&quot;\ #,##0"/>
    <numFmt numFmtId="170" formatCode="0.000%"/>
    <numFmt numFmtId="171" formatCode="_-* #,##0.0000_-;\-* #,##0.0000_-;_-* &quot;-&quot;??_-;_-@_-"/>
    <numFmt numFmtId="172" formatCode="0.0000"/>
    <numFmt numFmtId="173" formatCode="_-* #,##0.0000_-;\-* #,##0.0000_-;_-* &quot;-&quot;????_-;_-@_-"/>
  </numFmts>
  <fonts count="2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0"/>
      <color theme="1"/>
      <name val="Calibri"/>
      <family val="2"/>
      <scheme val="minor"/>
    </font>
    <font>
      <b/>
      <sz val="12"/>
      <color theme="1"/>
      <name val="Calibri"/>
      <family val="2"/>
      <scheme val="minor"/>
    </font>
    <font>
      <sz val="8"/>
      <color theme="0"/>
      <name val="Calibri"/>
      <family val="2"/>
      <scheme val="minor"/>
    </font>
    <font>
      <b/>
      <sz val="9"/>
      <color theme="0"/>
      <name val="Calibri"/>
      <family val="2"/>
      <scheme val="minor"/>
    </font>
    <font>
      <b/>
      <sz val="14"/>
      <color rgb="FF111111"/>
      <name val="Calibri"/>
      <family val="2"/>
    </font>
    <font>
      <sz val="14"/>
      <color theme="1"/>
      <name val="Calibri"/>
      <family val="2"/>
      <scheme val="minor"/>
    </font>
    <font>
      <b/>
      <sz val="14"/>
      <color rgb="FFFF0000"/>
      <name val="Calibri"/>
      <family val="2"/>
      <scheme val="minor"/>
    </font>
    <font>
      <b/>
      <sz val="8"/>
      <color theme="0"/>
      <name val="Calibri"/>
      <family val="2"/>
      <scheme val="minor"/>
    </font>
    <font>
      <b/>
      <sz val="14"/>
      <color theme="1"/>
      <name val="Calibri"/>
      <family val="2"/>
      <scheme val="minor"/>
    </font>
    <font>
      <b/>
      <sz val="10"/>
      <color rgb="FFFF0000"/>
      <name val="Calibri"/>
      <family val="2"/>
      <scheme val="minor"/>
    </font>
    <font>
      <sz val="10"/>
      <color rgb="FFFF0000"/>
      <name val="Calibri"/>
      <family val="2"/>
      <scheme val="minor"/>
    </font>
    <font>
      <b/>
      <sz val="9"/>
      <color theme="1"/>
      <name val="Calibri"/>
      <family val="2"/>
      <scheme val="minor"/>
    </font>
    <font>
      <sz val="12"/>
      <name val="Calibri"/>
      <family val="2"/>
      <scheme val="minor"/>
    </font>
    <font>
      <b/>
      <sz val="12"/>
      <color theme="0"/>
      <name val="Calibri"/>
      <family val="2"/>
      <scheme val="minor"/>
    </font>
    <font>
      <sz val="12"/>
      <color theme="0"/>
      <name val="Calibri"/>
      <family val="2"/>
      <scheme val="minor"/>
    </font>
    <font>
      <sz val="8"/>
      <color theme="0"/>
      <name val="Calibri"/>
      <family val="2"/>
    </font>
  </fonts>
  <fills count="4">
    <fill>
      <patternFill patternType="none"/>
    </fill>
    <fill>
      <patternFill patternType="gray125"/>
    </fill>
    <fill>
      <patternFill patternType="solid">
        <fgColor rgb="FFFFFF66"/>
        <bgColor indexed="64"/>
      </patternFill>
    </fill>
    <fill>
      <patternFill patternType="solid">
        <fgColor rgb="FFFFFF00"/>
        <bgColor indexed="64"/>
      </patternFill>
    </fill>
  </fills>
  <borders count="21">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s>
  <cellStyleXfs count="4">
    <xf numFmtId="0" fontId="0" fillId="0" borderId="0"/>
    <xf numFmtId="9" fontId="2" fillId="0" borderId="0" applyFont="0" applyFill="0" applyBorder="0" applyAlignment="0" applyProtection="0"/>
    <xf numFmtId="164" fontId="2" fillId="0" borderId="0"/>
    <xf numFmtId="41" fontId="2" fillId="0" borderId="0" applyFont="0" applyFill="0" applyBorder="0" applyAlignment="0" applyProtection="0"/>
  </cellStyleXfs>
  <cellXfs count="95">
    <xf numFmtId="0" fontId="0" fillId="0" borderId="0" xfId="0"/>
    <xf numFmtId="0" fontId="4"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3" fillId="0" borderId="0" xfId="0" applyFont="1" applyAlignment="1" applyProtection="1">
      <alignment horizontal="center" vertical="center"/>
      <protection locked="0"/>
    </xf>
    <xf numFmtId="0" fontId="7" fillId="0" borderId="0" xfId="0" applyFont="1" applyAlignment="1" applyProtection="1">
      <alignment vertical="center"/>
      <protection locked="0"/>
    </xf>
    <xf numFmtId="0" fontId="8" fillId="0" borderId="0" xfId="0" applyFont="1" applyAlignment="1" applyProtection="1">
      <alignment horizontal="center" vertical="center"/>
      <protection hidden="1"/>
    </xf>
    <xf numFmtId="0" fontId="10" fillId="0" borderId="0" xfId="0" applyFont="1" applyAlignment="1" applyProtection="1">
      <alignment horizontal="left" vertical="center" indent="1"/>
      <protection hidden="1"/>
    </xf>
    <xf numFmtId="0" fontId="4" fillId="0" borderId="0" xfId="0" applyFont="1" applyAlignment="1" applyProtection="1">
      <alignment vertical="center"/>
      <protection hidden="1"/>
    </xf>
    <xf numFmtId="0" fontId="6" fillId="0" borderId="0" xfId="0" applyFont="1" applyAlignment="1" applyProtection="1">
      <alignment horizontal="center" vertical="center"/>
      <protection hidden="1"/>
    </xf>
    <xf numFmtId="2" fontId="11" fillId="0" borderId="0" xfId="0" applyNumberFormat="1" applyFont="1" applyAlignment="1" applyProtection="1">
      <alignment horizontal="center" vertical="center"/>
      <protection hidden="1"/>
    </xf>
    <xf numFmtId="0" fontId="7" fillId="0" borderId="0" xfId="0" applyFont="1" applyAlignment="1" applyProtection="1">
      <alignment vertical="center"/>
      <protection hidden="1"/>
    </xf>
    <xf numFmtId="0" fontId="12" fillId="0" borderId="0" xfId="0" applyFont="1" applyAlignment="1" applyProtection="1">
      <alignment horizontal="center" vertical="center"/>
      <protection hidden="1"/>
    </xf>
    <xf numFmtId="0" fontId="6" fillId="0" borderId="0" xfId="0" applyFont="1" applyAlignment="1" applyProtection="1">
      <alignment horizontal="center" vertical="top"/>
      <protection hidden="1"/>
    </xf>
    <xf numFmtId="0" fontId="6" fillId="0" borderId="0" xfId="0" applyFont="1" applyAlignment="1" applyProtection="1">
      <alignment vertical="center"/>
      <protection hidden="1"/>
    </xf>
    <xf numFmtId="0" fontId="6" fillId="0" borderId="0" xfId="0" applyFont="1" applyAlignment="1" applyProtection="1">
      <alignment horizontal="left" vertical="center" wrapText="1"/>
      <protection hidden="1"/>
    </xf>
    <xf numFmtId="0" fontId="4" fillId="0" borderId="0" xfId="0" quotePrefix="1" applyFont="1" applyAlignment="1" applyProtection="1">
      <alignment vertical="center"/>
      <protection hidden="1"/>
    </xf>
    <xf numFmtId="0" fontId="6" fillId="0" borderId="0" xfId="0" quotePrefix="1" applyFont="1" applyAlignment="1" applyProtection="1">
      <alignment vertical="center"/>
      <protection hidden="1"/>
    </xf>
    <xf numFmtId="165" fontId="13" fillId="2" borderId="4" xfId="1" applyNumberFormat="1" applyFont="1" applyFill="1" applyBorder="1" applyAlignment="1" applyProtection="1">
      <alignment horizontal="right" vertical="center"/>
      <protection locked="0"/>
    </xf>
    <xf numFmtId="2" fontId="14" fillId="0" borderId="0" xfId="0" applyNumberFormat="1" applyFont="1" applyAlignment="1" applyProtection="1">
      <alignment horizontal="center" vertical="center"/>
      <protection hidden="1"/>
    </xf>
    <xf numFmtId="165" fontId="7" fillId="0" borderId="0" xfId="1" applyNumberFormat="1" applyFont="1" applyFill="1" applyBorder="1" applyAlignment="1" applyProtection="1">
      <alignment horizontal="right" vertical="center"/>
      <protection hidden="1"/>
    </xf>
    <xf numFmtId="0" fontId="4" fillId="0" borderId="0" xfId="0" applyFont="1" applyAlignment="1" applyProtection="1">
      <alignment horizontal="left" vertical="center" wrapText="1"/>
      <protection hidden="1"/>
    </xf>
    <xf numFmtId="2" fontId="14" fillId="0" borderId="0" xfId="0" applyNumberFormat="1" applyFont="1" applyAlignment="1" applyProtection="1">
      <alignment vertical="center"/>
      <protection hidden="1"/>
    </xf>
    <xf numFmtId="166" fontId="13" fillId="2" borderId="4" xfId="0" applyNumberFormat="1" applyFont="1" applyFill="1" applyBorder="1" applyAlignment="1" applyProtection="1">
      <alignment horizontal="right" vertical="center"/>
      <protection locked="0"/>
    </xf>
    <xf numFmtId="166" fontId="7" fillId="0" borderId="0" xfId="0" applyNumberFormat="1" applyFont="1" applyAlignment="1" applyProtection="1">
      <alignment horizontal="right" vertical="center"/>
      <protection hidden="1"/>
    </xf>
    <xf numFmtId="0" fontId="15" fillId="0" borderId="0" xfId="0" applyFont="1" applyAlignment="1" applyProtection="1">
      <alignment vertical="center"/>
      <protection hidden="1"/>
    </xf>
    <xf numFmtId="0" fontId="14" fillId="0" borderId="0" xfId="0" applyFont="1" applyAlignment="1" applyProtection="1">
      <alignment vertical="center"/>
      <protection hidden="1"/>
    </xf>
    <xf numFmtId="167" fontId="6" fillId="0" borderId="0" xfId="0" applyNumberFormat="1" applyFont="1" applyAlignment="1" applyProtection="1">
      <alignment vertical="center"/>
      <protection hidden="1"/>
    </xf>
    <xf numFmtId="0" fontId="16" fillId="0" borderId="0" xfId="0" applyFont="1" applyAlignment="1" applyProtection="1">
      <alignment horizontal="center" vertical="center"/>
      <protection hidden="1"/>
    </xf>
    <xf numFmtId="0" fontId="16" fillId="0" borderId="0" xfId="0" applyFont="1" applyAlignment="1" applyProtection="1">
      <alignment vertical="center"/>
      <protection hidden="1"/>
    </xf>
    <xf numFmtId="0" fontId="16" fillId="0" borderId="4" xfId="0" applyFont="1" applyBorder="1" applyAlignment="1" applyProtection="1">
      <alignment horizontal="center" vertical="center"/>
      <protection hidden="1"/>
    </xf>
    <xf numFmtId="0" fontId="16" fillId="0" borderId="5" xfId="0" applyFont="1" applyBorder="1" applyAlignment="1" applyProtection="1">
      <alignment horizontal="center" vertical="center" wrapText="1"/>
      <protection hidden="1"/>
    </xf>
    <xf numFmtId="0" fontId="16" fillId="0" borderId="6" xfId="0" applyFont="1" applyBorder="1" applyAlignment="1" applyProtection="1">
      <alignment horizontal="center" vertical="center" wrapText="1"/>
      <protection hidden="1"/>
    </xf>
    <xf numFmtId="0" fontId="16" fillId="0" borderId="7" xfId="0" applyFont="1" applyBorder="1" applyAlignment="1" applyProtection="1">
      <alignment horizontal="center" vertical="center" wrapText="1"/>
      <protection hidden="1"/>
    </xf>
    <xf numFmtId="0" fontId="4" fillId="0" borderId="8" xfId="0" applyFont="1" applyBorder="1" applyAlignment="1" applyProtection="1">
      <alignment horizontal="center" vertical="center"/>
      <protection hidden="1"/>
    </xf>
    <xf numFmtId="167" fontId="4" fillId="0" borderId="9" xfId="0" applyNumberFormat="1" applyFont="1" applyBorder="1" applyAlignment="1" applyProtection="1">
      <alignment vertical="center"/>
      <protection hidden="1"/>
    </xf>
    <xf numFmtId="168" fontId="4" fillId="0" borderId="10" xfId="0" applyNumberFormat="1" applyFont="1" applyBorder="1" applyAlignment="1" applyProtection="1">
      <alignment vertical="center"/>
      <protection hidden="1"/>
    </xf>
    <xf numFmtId="167" fontId="4" fillId="0" borderId="11" xfId="0" applyNumberFormat="1" applyFont="1" applyBorder="1" applyAlignment="1" applyProtection="1">
      <alignment vertical="center"/>
      <protection hidden="1"/>
    </xf>
    <xf numFmtId="0" fontId="4" fillId="0" borderId="12" xfId="0" applyFont="1" applyBorder="1" applyAlignment="1" applyProtection="1">
      <alignment horizontal="center" vertical="center"/>
      <protection hidden="1"/>
    </xf>
    <xf numFmtId="167" fontId="4" fillId="0" borderId="13" xfId="0" applyNumberFormat="1" applyFont="1" applyBorder="1" applyAlignment="1" applyProtection="1">
      <alignment vertical="center"/>
      <protection hidden="1"/>
    </xf>
    <xf numFmtId="168" fontId="4" fillId="0" borderId="14" xfId="0" applyNumberFormat="1" applyFont="1" applyBorder="1" applyAlignment="1" applyProtection="1">
      <alignment vertical="center"/>
      <protection hidden="1"/>
    </xf>
    <xf numFmtId="168" fontId="17" fillId="0" borderId="14" xfId="0" applyNumberFormat="1" applyFont="1" applyBorder="1" applyAlignment="1" applyProtection="1">
      <alignment vertical="center"/>
      <protection hidden="1"/>
    </xf>
    <xf numFmtId="167" fontId="17" fillId="0" borderId="15" xfId="0" applyNumberFormat="1" applyFont="1" applyBorder="1" applyAlignment="1" applyProtection="1">
      <alignment vertical="center"/>
      <protection hidden="1"/>
    </xf>
    <xf numFmtId="0" fontId="4" fillId="0" borderId="16" xfId="0" applyFont="1" applyBorder="1" applyAlignment="1" applyProtection="1">
      <alignment horizontal="center" vertical="center"/>
      <protection hidden="1"/>
    </xf>
    <xf numFmtId="167" fontId="4" fillId="0" borderId="17" xfId="0" applyNumberFormat="1" applyFont="1" applyBorder="1" applyAlignment="1" applyProtection="1">
      <alignment vertical="center"/>
      <protection hidden="1"/>
    </xf>
    <xf numFmtId="168" fontId="4" fillId="0" borderId="18" xfId="0" applyNumberFormat="1" applyFont="1" applyBorder="1" applyAlignment="1" applyProtection="1">
      <alignment vertical="center"/>
      <protection hidden="1"/>
    </xf>
    <xf numFmtId="168" fontId="17" fillId="0" borderId="18" xfId="0" applyNumberFormat="1" applyFont="1" applyBorder="1" applyAlignment="1" applyProtection="1">
      <alignment vertical="center"/>
      <protection hidden="1"/>
    </xf>
    <xf numFmtId="167" fontId="17" fillId="0" borderId="19" xfId="0" applyNumberFormat="1" applyFont="1" applyBorder="1" applyAlignment="1" applyProtection="1">
      <alignment vertical="center"/>
      <protection hidden="1"/>
    </xf>
    <xf numFmtId="169" fontId="5" fillId="0" borderId="0" xfId="0" applyNumberFormat="1" applyFont="1" applyAlignment="1" applyProtection="1">
      <alignment vertical="center"/>
      <protection hidden="1"/>
    </xf>
    <xf numFmtId="167" fontId="13" fillId="2" borderId="4" xfId="0" applyNumberFormat="1" applyFont="1" applyFill="1" applyBorder="1" applyAlignment="1" applyProtection="1">
      <alignment vertical="center"/>
      <protection locked="0"/>
    </xf>
    <xf numFmtId="167" fontId="7" fillId="0" borderId="0" xfId="0" applyNumberFormat="1" applyFont="1" applyAlignment="1" applyProtection="1">
      <alignment vertical="center"/>
      <protection hidden="1"/>
    </xf>
    <xf numFmtId="165" fontId="13" fillId="2" borderId="4" xfId="0" applyNumberFormat="1" applyFont="1" applyFill="1" applyBorder="1" applyAlignment="1" applyProtection="1">
      <alignment vertical="center"/>
      <protection locked="0"/>
    </xf>
    <xf numFmtId="165" fontId="7" fillId="0" borderId="0" xfId="0" applyNumberFormat="1" applyFont="1" applyAlignment="1" applyProtection="1">
      <alignment vertical="center"/>
      <protection hidden="1"/>
    </xf>
    <xf numFmtId="167" fontId="13" fillId="2" borderId="4" xfId="0" applyNumberFormat="1" applyFont="1" applyFill="1" applyBorder="1" applyAlignment="1" applyProtection="1">
      <alignment horizontal="center" vertical="center"/>
      <protection locked="0"/>
    </xf>
    <xf numFmtId="0" fontId="4" fillId="0" borderId="0" xfId="0" quotePrefix="1" applyFont="1" applyAlignment="1" applyProtection="1">
      <alignment horizontal="left" vertical="center" indent="1"/>
      <protection hidden="1"/>
    </xf>
    <xf numFmtId="0" fontId="18" fillId="0" borderId="0" xfId="0" applyFont="1" applyAlignment="1" applyProtection="1">
      <alignment horizontal="center" vertical="center"/>
      <protection hidden="1"/>
    </xf>
    <xf numFmtId="0" fontId="19" fillId="0" borderId="0" xfId="0" applyFont="1" applyAlignment="1" applyProtection="1">
      <alignment vertical="center"/>
      <protection hidden="1"/>
    </xf>
    <xf numFmtId="2" fontId="18" fillId="0" borderId="0" xfId="0" applyNumberFormat="1" applyFont="1" applyAlignment="1" applyProtection="1">
      <alignment horizontal="center" vertical="center"/>
      <protection hidden="1"/>
    </xf>
    <xf numFmtId="0" fontId="19" fillId="0" borderId="0" xfId="0" quotePrefix="1" applyFont="1" applyAlignment="1" applyProtection="1">
      <alignment vertical="center"/>
      <protection hidden="1"/>
    </xf>
    <xf numFmtId="2" fontId="18" fillId="0" borderId="0" xfId="0" applyNumberFormat="1" applyFont="1" applyAlignment="1" applyProtection="1">
      <alignment horizontal="center" vertical="center"/>
      <protection locked="0"/>
    </xf>
    <xf numFmtId="0" fontId="20" fillId="0" borderId="0" xfId="2" applyNumberFormat="1" applyFont="1" applyAlignment="1" applyProtection="1">
      <alignment horizontal="left" vertical="center"/>
      <protection hidden="1"/>
    </xf>
    <xf numFmtId="164" fontId="20" fillId="0" borderId="0" xfId="2" applyFont="1" applyAlignment="1" applyProtection="1">
      <alignment vertical="center"/>
      <protection hidden="1"/>
    </xf>
    <xf numFmtId="0" fontId="7" fillId="0" borderId="0" xfId="0" applyFont="1" applyAlignment="1" applyProtection="1">
      <alignment horizontal="center" vertical="center"/>
      <protection hidden="1"/>
    </xf>
    <xf numFmtId="0" fontId="0" fillId="0" borderId="0" xfId="0" applyAlignment="1">
      <alignment horizontal="center"/>
    </xf>
    <xf numFmtId="0" fontId="3" fillId="0" borderId="0" xfId="0" applyFont="1" applyAlignment="1">
      <alignment horizontal="center"/>
    </xf>
    <xf numFmtId="41" fontId="0" fillId="0" borderId="0" xfId="3" applyFont="1"/>
    <xf numFmtId="2" fontId="0" fillId="0" borderId="0" xfId="0" applyNumberFormat="1"/>
    <xf numFmtId="0" fontId="1" fillId="0" borderId="0" xfId="0" applyFont="1" applyFill="1" applyAlignment="1">
      <alignment vertical="center"/>
    </xf>
    <xf numFmtId="0" fontId="6" fillId="0" borderId="0" xfId="0" applyFont="1" applyFill="1" applyAlignment="1">
      <alignment vertical="center"/>
    </xf>
    <xf numFmtId="167" fontId="0" fillId="0" borderId="0" xfId="3" applyNumberFormat="1" applyFont="1"/>
    <xf numFmtId="167" fontId="0" fillId="0" borderId="20" xfId="3" applyNumberFormat="1" applyFont="1" applyBorder="1"/>
    <xf numFmtId="0" fontId="3" fillId="0" borderId="0" xfId="0" applyFont="1"/>
    <xf numFmtId="167" fontId="3" fillId="0" borderId="0" xfId="3" applyNumberFormat="1" applyFont="1"/>
    <xf numFmtId="167" fontId="0" fillId="0" borderId="0" xfId="3" applyNumberFormat="1" applyFont="1" applyBorder="1"/>
    <xf numFmtId="10" fontId="0" fillId="0" borderId="0" xfId="1" applyNumberFormat="1" applyFont="1" applyBorder="1"/>
    <xf numFmtId="170" fontId="0" fillId="0" borderId="0" xfId="1" applyNumberFormat="1" applyFont="1" applyBorder="1"/>
    <xf numFmtId="167" fontId="3" fillId="0" borderId="0" xfId="3" applyNumberFormat="1" applyFont="1" applyBorder="1"/>
    <xf numFmtId="0" fontId="3" fillId="0" borderId="0" xfId="3" applyNumberFormat="1" applyFont="1" applyBorder="1"/>
    <xf numFmtId="167" fontId="0" fillId="0" borderId="0" xfId="3" applyNumberFormat="1" applyFont="1" applyBorder="1" applyAlignment="1">
      <alignment horizontal="center"/>
    </xf>
    <xf numFmtId="10" fontId="0" fillId="0" borderId="0" xfId="0" applyNumberFormat="1"/>
    <xf numFmtId="10" fontId="3" fillId="0" borderId="4" xfId="0" applyNumberFormat="1" applyFont="1" applyBorder="1"/>
    <xf numFmtId="167" fontId="3" fillId="0" borderId="4" xfId="3" applyNumberFormat="1" applyFont="1" applyBorder="1"/>
    <xf numFmtId="170" fontId="3" fillId="0" borderId="4" xfId="1" applyNumberFormat="1" applyFont="1" applyBorder="1"/>
    <xf numFmtId="167" fontId="0" fillId="0" borderId="0" xfId="0" applyNumberFormat="1"/>
    <xf numFmtId="172" fontId="0" fillId="0" borderId="0" xfId="0" applyNumberFormat="1" applyAlignment="1">
      <alignment horizontal="center"/>
    </xf>
    <xf numFmtId="171" fontId="0" fillId="0" borderId="0" xfId="0" applyNumberFormat="1" applyAlignment="1">
      <alignment horizontal="center"/>
    </xf>
    <xf numFmtId="167" fontId="0" fillId="3" borderId="0" xfId="0" applyNumberFormat="1" applyFill="1"/>
    <xf numFmtId="173" fontId="0" fillId="0" borderId="0" xfId="0" applyNumberFormat="1"/>
    <xf numFmtId="167" fontId="0" fillId="0" borderId="4" xfId="3" applyNumberFormat="1" applyFont="1" applyBorder="1"/>
    <xf numFmtId="10" fontId="0" fillId="0" borderId="4" xfId="1" applyNumberFormat="1" applyFont="1" applyBorder="1"/>
    <xf numFmtId="167" fontId="0" fillId="0" borderId="0" xfId="0" applyNumberFormat="1" applyFill="1"/>
    <xf numFmtId="0" fontId="4" fillId="0" borderId="0" xfId="0" applyFont="1" applyAlignment="1" applyProtection="1">
      <alignment horizontal="justify" vertical="top" wrapText="1"/>
      <protection hidden="1"/>
    </xf>
    <xf numFmtId="0" fontId="5" fillId="0" borderId="1"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9" fillId="2" borderId="2" xfId="2" applyNumberFormat="1" applyFont="1" applyFill="1" applyBorder="1" applyAlignment="1" applyProtection="1">
      <alignment horizontal="center" vertical="center"/>
      <protection locked="0"/>
    </xf>
    <xf numFmtId="0" fontId="9" fillId="2" borderId="3" xfId="2" applyNumberFormat="1" applyFont="1" applyFill="1" applyBorder="1" applyAlignment="1" applyProtection="1">
      <alignment horizontal="center" vertical="center"/>
      <protection locked="0"/>
    </xf>
  </cellXfs>
  <cellStyles count="4">
    <cellStyle name="Millares [0]" xfId="3" builtinId="6"/>
    <cellStyle name="Normal" xfId="0" builtinId="0"/>
    <cellStyle name="Normal 3 3" xfId="2" xr:uid="{024DD2F1-9B2F-4567-8471-F331A66EF984}"/>
    <cellStyle name="Porcentaje" xfId="1" builtinId="5"/>
  </cellStyles>
  <dxfs count="2">
    <dxf>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2C58-F74E-4808-9600-B933F03AC9C3}">
  <sheetPr>
    <pageSetUpPr fitToPage="1"/>
  </sheetPr>
  <dimension ref="A1:AD126"/>
  <sheetViews>
    <sheetView showGridLines="0" tabSelected="1" topLeftCell="A16" zoomScale="120" zoomScaleNormal="120" workbookViewId="0">
      <selection activeCell="E36" sqref="E36"/>
    </sheetView>
  </sheetViews>
  <sheetFormatPr baseColWidth="10" defaultColWidth="11.5" defaultRowHeight="16" x14ac:dyDescent="0.2"/>
  <cols>
    <col min="1" max="1" width="2.5" style="8" bestFit="1" customWidth="1"/>
    <col min="2" max="3" width="9" style="7" customWidth="1"/>
    <col min="4" max="8" width="11.1640625" style="7" customWidth="1"/>
    <col min="9" max="9" width="16" style="7" customWidth="1"/>
    <col min="10" max="10" width="2.6640625" style="8" customWidth="1"/>
    <col min="11" max="11" width="8.33203125" style="7" customWidth="1"/>
    <col min="12" max="26" width="11.5" style="7"/>
    <col min="27" max="29" width="12.5" style="10" hidden="1" customWidth="1"/>
    <col min="30" max="30" width="2.5" style="10" hidden="1" customWidth="1"/>
    <col min="31" max="16384" width="11.5" style="7"/>
  </cols>
  <sheetData>
    <row r="1" spans="1:30" s="1" customFormat="1" ht="17" thickBot="1" x14ac:dyDescent="0.25">
      <c r="B1" s="91" t="s">
        <v>0</v>
      </c>
      <c r="C1" s="91"/>
      <c r="D1" s="92" t="s">
        <v>1</v>
      </c>
      <c r="E1" s="92"/>
      <c r="F1" s="92"/>
      <c r="G1" s="92"/>
      <c r="H1" s="92"/>
      <c r="J1" s="2"/>
      <c r="K1" s="3"/>
      <c r="AA1" s="4"/>
      <c r="AB1" s="4"/>
      <c r="AC1" s="4"/>
      <c r="AD1" s="4"/>
    </row>
    <row r="2" spans="1:30" ht="20" thickBot="1" x14ac:dyDescent="0.25">
      <c r="A2" s="5">
        <f>COUNTIF(AA100:AA130,B2)</f>
        <v>1</v>
      </c>
      <c r="B2" s="93">
        <v>2158547</v>
      </c>
      <c r="C2" s="94"/>
      <c r="D2" s="6" t="str">
        <f>IF(A2=1,VLOOKUP(B2,AA100:AD130,2,FALSE),"")</f>
        <v>NIKOLAS  BERNAL GIRALDO</v>
      </c>
      <c r="K2" s="9" t="str">
        <f>IF(K1="NOTA",SUM(K10:K38),"")</f>
        <v/>
      </c>
    </row>
    <row r="3" spans="1:30" s="10" customFormat="1" ht="11" x14ac:dyDescent="0.2">
      <c r="B3" s="11" t="str">
        <f>IF(A2=1,VLOOKUP(B2,AA100:AD130,3,FALSE),"")</f>
        <v>A</v>
      </c>
      <c r="C3" s="11" t="str">
        <f>IF(A2=1,VLOOKUP(B2,AA100:AD130,4,FALSE),"")</f>
        <v>A</v>
      </c>
      <c r="J3" s="11"/>
    </row>
    <row r="4" spans="1:30" s="13" customFormat="1" ht="15.75" customHeight="1" x14ac:dyDescent="0.2">
      <c r="A4" s="12">
        <f>IF(A2=1,1,"")</f>
        <v>1</v>
      </c>
      <c r="B4" s="90" t="str">
        <f>IF(A2=1,CONCATENATE("UNA EMPRESA RECIBE UN CRÉDITO POR 960.000 A 60 MESES, INCLUIDOS LOS TRES (3) PRIMEROS MESES DE GRACIA (SOLO PAGO DE INTERESES), MEDIANTE PAGOS MENSUALES CALCULADOS A LA TASA DEL 12,12% ANUAL CAPITALIZABLE TRIMESTRALMENTE.",IF(B3="A"," AL FINAL DEL MES 50, JUNTO CON LA CUOTA DEL MES, SE EFECTUÓ UN PAGO EXTRA NO PACTADO DE 20.622."," AL FINAL DEL MES 60, JUNTO CON LA CUOTA DEL MES, SE EFECTUARÁ UN PAGO EXTRA PACTADO DE 13.943,30.")),"")</f>
        <v>UNA EMPRESA RECIBE UN CRÉDITO POR 960.000 A 60 MESES, INCLUIDOS LOS TRES (3) PRIMEROS MESES DE GRACIA (SOLO PAGO DE INTERESES), MEDIANTE PAGOS MENSUALES CALCULADOS A LA TASA DEL 12,12% ANUAL CAPITALIZABLE TRIMESTRALMENTE. AL FINAL DEL MES 50, JUNTO CON LA CUOTA DEL MES, SE EFECTUÓ UN PAGO EXTRA NO PACTADO DE 20.622.</v>
      </c>
      <c r="C4" s="90"/>
      <c r="D4" s="90"/>
      <c r="E4" s="90"/>
      <c r="F4" s="90"/>
      <c r="G4" s="90"/>
      <c r="H4" s="90"/>
      <c r="I4" s="90"/>
      <c r="J4" s="8"/>
      <c r="AA4" s="10"/>
      <c r="AB4" s="10"/>
      <c r="AC4" s="10"/>
      <c r="AD4" s="10"/>
    </row>
    <row r="5" spans="1:30" s="13" customFormat="1" x14ac:dyDescent="0.2">
      <c r="A5" s="8"/>
      <c r="B5" s="90"/>
      <c r="C5" s="90"/>
      <c r="D5" s="90"/>
      <c r="E5" s="90"/>
      <c r="F5" s="90"/>
      <c r="G5" s="90"/>
      <c r="H5" s="90"/>
      <c r="I5" s="90"/>
      <c r="J5" s="8"/>
      <c r="AA5" s="10"/>
      <c r="AB5" s="10"/>
      <c r="AC5" s="10"/>
      <c r="AD5" s="10"/>
    </row>
    <row r="6" spans="1:30" s="13" customFormat="1" x14ac:dyDescent="0.2">
      <c r="A6" s="8"/>
      <c r="B6" s="90"/>
      <c r="C6" s="90"/>
      <c r="D6" s="90"/>
      <c r="E6" s="90"/>
      <c r="F6" s="90"/>
      <c r="G6" s="90"/>
      <c r="H6" s="90"/>
      <c r="I6" s="90"/>
      <c r="J6" s="8"/>
      <c r="AA6" s="10"/>
      <c r="AB6" s="10"/>
      <c r="AC6" s="10"/>
      <c r="AD6" s="10"/>
    </row>
    <row r="7" spans="1:30" s="13" customFormat="1" x14ac:dyDescent="0.2">
      <c r="A7" s="8"/>
      <c r="B7" s="90"/>
      <c r="C7" s="90"/>
      <c r="D7" s="90"/>
      <c r="E7" s="90"/>
      <c r="F7" s="90"/>
      <c r="G7" s="90"/>
      <c r="H7" s="90"/>
      <c r="I7" s="90"/>
      <c r="J7" s="8"/>
      <c r="AA7" s="10"/>
      <c r="AB7" s="10"/>
      <c r="AC7" s="10"/>
      <c r="AD7" s="10"/>
    </row>
    <row r="8" spans="1:30" s="13" customFormat="1" x14ac:dyDescent="0.2">
      <c r="A8" s="8"/>
      <c r="B8" s="90"/>
      <c r="C8" s="90"/>
      <c r="D8" s="90"/>
      <c r="E8" s="90"/>
      <c r="F8" s="90"/>
      <c r="G8" s="90"/>
      <c r="H8" s="90"/>
      <c r="I8" s="90"/>
      <c r="J8" s="8"/>
      <c r="AA8" s="10"/>
      <c r="AB8" s="10"/>
      <c r="AC8" s="10"/>
      <c r="AD8" s="10"/>
    </row>
    <row r="9" spans="1:30" s="13" customFormat="1" ht="6" customHeight="1" thickBot="1" x14ac:dyDescent="0.25">
      <c r="A9" s="8"/>
      <c r="B9" s="14"/>
      <c r="C9" s="14"/>
      <c r="D9" s="14"/>
      <c r="E9" s="14"/>
      <c r="F9" s="14"/>
      <c r="G9" s="14"/>
      <c r="H9" s="14"/>
      <c r="I9" s="14"/>
      <c r="J9" s="8"/>
      <c r="AA9" s="10"/>
      <c r="AB9" s="10"/>
      <c r="AC9" s="10"/>
      <c r="AD9" s="10"/>
    </row>
    <row r="10" spans="1:30" s="13" customFormat="1" ht="20" thickBot="1" x14ac:dyDescent="0.25">
      <c r="A10" s="8"/>
      <c r="B10" s="15" t="str">
        <f>IF(A2=1,"- CUAL ES LA TASA EFECTIVA MENSUAL?","")</f>
        <v>- CUAL ES LA TASA EFECTIVA MENSUAL?</v>
      </c>
      <c r="C10" s="16"/>
      <c r="D10" s="14"/>
      <c r="E10" s="14"/>
      <c r="F10" s="14"/>
      <c r="G10" s="14"/>
      <c r="H10" s="14"/>
      <c r="I10" s="17">
        <f>+Hoja1!B3</f>
        <v>9.9996732345444261E-3</v>
      </c>
      <c r="J10" s="8"/>
      <c r="K10" s="18" t="str">
        <f>IF($K$1="NOTA",IF(AND(I10&gt;AA10*0.995,I10&lt;AA10*1.005),0.5,0),"")</f>
        <v/>
      </c>
      <c r="AA10" s="19">
        <v>9.9996732345444261E-3</v>
      </c>
      <c r="AB10" s="10"/>
      <c r="AC10" s="10"/>
      <c r="AD10" s="10"/>
    </row>
    <row r="11" spans="1:30" s="13" customFormat="1" ht="6" customHeight="1" thickBot="1" x14ac:dyDescent="0.25">
      <c r="A11" s="8"/>
      <c r="B11" s="20"/>
      <c r="C11" s="14"/>
      <c r="D11" s="14"/>
      <c r="E11" s="14"/>
      <c r="F11" s="14"/>
      <c r="G11" s="14"/>
      <c r="H11" s="14"/>
      <c r="I11" s="14"/>
      <c r="J11" s="8"/>
      <c r="K11" s="21"/>
      <c r="AA11" s="10"/>
      <c r="AB11" s="10"/>
      <c r="AC11" s="10"/>
      <c r="AD11" s="10"/>
    </row>
    <row r="12" spans="1:30" s="13" customFormat="1" ht="20" thickBot="1" x14ac:dyDescent="0.25">
      <c r="A12" s="8"/>
      <c r="B12" s="15" t="str">
        <f>IF(A2=1,"- CUAL ES EL VALOR ORIGINAL DE CADA CUOTA?","")</f>
        <v>- CUAL ES EL VALOR ORIGINAL DE CADA CUOTA?</v>
      </c>
      <c r="C12" s="16"/>
      <c r="D12" s="14"/>
      <c r="E12" s="14"/>
      <c r="F12" s="14"/>
      <c r="G12" s="14"/>
      <c r="H12" s="14"/>
      <c r="I12" s="22">
        <f>+Hoja1!B6</f>
        <v>22177.308221078234</v>
      </c>
      <c r="J12" s="8"/>
      <c r="K12" s="18" t="str">
        <f>IF($K$1="NOTA",IF(AND(I12&gt;AA12*0.9995,I12&lt;AA12*1.0005),0.75,0),"")</f>
        <v/>
      </c>
      <c r="AA12" s="23">
        <f>IF($B$3="A",AB12,AC12)</f>
        <v>22177.308221078234</v>
      </c>
      <c r="AB12" s="23">
        <v>22177.308221078234</v>
      </c>
      <c r="AC12" s="23">
        <v>22000.003318607811</v>
      </c>
      <c r="AD12" s="10"/>
    </row>
    <row r="13" spans="1:30" s="13" customFormat="1" ht="6" customHeight="1" thickBot="1" x14ac:dyDescent="0.25">
      <c r="A13" s="8"/>
      <c r="B13" s="20"/>
      <c r="C13" s="14"/>
      <c r="D13" s="14"/>
      <c r="E13" s="14"/>
      <c r="F13" s="14"/>
      <c r="G13" s="14"/>
      <c r="H13" s="14"/>
      <c r="I13" s="14"/>
      <c r="J13" s="8"/>
      <c r="K13" s="21"/>
      <c r="AA13" s="10"/>
      <c r="AB13" s="10"/>
      <c r="AC13" s="10"/>
      <c r="AD13" s="10"/>
    </row>
    <row r="14" spans="1:30" s="13" customFormat="1" ht="20" thickBot="1" x14ac:dyDescent="0.25">
      <c r="A14" s="8"/>
      <c r="B14" s="15" t="str">
        <f>IF(A2=1,CONCATENATE("- CUAL ES EL VALOR DE CADA CUOTA ",IF(B3="A","DESPUES DEL PAGO NO PACTADO?","SIN EL PAGO PACTADO?")),"")</f>
        <v>- CUAL ES EL VALOR DE CADA CUOTA DESPUES DEL PAGO NO PACTADO?</v>
      </c>
      <c r="C14" s="16"/>
      <c r="D14" s="14"/>
      <c r="E14" s="14"/>
      <c r="F14" s="14"/>
      <c r="G14" s="14"/>
      <c r="H14" s="14"/>
      <c r="I14" s="22">
        <f>+Hoja1!E6</f>
        <v>19999.998454967521</v>
      </c>
      <c r="J14" s="8"/>
      <c r="K14" s="18" t="str">
        <f>IF($K$1="NOTA",IF(AND(I14&gt;AA14*0.995,I14&lt;AA14*1.005),0.75,0),"")</f>
        <v/>
      </c>
      <c r="AA14" s="23">
        <f>IF($B$3="A",AB14,AC14)</f>
        <v>19999.998454967525</v>
      </c>
      <c r="AB14" s="23">
        <v>19999.998454967525</v>
      </c>
      <c r="AC14" s="23">
        <v>22177.308221078234</v>
      </c>
      <c r="AD14" s="10"/>
    </row>
    <row r="15" spans="1:30" x14ac:dyDescent="0.2">
      <c r="A15" s="7"/>
      <c r="B15" s="8"/>
      <c r="C15" s="8"/>
      <c r="D15" s="8"/>
      <c r="E15" s="8"/>
      <c r="F15" s="8"/>
      <c r="G15" s="8"/>
      <c r="H15" s="8"/>
      <c r="I15" s="8"/>
      <c r="K15" s="24"/>
    </row>
    <row r="16" spans="1:30" s="13" customFormat="1" ht="15.75" customHeight="1" x14ac:dyDescent="0.2">
      <c r="A16" s="12">
        <f>IF(A2=1,2,"")</f>
        <v>2</v>
      </c>
      <c r="B16" s="90" t="str">
        <f>IF(A2=1,"SE LE CONTRATA PARA EVALUAR UN PROYECTO DE INVERSIÓN, EN BASE A LA SIGUIENTE INFORMACIÓN:","")</f>
        <v>SE LE CONTRATA PARA EVALUAR UN PROYECTO DE INVERSIÓN, EN BASE A LA SIGUIENTE INFORMACIÓN:</v>
      </c>
      <c r="C16" s="90"/>
      <c r="D16" s="90"/>
      <c r="E16" s="90"/>
      <c r="F16" s="90"/>
      <c r="G16" s="90"/>
      <c r="H16" s="90"/>
      <c r="I16" s="90"/>
      <c r="J16" s="8"/>
      <c r="K16" s="25"/>
      <c r="AA16" s="10"/>
      <c r="AB16" s="10"/>
      <c r="AC16" s="10"/>
      <c r="AD16" s="10"/>
    </row>
    <row r="17" spans="1:30" s="13" customFormat="1" ht="15.75" customHeight="1" x14ac:dyDescent="0.2">
      <c r="A17" s="12"/>
      <c r="B17" s="90"/>
      <c r="C17" s="90"/>
      <c r="D17" s="90"/>
      <c r="E17" s="90"/>
      <c r="F17" s="90"/>
      <c r="G17" s="90"/>
      <c r="H17" s="90"/>
      <c r="I17" s="90"/>
      <c r="J17" s="8"/>
      <c r="K17" s="25"/>
      <c r="AA17" s="10"/>
      <c r="AB17" s="10"/>
      <c r="AC17" s="10"/>
      <c r="AD17" s="10"/>
    </row>
    <row r="18" spans="1:30" s="13" customFormat="1" ht="7.5" customHeight="1" thickBot="1" x14ac:dyDescent="0.25">
      <c r="A18" s="8"/>
      <c r="F18" s="26"/>
      <c r="G18" s="26"/>
      <c r="H18" s="26"/>
      <c r="I18" s="26"/>
      <c r="J18" s="8"/>
      <c r="K18" s="25"/>
      <c r="AA18" s="10"/>
      <c r="AB18" s="10"/>
      <c r="AC18" s="10"/>
      <c r="AD18" s="10"/>
    </row>
    <row r="19" spans="1:30" s="28" customFormat="1" ht="27" thickBot="1" x14ac:dyDescent="0.25">
      <c r="A19" s="27"/>
      <c r="D19" s="29" t="str">
        <f>IF(A2=1,"PERIODO","")</f>
        <v>PERIODO</v>
      </c>
      <c r="E19" s="30" t="str">
        <f>IF(A2=1,"UNIDADES","")</f>
        <v>UNIDADES</v>
      </c>
      <c r="F19" s="31" t="str">
        <f>IF(A2=1,"PRECIO UNITARIO","")</f>
        <v>PRECIO UNITARIO</v>
      </c>
      <c r="G19" s="31" t="str">
        <f>IF(A2=1,"COSTO UNITARIO","")</f>
        <v>COSTO UNITARIO</v>
      </c>
      <c r="H19" s="32" t="str">
        <f>IF(A2=1,"GASTOS FIJOS","")</f>
        <v>GASTOS FIJOS</v>
      </c>
      <c r="J19" s="27"/>
      <c r="K19" s="25"/>
      <c r="AA19" s="10"/>
      <c r="AB19" s="10"/>
      <c r="AC19" s="10"/>
      <c r="AD19" s="10"/>
    </row>
    <row r="20" spans="1:30" s="13" customFormat="1" x14ac:dyDescent="0.2">
      <c r="A20" s="8"/>
      <c r="D20" s="33">
        <f>IF(A2=1,1,"")</f>
        <v>1</v>
      </c>
      <c r="E20" s="34">
        <f>IF(A2=1,120000,"")</f>
        <v>120000</v>
      </c>
      <c r="F20" s="35">
        <f>IF(A2=1,2.5,"")</f>
        <v>2.5</v>
      </c>
      <c r="G20" s="35">
        <f>IF(A2=1,1.5,"")</f>
        <v>1.5</v>
      </c>
      <c r="H20" s="36">
        <f>IF(A2=1,23600,"")</f>
        <v>23600</v>
      </c>
      <c r="J20" s="8"/>
      <c r="K20" s="25"/>
      <c r="AA20" s="10"/>
      <c r="AB20" s="10"/>
      <c r="AC20" s="10"/>
      <c r="AD20" s="10"/>
    </row>
    <row r="21" spans="1:30" s="13" customFormat="1" x14ac:dyDescent="0.2">
      <c r="A21" s="8"/>
      <c r="D21" s="37">
        <f>IF(A2=1,2,"")</f>
        <v>2</v>
      </c>
      <c r="E21" s="38">
        <f>IF(A2=1,132000,"")</f>
        <v>132000</v>
      </c>
      <c r="F21" s="39">
        <f>IF(A2=1,3.2,"")</f>
        <v>3.2</v>
      </c>
      <c r="G21" s="40">
        <f>IF(A2=1,2,"")</f>
        <v>2</v>
      </c>
      <c r="H21" s="41">
        <f>IF(A2=1,29600,"")</f>
        <v>29600</v>
      </c>
      <c r="J21" s="8"/>
      <c r="K21" s="25"/>
      <c r="AA21" s="10"/>
      <c r="AB21" s="10"/>
      <c r="AC21" s="10"/>
      <c r="AD21" s="10"/>
    </row>
    <row r="22" spans="1:30" s="13" customFormat="1" ht="17" thickBot="1" x14ac:dyDescent="0.25">
      <c r="A22" s="8"/>
      <c r="D22" s="42">
        <f>IF(A2=1,3,"")</f>
        <v>3</v>
      </c>
      <c r="E22" s="43">
        <f>IF(A2=1,145200,"")</f>
        <v>145200</v>
      </c>
      <c r="F22" s="44">
        <f>IF(A2=1,4.1,"")</f>
        <v>4.0999999999999996</v>
      </c>
      <c r="G22" s="45">
        <f>IF(A2=1,IF(C3="B",2.4,2.5),"")</f>
        <v>2.5</v>
      </c>
      <c r="H22" s="46">
        <f>IF(A2=1,IF(C3="B",31427,33715),"")</f>
        <v>33715</v>
      </c>
      <c r="J22" s="8"/>
      <c r="K22" s="25"/>
      <c r="AA22" s="10"/>
      <c r="AB22" s="10"/>
      <c r="AC22" s="10"/>
      <c r="AD22" s="10"/>
    </row>
    <row r="23" spans="1:30" s="13" customFormat="1" ht="7.5" customHeight="1" x14ac:dyDescent="0.2">
      <c r="A23" s="8"/>
      <c r="F23" s="26"/>
      <c r="G23" s="26"/>
      <c r="H23" s="26"/>
      <c r="I23" s="26"/>
      <c r="J23" s="8"/>
      <c r="K23" s="25"/>
      <c r="AA23" s="10"/>
      <c r="AB23" s="10"/>
      <c r="AC23" s="10"/>
      <c r="AD23" s="10"/>
    </row>
    <row r="24" spans="1:30" s="13" customFormat="1" ht="15.75" customHeight="1" x14ac:dyDescent="0.2">
      <c r="A24" s="8"/>
      <c r="B24" s="90" t="str">
        <f>IF(A2=1,CONCATENATE("LA INVERSIÓN INICIAL EN ACTIVOS FIJOS ASCIENDE A 320.000, DEPRECIABLES EN 10 AÑOS A RAZÓN ",IF(C3="B","DE 30.000","DE 32.000")," ANUALES. DE ESE MONTO, ",IF(C3="B","200.000 SERÁN","192.000 SERÁN")," CUBIERTOS POR UN PRÉSTAMO A 3 AÑOS, MEDIANTE CUOTAS ANUALES IGUALES ",IF(C3="B","POR 100.943,67,","POR 98.470,")," CALCULADAS A LA TASA DEL 25,075% E. A. LA FABRICA SERÁ VENDIDA AL FINAL DEL TERCER AÑO A SU VALOR EN LIBROS."),"")</f>
        <v>LA INVERSIÓN INICIAL EN ACTIVOS FIJOS ASCIENDE A 320.000, DEPRECIABLES EN 10 AÑOS A RAZÓN DE 32.000 ANUALES. DE ESE MONTO, 192.000 SERÁN CUBIERTOS POR UN PRÉSTAMO A 3 AÑOS, MEDIANTE CUOTAS ANUALES IGUALES POR 98.470, CALCULADAS A LA TASA DEL 25,075% E. A. LA FABRICA SERÁ VENDIDA AL FINAL DEL TERCER AÑO A SU VALOR EN LIBROS.</v>
      </c>
      <c r="C24" s="90"/>
      <c r="D24" s="90"/>
      <c r="E24" s="90"/>
      <c r="F24" s="90"/>
      <c r="G24" s="90"/>
      <c r="H24" s="90"/>
      <c r="I24" s="90"/>
      <c r="J24" s="8"/>
      <c r="K24" s="25"/>
      <c r="AA24" s="10"/>
      <c r="AB24" s="10"/>
      <c r="AC24" s="10"/>
      <c r="AD24" s="10"/>
    </row>
    <row r="25" spans="1:30" s="13" customFormat="1" x14ac:dyDescent="0.2">
      <c r="A25" s="8"/>
      <c r="B25" s="90"/>
      <c r="C25" s="90"/>
      <c r="D25" s="90"/>
      <c r="E25" s="90"/>
      <c r="F25" s="90"/>
      <c r="G25" s="90"/>
      <c r="H25" s="90"/>
      <c r="I25" s="90"/>
      <c r="J25" s="8"/>
      <c r="K25" s="25"/>
      <c r="AA25" s="10"/>
      <c r="AB25" s="10"/>
      <c r="AC25" s="10"/>
      <c r="AD25" s="10"/>
    </row>
    <row r="26" spans="1:30" s="13" customFormat="1" x14ac:dyDescent="0.2">
      <c r="A26" s="8"/>
      <c r="B26" s="90"/>
      <c r="C26" s="90"/>
      <c r="D26" s="90"/>
      <c r="E26" s="90"/>
      <c r="F26" s="90"/>
      <c r="G26" s="90"/>
      <c r="H26" s="90"/>
      <c r="I26" s="90"/>
      <c r="J26" s="8"/>
      <c r="K26" s="25"/>
      <c r="AA26" s="10"/>
      <c r="AB26" s="10"/>
      <c r="AC26" s="10"/>
      <c r="AD26" s="10"/>
    </row>
    <row r="27" spans="1:30" s="13" customFormat="1" x14ac:dyDescent="0.2">
      <c r="A27" s="8"/>
      <c r="B27" s="90"/>
      <c r="C27" s="90"/>
      <c r="D27" s="90"/>
      <c r="E27" s="90"/>
      <c r="F27" s="90"/>
      <c r="G27" s="90"/>
      <c r="H27" s="90"/>
      <c r="I27" s="90"/>
      <c r="J27" s="8"/>
      <c r="K27" s="25"/>
      <c r="AA27" s="10"/>
      <c r="AB27" s="10"/>
      <c r="AC27" s="10"/>
      <c r="AD27" s="10"/>
    </row>
    <row r="28" spans="1:30" s="13" customFormat="1" x14ac:dyDescent="0.2">
      <c r="A28" s="8"/>
      <c r="B28" s="90"/>
      <c r="C28" s="90"/>
      <c r="D28" s="90"/>
      <c r="E28" s="90"/>
      <c r="F28" s="90"/>
      <c r="G28" s="90"/>
      <c r="H28" s="90"/>
      <c r="I28" s="90"/>
      <c r="J28" s="8"/>
      <c r="K28" s="25"/>
      <c r="AA28" s="10"/>
      <c r="AB28" s="10"/>
      <c r="AC28" s="10"/>
      <c r="AD28" s="10"/>
    </row>
    <row r="29" spans="1:30" s="13" customFormat="1" ht="7.5" customHeight="1" x14ac:dyDescent="0.2">
      <c r="A29" s="8"/>
      <c r="F29" s="26"/>
      <c r="G29" s="26"/>
      <c r="H29" s="26"/>
      <c r="I29" s="26"/>
      <c r="J29" s="8"/>
      <c r="K29" s="25"/>
      <c r="AA29" s="10"/>
      <c r="AB29" s="10"/>
      <c r="AC29" s="10"/>
      <c r="AD29" s="10"/>
    </row>
    <row r="30" spans="1:30" s="13" customFormat="1" x14ac:dyDescent="0.2">
      <c r="A30" s="8"/>
      <c r="B30" s="7" t="str">
        <f>IF(A2=1,CONCATENATE("EL ACCIONISTA REQUIERE UNA RENTABILIDAD DEL",IF(C3="B"," 12% E. A. PARA SU INVERSION (120.000).","14,8% E. A. PARA SU INVERSION (128.000).")),"")</f>
        <v>EL ACCIONISTA REQUIERE UNA RENTABILIDAD DEL14,8% E. A. PARA SU INVERSION (128.000).</v>
      </c>
      <c r="D30" s="47"/>
      <c r="J30" s="8"/>
      <c r="K30" s="25"/>
      <c r="AA30" s="10"/>
      <c r="AB30" s="10"/>
      <c r="AC30" s="10"/>
      <c r="AD30" s="10"/>
    </row>
    <row r="31" spans="1:30" s="13" customFormat="1" ht="7.5" customHeight="1" thickBot="1" x14ac:dyDescent="0.25">
      <c r="A31" s="8"/>
      <c r="B31" s="7"/>
      <c r="F31" s="26"/>
      <c r="G31" s="26"/>
      <c r="H31" s="26"/>
      <c r="I31" s="26"/>
      <c r="J31" s="8"/>
      <c r="K31" s="25"/>
      <c r="AA31" s="10"/>
      <c r="AB31" s="10"/>
      <c r="AC31" s="10"/>
      <c r="AD31" s="10"/>
    </row>
    <row r="32" spans="1:30" s="13" customFormat="1" ht="20" thickBot="1" x14ac:dyDescent="0.25">
      <c r="A32" s="8"/>
      <c r="B32" s="15" t="str">
        <f>IF(A2=1,"- CUAL ES EL VPN DEL PROYECTO?","")</f>
        <v>- CUAL ES EL VPN DEL PROYECTO?</v>
      </c>
      <c r="C32" s="16"/>
      <c r="I32" s="48">
        <f>+Hoja1!B49</f>
        <v>-1224.2326216724468</v>
      </c>
      <c r="J32" s="8"/>
      <c r="K32" s="18" t="str">
        <f>IF($K$1="NOTA",IF(AND(I32&gt;AA32*0.995,I32&lt;AA32*1.005),1,0),"")</f>
        <v/>
      </c>
      <c r="AA32" s="23">
        <f>IF($B$3="A",AB32,AC32)</f>
        <v>7329.2152888879064</v>
      </c>
      <c r="AB32" s="49">
        <v>7329.2152888879064</v>
      </c>
      <c r="AC32" s="49">
        <v>-7102.7012930104975</v>
      </c>
      <c r="AD32" s="10"/>
    </row>
    <row r="33" spans="1:30" s="13" customFormat="1" ht="7.5" customHeight="1" thickBot="1" x14ac:dyDescent="0.25">
      <c r="A33" s="8"/>
      <c r="B33" s="7"/>
      <c r="F33" s="26"/>
      <c r="G33" s="26"/>
      <c r="H33" s="26"/>
      <c r="I33" s="26"/>
      <c r="J33" s="8"/>
      <c r="K33" s="25"/>
      <c r="AA33" s="10"/>
      <c r="AB33" s="49"/>
      <c r="AC33" s="49"/>
      <c r="AD33" s="10"/>
    </row>
    <row r="34" spans="1:30" s="13" customFormat="1" ht="20" thickBot="1" x14ac:dyDescent="0.25">
      <c r="A34" s="8"/>
      <c r="B34" s="15" t="str">
        <f>IF(A2=1,"- CUAL ES LA TIR DEL PROYECTO?","")</f>
        <v>- CUAL ES LA TIR DEL PROYECTO?</v>
      </c>
      <c r="C34" s="16"/>
      <c r="D34" s="14"/>
      <c r="E34" s="14"/>
      <c r="F34" s="14"/>
      <c r="G34" s="14"/>
      <c r="H34" s="14"/>
      <c r="I34" s="50">
        <f>+Hoja1!B50</f>
        <v>0.1597925954451449</v>
      </c>
      <c r="J34" s="8"/>
      <c r="K34" s="18" t="str">
        <f>IF($K$1="NOTA",IF(AND(I34&gt;AA34*0.995,I34&lt;AA34*1.005),1,0),"")</f>
        <v/>
      </c>
      <c r="AA34" s="51">
        <f>IF($B$3="A",AB34,AC34)</f>
        <v>0.16000035453449479</v>
      </c>
      <c r="AB34" s="51">
        <v>0.16000035453449479</v>
      </c>
      <c r="AC34" s="51">
        <v>0.15000040033532813</v>
      </c>
      <c r="AD34" s="10"/>
    </row>
    <row r="35" spans="1:30" s="13" customFormat="1" ht="7.5" customHeight="1" thickBot="1" x14ac:dyDescent="0.25">
      <c r="A35" s="8"/>
      <c r="B35" s="7"/>
      <c r="F35" s="26"/>
      <c r="G35" s="26"/>
      <c r="H35" s="26"/>
      <c r="I35" s="26"/>
      <c r="J35" s="8"/>
      <c r="K35" s="25"/>
      <c r="AA35" s="10"/>
      <c r="AB35" s="49"/>
      <c r="AC35" s="49"/>
      <c r="AD35" s="10"/>
    </row>
    <row r="36" spans="1:30" s="13" customFormat="1" ht="20" thickBot="1" x14ac:dyDescent="0.25">
      <c r="A36" s="8"/>
      <c r="B36" s="15" t="str">
        <f>IF(A2=1,"- ES VIABLE EL PROYECTO?","")</f>
        <v>- ES VIABLE EL PROYECTO?</v>
      </c>
      <c r="C36" s="16"/>
      <c r="D36" s="14"/>
      <c r="E36" s="52" t="s">
        <v>3</v>
      </c>
      <c r="F36" s="53" t="str">
        <f>IF(A2=1,"- A QUE TASA DE DESCUENTO?","")</f>
        <v>- A QUE TASA DE DESCUENTO?</v>
      </c>
      <c r="G36" s="14"/>
      <c r="H36" s="14"/>
      <c r="I36" s="50">
        <f>+Hoja1!D55</f>
        <v>0.16150599999999998</v>
      </c>
      <c r="J36" s="8"/>
      <c r="K36" s="18" t="str">
        <f>IF($K$1="NOTA",SUM(E38,I38),"")</f>
        <v/>
      </c>
      <c r="AA36" s="51">
        <f>IF($B$3="A",AB36,AC36)</f>
        <v>0.15000040033532813</v>
      </c>
      <c r="AB36" s="51">
        <v>0.15000040033532813</v>
      </c>
      <c r="AC36" s="51">
        <v>0.16000035453449479</v>
      </c>
      <c r="AD36" s="10"/>
    </row>
    <row r="37" spans="1:30" s="13" customFormat="1" ht="7.5" customHeight="1" x14ac:dyDescent="0.2">
      <c r="A37" s="8"/>
      <c r="F37" s="26"/>
      <c r="G37" s="26"/>
      <c r="H37" s="26"/>
      <c r="I37" s="26"/>
      <c r="J37" s="8"/>
      <c r="AA37" s="49"/>
      <c r="AB37" s="49"/>
      <c r="AC37" s="10"/>
      <c r="AD37" s="10"/>
    </row>
    <row r="38" spans="1:30" s="55" customFormat="1" x14ac:dyDescent="0.2">
      <c r="A38" s="54"/>
      <c r="E38" s="56" t="str">
        <f>IF($K$1="NOTA",IF(E36=AA38,0.5,0),"")</f>
        <v/>
      </c>
      <c r="F38" s="57"/>
      <c r="I38" s="56" t="str">
        <f>IF($K$1="NOTA",IF(AND(I36&gt;AA36*0.995,I36&lt;AA36*1.005),0.5,0),"")</f>
        <v/>
      </c>
      <c r="J38" s="54"/>
      <c r="K38" s="58"/>
      <c r="AA38" s="10" t="str">
        <f>IF($B$3="A",AB38,AB39)</f>
        <v>SI</v>
      </c>
      <c r="AB38" s="10" t="s">
        <v>2</v>
      </c>
      <c r="AC38" s="10"/>
      <c r="AD38" s="10"/>
    </row>
    <row r="39" spans="1:30" x14ac:dyDescent="0.2">
      <c r="AB39" s="10" t="s">
        <v>3</v>
      </c>
    </row>
    <row r="40" spans="1:30" x14ac:dyDescent="0.2">
      <c r="AB40" s="10" t="s">
        <v>4</v>
      </c>
    </row>
    <row r="100" spans="27:30" x14ac:dyDescent="0.2">
      <c r="AA100" s="59">
        <v>2118849</v>
      </c>
      <c r="AB100" s="60" t="s">
        <v>5</v>
      </c>
      <c r="AC100" s="61" t="s">
        <v>6</v>
      </c>
      <c r="AD100" s="10" t="s">
        <v>6</v>
      </c>
    </row>
    <row r="101" spans="27:30" x14ac:dyDescent="0.2">
      <c r="AA101" s="59">
        <v>2109117</v>
      </c>
      <c r="AB101" s="60" t="s">
        <v>7</v>
      </c>
      <c r="AC101" s="61" t="s">
        <v>6</v>
      </c>
      <c r="AD101" s="10" t="s">
        <v>8</v>
      </c>
    </row>
    <row r="102" spans="27:30" x14ac:dyDescent="0.2">
      <c r="AA102" s="59">
        <v>2131513</v>
      </c>
      <c r="AB102" s="60" t="s">
        <v>9</v>
      </c>
      <c r="AC102" s="61" t="s">
        <v>8</v>
      </c>
      <c r="AD102" s="10" t="s">
        <v>6</v>
      </c>
    </row>
    <row r="103" spans="27:30" x14ac:dyDescent="0.2">
      <c r="AA103" s="59">
        <v>2163629</v>
      </c>
      <c r="AB103" s="60" t="s">
        <v>10</v>
      </c>
      <c r="AC103" s="61" t="s">
        <v>8</v>
      </c>
      <c r="AD103" s="10" t="s">
        <v>8</v>
      </c>
    </row>
    <row r="104" spans="27:30" x14ac:dyDescent="0.2">
      <c r="AA104" s="59">
        <v>2158547</v>
      </c>
      <c r="AB104" s="60" t="s">
        <v>11</v>
      </c>
      <c r="AC104" s="61" t="s">
        <v>6</v>
      </c>
      <c r="AD104" s="10" t="s">
        <v>6</v>
      </c>
    </row>
    <row r="105" spans="27:30" x14ac:dyDescent="0.2">
      <c r="AA105" s="59">
        <v>2154270</v>
      </c>
      <c r="AB105" s="60" t="s">
        <v>12</v>
      </c>
      <c r="AC105" s="61" t="s">
        <v>6</v>
      </c>
      <c r="AD105" s="10" t="s">
        <v>8</v>
      </c>
    </row>
    <row r="106" spans="27:30" x14ac:dyDescent="0.2">
      <c r="AA106" s="59">
        <v>2151151</v>
      </c>
      <c r="AB106" s="60" t="s">
        <v>13</v>
      </c>
      <c r="AC106" s="61" t="s">
        <v>8</v>
      </c>
      <c r="AD106" s="10" t="s">
        <v>6</v>
      </c>
    </row>
    <row r="107" spans="27:30" x14ac:dyDescent="0.2">
      <c r="AA107" s="59">
        <v>2149718</v>
      </c>
      <c r="AB107" s="60" t="s">
        <v>14</v>
      </c>
      <c r="AC107" s="61" t="s">
        <v>8</v>
      </c>
      <c r="AD107" s="10" t="s">
        <v>8</v>
      </c>
    </row>
    <row r="108" spans="27:30" x14ac:dyDescent="0.2">
      <c r="AA108" s="59">
        <v>2160765</v>
      </c>
      <c r="AB108" s="60" t="s">
        <v>15</v>
      </c>
      <c r="AC108" s="61" t="s">
        <v>6</v>
      </c>
      <c r="AD108" s="10" t="s">
        <v>6</v>
      </c>
    </row>
    <row r="109" spans="27:30" x14ac:dyDescent="0.2">
      <c r="AA109" s="59">
        <v>2154169</v>
      </c>
      <c r="AB109" s="60" t="s">
        <v>16</v>
      </c>
      <c r="AC109" s="61" t="s">
        <v>6</v>
      </c>
      <c r="AD109" s="10" t="s">
        <v>8</v>
      </c>
    </row>
    <row r="110" spans="27:30" x14ac:dyDescent="0.2">
      <c r="AA110" s="59">
        <v>2154119</v>
      </c>
      <c r="AB110" s="60" t="s">
        <v>17</v>
      </c>
      <c r="AC110" s="61" t="s">
        <v>8</v>
      </c>
      <c r="AD110" s="10" t="s">
        <v>6</v>
      </c>
    </row>
    <row r="111" spans="27:30" x14ac:dyDescent="0.2">
      <c r="AA111" s="59">
        <v>2151457</v>
      </c>
      <c r="AB111" s="60" t="s">
        <v>18</v>
      </c>
      <c r="AC111" s="61" t="s">
        <v>8</v>
      </c>
      <c r="AD111" s="10" t="s">
        <v>8</v>
      </c>
    </row>
    <row r="112" spans="27:30" x14ac:dyDescent="0.2">
      <c r="AA112" s="59">
        <v>2153783</v>
      </c>
      <c r="AB112" s="60" t="s">
        <v>19</v>
      </c>
      <c r="AC112" s="61" t="s">
        <v>6</v>
      </c>
      <c r="AD112" s="10" t="s">
        <v>6</v>
      </c>
    </row>
    <row r="113" spans="27:30" x14ac:dyDescent="0.2">
      <c r="AA113" s="59">
        <v>2144514</v>
      </c>
      <c r="AB113" s="60" t="s">
        <v>20</v>
      </c>
      <c r="AC113" s="61" t="s">
        <v>6</v>
      </c>
      <c r="AD113" s="10" t="s">
        <v>8</v>
      </c>
    </row>
    <row r="114" spans="27:30" x14ac:dyDescent="0.2">
      <c r="AA114" s="59">
        <v>2160227</v>
      </c>
      <c r="AB114" s="60" t="s">
        <v>21</v>
      </c>
      <c r="AC114" s="61" t="s">
        <v>8</v>
      </c>
      <c r="AD114" s="10" t="s">
        <v>6</v>
      </c>
    </row>
    <row r="115" spans="27:30" x14ac:dyDescent="0.2">
      <c r="AA115" s="59">
        <v>2154928</v>
      </c>
      <c r="AB115" s="60" t="s">
        <v>22</v>
      </c>
      <c r="AC115" s="61" t="s">
        <v>8</v>
      </c>
      <c r="AD115" s="10" t="s">
        <v>8</v>
      </c>
    </row>
    <row r="116" spans="27:30" x14ac:dyDescent="0.2">
      <c r="AA116" s="59">
        <v>2129818</v>
      </c>
      <c r="AB116" s="60" t="s">
        <v>23</v>
      </c>
      <c r="AC116" s="61" t="s">
        <v>6</v>
      </c>
      <c r="AD116" s="10" t="s">
        <v>6</v>
      </c>
    </row>
    <row r="117" spans="27:30" x14ac:dyDescent="0.2">
      <c r="AA117" s="59">
        <v>2152483</v>
      </c>
      <c r="AB117" s="60" t="s">
        <v>24</v>
      </c>
      <c r="AC117" s="61" t="s">
        <v>6</v>
      </c>
      <c r="AD117" s="10" t="s">
        <v>8</v>
      </c>
    </row>
    <row r="118" spans="27:30" x14ac:dyDescent="0.2">
      <c r="AA118" s="59">
        <v>2156681</v>
      </c>
      <c r="AB118" s="60" t="s">
        <v>25</v>
      </c>
      <c r="AC118" s="61" t="s">
        <v>8</v>
      </c>
      <c r="AD118" s="10" t="s">
        <v>6</v>
      </c>
    </row>
    <row r="119" spans="27:30" x14ac:dyDescent="0.2">
      <c r="AA119" s="59">
        <v>2108636</v>
      </c>
      <c r="AB119" s="60" t="s">
        <v>26</v>
      </c>
      <c r="AC119" s="61" t="s">
        <v>8</v>
      </c>
      <c r="AD119" s="10" t="s">
        <v>8</v>
      </c>
    </row>
    <row r="120" spans="27:30" x14ac:dyDescent="0.2">
      <c r="AA120" s="59">
        <v>2131827</v>
      </c>
      <c r="AB120" s="60" t="s">
        <v>27</v>
      </c>
      <c r="AC120" s="61" t="s">
        <v>6</v>
      </c>
      <c r="AD120" s="10" t="s">
        <v>6</v>
      </c>
    </row>
    <row r="121" spans="27:30" x14ac:dyDescent="0.2">
      <c r="AA121" s="59">
        <v>2162528</v>
      </c>
      <c r="AB121" s="60" t="s">
        <v>28</v>
      </c>
      <c r="AC121" s="61" t="s">
        <v>6</v>
      </c>
      <c r="AD121" s="10" t="s">
        <v>8</v>
      </c>
    </row>
    <row r="122" spans="27:30" x14ac:dyDescent="0.2">
      <c r="AA122" s="59">
        <v>2122773</v>
      </c>
      <c r="AB122" s="60" t="s">
        <v>29</v>
      </c>
      <c r="AC122" s="61" t="s">
        <v>8</v>
      </c>
      <c r="AD122" s="10" t="s">
        <v>6</v>
      </c>
    </row>
    <row r="123" spans="27:30" x14ac:dyDescent="0.2">
      <c r="AA123" s="59">
        <v>2157252</v>
      </c>
      <c r="AB123" s="60" t="s">
        <v>30</v>
      </c>
      <c r="AC123" s="61" t="s">
        <v>8</v>
      </c>
      <c r="AD123" s="10" t="s">
        <v>8</v>
      </c>
    </row>
    <row r="124" spans="27:30" x14ac:dyDescent="0.2">
      <c r="AA124" s="59">
        <v>2146144</v>
      </c>
      <c r="AB124" s="60" t="s">
        <v>31</v>
      </c>
      <c r="AC124" s="61" t="s">
        <v>6</v>
      </c>
      <c r="AD124" s="10" t="s">
        <v>6</v>
      </c>
    </row>
    <row r="125" spans="27:30" x14ac:dyDescent="0.2">
      <c r="AA125" s="59">
        <v>2170408</v>
      </c>
      <c r="AB125" s="60" t="s">
        <v>32</v>
      </c>
      <c r="AC125" s="61" t="s">
        <v>6</v>
      </c>
      <c r="AD125" s="10" t="s">
        <v>8</v>
      </c>
    </row>
    <row r="126" spans="27:30" x14ac:dyDescent="0.2">
      <c r="AA126" s="59">
        <v>2156883</v>
      </c>
      <c r="AB126" s="60" t="s">
        <v>33</v>
      </c>
      <c r="AC126" s="61" t="s">
        <v>8</v>
      </c>
      <c r="AD126" s="10" t="s">
        <v>6</v>
      </c>
    </row>
  </sheetData>
  <sheetProtection algorithmName="SHA-512" hashValue="4qYoFnF3uUCJPgoHe6dYgvZ4TM2amqL3I5YJHmzczSh7pLCteO74LbJsV0fsyqjclYmo7IyVp5l55ECdsJiD/g==" saltValue="Dpo4gVEWtujYi9LTBmeamg==" spinCount="100000" sheet="1" objects="1" scenarios="1" selectLockedCells="1"/>
  <mergeCells count="6">
    <mergeCell ref="B24:I28"/>
    <mergeCell ref="B1:C1"/>
    <mergeCell ref="D1:H1"/>
    <mergeCell ref="B2:C2"/>
    <mergeCell ref="B4:I8"/>
    <mergeCell ref="B16:I17"/>
  </mergeCells>
  <conditionalFormatting sqref="I10 I12 I14 I32 I34 I36 E36">
    <cfRule type="expression" dxfId="1" priority="2">
      <formula>$A$2=0</formula>
    </cfRule>
  </conditionalFormatting>
  <conditionalFormatting sqref="D19:H22">
    <cfRule type="expression" dxfId="0" priority="1">
      <formula>$A$2=0</formula>
    </cfRule>
  </conditionalFormatting>
  <dataValidations count="1">
    <dataValidation type="list" allowBlank="1" showInputMessage="1" showErrorMessage="1" sqref="E36" xr:uid="{718116D7-D59D-44D9-ABBF-6ECA24E441DC}">
      <formula1>$AB$38:$AB$40</formula1>
    </dataValidation>
  </dataValidations>
  <pageMargins left="0.31496062992125984" right="0.31496062992125984" top="0.74803149606299213" bottom="0.35433070866141736" header="0.31496062992125984" footer="0.31496062992125984"/>
  <pageSetup scale="97"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F6346-6F29-0B49-9785-D29D51493147}">
  <dimension ref="A1:M64"/>
  <sheetViews>
    <sheetView topLeftCell="A18" zoomScale="83" workbookViewId="0">
      <selection activeCell="F50" sqref="F50"/>
    </sheetView>
  </sheetViews>
  <sheetFormatPr baseColWidth="10" defaultRowHeight="15" x14ac:dyDescent="0.2"/>
  <cols>
    <col min="6" max="6" width="12.33203125" bestFit="1" customWidth="1"/>
    <col min="11" max="12" width="11.33203125" bestFit="1" customWidth="1"/>
  </cols>
  <sheetData>
    <row r="1" spans="1:12" x14ac:dyDescent="0.2">
      <c r="A1" t="s">
        <v>66</v>
      </c>
    </row>
    <row r="2" spans="1:12" ht="16" thickBot="1" x14ac:dyDescent="0.25"/>
    <row r="3" spans="1:12" ht="16" thickBot="1" x14ac:dyDescent="0.25">
      <c r="A3" t="s">
        <v>50</v>
      </c>
      <c r="B3" s="88">
        <f>+((1+(12.12%/4))^(4/12))-1</f>
        <v>9.9996732345444261E-3</v>
      </c>
      <c r="D3" s="78"/>
      <c r="E3" s="78">
        <f>+B3</f>
        <v>9.9996732345444261E-3</v>
      </c>
    </row>
    <row r="4" spans="1:12" x14ac:dyDescent="0.2">
      <c r="A4" t="s">
        <v>51</v>
      </c>
      <c r="B4">
        <v>57</v>
      </c>
      <c r="E4">
        <v>10</v>
      </c>
      <c r="J4" t="s">
        <v>53</v>
      </c>
      <c r="K4" t="s">
        <v>54</v>
      </c>
      <c r="L4" t="s">
        <v>55</v>
      </c>
    </row>
    <row r="5" spans="1:12" ht="16" thickBot="1" x14ac:dyDescent="0.25">
      <c r="A5" t="s">
        <v>67</v>
      </c>
      <c r="B5" s="72">
        <v>960000</v>
      </c>
      <c r="C5" s="72"/>
      <c r="D5" s="72"/>
      <c r="E5" s="72">
        <f>+J55</f>
        <v>189426.40801868288</v>
      </c>
      <c r="F5" s="72"/>
      <c r="G5" s="72"/>
      <c r="H5" s="72"/>
      <c r="I5">
        <v>1</v>
      </c>
      <c r="J5" s="82">
        <f>B5</f>
        <v>960000</v>
      </c>
      <c r="K5" s="83">
        <f>+J5*$B$3</f>
        <v>9599.6863051626497</v>
      </c>
      <c r="L5" s="82"/>
    </row>
    <row r="6" spans="1:12" ht="16" thickBot="1" x14ac:dyDescent="0.25">
      <c r="A6" t="s">
        <v>52</v>
      </c>
      <c r="B6" s="87">
        <f>-PMT(B3,B4,B5)</f>
        <v>22177.308221078234</v>
      </c>
      <c r="C6" s="72"/>
      <c r="D6" s="72"/>
      <c r="E6" s="87">
        <f>-PMT(E3,E4,E5)</f>
        <v>19999.998454967521</v>
      </c>
      <c r="F6" s="72"/>
      <c r="G6" s="72"/>
      <c r="H6" s="72"/>
      <c r="I6">
        <v>2</v>
      </c>
      <c r="J6" s="82">
        <f>+J5</f>
        <v>960000</v>
      </c>
      <c r="K6" s="83">
        <f>+K5</f>
        <v>9599.6863051626497</v>
      </c>
    </row>
    <row r="7" spans="1:12" x14ac:dyDescent="0.2">
      <c r="B7" s="72"/>
      <c r="C7" s="72"/>
      <c r="D7" s="72"/>
      <c r="E7" s="72"/>
      <c r="F7" s="72"/>
      <c r="G7" s="72"/>
      <c r="H7" s="72"/>
      <c r="I7">
        <v>3</v>
      </c>
      <c r="J7" s="82">
        <f>+J6</f>
        <v>960000</v>
      </c>
      <c r="K7" s="83">
        <f>+K6</f>
        <v>9599.6863051626497</v>
      </c>
    </row>
    <row r="8" spans="1:12" x14ac:dyDescent="0.2">
      <c r="B8" s="72"/>
      <c r="C8" s="72"/>
      <c r="D8" s="72"/>
      <c r="E8" s="72"/>
      <c r="F8" s="72"/>
      <c r="G8" s="72"/>
      <c r="H8" s="72"/>
      <c r="I8">
        <v>4</v>
      </c>
      <c r="J8" s="82">
        <f>+J7</f>
        <v>960000</v>
      </c>
      <c r="K8" s="84">
        <f>J8*$B$3</f>
        <v>9599.6863051626497</v>
      </c>
      <c r="L8" s="82">
        <f>+$B$6-K8</f>
        <v>12577.621915915584</v>
      </c>
    </row>
    <row r="9" spans="1:12" x14ac:dyDescent="0.2">
      <c r="B9" s="73">
        <f>+B3</f>
        <v>9.9996732345444261E-3</v>
      </c>
      <c r="C9" s="72"/>
      <c r="D9" s="72"/>
      <c r="E9" s="72"/>
      <c r="F9" s="72"/>
      <c r="G9" s="72"/>
      <c r="H9" s="72"/>
      <c r="I9">
        <v>5</v>
      </c>
      <c r="J9" s="82">
        <f>+J8-L8</f>
        <v>947422.37808408437</v>
      </c>
      <c r="K9" s="84">
        <f>J9*$B$3</f>
        <v>9473.9141959358476</v>
      </c>
      <c r="L9" s="82">
        <f>+$B$6-K9</f>
        <v>12703.394025142386</v>
      </c>
    </row>
    <row r="10" spans="1:12" x14ac:dyDescent="0.2">
      <c r="B10" s="72">
        <f>+B4</f>
        <v>57</v>
      </c>
      <c r="C10" s="72"/>
      <c r="D10" s="72"/>
      <c r="E10" s="72"/>
      <c r="F10" s="72"/>
      <c r="G10" s="72"/>
      <c r="H10" s="72"/>
      <c r="I10">
        <v>6</v>
      </c>
      <c r="J10" s="82">
        <f t="shared" ref="J10:J55" si="0">+J9-L9</f>
        <v>934718.98405894195</v>
      </c>
      <c r="K10" s="84">
        <f t="shared" ref="K10:K64" si="1">J10*$B$3</f>
        <v>9346.8844067147602</v>
      </c>
      <c r="L10" s="82">
        <f t="shared" ref="L10:L53" si="2">+$B$6-K10</f>
        <v>12830.423814363474</v>
      </c>
    </row>
    <row r="11" spans="1:12" x14ac:dyDescent="0.2">
      <c r="B11" s="72">
        <f>+B5-20622</f>
        <v>939378</v>
      </c>
      <c r="C11" s="72"/>
      <c r="D11" s="72"/>
      <c r="E11" s="72"/>
      <c r="F11" s="72"/>
      <c r="G11" s="72"/>
      <c r="H11" s="72"/>
      <c r="I11">
        <v>7</v>
      </c>
      <c r="J11" s="82">
        <f t="shared" si="0"/>
        <v>921888.56024457852</v>
      </c>
      <c r="K11" s="84">
        <f t="shared" si="1"/>
        <v>9218.5843611104083</v>
      </c>
      <c r="L11" s="82">
        <f t="shared" si="2"/>
        <v>12958.723859967826</v>
      </c>
    </row>
    <row r="12" spans="1:12" x14ac:dyDescent="0.2">
      <c r="B12" s="72">
        <f>-PMT(B9,B10,B11)</f>
        <v>21700.911918854195</v>
      </c>
      <c r="C12" s="72"/>
      <c r="D12" s="72"/>
      <c r="E12" s="72"/>
      <c r="F12" s="72"/>
      <c r="G12" s="72"/>
      <c r="H12" s="72"/>
      <c r="I12">
        <v>8</v>
      </c>
      <c r="J12" s="82">
        <f t="shared" si="0"/>
        <v>908929.83638461074</v>
      </c>
      <c r="K12" s="84">
        <f t="shared" si="1"/>
        <v>9089.0013569740368</v>
      </c>
      <c r="L12" s="82">
        <f t="shared" si="2"/>
        <v>13088.306864104197</v>
      </c>
    </row>
    <row r="13" spans="1:12" x14ac:dyDescent="0.2">
      <c r="B13" s="72"/>
      <c r="C13" s="72"/>
      <c r="D13" s="72"/>
      <c r="E13" s="72"/>
      <c r="F13" s="72"/>
      <c r="G13" s="72"/>
      <c r="H13" s="72"/>
      <c r="I13">
        <v>9</v>
      </c>
      <c r="J13" s="82">
        <f t="shared" si="0"/>
        <v>895841.5295205065</v>
      </c>
      <c r="K13" s="84">
        <f t="shared" si="1"/>
        <v>8958.1225651395489</v>
      </c>
      <c r="L13" s="82">
        <f t="shared" si="2"/>
        <v>13219.185655938685</v>
      </c>
    </row>
    <row r="14" spans="1:12" x14ac:dyDescent="0.2">
      <c r="B14" s="72"/>
      <c r="C14" s="72"/>
      <c r="D14" s="72"/>
      <c r="E14" s="72"/>
      <c r="F14" s="72"/>
      <c r="G14" s="72"/>
      <c r="H14" s="72"/>
      <c r="I14">
        <v>10</v>
      </c>
      <c r="J14" s="82">
        <f t="shared" si="0"/>
        <v>882622.34386456781</v>
      </c>
      <c r="K14" s="84">
        <f t="shared" si="1"/>
        <v>8825.9350281533862</v>
      </c>
      <c r="L14" s="82">
        <f t="shared" si="2"/>
        <v>13351.373192924848</v>
      </c>
    </row>
    <row r="15" spans="1:12" x14ac:dyDescent="0.2">
      <c r="B15" s="72"/>
      <c r="C15" s="72"/>
      <c r="D15" s="72"/>
      <c r="E15" s="72"/>
      <c r="F15" s="72"/>
      <c r="G15" s="72"/>
      <c r="H15" s="72"/>
      <c r="I15">
        <v>11</v>
      </c>
      <c r="J15" s="82">
        <f t="shared" si="0"/>
        <v>869270.97067164292</v>
      </c>
      <c r="K15" s="84">
        <f t="shared" si="1"/>
        <v>8692.4256589916804</v>
      </c>
      <c r="L15" s="82">
        <f t="shared" si="2"/>
        <v>13484.882562086554</v>
      </c>
    </row>
    <row r="16" spans="1:12" x14ac:dyDescent="0.2">
      <c r="I16">
        <v>12</v>
      </c>
      <c r="J16" s="82">
        <f t="shared" si="0"/>
        <v>855786.08810955635</v>
      </c>
      <c r="K16" s="84">
        <f t="shared" si="1"/>
        <v>8557.5812397646077</v>
      </c>
      <c r="L16" s="82">
        <f t="shared" si="2"/>
        <v>13619.726981313626</v>
      </c>
    </row>
    <row r="17" spans="1:12" x14ac:dyDescent="0.2">
      <c r="I17">
        <v>13</v>
      </c>
      <c r="J17" s="82">
        <f t="shared" si="0"/>
        <v>842166.36112824269</v>
      </c>
      <c r="K17" s="84">
        <f t="shared" si="1"/>
        <v>8421.388420407764</v>
      </c>
      <c r="L17" s="82">
        <f t="shared" si="2"/>
        <v>13755.91980067047</v>
      </c>
    </row>
    <row r="18" spans="1:12" x14ac:dyDescent="0.2">
      <c r="A18" t="s">
        <v>34</v>
      </c>
      <c r="D18" s="63">
        <v>0</v>
      </c>
      <c r="E18" s="63">
        <v>1</v>
      </c>
      <c r="F18" s="63">
        <v>2</v>
      </c>
      <c r="G18" s="63">
        <v>3</v>
      </c>
      <c r="I18">
        <v>14</v>
      </c>
      <c r="J18" s="82">
        <f t="shared" si="0"/>
        <v>828410.44132757222</v>
      </c>
      <c r="K18" s="84">
        <f t="shared" si="1"/>
        <v>8283.8337173604596</v>
      </c>
      <c r="L18" s="82">
        <f t="shared" si="2"/>
        <v>13893.474503717774</v>
      </c>
    </row>
    <row r="19" spans="1:12" x14ac:dyDescent="0.2">
      <c r="B19" t="s">
        <v>35</v>
      </c>
      <c r="E19" s="64">
        <v>120000</v>
      </c>
      <c r="F19" s="64">
        <v>132000</v>
      </c>
      <c r="G19" s="64">
        <v>145200</v>
      </c>
      <c r="I19">
        <v>15</v>
      </c>
      <c r="J19" s="82">
        <f t="shared" si="0"/>
        <v>814516.96682385448</v>
      </c>
      <c r="K19" s="84">
        <f t="shared" si="1"/>
        <v>8144.9035122308078</v>
      </c>
      <c r="L19" s="82">
        <f t="shared" si="2"/>
        <v>14032.404708847425</v>
      </c>
    </row>
    <row r="20" spans="1:12" x14ac:dyDescent="0.2">
      <c r="B20" t="s">
        <v>36</v>
      </c>
      <c r="E20" s="65">
        <v>2.5</v>
      </c>
      <c r="F20" s="65">
        <v>3.2</v>
      </c>
      <c r="G20" s="65">
        <v>4.0999999999999996</v>
      </c>
      <c r="I20">
        <v>16</v>
      </c>
      <c r="J20" s="82">
        <f t="shared" si="0"/>
        <v>800484.56211500708</v>
      </c>
      <c r="K20" s="84">
        <f t="shared" si="1"/>
        <v>8004.5840504474518</v>
      </c>
      <c r="L20" s="82">
        <f t="shared" si="2"/>
        <v>14172.724170630783</v>
      </c>
    </row>
    <row r="21" spans="1:12" x14ac:dyDescent="0.2">
      <c r="B21" t="s">
        <v>37</v>
      </c>
      <c r="E21" s="65">
        <v>1.5</v>
      </c>
      <c r="F21" s="65">
        <v>2</v>
      </c>
      <c r="G21" s="65">
        <v>2.5</v>
      </c>
      <c r="I21">
        <v>17</v>
      </c>
      <c r="J21" s="82">
        <f t="shared" si="0"/>
        <v>786311.83794437628</v>
      </c>
      <c r="K21" s="84">
        <f t="shared" si="1"/>
        <v>7862.8614398978134</v>
      </c>
      <c r="L21" s="82">
        <f t="shared" si="2"/>
        <v>14314.446781180421</v>
      </c>
    </row>
    <row r="22" spans="1:12" x14ac:dyDescent="0.2">
      <c r="B22" t="s">
        <v>38</v>
      </c>
      <c r="E22" s="64">
        <v>23600</v>
      </c>
      <c r="F22" s="64">
        <v>29600</v>
      </c>
      <c r="G22" s="64">
        <v>33715</v>
      </c>
      <c r="I22">
        <v>18</v>
      </c>
      <c r="J22" s="82">
        <f t="shared" si="0"/>
        <v>771997.39116319583</v>
      </c>
      <c r="K22" s="84">
        <f t="shared" si="1"/>
        <v>7719.7216495527327</v>
      </c>
      <c r="L22" s="82">
        <f t="shared" si="2"/>
        <v>14457.586571525502</v>
      </c>
    </row>
    <row r="23" spans="1:12" x14ac:dyDescent="0.2">
      <c r="I23">
        <v>19</v>
      </c>
      <c r="J23" s="82">
        <f t="shared" si="0"/>
        <v>757539.80459167028</v>
      </c>
      <c r="K23" s="84">
        <f t="shared" si="1"/>
        <v>7575.1505080773404</v>
      </c>
      <c r="L23" s="82">
        <f t="shared" si="2"/>
        <v>14602.157713000894</v>
      </c>
    </row>
    <row r="24" spans="1:12" x14ac:dyDescent="0.2">
      <c r="I24">
        <v>20</v>
      </c>
      <c r="J24" s="82">
        <f t="shared" si="0"/>
        <v>742937.64687866939</v>
      </c>
      <c r="K24" s="84">
        <f t="shared" si="1"/>
        <v>7429.1337024280483</v>
      </c>
      <c r="L24" s="82">
        <f t="shared" si="2"/>
        <v>14748.174518650187</v>
      </c>
    </row>
    <row r="25" spans="1:12" ht="16" x14ac:dyDescent="0.2">
      <c r="A25" s="66" t="s">
        <v>39</v>
      </c>
      <c r="E25" s="68">
        <f>+E19*E20</f>
        <v>300000</v>
      </c>
      <c r="F25" s="68">
        <f t="shared" ref="F25:G25" si="3">+F19*F20</f>
        <v>422400</v>
      </c>
      <c r="G25" s="68">
        <f t="shared" si="3"/>
        <v>595320</v>
      </c>
      <c r="I25">
        <v>21</v>
      </c>
      <c r="J25" s="82">
        <f t="shared" si="0"/>
        <v>728189.47236001922</v>
      </c>
      <c r="K25" s="84">
        <f t="shared" si="1"/>
        <v>7281.6567764355123</v>
      </c>
      <c r="L25" s="82">
        <f t="shared" si="2"/>
        <v>14895.651444642721</v>
      </c>
    </row>
    <row r="26" spans="1:12" ht="16" x14ac:dyDescent="0.2">
      <c r="A26" s="66" t="s">
        <v>40</v>
      </c>
      <c r="E26" s="69">
        <f>-E19*E21</f>
        <v>-180000</v>
      </c>
      <c r="F26" s="69">
        <f t="shared" ref="F26:G26" si="4">-F19*F21</f>
        <v>-264000</v>
      </c>
      <c r="G26" s="69">
        <f t="shared" si="4"/>
        <v>-363000</v>
      </c>
      <c r="I26">
        <v>22</v>
      </c>
      <c r="J26" s="82">
        <f t="shared" si="0"/>
        <v>713293.82091537653</v>
      </c>
      <c r="K26" s="84">
        <f t="shared" si="1"/>
        <v>7132.7051293734157</v>
      </c>
      <c r="L26" s="82">
        <f t="shared" si="2"/>
        <v>15044.603091704819</v>
      </c>
    </row>
    <row r="27" spans="1:12" s="70" customFormat="1" ht="16" x14ac:dyDescent="0.2">
      <c r="A27" s="67" t="s">
        <v>41</v>
      </c>
      <c r="E27" s="71">
        <f>+E25+E26</f>
        <v>120000</v>
      </c>
      <c r="F27" s="71">
        <f t="shared" ref="F27:G27" si="5">+F25+F26</f>
        <v>158400</v>
      </c>
      <c r="G27" s="71">
        <f t="shared" si="5"/>
        <v>232320</v>
      </c>
      <c r="I27">
        <v>23</v>
      </c>
      <c r="J27" s="82">
        <f t="shared" si="0"/>
        <v>698249.21782367176</v>
      </c>
      <c r="K27" s="84">
        <f t="shared" si="1"/>
        <v>6982.2640145129517</v>
      </c>
      <c r="L27" s="82">
        <f t="shared" si="2"/>
        <v>15195.044206565282</v>
      </c>
    </row>
    <row r="28" spans="1:12" ht="16" x14ac:dyDescent="0.2">
      <c r="A28" s="66" t="s">
        <v>42</v>
      </c>
      <c r="E28" s="68">
        <f>-E22</f>
        <v>-23600</v>
      </c>
      <c r="F28" s="68">
        <f t="shared" ref="F28:G28" si="6">-F22</f>
        <v>-29600</v>
      </c>
      <c r="G28" s="68">
        <f t="shared" si="6"/>
        <v>-33715</v>
      </c>
      <c r="I28">
        <v>24</v>
      </c>
      <c r="J28" s="82">
        <f t="shared" si="0"/>
        <v>683054.17361710651</v>
      </c>
      <c r="K28" s="84">
        <f t="shared" si="1"/>
        <v>6830.3185376628417</v>
      </c>
      <c r="L28" s="82">
        <f t="shared" si="2"/>
        <v>15346.989683415391</v>
      </c>
    </row>
    <row r="29" spans="1:12" ht="16" x14ac:dyDescent="0.2">
      <c r="A29" s="66" t="s">
        <v>43</v>
      </c>
      <c r="E29" s="69">
        <v>-32000</v>
      </c>
      <c r="F29" s="69">
        <v>-32000</v>
      </c>
      <c r="G29" s="69">
        <v>-32000</v>
      </c>
      <c r="I29">
        <v>25</v>
      </c>
      <c r="J29" s="82">
        <f t="shared" si="0"/>
        <v>667707.18393369112</v>
      </c>
      <c r="K29" s="84">
        <f t="shared" si="1"/>
        <v>6676.8536556947629</v>
      </c>
      <c r="L29" s="82">
        <f t="shared" si="2"/>
        <v>15500.454565383472</v>
      </c>
    </row>
    <row r="30" spans="1:12" s="70" customFormat="1" ht="16" x14ac:dyDescent="0.2">
      <c r="A30" s="67" t="s">
        <v>44</v>
      </c>
      <c r="E30" s="71">
        <f>+E27+E28+E29</f>
        <v>64400</v>
      </c>
      <c r="F30" s="71">
        <f t="shared" ref="F30:G30" si="7">+F27+F28+F29</f>
        <v>96800</v>
      </c>
      <c r="G30" s="71">
        <f t="shared" si="7"/>
        <v>166605</v>
      </c>
      <c r="I30">
        <v>26</v>
      </c>
      <c r="J30" s="82">
        <f t="shared" si="0"/>
        <v>652206.72936830763</v>
      </c>
      <c r="K30" s="84">
        <f t="shared" si="1"/>
        <v>6521.8541750540262</v>
      </c>
      <c r="L30" s="82">
        <f t="shared" si="2"/>
        <v>15655.454046024208</v>
      </c>
    </row>
    <row r="31" spans="1:12" ht="16" x14ac:dyDescent="0.2">
      <c r="A31" s="66" t="s">
        <v>45</v>
      </c>
      <c r="E31" s="69">
        <f>-E39</f>
        <v>-48143.999999999993</v>
      </c>
      <c r="F31" s="69">
        <f t="shared" ref="F31:G31" si="8">-F39</f>
        <v>-35524.756095363766</v>
      </c>
      <c r="G31" s="69">
        <f t="shared" si="8"/>
        <v>-19741.236781640004</v>
      </c>
      <c r="I31">
        <v>27</v>
      </c>
      <c r="J31" s="82">
        <f t="shared" si="0"/>
        <v>636551.27532228339</v>
      </c>
      <c r="K31" s="84">
        <f t="shared" si="1"/>
        <v>6365.3047502553572</v>
      </c>
      <c r="L31" s="82">
        <f t="shared" si="2"/>
        <v>15812.003470822878</v>
      </c>
    </row>
    <row r="32" spans="1:12" s="70" customFormat="1" ht="16" x14ac:dyDescent="0.2">
      <c r="A32" s="67" t="s">
        <v>46</v>
      </c>
      <c r="E32" s="71">
        <f>+E30+E31</f>
        <v>16256.000000000007</v>
      </c>
      <c r="F32" s="71">
        <f t="shared" ref="F32:G32" si="9">+F30+F31</f>
        <v>61275.243904636234</v>
      </c>
      <c r="G32" s="71">
        <f t="shared" si="9"/>
        <v>146863.76321835999</v>
      </c>
      <c r="I32">
        <v>28</v>
      </c>
      <c r="J32" s="82">
        <f t="shared" si="0"/>
        <v>620739.27185146045</v>
      </c>
      <c r="K32" s="84">
        <f t="shared" si="1"/>
        <v>6207.1898823636457</v>
      </c>
      <c r="L32" s="82">
        <f t="shared" si="2"/>
        <v>15970.118338714588</v>
      </c>
    </row>
    <row r="33" spans="1:12" ht="16" x14ac:dyDescent="0.2">
      <c r="A33" s="66" t="s">
        <v>47</v>
      </c>
      <c r="E33" s="69">
        <f>-E32*0.32</f>
        <v>-5201.9200000000028</v>
      </c>
      <c r="F33" s="69">
        <f t="shared" ref="F33:G33" si="10">-F32*0.32</f>
        <v>-19608.078049483596</v>
      </c>
      <c r="G33" s="69">
        <f t="shared" si="10"/>
        <v>-46996.404229875196</v>
      </c>
      <c r="I33">
        <v>29</v>
      </c>
      <c r="J33" s="82">
        <f t="shared" si="0"/>
        <v>604769.15351274586</v>
      </c>
      <c r="K33" s="84">
        <f t="shared" si="1"/>
        <v>6047.4939174594938</v>
      </c>
      <c r="L33" s="82">
        <f t="shared" si="2"/>
        <v>16129.814303618739</v>
      </c>
    </row>
    <row r="34" spans="1:12" s="70" customFormat="1" ht="16" x14ac:dyDescent="0.2">
      <c r="A34" s="67" t="s">
        <v>48</v>
      </c>
      <c r="E34" s="71">
        <f>+E32+E33</f>
        <v>11054.080000000005</v>
      </c>
      <c r="F34" s="71">
        <f t="shared" ref="F34:G34" si="11">+F32+F33</f>
        <v>41667.165855152634</v>
      </c>
      <c r="G34" s="71">
        <f t="shared" si="11"/>
        <v>99867.358988484804</v>
      </c>
      <c r="I34">
        <v>30</v>
      </c>
      <c r="J34" s="82">
        <f t="shared" si="0"/>
        <v>588639.33920912712</v>
      </c>
      <c r="K34" s="84">
        <f t="shared" si="1"/>
        <v>5886.2010450894259</v>
      </c>
      <c r="L34" s="82">
        <f t="shared" si="2"/>
        <v>16291.107175988807</v>
      </c>
    </row>
    <row r="35" spans="1:12" x14ac:dyDescent="0.2">
      <c r="I35">
        <v>31</v>
      </c>
      <c r="J35" s="82">
        <f t="shared" si="0"/>
        <v>572348.23203313828</v>
      </c>
      <c r="K35" s="84">
        <f t="shared" si="1"/>
        <v>5723.2952967005958</v>
      </c>
      <c r="L35" s="82">
        <f t="shared" si="2"/>
        <v>16454.012924377639</v>
      </c>
    </row>
    <row r="36" spans="1:12" x14ac:dyDescent="0.2">
      <c r="I36">
        <v>32</v>
      </c>
      <c r="J36" s="82">
        <f t="shared" si="0"/>
        <v>555894.21910876059</v>
      </c>
      <c r="K36" s="84">
        <f t="shared" si="1"/>
        <v>5558.7605440598481</v>
      </c>
      <c r="L36" s="82">
        <f t="shared" si="2"/>
        <v>16618.547677018385</v>
      </c>
    </row>
    <row r="37" spans="1:12" x14ac:dyDescent="0.2">
      <c r="I37">
        <v>33</v>
      </c>
      <c r="J37" s="82">
        <f t="shared" si="0"/>
        <v>539275.67143174226</v>
      </c>
      <c r="K37" s="84">
        <f t="shared" si="1"/>
        <v>5392.5804976569671</v>
      </c>
      <c r="L37" s="82">
        <f t="shared" si="2"/>
        <v>16784.727723421267</v>
      </c>
    </row>
    <row r="38" spans="1:12" x14ac:dyDescent="0.2">
      <c r="A38" t="s">
        <v>49</v>
      </c>
      <c r="B38" s="72">
        <v>192000</v>
      </c>
      <c r="C38" s="72"/>
      <c r="D38" s="72" t="s">
        <v>53</v>
      </c>
      <c r="E38" s="72">
        <f>+B38</f>
        <v>192000</v>
      </c>
      <c r="F38" s="72">
        <f>+E38-E40</f>
        <v>141674.00237433208</v>
      </c>
      <c r="G38" s="72">
        <f>+F38-F40</f>
        <v>78728.760844027944</v>
      </c>
      <c r="H38" s="72"/>
      <c r="I38">
        <v>34</v>
      </c>
      <c r="J38" s="82">
        <f t="shared" si="0"/>
        <v>522490.94370832096</v>
      </c>
      <c r="K38" s="84">
        <f t="shared" si="1"/>
        <v>5224.7387050919551</v>
      </c>
      <c r="L38" s="82">
        <f t="shared" si="2"/>
        <v>16952.569515986281</v>
      </c>
    </row>
    <row r="39" spans="1:12" x14ac:dyDescent="0.2">
      <c r="A39" t="s">
        <v>50</v>
      </c>
      <c r="B39" s="74">
        <v>0.25074999999999997</v>
      </c>
      <c r="C39" s="72"/>
      <c r="D39" s="72" t="s">
        <v>56</v>
      </c>
      <c r="E39" s="72">
        <f>+E38*$B$39</f>
        <v>48143.999999999993</v>
      </c>
      <c r="F39" s="72">
        <f>+F38*$B$39</f>
        <v>35524.756095363766</v>
      </c>
      <c r="G39" s="72">
        <f>+G38*$B$39</f>
        <v>19741.236781640004</v>
      </c>
      <c r="H39" s="72"/>
      <c r="I39">
        <v>35</v>
      </c>
      <c r="J39" s="82">
        <f t="shared" si="0"/>
        <v>505538.37419233471</v>
      </c>
      <c r="K39" s="84">
        <f t="shared" si="1"/>
        <v>5055.2185494461937</v>
      </c>
      <c r="L39" s="82">
        <f t="shared" si="2"/>
        <v>17122.089671632042</v>
      </c>
    </row>
    <row r="40" spans="1:12" x14ac:dyDescent="0.2">
      <c r="A40" t="s">
        <v>51</v>
      </c>
      <c r="B40" s="72">
        <v>3</v>
      </c>
      <c r="C40" s="72"/>
      <c r="D40" s="72" t="s">
        <v>55</v>
      </c>
      <c r="E40" s="72">
        <f>+$B$41-E39</f>
        <v>50325.997625667915</v>
      </c>
      <c r="F40" s="72">
        <f>+$B$41-F39</f>
        <v>62945.241530304142</v>
      </c>
      <c r="G40" s="72">
        <f>+$B$41-G39</f>
        <v>78728.7608440279</v>
      </c>
      <c r="H40" s="72"/>
      <c r="I40">
        <v>36</v>
      </c>
      <c r="J40" s="82">
        <f t="shared" si="0"/>
        <v>488416.28452070267</v>
      </c>
      <c r="K40" s="84">
        <f t="shared" si="1"/>
        <v>4884.0032476373053</v>
      </c>
      <c r="L40" s="82">
        <f t="shared" si="2"/>
        <v>17293.304973440929</v>
      </c>
    </row>
    <row r="41" spans="1:12" x14ac:dyDescent="0.2">
      <c r="A41" t="s">
        <v>52</v>
      </c>
      <c r="B41" s="72">
        <f>-PMT(B39,B40,B38)</f>
        <v>98469.997625667907</v>
      </c>
      <c r="C41" s="72"/>
      <c r="D41" s="72"/>
      <c r="E41" s="72"/>
      <c r="F41" s="72"/>
      <c r="G41" s="72"/>
      <c r="H41" s="72"/>
      <c r="I41">
        <v>37</v>
      </c>
      <c r="J41" s="82">
        <f t="shared" si="0"/>
        <v>471122.97954726173</v>
      </c>
      <c r="K41" s="84">
        <f t="shared" si="1"/>
        <v>4711.075848757574</v>
      </c>
      <c r="L41" s="82">
        <f t="shared" si="2"/>
        <v>17466.232372320661</v>
      </c>
    </row>
    <row r="42" spans="1:12" x14ac:dyDescent="0.2">
      <c r="B42" s="72"/>
      <c r="C42" s="72"/>
      <c r="D42" s="72"/>
      <c r="E42" s="72"/>
      <c r="F42" s="72"/>
      <c r="G42" s="72"/>
      <c r="H42" s="72"/>
      <c r="I42">
        <v>38</v>
      </c>
      <c r="J42" s="82">
        <f t="shared" si="0"/>
        <v>453656.74717494106</v>
      </c>
      <c r="K42" s="84">
        <f t="shared" si="1"/>
        <v>4536.4192323957459</v>
      </c>
      <c r="L42" s="82">
        <f t="shared" si="2"/>
        <v>17640.888988682487</v>
      </c>
    </row>
    <row r="43" spans="1:12" x14ac:dyDescent="0.2">
      <c r="B43" s="72"/>
      <c r="C43" s="72"/>
      <c r="D43" s="72"/>
      <c r="E43" s="72"/>
      <c r="F43" s="72"/>
      <c r="G43" s="72"/>
      <c r="H43" s="72"/>
      <c r="I43">
        <v>39</v>
      </c>
      <c r="J43" s="82">
        <f t="shared" si="0"/>
        <v>436015.85818625859</v>
      </c>
      <c r="K43" s="84">
        <f t="shared" si="1"/>
        <v>4360.0161069420483</v>
      </c>
      <c r="L43" s="82">
        <f t="shared" si="2"/>
        <v>17817.292114136188</v>
      </c>
    </row>
    <row r="44" spans="1:12" x14ac:dyDescent="0.2">
      <c r="B44" s="72"/>
      <c r="C44" s="72"/>
      <c r="D44" s="72"/>
      <c r="E44" s="72"/>
      <c r="F44" s="72"/>
      <c r="G44" s="72"/>
      <c r="H44" s="72"/>
      <c r="I44">
        <v>40</v>
      </c>
      <c r="J44" s="82">
        <f t="shared" si="0"/>
        <v>418198.56607212243</v>
      </c>
      <c r="K44" s="84">
        <f t="shared" si="1"/>
        <v>4181.8490078762616</v>
      </c>
      <c r="L44" s="82">
        <f t="shared" si="2"/>
        <v>17995.459213201972</v>
      </c>
    </row>
    <row r="45" spans="1:12" s="70" customFormat="1" x14ac:dyDescent="0.2">
      <c r="A45" s="70" t="s">
        <v>48</v>
      </c>
      <c r="B45" s="76"/>
      <c r="C45" s="76"/>
      <c r="D45" s="76"/>
      <c r="E45" s="75">
        <v>11054.080000000005</v>
      </c>
      <c r="F45" s="75">
        <v>41667.165855152634</v>
      </c>
      <c r="G45" s="75">
        <v>99867.358988484804</v>
      </c>
      <c r="H45" s="75"/>
      <c r="I45">
        <v>41</v>
      </c>
      <c r="J45" s="82">
        <f t="shared" si="0"/>
        <v>400203.10685892048</v>
      </c>
      <c r="K45" s="84">
        <f t="shared" si="1"/>
        <v>4001.9002960386701</v>
      </c>
      <c r="L45" s="82">
        <f t="shared" si="2"/>
        <v>18175.407925039563</v>
      </c>
    </row>
    <row r="46" spans="1:12" x14ac:dyDescent="0.2">
      <c r="A46" t="s">
        <v>43</v>
      </c>
      <c r="B46" s="72"/>
      <c r="C46" s="72"/>
      <c r="D46" s="72"/>
      <c r="E46" s="72">
        <v>32000</v>
      </c>
      <c r="F46" s="72">
        <v>32000</v>
      </c>
      <c r="G46" s="72">
        <v>32000</v>
      </c>
      <c r="H46" s="72"/>
      <c r="I46">
        <v>42</v>
      </c>
      <c r="J46" s="82">
        <f t="shared" si="0"/>
        <v>382027.69893388089</v>
      </c>
      <c r="K46" s="84">
        <f t="shared" si="1"/>
        <v>3820.1521558837248</v>
      </c>
      <c r="L46" s="82">
        <f t="shared" si="2"/>
        <v>18357.156065194511</v>
      </c>
    </row>
    <row r="47" spans="1:12" x14ac:dyDescent="0.2">
      <c r="A47" t="s">
        <v>57</v>
      </c>
      <c r="B47" s="72"/>
      <c r="C47" s="72"/>
      <c r="D47" s="72">
        <v>-320000</v>
      </c>
      <c r="E47" s="72"/>
      <c r="F47" s="72"/>
      <c r="G47" s="72">
        <f>-D47-SUM(E46:G46)</f>
        <v>224000</v>
      </c>
      <c r="H47" s="72"/>
      <c r="I47">
        <v>43</v>
      </c>
      <c r="J47" s="82">
        <f t="shared" si="0"/>
        <v>363670.54286868637</v>
      </c>
      <c r="K47" s="84">
        <f t="shared" si="1"/>
        <v>3636.5865937162444</v>
      </c>
      <c r="L47" s="82">
        <f t="shared" si="2"/>
        <v>18540.721627361989</v>
      </c>
    </row>
    <row r="48" spans="1:12" s="70" customFormat="1" ht="16" thickBot="1" x14ac:dyDescent="0.25">
      <c r="A48" s="70" t="s">
        <v>58</v>
      </c>
      <c r="B48" s="75"/>
      <c r="C48" s="75"/>
      <c r="D48" s="75">
        <f>SUM(D45:D47)</f>
        <v>-320000</v>
      </c>
      <c r="E48" s="75">
        <f t="shared" ref="E48:G48" si="12">SUM(E45:E47)</f>
        <v>43054.080000000002</v>
      </c>
      <c r="F48" s="75">
        <f t="shared" si="12"/>
        <v>73667.165855152634</v>
      </c>
      <c r="G48" s="75">
        <f t="shared" si="12"/>
        <v>355867.35898848483</v>
      </c>
      <c r="H48" s="75"/>
      <c r="I48">
        <v>44</v>
      </c>
      <c r="J48" s="82">
        <f t="shared" si="0"/>
        <v>345129.82124132436</v>
      </c>
      <c r="K48" s="84">
        <f t="shared" si="1"/>
        <v>3451.1854359099734</v>
      </c>
      <c r="L48" s="82">
        <f t="shared" si="2"/>
        <v>18726.12278516826</v>
      </c>
    </row>
    <row r="49" spans="1:13" ht="16" thickBot="1" x14ac:dyDescent="0.25">
      <c r="A49" t="s">
        <v>59</v>
      </c>
      <c r="B49" s="80">
        <f>NPV(D55,E48:G48)+D48</f>
        <v>-1224.2326216724468</v>
      </c>
      <c r="C49" s="72"/>
      <c r="D49" s="72"/>
      <c r="E49" s="72"/>
      <c r="F49" s="72"/>
      <c r="G49" s="72"/>
      <c r="H49" s="72"/>
      <c r="I49">
        <v>45</v>
      </c>
      <c r="J49" s="82">
        <f t="shared" si="0"/>
        <v>326403.69845615613</v>
      </c>
      <c r="K49" s="84">
        <f t="shared" si="1"/>
        <v>3263.930327108334</v>
      </c>
      <c r="L49" s="82">
        <f t="shared" si="2"/>
        <v>18913.3778939699</v>
      </c>
    </row>
    <row r="50" spans="1:13" ht="16" thickBot="1" x14ac:dyDescent="0.25">
      <c r="A50" t="s">
        <v>60</v>
      </c>
      <c r="B50" s="81">
        <f>IRR(D48:G48)</f>
        <v>0.1597925954451449</v>
      </c>
      <c r="C50" s="72"/>
      <c r="D50" s="72"/>
      <c r="E50" s="72"/>
      <c r="F50" s="72"/>
      <c r="G50" s="72"/>
      <c r="H50" s="72"/>
      <c r="I50">
        <v>46</v>
      </c>
      <c r="J50" s="82">
        <f t="shared" si="0"/>
        <v>307490.32056218624</v>
      </c>
      <c r="K50" s="84">
        <f t="shared" si="1"/>
        <v>3074.8027284071795</v>
      </c>
      <c r="L50" s="82">
        <f t="shared" si="2"/>
        <v>19102.505492671055</v>
      </c>
    </row>
    <row r="51" spans="1:13" x14ac:dyDescent="0.2">
      <c r="B51" s="72"/>
      <c r="C51" s="72"/>
      <c r="D51" s="72"/>
      <c r="E51" s="72"/>
      <c r="F51" s="72"/>
      <c r="G51" s="72"/>
      <c r="H51" s="72"/>
      <c r="I51">
        <v>47</v>
      </c>
      <c r="J51" s="82">
        <f t="shared" si="0"/>
        <v>288387.8150695152</v>
      </c>
      <c r="K51" s="84">
        <f t="shared" si="1"/>
        <v>2883.7839155193788</v>
      </c>
      <c r="L51" s="82">
        <f t="shared" si="2"/>
        <v>19293.524305558854</v>
      </c>
    </row>
    <row r="52" spans="1:13" x14ac:dyDescent="0.2">
      <c r="B52" s="72"/>
      <c r="C52" s="72"/>
      <c r="D52" s="72"/>
      <c r="E52" s="72"/>
      <c r="F52" s="72"/>
      <c r="G52" s="72"/>
      <c r="H52" s="72"/>
      <c r="I52">
        <v>48</v>
      </c>
      <c r="J52" s="82">
        <f t="shared" si="0"/>
        <v>269094.29076395632</v>
      </c>
      <c r="K52" s="84">
        <f t="shared" si="1"/>
        <v>2690.8549769210495</v>
      </c>
      <c r="L52" s="82">
        <f t="shared" si="2"/>
        <v>19486.453244157186</v>
      </c>
    </row>
    <row r="53" spans="1:13" x14ac:dyDescent="0.2">
      <c r="A53" s="62" t="s">
        <v>61</v>
      </c>
      <c r="B53" s="73">
        <f>128000/320000</f>
        <v>0.4</v>
      </c>
      <c r="C53" s="77" t="s">
        <v>64</v>
      </c>
      <c r="D53" s="73">
        <v>0.14799999999999999</v>
      </c>
      <c r="E53" s="72"/>
      <c r="F53" s="72"/>
      <c r="G53" s="72"/>
      <c r="H53" s="72"/>
      <c r="I53">
        <v>49</v>
      </c>
      <c r="J53" s="82">
        <f t="shared" si="0"/>
        <v>249607.83751979913</v>
      </c>
      <c r="K53" s="84">
        <f t="shared" si="1"/>
        <v>2495.9968119792493</v>
      </c>
      <c r="L53" s="82">
        <f t="shared" si="2"/>
        <v>19681.311409098984</v>
      </c>
    </row>
    <row r="54" spans="1:13" ht="16" thickBot="1" x14ac:dyDescent="0.25">
      <c r="A54" s="62" t="s">
        <v>62</v>
      </c>
      <c r="B54" s="73">
        <f>192000/320000</f>
        <v>0.6</v>
      </c>
      <c r="C54" s="77" t="s">
        <v>63</v>
      </c>
      <c r="D54" s="73">
        <f>25.075%*(1-32%)</f>
        <v>0.17050999999999997</v>
      </c>
      <c r="E54" s="72"/>
      <c r="F54" s="72"/>
      <c r="G54" s="72"/>
      <c r="H54" s="72"/>
      <c r="I54">
        <v>50</v>
      </c>
      <c r="J54" s="82">
        <f t="shared" si="0"/>
        <v>229926.52611070016</v>
      </c>
      <c r="K54" s="84">
        <f t="shared" si="1"/>
        <v>2299.1901290609485</v>
      </c>
      <c r="L54" s="85">
        <f>+$B$6-K54+M54</f>
        <v>40500.118092017285</v>
      </c>
      <c r="M54">
        <v>20622</v>
      </c>
    </row>
    <row r="55" spans="1:13" ht="16" thickBot="1" x14ac:dyDescent="0.25">
      <c r="B55" s="72"/>
      <c r="C55" s="72" t="s">
        <v>65</v>
      </c>
      <c r="D55" s="79">
        <f>+(B53*D53)+(B54*D54)</f>
        <v>0.16150599999999998</v>
      </c>
      <c r="E55" s="72"/>
      <c r="F55" s="72"/>
      <c r="G55" s="72"/>
      <c r="H55" s="72"/>
      <c r="I55">
        <v>51</v>
      </c>
      <c r="J55" s="85">
        <f t="shared" si="0"/>
        <v>189426.40801868288</v>
      </c>
      <c r="K55" s="84">
        <f t="shared" si="1"/>
        <v>1894.2021821803148</v>
      </c>
      <c r="L55" s="82">
        <f>+$B$12-K55</f>
        <v>19806.709736673882</v>
      </c>
    </row>
    <row r="56" spans="1:13" x14ac:dyDescent="0.2">
      <c r="I56">
        <v>52</v>
      </c>
      <c r="J56" s="89">
        <f t="shared" ref="J56:J64" si="13">+J55-L55</f>
        <v>169619.69828200899</v>
      </c>
      <c r="K56" s="84">
        <f t="shared" si="1"/>
        <v>1696.1415569621065</v>
      </c>
      <c r="L56" s="82">
        <f t="shared" ref="L56:L64" si="14">+$B$12-K56</f>
        <v>20004.77036189209</v>
      </c>
    </row>
    <row r="57" spans="1:13" x14ac:dyDescent="0.2">
      <c r="I57">
        <v>53</v>
      </c>
      <c r="J57" s="89">
        <f t="shared" si="13"/>
        <v>149614.9279201169</v>
      </c>
      <c r="K57" s="84">
        <f t="shared" si="1"/>
        <v>1496.1003902110865</v>
      </c>
      <c r="L57" s="82">
        <f t="shared" si="14"/>
        <v>20204.811528643109</v>
      </c>
    </row>
    <row r="58" spans="1:13" x14ac:dyDescent="0.2">
      <c r="I58">
        <v>54</v>
      </c>
      <c r="J58" s="89">
        <f t="shared" si="13"/>
        <v>129410.11639147378</v>
      </c>
      <c r="K58" s="84">
        <f t="shared" si="1"/>
        <v>1294.0588771590992</v>
      </c>
      <c r="L58" s="82">
        <f t="shared" si="14"/>
        <v>20406.853041695096</v>
      </c>
    </row>
    <row r="59" spans="1:13" x14ac:dyDescent="0.2">
      <c r="I59">
        <v>55</v>
      </c>
      <c r="J59" s="89">
        <f t="shared" si="13"/>
        <v>109003.26334977869</v>
      </c>
      <c r="K59" s="84">
        <f t="shared" si="1"/>
        <v>1089.9970149967794</v>
      </c>
      <c r="L59" s="82">
        <f t="shared" si="14"/>
        <v>20610.914903857418</v>
      </c>
    </row>
    <row r="60" spans="1:13" x14ac:dyDescent="0.2">
      <c r="I60">
        <v>56</v>
      </c>
      <c r="J60" s="89">
        <f t="shared" si="13"/>
        <v>88392.348445921263</v>
      </c>
      <c r="K60" s="84">
        <f t="shared" si="1"/>
        <v>883.89460089320346</v>
      </c>
      <c r="L60" s="82">
        <f t="shared" si="14"/>
        <v>20817.017317960992</v>
      </c>
    </row>
    <row r="61" spans="1:13" x14ac:dyDescent="0.2">
      <c r="I61">
        <v>57</v>
      </c>
      <c r="J61" s="89">
        <f t="shared" si="13"/>
        <v>67575.331127960264</v>
      </c>
      <c r="K61" s="84">
        <f t="shared" si="1"/>
        <v>675.73122999574105</v>
      </c>
      <c r="L61" s="82">
        <f t="shared" si="14"/>
        <v>21025.180688858454</v>
      </c>
    </row>
    <row r="62" spans="1:13" x14ac:dyDescent="0.2">
      <c r="F62" s="86"/>
      <c r="I62">
        <v>58</v>
      </c>
      <c r="J62" s="89">
        <f t="shared" si="13"/>
        <v>46550.15043910181</v>
      </c>
      <c r="K62" s="84">
        <f t="shared" si="1"/>
        <v>465.48629340990283</v>
      </c>
      <c r="L62" s="82">
        <f t="shared" si="14"/>
        <v>21235.425625444292</v>
      </c>
    </row>
    <row r="63" spans="1:13" x14ac:dyDescent="0.2">
      <c r="I63">
        <v>59</v>
      </c>
      <c r="J63" s="89">
        <f t="shared" si="13"/>
        <v>25314.724813657518</v>
      </c>
      <c r="K63" s="84">
        <f t="shared" si="1"/>
        <v>253.13897615898873</v>
      </c>
      <c r="L63" s="82">
        <f t="shared" si="14"/>
        <v>21447.772942695206</v>
      </c>
    </row>
    <row r="64" spans="1:13" x14ac:dyDescent="0.2">
      <c r="I64">
        <v>60</v>
      </c>
      <c r="J64" s="89">
        <f t="shared" si="13"/>
        <v>3866.9518709623117</v>
      </c>
      <c r="K64" s="84">
        <f t="shared" si="1"/>
        <v>38.668255123333317</v>
      </c>
      <c r="L64" s="82">
        <f t="shared" si="14"/>
        <v>21662.243663730864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GR. 15</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GONZALEZ</dc:creator>
  <cp:lastModifiedBy>Microsoft Office User</cp:lastModifiedBy>
  <dcterms:created xsi:type="dcterms:W3CDTF">2020-05-05T02:45:07Z</dcterms:created>
  <dcterms:modified xsi:type="dcterms:W3CDTF">2020-05-18T21:38:10Z</dcterms:modified>
</cp:coreProperties>
</file>