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gar/Desktop/"/>
    </mc:Choice>
  </mc:AlternateContent>
  <xr:revisionPtr revIDLastSave="0" documentId="8_{B461EFE9-4226-AD42-89F7-5EE5B8730361}" xr6:coauthVersionLast="36" xr6:coauthVersionMax="36" xr10:uidLastSave="{00000000-0000-0000-0000-000000000000}"/>
  <bookViews>
    <workbookView xWindow="0" yWindow="460" windowWidth="24920" windowHeight="15540" activeTab="1" xr2:uid="{D531B521-292A-4B62-83E2-0AC8D02C4724}"/>
  </bookViews>
  <sheets>
    <sheet name="GR. 15" sheetId="1" r:id="rId1"/>
    <sheet name="Hoja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2" l="1"/>
  <c r="I30" i="2"/>
  <c r="C43" i="2"/>
  <c r="C42" i="2" l="1"/>
  <c r="C41" i="2"/>
  <c r="I36" i="2"/>
  <c r="D36" i="2"/>
  <c r="E36" i="2"/>
  <c r="F36" i="2"/>
  <c r="G36" i="2"/>
  <c r="H36" i="2"/>
  <c r="C36" i="2"/>
  <c r="C40" i="2" l="1"/>
  <c r="I27" i="2"/>
  <c r="D27" i="2"/>
  <c r="E27" i="2"/>
  <c r="F27" i="2"/>
  <c r="G27" i="2"/>
  <c r="H27" i="2"/>
  <c r="C27" i="2"/>
  <c r="D16" i="2" l="1"/>
  <c r="H25" i="2"/>
  <c r="C39" i="2"/>
  <c r="C47" i="2"/>
  <c r="E47" i="2" s="1"/>
  <c r="C56" i="2"/>
  <c r="E32" i="2" s="1"/>
  <c r="C33" i="2"/>
  <c r="D32" i="2" s="1"/>
  <c r="E33" i="2" s="1"/>
  <c r="E14" i="2"/>
  <c r="E24" i="2" s="1"/>
  <c r="F14" i="2"/>
  <c r="F24" i="2" s="1"/>
  <c r="G14" i="2"/>
  <c r="G24" i="2" s="1"/>
  <c r="H14" i="2"/>
  <c r="H24" i="2" s="1"/>
  <c r="E13" i="2"/>
  <c r="F13" i="2"/>
  <c r="G13" i="2"/>
  <c r="H13" i="2"/>
  <c r="G11" i="2"/>
  <c r="H11" i="2"/>
  <c r="F11" i="2"/>
  <c r="E11" i="2"/>
  <c r="D14" i="2"/>
  <c r="D24" i="2" s="1"/>
  <c r="D13" i="2"/>
  <c r="D11" i="2"/>
  <c r="D31" i="2" l="1"/>
  <c r="C48" i="2"/>
  <c r="C50" i="2" s="1"/>
  <c r="C25" i="2"/>
  <c r="D10" i="2"/>
  <c r="D12" i="2" s="1"/>
  <c r="D15" i="2" s="1"/>
  <c r="E10" i="2"/>
  <c r="E12" i="2" s="1"/>
  <c r="E15" i="2" s="1"/>
  <c r="E17" i="2" s="1"/>
  <c r="E18" i="2" s="1"/>
  <c r="E19" i="2" s="1"/>
  <c r="F10" i="2"/>
  <c r="F12" i="2" s="1"/>
  <c r="F15" i="2" s="1"/>
  <c r="F17" i="2" s="1"/>
  <c r="F18" i="2" s="1"/>
  <c r="F19" i="2" s="1"/>
  <c r="G10" i="2"/>
  <c r="G12" i="2" s="1"/>
  <c r="G15" i="2" s="1"/>
  <c r="G17" i="2" s="1"/>
  <c r="G18" i="2" s="1"/>
  <c r="G19" i="2" s="1"/>
  <c r="H10" i="2"/>
  <c r="H12" i="2" s="1"/>
  <c r="H15" i="2" s="1"/>
  <c r="H17" i="2" s="1"/>
  <c r="H18" i="2" s="1"/>
  <c r="H19" i="2" s="1"/>
  <c r="C26" i="2" l="1"/>
  <c r="D17" i="2"/>
  <c r="D19" i="2" s="1"/>
  <c r="E48" i="2"/>
  <c r="E49" i="2" s="1"/>
  <c r="F47" i="2" s="1"/>
  <c r="I32" i="1"/>
  <c r="I30" i="1"/>
  <c r="I28" i="1"/>
  <c r="I26" i="1"/>
  <c r="I24" i="1"/>
  <c r="I2" i="1"/>
  <c r="A2" i="1"/>
  <c r="C2" i="1" s="1"/>
  <c r="I1" i="1"/>
  <c r="F48" i="2" l="1"/>
  <c r="D23" i="2"/>
  <c r="D26" i="2" s="1"/>
  <c r="A3" i="1"/>
  <c r="F49" i="2" l="1"/>
  <c r="AA32" i="1"/>
  <c r="AA28" i="1"/>
  <c r="AA24" i="1"/>
  <c r="H10" i="1"/>
  <c r="G10" i="1"/>
  <c r="AA30" i="1"/>
  <c r="AA26" i="1"/>
  <c r="H12" i="1"/>
  <c r="G12" i="1"/>
  <c r="G47" i="2" l="1"/>
  <c r="E23" i="2"/>
  <c r="G48" i="2" l="1"/>
  <c r="E26" i="2"/>
  <c r="G49" i="2" l="1"/>
  <c r="F23" i="2"/>
  <c r="H47" i="2" l="1"/>
  <c r="F26" i="2"/>
  <c r="H48" i="2" l="1"/>
  <c r="G23" i="2"/>
  <c r="H49" i="2" l="1"/>
  <c r="G26" i="2"/>
  <c r="I47" i="2" l="1"/>
  <c r="H23" i="2"/>
  <c r="I48" i="2" l="1"/>
  <c r="H26" i="2"/>
  <c r="I49" i="2" l="1"/>
  <c r="J48" i="2"/>
  <c r="J49" i="2" l="1"/>
  <c r="J47" i="2"/>
</calcChain>
</file>

<file path=xl/sharedStrings.xml><?xml version="1.0" encoding="utf-8"?>
<sst xmlns="http://schemas.openxmlformats.org/spreadsheetml/2006/main" count="130" uniqueCount="93">
  <si>
    <t>DIGITA TU ID</t>
  </si>
  <si>
    <t>SI ESTE ES TU NOMBRE, ESTE ES TU QUIZ</t>
  </si>
  <si>
    <t>UN INVERSIONISTA TE CONTRATA PARA EVALUAR UN PROYECTO DE INVERSIÓN EN EL CUAL QUIERE PARTICIPAR, Y DEL QUE ESPERA UNA RENTABILIDAD DEL 15%. A TAL FIN, SE TE SUMINISTRA LA SIGUIENTE INFORMACIÓN:</t>
  </si>
  <si>
    <t>UNIDADES A VENDER</t>
  </si>
  <si>
    <t>PRECIO UNITARIO</t>
  </si>
  <si>
    <t>COSTO UNITARIO</t>
  </si>
  <si>
    <t>GASTOS (TOTALES)</t>
  </si>
  <si>
    <t>INVERSIÓN INICIAL:</t>
  </si>
  <si>
    <t>INMOVILIZADOS (VIDA UTIL: 6 AÑOS)</t>
  </si>
  <si>
    <t>CAPITAL DE TRABAJO</t>
  </si>
  <si>
    <t>FINANCIAMIENTO:</t>
  </si>
  <si>
    <t>(PAGO AL FINAL DEL AÑO 1, AL 12% NOMINAL ANUAL.)</t>
  </si>
  <si>
    <t>INVERSIONISTA:</t>
  </si>
  <si>
    <t>LA FABRICA SERÁ VENDIDA AL FINAL DEL QUINTO AÑO A SU VALOR EN LIBROS.</t>
  </si>
  <si>
    <t>CONSIDERANDO UNA TASA DE IMPUESTOS DEL 32% DETERMINA:</t>
  </si>
  <si>
    <t>A</t>
  </si>
  <si>
    <t>B</t>
  </si>
  <si>
    <t>VALOR PRESENTE DE LOS FLUJOS EN EL AÑO 4:</t>
  </si>
  <si>
    <t>TASA INTERNA DE RETORNO (TIR) DEL PROYECTO:</t>
  </si>
  <si>
    <t>VPN o VAN DEL PROYECTO:</t>
  </si>
  <si>
    <t>RELACION BENEFICIO-COSTO (RBC):</t>
  </si>
  <si>
    <t>RECHAZARIAS LA INVERSIÓN?</t>
  </si>
  <si>
    <t>POR QUE?</t>
  </si>
  <si>
    <t>NO</t>
  </si>
  <si>
    <t>SI</t>
  </si>
  <si>
    <t>IMPORTANTE:</t>
  </si>
  <si>
    <t>TASAS O PORCENTAJES CON, AL MENOS, CUATRO POSICIONES DESPUES DE LA COMA O EL PUNTO.</t>
  </si>
  <si>
    <t>JUAN JOSE DE JESUS ACEVEDO CORTES</t>
  </si>
  <si>
    <t>EDUARDO ARIAS BARRERA</t>
  </si>
  <si>
    <t>LUIS ALBERTO ASTROZ GOMEZ</t>
  </si>
  <si>
    <t>JUAN DIEGO BERNAL DIAZ</t>
  </si>
  <si>
    <t>NIKOLAS  BERNAL GIRALDO</t>
  </si>
  <si>
    <t>LAURA SOFIA BORDA BELTRAN</t>
  </si>
  <si>
    <t>JULIAN BUITRAGO CARRASCO</t>
  </si>
  <si>
    <t>JUAN PABLO CASTELLANOS PEREZ</t>
  </si>
  <si>
    <t>JUAN CAMILO CEPEDA BECERRA</t>
  </si>
  <si>
    <t>JULIANA  FRANCO VELASCO</t>
  </si>
  <si>
    <t>LAURA CAMILA HERNANDEZ FIQUE</t>
  </si>
  <si>
    <t>MILLER HARVEY HERNANDEZ SANCHEZ</t>
  </si>
  <si>
    <t>MARIANA HERRERA SIERRA</t>
  </si>
  <si>
    <t>JOSE ALEXANDER LEON AVENDAÑO</t>
  </si>
  <si>
    <t>NICOLAS LOPEZ ARIZA</t>
  </si>
  <si>
    <t>NAZLY LISBETH LOZADA GELVES</t>
  </si>
  <si>
    <t>KARIN NICOLE LUGO CORREA</t>
  </si>
  <si>
    <t>KEVIN ANDRES MELO PEREZ</t>
  </si>
  <si>
    <t>SAUL EDUARDO MONTAÑEZ SALGADO</t>
  </si>
  <si>
    <t>VALERIA ANDREA MUÑOZ FUENTES</t>
  </si>
  <si>
    <t>JOHAN SANTIAGO PEREZ PIEDRAHITA</t>
  </si>
  <si>
    <t>SANTIAGO JOSE PINTO FELICIANO</t>
  </si>
  <si>
    <t>MIGUEL ANGEL RODRIGUEZ ROJAS</t>
  </si>
  <si>
    <t>SARAI RUIZ GUTIERREZ</t>
  </si>
  <si>
    <t>DIEGO FERNANDO TENJO LOPEZ</t>
  </si>
  <si>
    <t>NO SE</t>
  </si>
  <si>
    <t>VPN</t>
  </si>
  <si>
    <t>TIR</t>
  </si>
  <si>
    <t>RBC</t>
  </si>
  <si>
    <t>NINGUNA</t>
  </si>
  <si>
    <t>VALOR PRESENTE</t>
  </si>
  <si>
    <t>TASA</t>
  </si>
  <si>
    <t>PLAZO</t>
  </si>
  <si>
    <t>CUOTA</t>
  </si>
  <si>
    <t>ESTADO DE RESULTADOS</t>
  </si>
  <si>
    <t>UNIDADES</t>
  </si>
  <si>
    <t xml:space="preserve">PRECIO UNITARIO </t>
  </si>
  <si>
    <t>GASTOS(TOTALES)</t>
  </si>
  <si>
    <t>INGRESOS</t>
  </si>
  <si>
    <t>COSTOS</t>
  </si>
  <si>
    <t>UTILIDAD BRUTA</t>
  </si>
  <si>
    <t>GASTOS</t>
  </si>
  <si>
    <t>DEPRECIACION</t>
  </si>
  <si>
    <t>UTILIDAD(PERDIDA) OPERATIVA</t>
  </si>
  <si>
    <t>SALDO</t>
  </si>
  <si>
    <t>INTERESES</t>
  </si>
  <si>
    <t>A CAPITAL</t>
  </si>
  <si>
    <t>TOTAL</t>
  </si>
  <si>
    <t>GASTOS FINANCIEROS</t>
  </si>
  <si>
    <t>UTILIDAD(PERDIDA) ANTES DE IMPUESTOS</t>
  </si>
  <si>
    <t>IMPUESTOS</t>
  </si>
  <si>
    <t>UTILIDAD(PERDIDA) NETA</t>
  </si>
  <si>
    <t>MAS:DEPRECIACION</t>
  </si>
  <si>
    <t>MENOS:INVERSION</t>
  </si>
  <si>
    <t>TASA NOMINAL ANUAL:</t>
  </si>
  <si>
    <t>TASA EFECTIVA:</t>
  </si>
  <si>
    <t>FLUJA DE CAJA LIBRE (N)</t>
  </si>
  <si>
    <t>FLUJO DE CAJA LIBRE (D)</t>
  </si>
  <si>
    <t>WACC</t>
  </si>
  <si>
    <t>CAPITAL</t>
  </si>
  <si>
    <t>DEUDA</t>
  </si>
  <si>
    <t>VAN</t>
  </si>
  <si>
    <t>TASA 2</t>
  </si>
  <si>
    <t>VAN 1</t>
  </si>
  <si>
    <t>TASA 1</t>
  </si>
  <si>
    <t>VAN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</si>
</sst>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;[Red]\-&quot;$&quot;#,##0.00"/>
    <numFmt numFmtId="41" formatCode="_-* #,##0_-;\-* #,##0_-;_-* &quot;-&quot;_-;_-@_-"/>
    <numFmt numFmtId="164" formatCode="_([$€-2]\ * #,##0.00_);_([$€-2]\ * \(#,##0.00\);_([$€-2]\ * &quot;-&quot;??_)"/>
    <numFmt numFmtId="165" formatCode="_(* #,##0_);_(* \(#,##0\);_(* &quot;-&quot;??_);_(@_)"/>
    <numFmt numFmtId="166" formatCode="_(* #,##0.00_);_(* \(#,##0.00\);_(* &quot;-&quot;??_);_(@_)"/>
    <numFmt numFmtId="167" formatCode="0.0000%"/>
    <numFmt numFmtId="168" formatCode="&quot;$&quot;\ #,##0"/>
    <numFmt numFmtId="169" formatCode="_(* #,##0.0000_);_(* \(#,##0.0000\);_(* &quot;-&quot;??_);_(@_)"/>
    <numFmt numFmtId="170" formatCode="_-* #,##0.00_-;\-* #,##0.00_-;_-* &quot;-&quot;_-;_-@_-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6"/>
      <color theme="0"/>
      <name val="Calibri"/>
      <family val="2"/>
      <scheme val="minor"/>
    </font>
    <font>
      <b/>
      <sz val="14"/>
      <color rgb="FF1111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6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6"/>
      <color theme="0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/>
    <xf numFmtId="41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7" fillId="2" borderId="1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2" fontId="9" fillId="0" borderId="0" xfId="0" applyNumberFormat="1" applyFont="1" applyAlignment="1" applyProtection="1">
      <alignment horizontal="center" vertical="center"/>
      <protection hidden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65" fontId="0" fillId="0" borderId="0" xfId="0" applyNumberForma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4" xfId="0" applyNumberFormat="1" applyBorder="1" applyAlignment="1">
      <alignment vertical="center"/>
    </xf>
    <xf numFmtId="0" fontId="2" fillId="0" borderId="0" xfId="0" applyFont="1" applyAlignment="1">
      <alignment horizontal="center" vertical="center"/>
    </xf>
    <xf numFmtId="166" fontId="0" fillId="0" borderId="4" xfId="0" applyNumberFormat="1" applyBorder="1" applyAlignment="1">
      <alignment vertical="center"/>
    </xf>
    <xf numFmtId="167" fontId="0" fillId="0" borderId="0" xfId="1" applyNumberFormat="1" applyFont="1" applyFill="1" applyAlignment="1">
      <alignment vertical="center"/>
    </xf>
    <xf numFmtId="168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2"/>
    </xf>
    <xf numFmtId="165" fontId="14" fillId="2" borderId="1" xfId="0" applyNumberFormat="1" applyFont="1" applyFill="1" applyBorder="1" applyAlignment="1" applyProtection="1">
      <alignment vertical="center"/>
      <protection locked="0"/>
    </xf>
    <xf numFmtId="2" fontId="15" fillId="0" borderId="0" xfId="0" applyNumberFormat="1" applyFont="1" applyAlignment="1" applyProtection="1">
      <alignment horizontal="left" vertical="center" indent="1"/>
      <protection hidden="1"/>
    </xf>
    <xf numFmtId="0" fontId="15" fillId="0" borderId="0" xfId="0" applyFont="1" applyAlignment="1" applyProtection="1">
      <alignment horizontal="left" vertical="center" indent="1"/>
      <protection hidden="1"/>
    </xf>
    <xf numFmtId="167" fontId="10" fillId="0" borderId="0" xfId="1" applyNumberFormat="1" applyFont="1" applyFill="1" applyBorder="1" applyAlignment="1">
      <alignment vertical="center"/>
    </xf>
    <xf numFmtId="169" fontId="14" fillId="2" borderId="1" xfId="0" applyNumberFormat="1" applyFont="1" applyFill="1" applyBorder="1" applyAlignment="1" applyProtection="1">
      <alignment vertical="center"/>
      <protection locked="0"/>
    </xf>
    <xf numFmtId="0" fontId="15" fillId="0" borderId="0" xfId="0" applyFont="1" applyAlignment="1">
      <alignment horizontal="left" vertical="center" indent="1"/>
    </xf>
    <xf numFmtId="165" fontId="14" fillId="2" borderId="1" xfId="0" applyNumberFormat="1" applyFont="1" applyFill="1" applyBorder="1" applyAlignment="1" applyProtection="1">
      <alignment horizontal="center" vertical="center"/>
      <protection locked="0"/>
    </xf>
    <xf numFmtId="2" fontId="15" fillId="0" borderId="0" xfId="0" applyNumberFormat="1" applyFont="1" applyAlignment="1" applyProtection="1">
      <alignment horizontal="left" vertical="center" indent="1"/>
      <protection locked="0" hidden="1"/>
    </xf>
    <xf numFmtId="2" fontId="15" fillId="0" borderId="0" xfId="0" applyNumberFormat="1" applyFont="1" applyAlignment="1" applyProtection="1">
      <alignment horizontal="left" vertical="center" indent="1"/>
      <protection locked="0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10" fontId="0" fillId="0" borderId="0" xfId="1" applyNumberFormat="1" applyFont="1" applyFill="1" applyBorder="1" applyAlignment="1">
      <alignment vertical="center"/>
    </xf>
    <xf numFmtId="10" fontId="0" fillId="0" borderId="0" xfId="0" applyNumberFormat="1" applyAlignment="1">
      <alignment vertical="center"/>
    </xf>
    <xf numFmtId="10" fontId="2" fillId="0" borderId="0" xfId="1" applyNumberFormat="1" applyFont="1" applyFill="1" applyBorder="1" applyAlignment="1">
      <alignment vertical="center"/>
    </xf>
    <xf numFmtId="166" fontId="2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166" fontId="10" fillId="0" borderId="0" xfId="0" applyNumberFormat="1" applyFont="1" applyBorder="1" applyAlignment="1">
      <alignment vertical="center"/>
    </xf>
    <xf numFmtId="169" fontId="10" fillId="0" borderId="0" xfId="0" applyNumberFormat="1" applyFont="1" applyBorder="1" applyAlignment="1">
      <alignment vertical="center"/>
    </xf>
    <xf numFmtId="169" fontId="10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8" fillId="0" borderId="0" xfId="2" applyNumberFormat="1" applyFont="1" applyBorder="1" applyAlignment="1">
      <alignment horizontal="left" vertical="center"/>
    </xf>
    <xf numFmtId="164" fontId="18" fillId="0" borderId="0" xfId="2" applyFont="1" applyBorder="1" applyAlignment="1">
      <alignment vertical="center"/>
    </xf>
    <xf numFmtId="164" fontId="18" fillId="3" borderId="0" xfId="2" applyFont="1" applyFill="1" applyBorder="1" applyAlignment="1">
      <alignment vertical="center"/>
    </xf>
    <xf numFmtId="164" fontId="18" fillId="4" borderId="0" xfId="2" applyFont="1" applyFill="1" applyBorder="1" applyAlignment="1">
      <alignment vertical="center"/>
    </xf>
    <xf numFmtId="41" fontId="0" fillId="0" borderId="0" xfId="3" applyFont="1"/>
    <xf numFmtId="170" fontId="0" fillId="0" borderId="0" xfId="3" applyNumberFormat="1" applyFont="1"/>
    <xf numFmtId="8" fontId="0" fillId="0" borderId="0" xfId="3" applyNumberFormat="1" applyFont="1"/>
    <xf numFmtId="41" fontId="0" fillId="0" borderId="0" xfId="0" applyNumberFormat="1"/>
    <xf numFmtId="0" fontId="2" fillId="0" borderId="0" xfId="0" applyFont="1"/>
    <xf numFmtId="41" fontId="2" fillId="0" borderId="0" xfId="3" applyFont="1"/>
    <xf numFmtId="9" fontId="0" fillId="0" borderId="0" xfId="1" applyNumberFormat="1" applyFont="1"/>
    <xf numFmtId="10" fontId="0" fillId="0" borderId="0" xfId="1" applyNumberFormat="1" applyFont="1"/>
    <xf numFmtId="10" fontId="0" fillId="0" borderId="0" xfId="3" applyNumberFormat="1" applyFont="1"/>
    <xf numFmtId="41" fontId="2" fillId="0" borderId="3" xfId="3" applyFont="1" applyBorder="1"/>
    <xf numFmtId="41" fontId="0" fillId="0" borderId="3" xfId="3" applyFont="1" applyBorder="1"/>
    <xf numFmtId="41" fontId="2" fillId="0" borderId="5" xfId="3" applyFont="1" applyBorder="1"/>
    <xf numFmtId="10" fontId="2" fillId="0" borderId="0" xfId="1" applyNumberFormat="1" applyFont="1"/>
    <xf numFmtId="41" fontId="2" fillId="0" borderId="0" xfId="3" applyFont="1" applyBorder="1"/>
    <xf numFmtId="9" fontId="2" fillId="0" borderId="0" xfId="0" applyNumberFormat="1" applyFont="1"/>
    <xf numFmtId="165" fontId="2" fillId="0" borderId="0" xfId="3" applyNumberFormat="1" applyFont="1"/>
    <xf numFmtId="165" fontId="1" fillId="0" borderId="0" xfId="3" applyNumberFormat="1" applyFont="1"/>
    <xf numFmtId="165" fontId="1" fillId="0" borderId="3" xfId="3" applyNumberFormat="1" applyFont="1" applyBorder="1"/>
    <xf numFmtId="165" fontId="2" fillId="0" borderId="5" xfId="3" applyNumberFormat="1" applyFont="1" applyBorder="1"/>
    <xf numFmtId="165" fontId="1" fillId="0" borderId="0" xfId="3" applyNumberFormat="1" applyFont="1" applyBorder="1"/>
    <xf numFmtId="165" fontId="2" fillId="0" borderId="0" xfId="3" applyNumberFormat="1" applyFont="1" applyBorder="1"/>
    <xf numFmtId="10" fontId="14" fillId="2" borderId="1" xfId="1" applyNumberFormat="1" applyFont="1" applyFill="1" applyBorder="1" applyAlignment="1" applyProtection="1">
      <alignment vertical="center"/>
      <protection locked="0"/>
    </xf>
    <xf numFmtId="0" fontId="4" fillId="0" borderId="0" xfId="0" applyFont="1" applyAlignment="1">
      <alignment horizontal="center" vertical="center"/>
    </xf>
    <xf numFmtId="0" fontId="8" fillId="0" borderId="2" xfId="0" applyFont="1" applyBorder="1" applyAlignment="1" applyProtection="1">
      <alignment horizontal="left" vertical="center" indent="1"/>
      <protection hidden="1"/>
    </xf>
    <xf numFmtId="0" fontId="8" fillId="0" borderId="0" xfId="0" applyFont="1" applyAlignment="1" applyProtection="1">
      <alignment horizontal="left" vertical="center" indent="1"/>
      <protection hidden="1"/>
    </xf>
    <xf numFmtId="0" fontId="0" fillId="0" borderId="0" xfId="0" applyAlignment="1">
      <alignment horizontal="justify" vertical="center" wrapText="1"/>
    </xf>
  </cellXfs>
  <cellStyles count="4">
    <cellStyle name="Millares [0]" xfId="3" builtinId="6"/>
    <cellStyle name="Normal" xfId="0" builtinId="0"/>
    <cellStyle name="Normal 3 3" xfId="2" xr:uid="{FF5F168E-56B7-4B16-9605-66B64888F0B0}"/>
    <cellStyle name="Porcentaje" xfId="1" builtinId="5"/>
  </cellStyles>
  <dxfs count="1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1BB0-4DE0-4BEE-8936-970C2BD94A75}">
  <dimension ref="A1:AD134"/>
  <sheetViews>
    <sheetView showGridLines="0" topLeftCell="A3" zoomScale="119" zoomScaleNormal="120" workbookViewId="0">
      <selection activeCell="E32" sqref="E32"/>
    </sheetView>
  </sheetViews>
  <sheetFormatPr baseColWidth="10" defaultColWidth="11.5" defaultRowHeight="15"/>
  <cols>
    <col min="1" max="1" width="2.1640625" style="11" customWidth="1"/>
    <col min="2" max="2" width="11.5" style="8"/>
    <col min="3" max="4" width="12.5" style="8" bestFit="1" customWidth="1"/>
    <col min="5" max="6" width="11.5" style="8"/>
    <col min="7" max="9" width="11.5" style="8" customWidth="1"/>
    <col min="10" max="10" width="2.1640625" style="8" customWidth="1"/>
    <col min="11" max="25" width="11.5" style="8"/>
    <col min="26" max="26" width="11.5" style="41"/>
    <col min="27" max="29" width="11.5" style="47" hidden="1" customWidth="1"/>
    <col min="30" max="30" width="0" style="48" hidden="1" customWidth="1"/>
    <col min="31" max="16384" width="11.5" style="8"/>
  </cols>
  <sheetData>
    <row r="1" spans="1:30" s="5" customFormat="1" thickBot="1">
      <c r="A1" s="1"/>
      <c r="B1" s="2" t="s">
        <v>0</v>
      </c>
      <c r="C1" s="85" t="s">
        <v>1</v>
      </c>
      <c r="D1" s="85"/>
      <c r="E1" s="85"/>
      <c r="F1" s="85"/>
      <c r="G1" s="85"/>
      <c r="H1" s="3"/>
      <c r="I1" s="4" t="str">
        <f>IF(H1=23,"NOTA","")</f>
        <v/>
      </c>
      <c r="Z1" s="40"/>
      <c r="AA1" s="45"/>
      <c r="AB1" s="45"/>
      <c r="AC1" s="45"/>
      <c r="AD1" s="46"/>
    </row>
    <row r="2" spans="1:30" ht="20" thickBot="1">
      <c r="A2" s="6">
        <f>COUNTIF(AA100:AA125,B2)</f>
        <v>1</v>
      </c>
      <c r="B2" s="7">
        <v>2158547</v>
      </c>
      <c r="C2" s="86" t="str">
        <f>IF(A2=1,VLOOKUP(B2,AA100:AC125,2,FALSE),"")</f>
        <v>NIKOLAS  BERNAL GIRALDO</v>
      </c>
      <c r="D2" s="87"/>
      <c r="E2" s="87"/>
      <c r="F2" s="87"/>
      <c r="G2" s="87"/>
      <c r="I2" s="9" t="str">
        <f>IF(H1=23,SUM(I24:I33),"")</f>
        <v/>
      </c>
    </row>
    <row r="3" spans="1:30" s="10" customFormat="1" ht="11">
      <c r="A3" s="6" t="str">
        <f>IF(A2=1,VLOOKUP(B2,AA100:AC125,3,FALSE),"")</f>
        <v>A</v>
      </c>
      <c r="Z3" s="42"/>
      <c r="AA3" s="47"/>
      <c r="AB3" s="47"/>
      <c r="AC3" s="47"/>
      <c r="AD3" s="49"/>
    </row>
    <row r="4" spans="1:30" ht="15" customHeight="1">
      <c r="B4" s="88" t="s">
        <v>2</v>
      </c>
      <c r="C4" s="88"/>
      <c r="D4" s="88"/>
      <c r="E4" s="88"/>
      <c r="F4" s="88"/>
      <c r="G4" s="88"/>
      <c r="H4" s="88"/>
      <c r="I4" s="88"/>
    </row>
    <row r="5" spans="1:30">
      <c r="B5" s="88"/>
      <c r="C5" s="88"/>
      <c r="D5" s="88"/>
      <c r="E5" s="88"/>
      <c r="F5" s="88"/>
      <c r="G5" s="88"/>
      <c r="H5" s="88"/>
      <c r="I5" s="88"/>
    </row>
    <row r="6" spans="1:30">
      <c r="B6" s="88"/>
      <c r="C6" s="88"/>
      <c r="D6" s="88"/>
      <c r="E6" s="88"/>
      <c r="F6" s="88"/>
      <c r="G6" s="88"/>
      <c r="H6" s="88"/>
      <c r="I6" s="88"/>
    </row>
    <row r="7" spans="1:30" ht="6" customHeight="1">
      <c r="E7" s="12"/>
      <c r="F7" s="12"/>
      <c r="G7" s="12"/>
      <c r="H7" s="12"/>
      <c r="I7" s="12"/>
    </row>
    <row r="8" spans="1:30" s="14" customFormat="1" ht="14">
      <c r="A8" s="11"/>
      <c r="B8" s="13"/>
      <c r="D8" s="15">
        <v>1</v>
      </c>
      <c r="E8" s="15">
        <v>2</v>
      </c>
      <c r="F8" s="15">
        <v>3</v>
      </c>
      <c r="G8" s="15">
        <v>4</v>
      </c>
      <c r="H8" s="2">
        <v>5</v>
      </c>
      <c r="I8" s="2"/>
      <c r="Z8" s="43"/>
      <c r="AA8" s="47"/>
      <c r="AB8" s="47"/>
      <c r="AC8" s="47"/>
      <c r="AD8" s="50"/>
    </row>
    <row r="9" spans="1:30" ht="15" customHeight="1">
      <c r="B9" s="16" t="s">
        <v>3</v>
      </c>
      <c r="D9" s="17">
        <v>120000</v>
      </c>
      <c r="E9" s="17">
        <v>131900</v>
      </c>
      <c r="F9" s="17">
        <v>145200</v>
      </c>
      <c r="G9" s="17">
        <v>159700</v>
      </c>
      <c r="H9" s="17">
        <v>175000</v>
      </c>
      <c r="I9" s="18"/>
    </row>
    <row r="10" spans="1:30">
      <c r="B10" s="16" t="s">
        <v>4</v>
      </c>
      <c r="D10" s="19">
        <v>1.8</v>
      </c>
      <c r="E10" s="19">
        <v>2.4</v>
      </c>
      <c r="F10" s="19">
        <v>2.9</v>
      </c>
      <c r="G10" s="19">
        <f>IF(A3="A",3.3,3.2)</f>
        <v>3.3</v>
      </c>
      <c r="H10" s="19">
        <f>IF(A3="A",3.6,3.4)</f>
        <v>3.6</v>
      </c>
      <c r="I10" s="18"/>
    </row>
    <row r="11" spans="1:30">
      <c r="B11" s="16" t="s">
        <v>5</v>
      </c>
      <c r="D11" s="19">
        <v>1.4</v>
      </c>
      <c r="E11" s="19">
        <v>1.7</v>
      </c>
      <c r="F11" s="19">
        <v>2</v>
      </c>
      <c r="G11" s="19">
        <v>2.1</v>
      </c>
      <c r="H11" s="19">
        <v>2.4</v>
      </c>
      <c r="I11" s="18"/>
    </row>
    <row r="12" spans="1:30">
      <c r="B12" s="16" t="s">
        <v>6</v>
      </c>
      <c r="D12" s="17">
        <v>14100</v>
      </c>
      <c r="E12" s="17">
        <v>16200</v>
      </c>
      <c r="F12" s="17">
        <v>18000</v>
      </c>
      <c r="G12" s="17">
        <f>IF(A3="A",22900,22600)</f>
        <v>22900</v>
      </c>
      <c r="H12" s="17">
        <f>IF(A3="A",31195,30123)</f>
        <v>31195</v>
      </c>
      <c r="I12" s="18"/>
    </row>
    <row r="13" spans="1:30" ht="3.75" customHeight="1">
      <c r="E13" s="12"/>
      <c r="F13" s="12"/>
      <c r="G13" s="12"/>
      <c r="H13" s="12"/>
      <c r="I13" s="18"/>
    </row>
    <row r="14" spans="1:30">
      <c r="B14" s="8" t="s">
        <v>7</v>
      </c>
      <c r="D14" s="17">
        <v>240000</v>
      </c>
      <c r="E14" s="8" t="s">
        <v>8</v>
      </c>
    </row>
    <row r="15" spans="1:30">
      <c r="D15" s="17">
        <v>60000</v>
      </c>
      <c r="E15" s="8" t="s">
        <v>9</v>
      </c>
    </row>
    <row r="16" spans="1:30" ht="3.75" customHeight="1">
      <c r="E16" s="12"/>
      <c r="F16" s="12"/>
      <c r="G16" s="12"/>
      <c r="H16" s="12"/>
      <c r="I16" s="18"/>
    </row>
    <row r="17" spans="2:29">
      <c r="B17" s="8" t="s">
        <v>10</v>
      </c>
      <c r="D17" s="17">
        <v>150000</v>
      </c>
      <c r="E17" s="8" t="s">
        <v>11</v>
      </c>
      <c r="K17" s="20"/>
    </row>
    <row r="18" spans="2:29">
      <c r="B18" s="8" t="s">
        <v>12</v>
      </c>
      <c r="D18" s="17">
        <v>150000</v>
      </c>
    </row>
    <row r="19" spans="2:29" ht="3.75" customHeight="1">
      <c r="E19" s="12"/>
      <c r="F19" s="12"/>
      <c r="G19" s="12"/>
      <c r="H19" s="12"/>
      <c r="I19" s="18"/>
    </row>
    <row r="20" spans="2:29">
      <c r="B20" s="8" t="s">
        <v>13</v>
      </c>
      <c r="C20" s="21"/>
      <c r="J20" s="21"/>
    </row>
    <row r="21" spans="2:29" ht="6" customHeight="1">
      <c r="E21" s="12"/>
      <c r="F21" s="12"/>
      <c r="G21" s="12"/>
      <c r="H21" s="12"/>
      <c r="I21" s="12"/>
    </row>
    <row r="22" spans="2:29" ht="15" customHeight="1">
      <c r="B22" s="22" t="s">
        <v>14</v>
      </c>
      <c r="AB22" s="51" t="s">
        <v>15</v>
      </c>
      <c r="AC22" s="51" t="s">
        <v>16</v>
      </c>
    </row>
    <row r="23" spans="2:29" ht="3.75" customHeight="1" thickBot="1">
      <c r="E23" s="12"/>
      <c r="F23" s="12"/>
      <c r="G23" s="12"/>
      <c r="H23" s="12"/>
      <c r="I23" s="18"/>
    </row>
    <row r="24" spans="2:29" ht="17" thickBot="1">
      <c r="B24" s="23" t="s">
        <v>17</v>
      </c>
      <c r="H24" s="24">
        <v>81538</v>
      </c>
      <c r="I24" s="25" t="str">
        <f>IF(H1=23,IF(H24&gt;(AA24-30),IF(H24&lt;(AA24+30),1,0),0),"")</f>
        <v/>
      </c>
      <c r="AA24" s="52">
        <f>IF($A$3="A",AB24,AC24)</f>
        <v>81538</v>
      </c>
      <c r="AB24" s="52">
        <v>81538</v>
      </c>
      <c r="AC24" s="52">
        <v>74725.908672863516</v>
      </c>
    </row>
    <row r="25" spans="2:29" ht="3.75" customHeight="1" thickBot="1">
      <c r="B25" s="22"/>
      <c r="E25" s="12"/>
      <c r="F25" s="12"/>
      <c r="G25" s="12"/>
      <c r="H25" s="12"/>
      <c r="I25" s="26"/>
      <c r="AA25" s="51"/>
    </row>
    <row r="26" spans="2:29" ht="17" thickBot="1">
      <c r="B26" s="23" t="s">
        <v>18</v>
      </c>
      <c r="H26" s="84">
        <v>0.12185128244516333</v>
      </c>
      <c r="I26" s="25" t="str">
        <f>IF(H1=23,IF(H26&gt;(AA26-0.001),IF(H26&lt;(AA26+0.001),1,0),0),"")</f>
        <v/>
      </c>
      <c r="AA26" s="27">
        <f>IF($A$3="A",AB26,AC26)</f>
        <v>0.12847500000000001</v>
      </c>
      <c r="AB26" s="27">
        <v>0.12847500000000001</v>
      </c>
      <c r="AC26" s="27">
        <v>0.10790293406209223</v>
      </c>
    </row>
    <row r="27" spans="2:29" ht="3.75" customHeight="1" thickBot="1">
      <c r="B27" s="22"/>
      <c r="E27" s="12"/>
      <c r="F27" s="12"/>
      <c r="G27" s="12"/>
      <c r="H27" s="12"/>
      <c r="I27" s="26"/>
    </row>
    <row r="28" spans="2:29" ht="17" thickBot="1">
      <c r="B28" s="23" t="s">
        <v>19</v>
      </c>
      <c r="H28" s="24">
        <v>10000</v>
      </c>
      <c r="I28" s="25" t="str">
        <f>IF(H1=23,IF(H28&gt;(AA28-10),IF(H28&lt;(AA28+10),1,0),0),"")</f>
        <v/>
      </c>
      <c r="AA28" s="52">
        <f>IF($A$3="A",AB28,AC28)</f>
        <v>10000.280000000001</v>
      </c>
      <c r="AB28" s="52">
        <v>10000.280000000001</v>
      </c>
      <c r="AC28" s="52">
        <v>-10000.324671866329</v>
      </c>
    </row>
    <row r="29" spans="2:29" ht="3.75" customHeight="1" thickBot="1">
      <c r="B29" s="22"/>
      <c r="E29" s="12"/>
      <c r="F29" s="12"/>
      <c r="G29" s="12"/>
      <c r="H29" s="12"/>
      <c r="I29" s="26"/>
    </row>
    <row r="30" spans="2:29" ht="17" thickBot="1">
      <c r="B30" s="23" t="s">
        <v>20</v>
      </c>
      <c r="H30" s="28"/>
      <c r="I30" s="25" t="str">
        <f>IF(H1=23,IF(H30&gt;(AA30-0.01),IF(H30&lt;(AA30+0.01),1,0),0),"")</f>
        <v/>
      </c>
      <c r="AA30" s="53">
        <f>IF($A$3="A",AB30,AC30)</f>
        <v>1.0069999999999999</v>
      </c>
      <c r="AB30" s="53">
        <v>1.0069999999999999</v>
      </c>
      <c r="AC30" s="53">
        <v>0.99297799706694445</v>
      </c>
    </row>
    <row r="31" spans="2:29" ht="3.75" customHeight="1" thickBot="1">
      <c r="B31" s="22"/>
      <c r="E31" s="12"/>
      <c r="F31" s="12"/>
      <c r="G31" s="12"/>
      <c r="H31" s="12"/>
      <c r="I31" s="29"/>
    </row>
    <row r="32" spans="2:29" ht="17" thickBot="1">
      <c r="B32" s="23" t="s">
        <v>21</v>
      </c>
      <c r="E32" s="30" t="s">
        <v>23</v>
      </c>
      <c r="G32" s="18" t="s">
        <v>22</v>
      </c>
      <c r="H32" s="30" t="s">
        <v>53</v>
      </c>
      <c r="I32" s="31" t="str">
        <f>IF(H1=23,IF(E32=AA32,1,0),"")</f>
        <v/>
      </c>
      <c r="AA32" s="54" t="str">
        <f>IF($A$3="A",AB32,AC32)</f>
        <v>NO</v>
      </c>
      <c r="AB32" s="51" t="s">
        <v>23</v>
      </c>
      <c r="AC32" s="51" t="s">
        <v>24</v>
      </c>
    </row>
    <row r="33" spans="1:30">
      <c r="I33" s="32"/>
    </row>
    <row r="34" spans="1:30" s="34" customFormat="1">
      <c r="A34" s="1"/>
      <c r="B34" s="33" t="s">
        <v>25</v>
      </c>
      <c r="AA34" s="55"/>
      <c r="AB34" s="55"/>
      <c r="AC34" s="55"/>
      <c r="AD34" s="56"/>
    </row>
    <row r="35" spans="1:30" s="34" customFormat="1">
      <c r="A35" s="1"/>
      <c r="B35" s="34" t="s">
        <v>26</v>
      </c>
      <c r="AA35" s="55"/>
      <c r="AB35" s="55"/>
      <c r="AC35" s="55"/>
      <c r="AD35" s="56"/>
    </row>
    <row r="36" spans="1:30" ht="15" customHeight="1">
      <c r="B36" s="16"/>
      <c r="E36" s="12"/>
      <c r="F36" s="12"/>
      <c r="G36" s="12"/>
      <c r="H36" s="12"/>
      <c r="I36" s="12"/>
    </row>
    <row r="37" spans="1:30" ht="15" customHeight="1">
      <c r="B37" s="16"/>
      <c r="E37" s="12"/>
      <c r="F37" s="12"/>
      <c r="G37" s="12"/>
      <c r="H37" s="12"/>
      <c r="I37" s="12"/>
    </row>
    <row r="38" spans="1:30">
      <c r="B38" s="22"/>
      <c r="C38" s="22"/>
      <c r="E38" s="35"/>
      <c r="F38" s="35"/>
      <c r="G38" s="35"/>
      <c r="H38" s="35"/>
      <c r="I38" s="35"/>
    </row>
    <row r="39" spans="1:30">
      <c r="E39" s="12"/>
      <c r="F39" s="12"/>
      <c r="G39" s="12"/>
      <c r="H39" s="12"/>
      <c r="I39" s="12"/>
    </row>
    <row r="40" spans="1:30">
      <c r="E40" s="12"/>
      <c r="F40" s="12"/>
      <c r="G40" s="12"/>
      <c r="H40" s="12"/>
      <c r="I40" s="12"/>
    </row>
    <row r="41" spans="1:30" s="22" customFormat="1">
      <c r="A41" s="1"/>
      <c r="E41" s="35"/>
      <c r="F41" s="35"/>
      <c r="G41" s="35"/>
      <c r="H41" s="35"/>
      <c r="I41" s="35"/>
      <c r="Z41" s="34"/>
      <c r="AA41" s="45"/>
      <c r="AB41" s="45"/>
      <c r="AC41" s="45"/>
      <c r="AD41" s="56"/>
    </row>
    <row r="42" spans="1:30">
      <c r="E42" s="12"/>
      <c r="F42" s="12"/>
      <c r="G42" s="12"/>
      <c r="H42" s="12"/>
      <c r="I42" s="12"/>
    </row>
    <row r="43" spans="1:30" s="22" customFormat="1">
      <c r="A43" s="1"/>
      <c r="E43" s="35"/>
      <c r="F43" s="35"/>
      <c r="G43" s="35"/>
      <c r="H43" s="35"/>
      <c r="I43" s="35"/>
      <c r="Z43" s="34"/>
      <c r="AA43" s="45"/>
      <c r="AB43" s="45"/>
      <c r="AC43" s="45"/>
      <c r="AD43" s="56"/>
    </row>
    <row r="44" spans="1:30">
      <c r="E44" s="12"/>
      <c r="F44" s="12"/>
      <c r="G44" s="12"/>
      <c r="H44" s="12"/>
      <c r="I44" s="12"/>
    </row>
    <row r="45" spans="1:30" s="22" customFormat="1">
      <c r="A45" s="1"/>
      <c r="E45" s="35"/>
      <c r="F45" s="35"/>
      <c r="G45" s="35"/>
      <c r="H45" s="35"/>
      <c r="I45" s="35"/>
      <c r="Z45" s="34"/>
      <c r="AA45" s="45"/>
      <c r="AB45" s="45"/>
      <c r="AC45" s="45"/>
      <c r="AD45" s="56"/>
    </row>
    <row r="47" spans="1:30">
      <c r="E47" s="12"/>
      <c r="F47" s="12"/>
      <c r="G47" s="12"/>
      <c r="H47" s="12"/>
      <c r="I47" s="12"/>
    </row>
    <row r="48" spans="1:30">
      <c r="E48" s="12"/>
      <c r="F48" s="12"/>
      <c r="G48" s="12"/>
      <c r="H48" s="12"/>
      <c r="I48" s="12"/>
    </row>
    <row r="49" spans="1:30">
      <c r="E49" s="12"/>
    </row>
    <row r="50" spans="1:30">
      <c r="E50" s="12"/>
      <c r="F50" s="12"/>
      <c r="G50" s="12"/>
      <c r="H50" s="12"/>
      <c r="I50" s="12"/>
    </row>
    <row r="51" spans="1:30">
      <c r="D51" s="12"/>
      <c r="I51" s="12"/>
    </row>
    <row r="52" spans="1:30" s="22" customFormat="1">
      <c r="A52" s="1"/>
      <c r="D52" s="35"/>
      <c r="E52" s="35"/>
      <c r="F52" s="35"/>
      <c r="G52" s="35"/>
      <c r="H52" s="35"/>
      <c r="I52" s="35"/>
      <c r="Z52" s="34"/>
      <c r="AA52" s="45"/>
      <c r="AB52" s="45"/>
      <c r="AC52" s="45"/>
      <c r="AD52" s="56"/>
    </row>
    <row r="53" spans="1:30" s="22" customFormat="1">
      <c r="A53" s="1"/>
      <c r="D53" s="35"/>
      <c r="E53" s="35"/>
      <c r="F53" s="35"/>
      <c r="G53" s="35"/>
      <c r="H53" s="35"/>
      <c r="I53" s="35"/>
      <c r="Z53" s="34"/>
      <c r="AA53" s="45"/>
      <c r="AB53" s="45"/>
      <c r="AC53" s="45"/>
      <c r="AD53" s="56"/>
    </row>
    <row r="54" spans="1:30" s="22" customFormat="1">
      <c r="A54" s="1"/>
      <c r="D54" s="35"/>
      <c r="E54" s="35"/>
      <c r="F54" s="35"/>
      <c r="G54" s="35"/>
      <c r="H54" s="35"/>
      <c r="I54" s="35"/>
      <c r="Z54" s="34"/>
      <c r="AA54" s="45"/>
      <c r="AB54" s="45"/>
      <c r="AC54" s="45"/>
      <c r="AD54" s="56"/>
    </row>
    <row r="55" spans="1:30">
      <c r="D55" s="36"/>
    </row>
    <row r="57" spans="1:30" s="22" customFormat="1">
      <c r="A57" s="1"/>
      <c r="D57" s="35"/>
      <c r="E57" s="35"/>
      <c r="F57" s="35"/>
      <c r="G57" s="35"/>
      <c r="H57" s="35"/>
      <c r="I57" s="35"/>
      <c r="Z57" s="34"/>
      <c r="AA57" s="45"/>
      <c r="AB57" s="45"/>
      <c r="AC57" s="45"/>
      <c r="AD57" s="56"/>
    </row>
    <row r="58" spans="1:30" s="22" customFormat="1">
      <c r="A58" s="1"/>
      <c r="D58" s="35"/>
      <c r="E58" s="35"/>
      <c r="F58" s="35"/>
      <c r="G58" s="35"/>
      <c r="H58" s="35"/>
      <c r="I58" s="35"/>
      <c r="Z58" s="34"/>
      <c r="AA58" s="45"/>
      <c r="AB58" s="45"/>
      <c r="AC58" s="45"/>
      <c r="AD58" s="56"/>
    </row>
    <row r="59" spans="1:30">
      <c r="D59" s="36"/>
    </row>
    <row r="61" spans="1:30" s="18" customFormat="1">
      <c r="A61" s="6"/>
      <c r="Z61" s="44"/>
      <c r="AA61" s="57"/>
      <c r="AB61" s="57"/>
      <c r="AC61" s="57"/>
      <c r="AD61" s="58"/>
    </row>
    <row r="62" spans="1:30">
      <c r="D62" s="36"/>
      <c r="E62" s="36"/>
      <c r="F62" s="37"/>
    </row>
    <row r="63" spans="1:30">
      <c r="D63" s="12"/>
      <c r="E63" s="12"/>
      <c r="F63" s="12"/>
    </row>
    <row r="64" spans="1:30">
      <c r="B64" s="22"/>
      <c r="D64" s="38"/>
    </row>
    <row r="66" spans="2:9">
      <c r="D66" s="12"/>
      <c r="E66" s="12"/>
      <c r="F66" s="12"/>
      <c r="G66" s="12"/>
      <c r="H66" s="12"/>
      <c r="I66" s="12"/>
    </row>
    <row r="67" spans="2:9">
      <c r="C67" s="12"/>
      <c r="D67" s="12"/>
      <c r="E67" s="12"/>
      <c r="F67" s="12"/>
      <c r="G67" s="12"/>
      <c r="H67" s="12"/>
      <c r="I67" s="12"/>
    </row>
    <row r="68" spans="2:9">
      <c r="B68" s="22"/>
      <c r="D68" s="39"/>
    </row>
    <row r="100" spans="27:29">
      <c r="AA100" s="59">
        <v>2118849</v>
      </c>
      <c r="AB100" s="60" t="s">
        <v>27</v>
      </c>
      <c r="AC100" s="47" t="s">
        <v>15</v>
      </c>
    </row>
    <row r="101" spans="27:29">
      <c r="AA101" s="59">
        <v>2109117</v>
      </c>
      <c r="AB101" s="60" t="s">
        <v>28</v>
      </c>
      <c r="AC101" s="47" t="s">
        <v>15</v>
      </c>
    </row>
    <row r="102" spans="27:29">
      <c r="AA102" s="59">
        <v>2131513</v>
      </c>
      <c r="AB102" s="60" t="s">
        <v>29</v>
      </c>
      <c r="AC102" s="47" t="s">
        <v>15</v>
      </c>
    </row>
    <row r="103" spans="27:29">
      <c r="AA103" s="59">
        <v>2163629</v>
      </c>
      <c r="AB103" s="60" t="s">
        <v>30</v>
      </c>
      <c r="AC103" s="47" t="s">
        <v>15</v>
      </c>
    </row>
    <row r="104" spans="27:29">
      <c r="AA104" s="59">
        <v>2158547</v>
      </c>
      <c r="AB104" s="60" t="s">
        <v>31</v>
      </c>
      <c r="AC104" s="47" t="s">
        <v>15</v>
      </c>
    </row>
    <row r="105" spans="27:29">
      <c r="AA105" s="59">
        <v>2154270</v>
      </c>
      <c r="AB105" s="61" t="s">
        <v>32</v>
      </c>
      <c r="AC105" s="47" t="s">
        <v>15</v>
      </c>
    </row>
    <row r="106" spans="27:29">
      <c r="AA106" s="59">
        <v>2151151</v>
      </c>
      <c r="AB106" s="60" t="s">
        <v>33</v>
      </c>
      <c r="AC106" s="47" t="s">
        <v>15</v>
      </c>
    </row>
    <row r="107" spans="27:29">
      <c r="AA107" s="59">
        <v>2149718</v>
      </c>
      <c r="AB107" s="60" t="s">
        <v>34</v>
      </c>
      <c r="AC107" s="47" t="s">
        <v>15</v>
      </c>
    </row>
    <row r="108" spans="27:29">
      <c r="AA108" s="59">
        <v>2160765</v>
      </c>
      <c r="AB108" s="60" t="s">
        <v>35</v>
      </c>
      <c r="AC108" s="47" t="s">
        <v>15</v>
      </c>
    </row>
    <row r="109" spans="27:29">
      <c r="AA109" s="59">
        <v>2154169</v>
      </c>
      <c r="AB109" s="60" t="s">
        <v>36</v>
      </c>
      <c r="AC109" s="47" t="s">
        <v>16</v>
      </c>
    </row>
    <row r="110" spans="27:29">
      <c r="AA110" s="59">
        <v>2154119</v>
      </c>
      <c r="AB110" s="60" t="s">
        <v>37</v>
      </c>
      <c r="AC110" s="47" t="s">
        <v>15</v>
      </c>
    </row>
    <row r="111" spans="27:29">
      <c r="AA111" s="59">
        <v>2151457</v>
      </c>
      <c r="AB111" s="62" t="s">
        <v>38</v>
      </c>
      <c r="AC111" s="47" t="s">
        <v>16</v>
      </c>
    </row>
    <row r="112" spans="27:29">
      <c r="AA112" s="59">
        <v>2153783</v>
      </c>
      <c r="AB112" s="60" t="s">
        <v>39</v>
      </c>
      <c r="AC112" s="47" t="s">
        <v>15</v>
      </c>
    </row>
    <row r="113" spans="27:29">
      <c r="AA113" s="59">
        <v>2144514</v>
      </c>
      <c r="AB113" s="60" t="s">
        <v>40</v>
      </c>
      <c r="AC113" s="47" t="s">
        <v>15</v>
      </c>
    </row>
    <row r="114" spans="27:29">
      <c r="AA114" s="59">
        <v>2160227</v>
      </c>
      <c r="AB114" s="60" t="s">
        <v>41</v>
      </c>
      <c r="AC114" s="47" t="s">
        <v>16</v>
      </c>
    </row>
    <row r="115" spans="27:29">
      <c r="AA115" s="59">
        <v>2129818</v>
      </c>
      <c r="AB115" s="60" t="s">
        <v>42</v>
      </c>
      <c r="AC115" s="47" t="s">
        <v>15</v>
      </c>
    </row>
    <row r="116" spans="27:29">
      <c r="AA116" s="59">
        <v>2152483</v>
      </c>
      <c r="AB116" s="60" t="s">
        <v>43</v>
      </c>
      <c r="AC116" s="47" t="s">
        <v>16</v>
      </c>
    </row>
    <row r="117" spans="27:29">
      <c r="AA117" s="59">
        <v>2156681</v>
      </c>
      <c r="AB117" s="60" t="s">
        <v>44</v>
      </c>
      <c r="AC117" s="47" t="s">
        <v>16</v>
      </c>
    </row>
    <row r="118" spans="27:29">
      <c r="AA118" s="59">
        <v>2108636</v>
      </c>
      <c r="AB118" s="60" t="s">
        <v>45</v>
      </c>
      <c r="AC118" s="47" t="s">
        <v>16</v>
      </c>
    </row>
    <row r="119" spans="27:29">
      <c r="AA119" s="59">
        <v>2131827</v>
      </c>
      <c r="AB119" s="60" t="s">
        <v>46</v>
      </c>
      <c r="AC119" s="47" t="s">
        <v>16</v>
      </c>
    </row>
    <row r="120" spans="27:29">
      <c r="AA120" s="59">
        <v>2162528</v>
      </c>
      <c r="AB120" s="60" t="s">
        <v>47</v>
      </c>
      <c r="AC120" s="47" t="s">
        <v>16</v>
      </c>
    </row>
    <row r="121" spans="27:29">
      <c r="AA121" s="59">
        <v>2122773</v>
      </c>
      <c r="AB121" s="60" t="s">
        <v>48</v>
      </c>
      <c r="AC121" s="47" t="s">
        <v>15</v>
      </c>
    </row>
    <row r="122" spans="27:29">
      <c r="AA122" s="59">
        <v>2157252</v>
      </c>
      <c r="AB122" s="60" t="s">
        <v>49</v>
      </c>
      <c r="AC122" s="47" t="s">
        <v>16</v>
      </c>
    </row>
    <row r="123" spans="27:29">
      <c r="AA123" s="59">
        <v>2146144</v>
      </c>
      <c r="AB123" s="60" t="s">
        <v>50</v>
      </c>
      <c r="AC123" s="47" t="s">
        <v>16</v>
      </c>
    </row>
    <row r="124" spans="27:29">
      <c r="AA124" s="59">
        <v>2170408</v>
      </c>
      <c r="AB124" s="60" t="s">
        <v>51</v>
      </c>
      <c r="AC124" s="47" t="s">
        <v>16</v>
      </c>
    </row>
    <row r="125" spans="27:29">
      <c r="AA125" s="59"/>
      <c r="AB125" s="60"/>
    </row>
    <row r="127" spans="27:29">
      <c r="AA127" s="47" t="s">
        <v>24</v>
      </c>
    </row>
    <row r="128" spans="27:29">
      <c r="AA128" s="47" t="s">
        <v>23</v>
      </c>
    </row>
    <row r="129" spans="27:27">
      <c r="AA129" s="47" t="s">
        <v>52</v>
      </c>
    </row>
    <row r="131" spans="27:27">
      <c r="AA131" s="47" t="s">
        <v>53</v>
      </c>
    </row>
    <row r="132" spans="27:27">
      <c r="AA132" s="47" t="s">
        <v>54</v>
      </c>
    </row>
    <row r="133" spans="27:27">
      <c r="AA133" s="47" t="s">
        <v>55</v>
      </c>
    </row>
    <row r="134" spans="27:27">
      <c r="AA134" s="47" t="s">
        <v>56</v>
      </c>
    </row>
  </sheetData>
  <sheetProtection algorithmName="SHA-512" hashValue="nVv7FyMoHJ642esxC5TP7clMtb0yG6S+34z8jM3DtOS9BeqsPMykD1FNNfL1rrFSn5Hza3jf4lLeGqR24K0GPA==" saltValue="dzfciY0n2nlF2VCgX6OZWg==" spinCount="100000" sheet="1" objects="1" scenarios="1" selectLockedCells="1"/>
  <mergeCells count="3">
    <mergeCell ref="C1:G1"/>
    <mergeCell ref="C2:G2"/>
    <mergeCell ref="B4:I6"/>
  </mergeCells>
  <conditionalFormatting sqref="B4:I35">
    <cfRule type="expression" dxfId="0" priority="1">
      <formula>$A$2=0</formula>
    </cfRule>
  </conditionalFormatting>
  <dataValidations count="2">
    <dataValidation type="list" allowBlank="1" showInputMessage="1" showErrorMessage="1" sqref="E32" xr:uid="{486EBBC1-0205-41D2-BB52-ED3BAF5571BE}">
      <formula1>$AA$127:$AA$129</formula1>
    </dataValidation>
    <dataValidation type="list" allowBlank="1" showInputMessage="1" showErrorMessage="1" sqref="H32" xr:uid="{358A5DC5-8C23-4693-8313-8AF8728233B9}">
      <formula1>$AA$131:$AA$134</formula1>
    </dataValidation>
  </dataValidations>
  <pageMargins left="0.51181102362204722" right="0.31496062992125984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AAC7-1432-AF4E-81C6-50C88A0F9309}">
  <dimension ref="A3:R56"/>
  <sheetViews>
    <sheetView tabSelected="1" workbookViewId="0">
      <selection activeCell="D14" sqref="D14"/>
    </sheetView>
  </sheetViews>
  <sheetFormatPr baseColWidth="10" defaultRowHeight="15"/>
  <cols>
    <col min="7" max="7" width="10.83203125" customWidth="1"/>
    <col min="9" max="9" width="11.1640625" bestFit="1" customWidth="1"/>
  </cols>
  <sheetData>
    <row r="3" spans="1:11">
      <c r="A3" t="s">
        <v>61</v>
      </c>
      <c r="C3" s="63">
        <v>0</v>
      </c>
      <c r="D3">
        <v>1</v>
      </c>
      <c r="E3">
        <v>2</v>
      </c>
      <c r="F3">
        <v>3</v>
      </c>
      <c r="G3">
        <v>4</v>
      </c>
      <c r="H3">
        <v>5</v>
      </c>
    </row>
    <row r="5" spans="1:11">
      <c r="A5" t="s">
        <v>62</v>
      </c>
      <c r="D5" s="63">
        <v>120000</v>
      </c>
      <c r="E5" s="63">
        <v>131900</v>
      </c>
      <c r="F5" s="63">
        <v>145200</v>
      </c>
      <c r="G5" s="63">
        <v>159700</v>
      </c>
      <c r="H5" s="63">
        <v>175000</v>
      </c>
    </row>
    <row r="6" spans="1:11">
      <c r="A6" t="s">
        <v>63</v>
      </c>
      <c r="D6" s="64">
        <v>1.8</v>
      </c>
      <c r="E6" s="64">
        <v>2.4</v>
      </c>
      <c r="F6" s="64">
        <v>2.9</v>
      </c>
      <c r="G6" s="64">
        <v>3.3</v>
      </c>
      <c r="H6" s="64">
        <v>3.6</v>
      </c>
    </row>
    <row r="7" spans="1:11">
      <c r="A7" t="s">
        <v>5</v>
      </c>
      <c r="D7" s="64">
        <v>1.4</v>
      </c>
      <c r="E7" s="64">
        <v>1.7</v>
      </c>
      <c r="F7" s="64">
        <v>2</v>
      </c>
      <c r="G7" s="64">
        <v>2.1</v>
      </c>
      <c r="H7" s="64">
        <v>2.4</v>
      </c>
    </row>
    <row r="8" spans="1:11">
      <c r="A8" t="s">
        <v>64</v>
      </c>
      <c r="D8" s="63">
        <v>14100</v>
      </c>
      <c r="E8" s="63">
        <v>16200</v>
      </c>
      <c r="F8" s="63">
        <v>18000</v>
      </c>
      <c r="G8" s="63">
        <v>22900</v>
      </c>
      <c r="H8" s="63">
        <v>31195</v>
      </c>
    </row>
    <row r="9" spans="1:11">
      <c r="D9" s="63"/>
      <c r="E9" s="63"/>
      <c r="F9" s="63"/>
      <c r="G9" s="63"/>
      <c r="H9" s="63"/>
    </row>
    <row r="10" spans="1:11">
      <c r="A10" t="s">
        <v>65</v>
      </c>
      <c r="D10" s="63">
        <f>+D5*D6</f>
        <v>216000</v>
      </c>
      <c r="E10" s="63">
        <f t="shared" ref="E10:H10" si="0">+E5*E6</f>
        <v>316560</v>
      </c>
      <c r="F10" s="63">
        <f t="shared" si="0"/>
        <v>421080</v>
      </c>
      <c r="G10" s="63">
        <f t="shared" si="0"/>
        <v>527010</v>
      </c>
      <c r="H10" s="63">
        <f t="shared" si="0"/>
        <v>630000</v>
      </c>
    </row>
    <row r="11" spans="1:11">
      <c r="A11" t="s">
        <v>66</v>
      </c>
      <c r="D11" s="79">
        <f>-D5*D7</f>
        <v>-168000</v>
      </c>
      <c r="E11" s="79">
        <f>-E5*E7</f>
        <v>-224230</v>
      </c>
      <c r="F11" s="79">
        <f>-F5*F7</f>
        <v>-290400</v>
      </c>
      <c r="G11" s="79">
        <f t="shared" ref="G11:H11" si="1">-G5*G7</f>
        <v>-335370</v>
      </c>
      <c r="H11" s="79">
        <f t="shared" si="1"/>
        <v>-420000</v>
      </c>
    </row>
    <row r="12" spans="1:11" s="67" customFormat="1">
      <c r="A12" s="67" t="s">
        <v>67</v>
      </c>
      <c r="D12" s="72">
        <f>+D10+D11</f>
        <v>48000</v>
      </c>
      <c r="E12" s="72">
        <f t="shared" ref="E12:H12" si="2">+E10+E11</f>
        <v>92330</v>
      </c>
      <c r="F12" s="72">
        <f t="shared" si="2"/>
        <v>130680</v>
      </c>
      <c r="G12" s="72">
        <f t="shared" si="2"/>
        <v>191640</v>
      </c>
      <c r="H12" s="72">
        <f t="shared" si="2"/>
        <v>210000</v>
      </c>
    </row>
    <row r="13" spans="1:11">
      <c r="A13" t="s">
        <v>68</v>
      </c>
      <c r="D13" s="79">
        <f>-D8</f>
        <v>-14100</v>
      </c>
      <c r="E13" s="79">
        <f t="shared" ref="E13:H13" si="3">-E8</f>
        <v>-16200</v>
      </c>
      <c r="F13" s="79">
        <f t="shared" si="3"/>
        <v>-18000</v>
      </c>
      <c r="G13" s="79">
        <f t="shared" si="3"/>
        <v>-22900</v>
      </c>
      <c r="H13" s="79">
        <f t="shared" si="3"/>
        <v>-31195</v>
      </c>
      <c r="I13" s="79"/>
      <c r="J13" s="79"/>
      <c r="K13" s="79"/>
    </row>
    <row r="14" spans="1:11">
      <c r="A14" t="s">
        <v>69</v>
      </c>
      <c r="D14" s="80">
        <f>-240000/6</f>
        <v>-40000</v>
      </c>
      <c r="E14" s="80">
        <f t="shared" ref="E14:H14" si="4">-240000/6</f>
        <v>-40000</v>
      </c>
      <c r="F14" s="80">
        <f t="shared" si="4"/>
        <v>-40000</v>
      </c>
      <c r="G14" s="80">
        <f t="shared" si="4"/>
        <v>-40000</v>
      </c>
      <c r="H14" s="80">
        <f t="shared" si="4"/>
        <v>-40000</v>
      </c>
    </row>
    <row r="15" spans="1:11" s="67" customFormat="1">
      <c r="A15" s="67" t="s">
        <v>70</v>
      </c>
      <c r="D15" s="78">
        <f>+D12+D13+D14</f>
        <v>-6100</v>
      </c>
      <c r="E15" s="68">
        <f t="shared" ref="E15:H15" si="5">+E12+E13+E14</f>
        <v>36130</v>
      </c>
      <c r="F15" s="68">
        <f t="shared" si="5"/>
        <v>72680</v>
      </c>
      <c r="G15" s="68">
        <f t="shared" si="5"/>
        <v>128740</v>
      </c>
      <c r="H15" s="68">
        <f t="shared" si="5"/>
        <v>138805</v>
      </c>
    </row>
    <row r="16" spans="1:11">
      <c r="A16" t="s">
        <v>75</v>
      </c>
      <c r="D16" s="80">
        <f>-150000*C48</f>
        <v>-19121.146031639146</v>
      </c>
      <c r="E16" s="73"/>
      <c r="F16" s="73"/>
      <c r="G16" s="73"/>
      <c r="H16" s="73"/>
    </row>
    <row r="17" spans="1:10" s="67" customFormat="1">
      <c r="A17" s="67" t="s">
        <v>76</v>
      </c>
      <c r="D17" s="78">
        <f>+D15+D16</f>
        <v>-25221.146031639146</v>
      </c>
      <c r="E17" s="68">
        <f t="shared" ref="E17:H17" si="6">+E15+E16</f>
        <v>36130</v>
      </c>
      <c r="F17" s="68">
        <f t="shared" si="6"/>
        <v>72680</v>
      </c>
      <c r="G17" s="68">
        <f t="shared" si="6"/>
        <v>128740</v>
      </c>
      <c r="H17" s="68">
        <f t="shared" si="6"/>
        <v>138805</v>
      </c>
    </row>
    <row r="18" spans="1:10">
      <c r="A18" t="s">
        <v>77</v>
      </c>
      <c r="D18" s="80">
        <v>0</v>
      </c>
      <c r="E18" s="80">
        <f>-E17*32%</f>
        <v>-11561.6</v>
      </c>
      <c r="F18" s="80">
        <f t="shared" ref="F18:H18" si="7">-F17*32%</f>
        <v>-23257.600000000002</v>
      </c>
      <c r="G18" s="80">
        <f t="shared" si="7"/>
        <v>-41196.800000000003</v>
      </c>
      <c r="H18" s="80">
        <f t="shared" si="7"/>
        <v>-44417.599999999999</v>
      </c>
    </row>
    <row r="19" spans="1:10" s="67" customFormat="1" ht="16" thickBot="1">
      <c r="A19" s="67" t="s">
        <v>78</v>
      </c>
      <c r="D19" s="81">
        <f>+D17+D18</f>
        <v>-25221.146031639146</v>
      </c>
      <c r="E19" s="74">
        <f t="shared" ref="E19:H19" si="8">+E17+E18</f>
        <v>24568.400000000001</v>
      </c>
      <c r="F19" s="74">
        <f t="shared" si="8"/>
        <v>49422.399999999994</v>
      </c>
      <c r="G19" s="74">
        <f t="shared" si="8"/>
        <v>87543.2</v>
      </c>
      <c r="H19" s="74">
        <f t="shared" si="8"/>
        <v>94387.4</v>
      </c>
    </row>
    <row r="20" spans="1:10" s="67" customFormat="1" ht="16" thickTop="1">
      <c r="D20" s="76"/>
      <c r="E20" s="76"/>
      <c r="F20" s="76"/>
      <c r="G20" s="76"/>
      <c r="H20" s="76"/>
    </row>
    <row r="21" spans="1:10" s="67" customFormat="1">
      <c r="D21" s="76"/>
      <c r="E21" s="76"/>
      <c r="F21" s="76"/>
      <c r="G21" s="76"/>
      <c r="H21" s="76"/>
    </row>
    <row r="22" spans="1:10">
      <c r="D22" s="63"/>
      <c r="E22" s="63"/>
      <c r="F22" s="63"/>
      <c r="G22" s="63"/>
      <c r="H22" s="63"/>
    </row>
    <row r="23" spans="1:10">
      <c r="A23" t="s">
        <v>78</v>
      </c>
      <c r="D23" s="82">
        <f>+D19-D22</f>
        <v>-25221.146031639146</v>
      </c>
      <c r="E23" s="63">
        <f t="shared" ref="E23" si="9">+E19-E22</f>
        <v>24568.400000000001</v>
      </c>
      <c r="F23" s="63">
        <f t="shared" ref="F23" si="10">+F19-F22</f>
        <v>49422.399999999994</v>
      </c>
      <c r="G23" s="63">
        <f t="shared" ref="G23" si="11">+G19-G22</f>
        <v>87543.2</v>
      </c>
      <c r="H23" s="63">
        <f t="shared" ref="H23" si="12">+H19-H22</f>
        <v>94387.4</v>
      </c>
      <c r="I23" s="66"/>
    </row>
    <row r="24" spans="1:10">
      <c r="A24" t="s">
        <v>79</v>
      </c>
      <c r="D24" s="63">
        <f>-D14</f>
        <v>40000</v>
      </c>
      <c r="E24" s="63">
        <f t="shared" ref="E24:H24" si="13">-E14</f>
        <v>40000</v>
      </c>
      <c r="F24" s="63">
        <f t="shared" si="13"/>
        <v>40000</v>
      </c>
      <c r="G24" s="63">
        <f t="shared" si="13"/>
        <v>40000</v>
      </c>
      <c r="H24" s="63">
        <f t="shared" si="13"/>
        <v>40000</v>
      </c>
      <c r="I24" s="66"/>
    </row>
    <row r="25" spans="1:10">
      <c r="A25" t="s">
        <v>80</v>
      </c>
      <c r="C25" s="82">
        <f>-240000-60000</f>
        <v>-300000</v>
      </c>
      <c r="D25" s="63"/>
      <c r="E25" s="63"/>
      <c r="F25" s="63"/>
      <c r="G25" s="63"/>
      <c r="H25" s="63">
        <f>240000+SUM(D14:H14)</f>
        <v>40000</v>
      </c>
      <c r="I25" s="82"/>
    </row>
    <row r="26" spans="1:10" s="67" customFormat="1">
      <c r="A26" s="67" t="s">
        <v>83</v>
      </c>
      <c r="C26" s="83">
        <f>SUM(C25)</f>
        <v>-300000</v>
      </c>
      <c r="D26" s="68">
        <f>SUM(D23:D25)</f>
        <v>14778.853968360854</v>
      </c>
      <c r="E26" s="68">
        <f t="shared" ref="E26:H26" si="14">SUM(E23:E25)</f>
        <v>64568.4</v>
      </c>
      <c r="F26" s="68">
        <f t="shared" si="14"/>
        <v>89422.399999999994</v>
      </c>
      <c r="G26" s="68">
        <f t="shared" si="14"/>
        <v>127543.2</v>
      </c>
      <c r="H26" s="68">
        <f t="shared" si="14"/>
        <v>174387.4</v>
      </c>
      <c r="I26" s="68"/>
    </row>
    <row r="27" spans="1:10" s="67" customFormat="1">
      <c r="A27" s="67" t="s">
        <v>84</v>
      </c>
      <c r="C27" s="83">
        <f>+C26/((1+$E$33)^C3)</f>
        <v>-300000</v>
      </c>
      <c r="D27" s="83">
        <f t="shared" ref="D27:H27" si="15">+D26/((1+$E$33)^D3)</f>
        <v>13214.97689446711</v>
      </c>
      <c r="E27" s="83">
        <f t="shared" si="15"/>
        <v>51626.338584659941</v>
      </c>
      <c r="F27" s="83">
        <f t="shared" si="15"/>
        <v>63932.733365486456</v>
      </c>
      <c r="G27" s="83">
        <f t="shared" si="15"/>
        <v>81537.972875266671</v>
      </c>
      <c r="H27" s="83">
        <f t="shared" si="15"/>
        <v>99688.108144291633</v>
      </c>
      <c r="I27" s="83">
        <f>SUM(C27:H27)</f>
        <v>10000.129864171846</v>
      </c>
      <c r="J27" s="67" t="s">
        <v>88</v>
      </c>
    </row>
    <row r="28" spans="1:10">
      <c r="A28" s="63"/>
      <c r="B28" s="63"/>
      <c r="C28" s="63"/>
      <c r="D28" s="63"/>
      <c r="E28" s="63"/>
      <c r="F28" s="63"/>
      <c r="G28" s="63"/>
      <c r="H28" s="63"/>
      <c r="I28" s="63"/>
    </row>
    <row r="29" spans="1:10">
      <c r="A29" s="63"/>
      <c r="B29" s="63"/>
      <c r="C29" s="63"/>
      <c r="D29" s="63"/>
      <c r="E29" s="63"/>
      <c r="F29" s="63"/>
      <c r="G29" s="63"/>
      <c r="H29" s="63"/>
      <c r="I29" s="63"/>
    </row>
    <row r="30" spans="1:10">
      <c r="A30" s="63"/>
      <c r="B30" s="63"/>
      <c r="C30" s="63"/>
      <c r="D30" s="63"/>
      <c r="E30" s="63"/>
      <c r="F30" s="63"/>
      <c r="G30" s="63"/>
      <c r="H30" s="63"/>
      <c r="I30" s="65">
        <f>NPV(E33,D26:H26)+C26</f>
        <v>10000.129864171788</v>
      </c>
    </row>
    <row r="31" spans="1:10">
      <c r="A31" s="63" t="s">
        <v>85</v>
      </c>
      <c r="B31" s="63" t="s">
        <v>86</v>
      </c>
      <c r="C31" s="63">
        <v>150000</v>
      </c>
      <c r="D31" s="69">
        <f>150000/C33</f>
        <v>0.5</v>
      </c>
      <c r="E31" s="70">
        <v>0.15</v>
      </c>
      <c r="F31" s="63"/>
      <c r="G31" s="63"/>
      <c r="H31" s="63"/>
      <c r="I31" s="63"/>
    </row>
    <row r="32" spans="1:10">
      <c r="A32" s="63"/>
      <c r="B32" s="63" t="s">
        <v>87</v>
      </c>
      <c r="C32" s="63">
        <v>150000</v>
      </c>
      <c r="D32" s="69">
        <f>150000/C33</f>
        <v>0.5</v>
      </c>
      <c r="E32" s="70">
        <f>C56</f>
        <v>0.12747430687759431</v>
      </c>
      <c r="F32" s="63"/>
      <c r="G32" s="63"/>
      <c r="H32" s="63"/>
      <c r="I32" s="63"/>
    </row>
    <row r="33" spans="1:18">
      <c r="A33" s="63"/>
      <c r="B33" s="63"/>
      <c r="C33" s="63">
        <f>SUM(C31:C32)</f>
        <v>300000</v>
      </c>
      <c r="D33" s="63"/>
      <c r="E33" s="75">
        <f>+(D32*E31)+(D32*E32*(1-32%))</f>
        <v>0.11834126433838206</v>
      </c>
      <c r="F33" s="68" t="s">
        <v>91</v>
      </c>
      <c r="G33" s="63"/>
      <c r="H33" s="63"/>
      <c r="I33" s="63"/>
    </row>
    <row r="34" spans="1:18">
      <c r="A34" s="63"/>
      <c r="B34" s="63"/>
      <c r="C34" s="63"/>
      <c r="D34" s="63"/>
      <c r="E34" s="63"/>
      <c r="F34" s="63"/>
      <c r="G34" s="63"/>
      <c r="H34" s="63"/>
      <c r="I34" s="63"/>
    </row>
    <row r="35" spans="1:18">
      <c r="A35" s="67" t="s">
        <v>83</v>
      </c>
      <c r="B35" s="67"/>
      <c r="C35" s="83">
        <v>-300000</v>
      </c>
      <c r="D35" s="68">
        <v>14778.853968360854</v>
      </c>
      <c r="E35" s="68">
        <v>64568.4</v>
      </c>
      <c r="F35" s="68">
        <v>89422.399999999994</v>
      </c>
      <c r="G35" s="68">
        <v>127543.2</v>
      </c>
      <c r="H35" s="68">
        <v>134387.4</v>
      </c>
      <c r="I35" s="68"/>
      <c r="J35" s="67"/>
      <c r="K35" s="67"/>
    </row>
    <row r="36" spans="1:18">
      <c r="A36" s="67" t="s">
        <v>84</v>
      </c>
      <c r="B36" s="67"/>
      <c r="C36" s="83">
        <f>+C35/((1+$I$37)^C3)</f>
        <v>-300000</v>
      </c>
      <c r="D36" s="83">
        <f t="shared" ref="D36:H36" si="16">+D35/((1+$I$37)^D3)</f>
        <v>13078.631830407838</v>
      </c>
      <c r="E36" s="83">
        <f t="shared" si="16"/>
        <v>50566.528310752619</v>
      </c>
      <c r="F36" s="83">
        <f t="shared" si="16"/>
        <v>61974.208831261021</v>
      </c>
      <c r="G36" s="83">
        <f t="shared" si="16"/>
        <v>78224.633148156296</v>
      </c>
      <c r="H36" s="83">
        <f t="shared" si="16"/>
        <v>72940.096623132296</v>
      </c>
      <c r="I36" s="83">
        <f>SUM(C36:H36)</f>
        <v>-23215.90125628993</v>
      </c>
      <c r="J36" s="67" t="s">
        <v>88</v>
      </c>
      <c r="K36" s="67"/>
    </row>
    <row r="37" spans="1:18">
      <c r="A37" s="63"/>
      <c r="B37" s="63"/>
      <c r="C37" s="63"/>
      <c r="D37" s="63"/>
      <c r="E37" s="63"/>
      <c r="F37" s="63"/>
      <c r="G37" s="63"/>
      <c r="H37" s="63"/>
      <c r="I37" s="75">
        <v>0.13</v>
      </c>
    </row>
    <row r="38" spans="1:18">
      <c r="A38" s="63"/>
      <c r="B38" s="63"/>
      <c r="C38" s="63"/>
      <c r="D38" s="63"/>
      <c r="E38" s="63"/>
      <c r="F38" s="63"/>
      <c r="G38" s="63"/>
      <c r="H38" s="63"/>
      <c r="I38" s="63"/>
      <c r="J38" s="68"/>
    </row>
    <row r="39" spans="1:18">
      <c r="A39" s="63" t="s">
        <v>54</v>
      </c>
      <c r="B39" s="63" t="s">
        <v>91</v>
      </c>
      <c r="C39" s="71">
        <f>E33</f>
        <v>0.11834126433838206</v>
      </c>
      <c r="D39" s="63"/>
      <c r="E39" s="63"/>
      <c r="F39" s="63"/>
      <c r="G39" s="63"/>
      <c r="H39" s="63"/>
      <c r="I39" s="63"/>
      <c r="L39" s="63"/>
      <c r="M39" s="63"/>
      <c r="N39" s="63"/>
      <c r="O39" s="63"/>
      <c r="P39" s="63"/>
      <c r="Q39" s="63"/>
      <c r="R39" s="63"/>
    </row>
    <row r="40" spans="1:18">
      <c r="A40" s="63"/>
      <c r="B40" s="63" t="s">
        <v>90</v>
      </c>
      <c r="C40" s="63">
        <f>I27</f>
        <v>10000.129864171846</v>
      </c>
      <c r="D40" s="63"/>
      <c r="E40" s="63"/>
      <c r="F40" s="63"/>
      <c r="G40" s="63"/>
      <c r="H40" s="63"/>
      <c r="I40" s="65">
        <f>NPV(I37,D35:H35)+C35</f>
        <v>-23215.901256289973</v>
      </c>
      <c r="L40" s="63"/>
      <c r="M40" s="63"/>
      <c r="N40" s="63"/>
      <c r="O40" s="63"/>
      <c r="P40" s="63"/>
      <c r="Q40" s="63"/>
      <c r="R40" s="63"/>
    </row>
    <row r="41" spans="1:18">
      <c r="A41" s="63"/>
      <c r="B41" s="63" t="s">
        <v>89</v>
      </c>
      <c r="C41" s="71">
        <f>I37</f>
        <v>0.13</v>
      </c>
      <c r="D41" s="63"/>
      <c r="E41" s="63"/>
      <c r="F41" s="63"/>
      <c r="G41" s="63"/>
      <c r="H41" s="63"/>
      <c r="I41" s="63"/>
      <c r="K41" s="63"/>
      <c r="L41" s="63"/>
      <c r="M41" s="63"/>
      <c r="N41" s="63"/>
      <c r="O41" s="63"/>
      <c r="P41" s="63"/>
      <c r="Q41" s="63"/>
      <c r="R41" s="63"/>
    </row>
    <row r="42" spans="1:18">
      <c r="A42" s="63"/>
      <c r="B42" s="63" t="s">
        <v>92</v>
      </c>
      <c r="C42" s="82">
        <f>I36</f>
        <v>-23215.90125628993</v>
      </c>
      <c r="D42" s="63"/>
      <c r="E42" s="63"/>
      <c r="F42" s="63"/>
      <c r="G42" s="63"/>
      <c r="H42" s="63"/>
      <c r="I42" s="63"/>
      <c r="K42" s="63"/>
      <c r="L42" s="63"/>
      <c r="M42" s="63"/>
      <c r="N42" s="63"/>
      <c r="O42" s="63"/>
      <c r="P42" s="63"/>
      <c r="Q42" s="63"/>
      <c r="R42" s="63"/>
    </row>
    <row r="43" spans="1:18">
      <c r="A43" s="63"/>
      <c r="B43" s="68" t="s">
        <v>54</v>
      </c>
      <c r="C43" s="75">
        <f>+C39+(C40*(C41-C39)/(C40-C42))</f>
        <v>0.12185128244516333</v>
      </c>
      <c r="D43" s="63"/>
      <c r="E43" s="63"/>
      <c r="F43" s="63"/>
      <c r="G43" s="63"/>
      <c r="H43" s="63"/>
      <c r="I43" s="63"/>
      <c r="K43" s="63"/>
    </row>
    <row r="44" spans="1:18">
      <c r="A44" s="63"/>
      <c r="B44" s="63"/>
      <c r="C44" s="63"/>
      <c r="D44" s="63"/>
      <c r="E44" s="63"/>
      <c r="F44" s="63"/>
      <c r="G44" s="63"/>
      <c r="H44" s="63"/>
      <c r="I44" s="63"/>
      <c r="K44" s="63"/>
    </row>
    <row r="45" spans="1:18">
      <c r="A45" s="63"/>
      <c r="B45" s="63"/>
      <c r="C45" s="63"/>
      <c r="D45" s="63"/>
      <c r="E45" s="63"/>
      <c r="F45" s="63"/>
      <c r="G45" s="63"/>
      <c r="H45" s="63"/>
      <c r="I45" s="63"/>
    </row>
    <row r="46" spans="1:18">
      <c r="E46">
        <v>1</v>
      </c>
      <c r="F46">
        <v>2</v>
      </c>
      <c r="G46">
        <v>3</v>
      </c>
      <c r="H46">
        <v>4</v>
      </c>
      <c r="I46">
        <v>5</v>
      </c>
      <c r="J46" t="s">
        <v>74</v>
      </c>
    </row>
    <row r="47" spans="1:18">
      <c r="A47" t="s">
        <v>57</v>
      </c>
      <c r="C47" s="63">
        <f>(240000+60000)*12%</f>
        <v>36000</v>
      </c>
      <c r="D47" s="63" t="s">
        <v>71</v>
      </c>
      <c r="E47" s="63">
        <f>C47</f>
        <v>36000</v>
      </c>
      <c r="F47" s="63">
        <f>+E47-E49</f>
        <v>30416.753269191533</v>
      </c>
      <c r="G47" s="63">
        <f t="shared" ref="G47:H47" si="17">+F47-F49</f>
        <v>24121.786031246662</v>
      </c>
      <c r="H47" s="63">
        <f t="shared" si="17"/>
        <v>17024.372207827604</v>
      </c>
      <c r="I47" s="63">
        <f>+H47-H49</f>
        <v>9022.2204766447448</v>
      </c>
      <c r="J47" s="63">
        <f>SUM(E49:I49)</f>
        <v>36000</v>
      </c>
    </row>
    <row r="48" spans="1:18">
      <c r="A48" t="s">
        <v>58</v>
      </c>
      <c r="C48" s="71">
        <f>C56</f>
        <v>0.12747430687759431</v>
      </c>
      <c r="D48" s="63" t="s">
        <v>72</v>
      </c>
      <c r="E48" s="63">
        <f>+E47*$C$48</f>
        <v>4589.0750475933955</v>
      </c>
      <c r="F48" s="63">
        <f>+F47*$C$48</f>
        <v>3877.3545404569913</v>
      </c>
      <c r="G48" s="63">
        <f>+G47*$C$48</f>
        <v>3074.9079549828048</v>
      </c>
      <c r="H48" s="63">
        <f>+H47*$C$48</f>
        <v>2170.1700472190037</v>
      </c>
      <c r="I48" s="63">
        <f>+I47*$C$48</f>
        <v>1150.1013017571274</v>
      </c>
      <c r="J48" s="63">
        <f>SUM(E50:I50)</f>
        <v>0</v>
      </c>
    </row>
    <row r="49" spans="1:10">
      <c r="A49" t="s">
        <v>59</v>
      </c>
      <c r="C49" s="63">
        <v>5</v>
      </c>
      <c r="D49" s="63" t="s">
        <v>73</v>
      </c>
      <c r="E49" s="63">
        <f>+$C$50-E48</f>
        <v>5583.2467308084679</v>
      </c>
      <c r="F49" s="63">
        <f>+$C$50-F48</f>
        <v>6294.9672379448721</v>
      </c>
      <c r="G49" s="63">
        <f>+$C$50-G48</f>
        <v>7097.4138234190586</v>
      </c>
      <c r="H49" s="63">
        <f>+$C$50-H48</f>
        <v>8002.1517311828593</v>
      </c>
      <c r="I49" s="63">
        <f>+$C$50-I48</f>
        <v>9022.2204766447358</v>
      </c>
      <c r="J49" s="63">
        <f>SUM(E51:I51)</f>
        <v>0</v>
      </c>
    </row>
    <row r="50" spans="1:10">
      <c r="A50" t="s">
        <v>60</v>
      </c>
      <c r="C50" s="65">
        <f>-PMT(C48,C49,C47)</f>
        <v>10172.321778401863</v>
      </c>
      <c r="D50" s="63"/>
      <c r="E50" s="63"/>
      <c r="F50" s="63"/>
      <c r="G50" s="63"/>
      <c r="H50" s="63"/>
      <c r="I50" s="63"/>
      <c r="J50" s="63"/>
    </row>
    <row r="54" spans="1:10">
      <c r="A54" s="67" t="s">
        <v>81</v>
      </c>
      <c r="B54" s="67"/>
      <c r="C54" s="77">
        <v>0.12</v>
      </c>
    </row>
    <row r="55" spans="1:10">
      <c r="A55" s="67"/>
      <c r="B55" s="67"/>
      <c r="C55" s="67"/>
    </row>
    <row r="56" spans="1:10">
      <c r="A56" s="67" t="s">
        <v>82</v>
      </c>
      <c r="B56" s="67"/>
      <c r="C56" s="75">
        <f>+((1+(C54/360))^360)-1</f>
        <v>0.12747430687759431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GR. 15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GONZALEZ</dc:creator>
  <cp:lastModifiedBy>Microsoft Office User</cp:lastModifiedBy>
  <dcterms:created xsi:type="dcterms:W3CDTF">2020-04-27T16:35:13Z</dcterms:created>
  <dcterms:modified xsi:type="dcterms:W3CDTF">2020-05-11T18:51:33Z</dcterms:modified>
</cp:coreProperties>
</file>