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ogar/Desktop/Nikolás ECI 201/FCFI/"/>
    </mc:Choice>
  </mc:AlternateContent>
  <xr:revisionPtr revIDLastSave="0" documentId="13_ncr:1_{287F941C-6D7B-AC42-AA54-D717367B22E0}" xr6:coauthVersionLast="36" xr6:coauthVersionMax="36" xr10:uidLastSave="{00000000-0000-0000-0000-000000000000}"/>
  <bookViews>
    <workbookView xWindow="0" yWindow="460" windowWidth="24920" windowHeight="15540" xr2:uid="{61A4A02B-4969-4409-A3D8-37CCB6FD0842}"/>
  </bookViews>
  <sheets>
    <sheet name="TIPO A" sheetId="3" r:id="rId1"/>
    <sheet name="TIPO B" sheetId="2" state="hidden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5" i="3" l="1"/>
  <c r="J56" i="3" l="1"/>
  <c r="D58" i="3"/>
  <c r="J52" i="3"/>
  <c r="D51" i="3"/>
  <c r="D50" i="3" s="1"/>
  <c r="J50" i="3" s="1"/>
  <c r="J51" i="3" l="1"/>
  <c r="J53" i="3" s="1"/>
  <c r="C13" i="3"/>
  <c r="N26" i="3"/>
  <c r="D7" i="3"/>
  <c r="D10" i="3" s="1"/>
  <c r="J44" i="3" l="1"/>
  <c r="D60" i="3"/>
  <c r="D57" i="3" s="1"/>
  <c r="J48" i="3" s="1"/>
  <c r="J46" i="3" s="1"/>
  <c r="J31" i="3"/>
  <c r="D13" i="3"/>
  <c r="E13" i="3" s="1"/>
  <c r="C14" i="3" s="1"/>
  <c r="H35" i="2"/>
  <c r="H34" i="2"/>
  <c r="H33" i="2"/>
  <c r="D35" i="2"/>
  <c r="D34" i="2"/>
  <c r="D33" i="2"/>
  <c r="D14" i="3" l="1"/>
  <c r="E14" i="3" s="1"/>
  <c r="C15" i="3"/>
  <c r="D60" i="2"/>
  <c r="D59" i="2"/>
  <c r="D58" i="2"/>
  <c r="D57" i="2"/>
  <c r="D56" i="2"/>
  <c r="C11" i="2"/>
  <c r="D11" i="2" s="1"/>
  <c r="E11" i="2" s="1"/>
  <c r="D28" i="2"/>
  <c r="D27" i="2"/>
  <c r="D9" i="2"/>
  <c r="D8" i="2"/>
  <c r="D15" i="3" l="1"/>
  <c r="C12" i="2"/>
  <c r="D12" i="2" s="1"/>
  <c r="E12" i="2" s="1"/>
  <c r="E15" i="3" l="1"/>
  <c r="C16" i="3" s="1"/>
  <c r="D16" i="3" s="1"/>
  <c r="E16" i="3" s="1"/>
  <c r="C17" i="3" s="1"/>
  <c r="D17" i="3" s="1"/>
  <c r="E17" i="3" s="1"/>
  <c r="C18" i="3" s="1"/>
  <c r="D18" i="3" s="1"/>
  <c r="E18" i="3" s="1"/>
  <c r="C19" i="3" s="1"/>
  <c r="D19" i="3"/>
  <c r="E19" i="3" s="1"/>
  <c r="C20" i="3" s="1"/>
  <c r="D20" i="3" s="1"/>
  <c r="E20" i="3" s="1"/>
  <c r="C13" i="2"/>
  <c r="D13" i="2" s="1"/>
  <c r="E13" i="2" s="1"/>
  <c r="D21" i="3" l="1"/>
  <c r="J33" i="3" s="1"/>
  <c r="C14" i="2"/>
  <c r="D14" i="2" s="1"/>
  <c r="E14" i="2" s="1"/>
  <c r="C15" i="2" l="1"/>
  <c r="D15" i="2" s="1"/>
  <c r="E15" i="2" s="1"/>
  <c r="C16" i="2" l="1"/>
  <c r="D16" i="2" s="1"/>
  <c r="E16" i="2" s="1"/>
  <c r="C17" i="2" l="1"/>
  <c r="D17" i="2" s="1"/>
  <c r="E17" i="2" s="1"/>
  <c r="C18" i="2" l="1"/>
  <c r="D18" i="2" s="1"/>
  <c r="E18" i="2" s="1"/>
  <c r="C19" i="2" l="1"/>
  <c r="D19" i="2" s="1"/>
  <c r="E19" i="2" s="1"/>
  <c r="C20" i="2" l="1"/>
  <c r="D20" i="2" s="1"/>
  <c r="E20" i="2" s="1"/>
  <c r="C21" i="2" l="1"/>
  <c r="D21" i="2" l="1"/>
  <c r="E21" i="2" l="1"/>
  <c r="C22" i="2" s="1"/>
  <c r="D22" i="2" s="1"/>
  <c r="E22" i="2" l="1"/>
  <c r="D23" i="2"/>
</calcChain>
</file>

<file path=xl/sharedStrings.xml><?xml version="1.0" encoding="utf-8"?>
<sst xmlns="http://schemas.openxmlformats.org/spreadsheetml/2006/main" count="65" uniqueCount="47">
  <si>
    <t>USTED ESTÁ INTERESADO EN ADQUIRIR UN VEHÍCULO DE ALTA GAMA, CUYO COSTO EN EL MERCADO ES DE 108.000.000, PARA LO QUE DISPONE DE DOS OFERTAS:</t>
  </si>
  <si>
    <t>a.-</t>
  </si>
  <si>
    <t>8 CUOTAS FIJAS TRIMESTRALES, IGUALES Y CONSECUTIVAS, AL 18% EFECTIVO ANUAL.</t>
  </si>
  <si>
    <t>b.-</t>
  </si>
  <si>
    <t>DOS TRIMESTRES MUERTOS Y 6 CUOTAS FIJAS, TRIMESTRALES Y CONSECUTIVAS A LA TASA DEL 18% ANUAL, MES VENCIDO.</t>
  </si>
  <si>
    <t>COMPLETA LA SIGUIENTE TABLA:</t>
  </si>
  <si>
    <t>OPCION</t>
  </si>
  <si>
    <t>CUOTA</t>
  </si>
  <si>
    <t>CUAL OPCIÓN TIENE MEJOR TASA?</t>
  </si>
  <si>
    <t>CUANTO SUMAN LOS INTERESES DE ESA OPCION? (*)</t>
  </si>
  <si>
    <t>(*) DOCUMENTA TU CÁLCULO CON LA TABLA DE AMORTIZACIÓN CORRESPONDIENTE.</t>
  </si>
  <si>
    <t>BANCO DRÁCULA NOS OFRECE FINANCIAR LA COMPRA DE UN TRACTOR MEDIANTE 15 CUOTAS CUATRIMESTRALES DE 7.043.622,28, CALCULADAS A LA TASA DEL 1,9613% E. M.</t>
  </si>
  <si>
    <t>TOMAMOS LA OFERTA Y, 16 MESES MAS TARDE, PAGAMOS UNA CUOTA EXTRA NO PACTADA DE 7.421.912, DESTINADA A REDUCIR EL VALOR DE LA CUOTA.</t>
  </si>
  <si>
    <t>CUAL ES EL VALOR DE LA SEXTA CUOTA?</t>
  </si>
  <si>
    <t>COMO ESTÁ COMPUESTA ESA CUOTA?</t>
  </si>
  <si>
    <t>A CAPITAL</t>
  </si>
  <si>
    <t>A INTERESES</t>
  </si>
  <si>
    <t>BONO:</t>
  </si>
  <si>
    <t>SI SE MANTIENE LA CUOTA ORIGINAL DESPUÉS DEL PAGO EXTRA, EN CUANTAS CUOTAS</t>
  </si>
  <si>
    <t>TERMINARÍAMOS DE PAGAR EL CRÉDITO?</t>
  </si>
  <si>
    <t>USTED ESTÁ INTERESADO EN ADQUIRIR UN VEHÍCULO DE ALTA GAMA, CUYO COSTO EN EL MERCADO ES DE 108.000.000. INVESTIGANDO EN EL MERCADO, ENCONTRÓ LAS SIGUIENTES OFERTAS DE FINANCIAMIENTO:</t>
  </si>
  <si>
    <t>12 CUOTAS FIJAS TRIMESTRALES, IGUALES Y CONSECUTIVAS, AL 18% EFECTIVO ANUAL.</t>
  </si>
  <si>
    <t>TET =</t>
  </si>
  <si>
    <t>CUOTA =</t>
  </si>
  <si>
    <t>UN TRIMESTRE DE GRACIA Y 11 CUOTAS FIJAS, TRIMESTRALES Y CONSECUTIVAS A LA TASA DEL 18% ANUAL.</t>
  </si>
  <si>
    <t>c.-</t>
  </si>
  <si>
    <t>11 CUOTAS FIJAS TRIMESTRALES, IGUALES Y CONSECUTIVAS AL 16,6656% ANUAL, MES VENCIDO, MAS UNA CUOTA AL FINAL DE LOS TRES AÑOS DE 5.000.000.</t>
  </si>
  <si>
    <t>CUOTA EXTRA =</t>
  </si>
  <si>
    <t>CUOTA:</t>
  </si>
  <si>
    <t>INTERESES TOTALES (*):</t>
  </si>
  <si>
    <t>OPCION (a):</t>
  </si>
  <si>
    <t>OPCION (b):</t>
  </si>
  <si>
    <t>OPCION (c):</t>
  </si>
  <si>
    <t>UNA OBLIGACIÓN POR VALOR DE 60.000.000 SE VA A PAGAR POR MEDIO DE 12 CUOTAS TRIMESTRALES IGUALES, CALCULADAS A LA TASA DEL 1,9613% EFECTIVO MENSUAL. AL PAGAR LA CUOTA 8 SE HACE UN ABONO DE 4.798.529,41 Y EL SALDO RESTANTE SE PROPONE PAGARLO EN 2 CUOTAS SEMESTRALES IGUALES.</t>
  </si>
  <si>
    <t>CUAL ES EL VALOR DE CADA CUOTA SEMESTRAL?</t>
  </si>
  <si>
    <t>VP =</t>
  </si>
  <si>
    <t>TES =</t>
  </si>
  <si>
    <t>CUOTA (SEM) =</t>
  </si>
  <si>
    <t>EFECTIVA ANUAL</t>
  </si>
  <si>
    <t>A</t>
  </si>
  <si>
    <t>NO. PAGOS</t>
  </si>
  <si>
    <t>TRIMESTRAL</t>
  </si>
  <si>
    <t>VP:</t>
  </si>
  <si>
    <t>SALDO</t>
  </si>
  <si>
    <t>INTERESES</t>
  </si>
  <si>
    <t>TASA:</t>
  </si>
  <si>
    <t>No. PAGOS: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</si>
</sst>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8" formatCode="&quot;$&quot;#,##0.00;[Red]\-&quot;$&quot;#,##0.00"/>
    <numFmt numFmtId="41" formatCode="_-* #,##0_-;\-* #,##0_-;_-* &quot;-&quot;_-;_-@_-"/>
    <numFmt numFmtId="164" formatCode="&quot;$&quot;\ #,##0.00;[Red]\-&quot;$&quot;\ #,##0.00"/>
    <numFmt numFmtId="165" formatCode="0.000%"/>
    <numFmt numFmtId="166" formatCode="0.0000%"/>
    <numFmt numFmtId="167" formatCode="_-* #,##0.00_-;\-* #,##0.00_-;_-* &quot;-&quot;_-;_-@_-"/>
    <numFmt numFmtId="169" formatCode="0.0000"/>
    <numFmt numFmtId="170" formatCode="_-* #,##0.000_-;\-* #,##0.000_-;_-* &quot;-&quot;_-;_-@_-"/>
  </numFmts>
  <fonts count="11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1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63">
    <xf numFmtId="0" fontId="0" fillId="0" borderId="0" xfId="0"/>
    <xf numFmtId="0" fontId="3" fillId="0" borderId="0" xfId="0" applyFont="1" applyFill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0" xfId="0" applyFont="1" applyFill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left" vertical="top" wrapText="1"/>
    </xf>
    <xf numFmtId="0" fontId="4" fillId="0" borderId="0" xfId="0" applyFont="1" applyFill="1" applyAlignment="1">
      <alignment horizontal="left" vertical="center"/>
    </xf>
    <xf numFmtId="0" fontId="3" fillId="0" borderId="0" xfId="0" quotePrefix="1" applyFont="1" applyAlignment="1">
      <alignment vertical="center"/>
    </xf>
    <xf numFmtId="0" fontId="3" fillId="0" borderId="0" xfId="0" applyFont="1" applyAlignment="1">
      <alignment vertical="top"/>
    </xf>
    <xf numFmtId="0" fontId="3" fillId="0" borderId="0" xfId="0" applyFont="1" applyBorder="1" applyAlignment="1">
      <alignment horizontal="center" vertical="center"/>
    </xf>
    <xf numFmtId="166" fontId="3" fillId="0" borderId="0" xfId="2" applyNumberFormat="1" applyFont="1" applyAlignment="1">
      <alignment horizontal="right" vertical="center" wrapText="1"/>
    </xf>
    <xf numFmtId="41" fontId="3" fillId="0" borderId="0" xfId="1" applyFont="1" applyAlignment="1">
      <alignment horizontal="justify" vertical="center" wrapText="1"/>
    </xf>
    <xf numFmtId="167" fontId="4" fillId="0" borderId="0" xfId="1" applyNumberFormat="1" applyFont="1" applyAlignment="1">
      <alignment vertical="center"/>
    </xf>
    <xf numFmtId="164" fontId="4" fillId="0" borderId="0" xfId="0" applyNumberFormat="1" applyFont="1" applyAlignment="1">
      <alignment vertical="center"/>
    </xf>
    <xf numFmtId="165" fontId="3" fillId="0" borderId="0" xfId="2" applyNumberFormat="1" applyFont="1" applyAlignment="1">
      <alignment horizontal="right" vertical="center" wrapText="1"/>
    </xf>
    <xf numFmtId="167" fontId="3" fillId="0" borderId="0" xfId="1" applyNumberFormat="1" applyFont="1" applyAlignment="1">
      <alignment horizontal="justify" vertical="center" wrapText="1"/>
    </xf>
    <xf numFmtId="41" fontId="3" fillId="0" borderId="0" xfId="1" applyNumberFormat="1" applyFont="1" applyAlignment="1">
      <alignment horizontal="justify" vertical="center" wrapText="1"/>
    </xf>
    <xf numFmtId="167" fontId="3" fillId="0" borderId="0" xfId="0" applyNumberFormat="1" applyFont="1" applyAlignment="1">
      <alignment vertical="center"/>
    </xf>
    <xf numFmtId="167" fontId="3" fillId="0" borderId="0" xfId="0" applyNumberFormat="1" applyFont="1" applyAlignment="1">
      <alignment horizontal="justify" vertical="center" wrapText="1"/>
    </xf>
    <xf numFmtId="167" fontId="4" fillId="0" borderId="0" xfId="0" applyNumberFormat="1" applyFont="1" applyAlignment="1">
      <alignment vertical="center"/>
    </xf>
    <xf numFmtId="166" fontId="3" fillId="0" borderId="0" xfId="2" applyNumberFormat="1" applyFont="1" applyAlignment="1">
      <alignment horizontal="right" vertical="top" wrapText="1"/>
    </xf>
    <xf numFmtId="167" fontId="3" fillId="0" borderId="0" xfId="1" applyNumberFormat="1" applyFont="1" applyAlignment="1">
      <alignment horizontal="justify" vertical="top" wrapText="1"/>
    </xf>
    <xf numFmtId="41" fontId="3" fillId="0" borderId="0" xfId="1" applyFont="1" applyAlignment="1">
      <alignment horizontal="justify" vertical="top" wrapText="1"/>
    </xf>
    <xf numFmtId="41" fontId="3" fillId="0" borderId="0" xfId="0" applyNumberFormat="1" applyFont="1" applyAlignment="1">
      <alignment horizontal="justify" vertical="top" wrapText="1"/>
    </xf>
    <xf numFmtId="0" fontId="4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8" fillId="0" borderId="0" xfId="0" applyFont="1" applyAlignment="1">
      <alignment horizontal="justify" vertical="center" wrapText="1"/>
    </xf>
    <xf numFmtId="0" fontId="8" fillId="0" borderId="0" xfId="0" applyFont="1" applyAlignment="1">
      <alignment horizontal="center" vertical="center" wrapText="1"/>
    </xf>
    <xf numFmtId="0" fontId="7" fillId="0" borderId="0" xfId="0" applyFont="1" applyAlignment="1">
      <alignment vertical="center"/>
    </xf>
    <xf numFmtId="41" fontId="9" fillId="0" borderId="4" xfId="0" applyNumberFormat="1" applyFont="1" applyBorder="1" applyAlignment="1">
      <alignment vertical="center"/>
    </xf>
    <xf numFmtId="0" fontId="10" fillId="0" borderId="0" xfId="0" applyFont="1" applyAlignment="1">
      <alignment vertical="center"/>
    </xf>
    <xf numFmtId="0" fontId="3" fillId="0" borderId="0" xfId="0" applyFont="1" applyAlignment="1">
      <alignment horizontal="justify" vertical="center" wrapText="1"/>
    </xf>
    <xf numFmtId="0" fontId="3" fillId="0" borderId="0" xfId="0" applyFont="1" applyAlignment="1">
      <alignment horizontal="justify" vertical="top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justify" vertical="center" wrapText="1"/>
    </xf>
    <xf numFmtId="0" fontId="3" fillId="0" borderId="0" xfId="0" applyFont="1" applyAlignment="1">
      <alignment horizontal="justify" vertical="top" wrapText="1"/>
    </xf>
    <xf numFmtId="166" fontId="4" fillId="0" borderId="0" xfId="2" applyNumberFormat="1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 wrapText="1"/>
    </xf>
    <xf numFmtId="166" fontId="4" fillId="0" borderId="0" xfId="2" applyNumberFormat="1" applyFont="1" applyAlignment="1">
      <alignment horizontal="center" vertical="center"/>
    </xf>
    <xf numFmtId="0" fontId="3" fillId="0" borderId="0" xfId="0" applyFont="1" applyAlignment="1">
      <alignment horizontal="center" vertical="top" wrapText="1"/>
    </xf>
    <xf numFmtId="41" fontId="3" fillId="0" borderId="0" xfId="1" applyFont="1" applyAlignment="1">
      <alignment horizontal="center" vertical="center" wrapText="1"/>
    </xf>
    <xf numFmtId="41" fontId="2" fillId="0" borderId="0" xfId="0" applyNumberFormat="1" applyFont="1" applyAlignment="1">
      <alignment horizontal="right" vertical="top" wrapText="1"/>
    </xf>
    <xf numFmtId="41" fontId="3" fillId="0" borderId="0" xfId="0" applyNumberFormat="1" applyFont="1" applyAlignment="1">
      <alignment horizontal="justify" vertical="center" wrapText="1"/>
    </xf>
    <xf numFmtId="8" fontId="3" fillId="0" borderId="0" xfId="0" applyNumberFormat="1" applyFont="1" applyAlignment="1">
      <alignment horizontal="justify" vertical="top" wrapText="1"/>
    </xf>
    <xf numFmtId="0" fontId="1" fillId="0" borderId="0" xfId="0" applyFont="1" applyAlignment="1">
      <alignment vertical="center"/>
    </xf>
    <xf numFmtId="166" fontId="4" fillId="0" borderId="0" xfId="0" applyNumberFormat="1" applyFont="1" applyAlignment="1">
      <alignment vertical="center"/>
    </xf>
    <xf numFmtId="167" fontId="3" fillId="0" borderId="4" xfId="1" applyNumberFormat="1" applyFont="1" applyBorder="1" applyAlignment="1">
      <alignment vertical="center"/>
    </xf>
    <xf numFmtId="169" fontId="4" fillId="0" borderId="0" xfId="0" applyNumberFormat="1" applyFont="1" applyAlignment="1">
      <alignment vertical="center"/>
    </xf>
    <xf numFmtId="0" fontId="3" fillId="0" borderId="0" xfId="0" applyFont="1" applyAlignment="1">
      <alignment horizontal="justify" vertical="center" wrapText="1"/>
    </xf>
    <xf numFmtId="0" fontId="3" fillId="0" borderId="0" xfId="0" applyFont="1" applyAlignment="1">
      <alignment horizontal="justify" vertical="top" wrapText="1"/>
    </xf>
    <xf numFmtId="0" fontId="8" fillId="0" borderId="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41" fontId="3" fillId="0" borderId="0" xfId="1" applyFont="1" applyAlignment="1">
      <alignment horizontal="center" vertical="center" wrapText="1"/>
    </xf>
    <xf numFmtId="41" fontId="1" fillId="0" borderId="0" xfId="0" applyNumberFormat="1" applyFont="1" applyAlignment="1">
      <alignment horizontal="center" vertical="top" wrapText="1"/>
    </xf>
    <xf numFmtId="41" fontId="2" fillId="0" borderId="0" xfId="0" applyNumberFormat="1" applyFont="1" applyAlignment="1">
      <alignment horizontal="center" vertical="top" wrapText="1"/>
    </xf>
    <xf numFmtId="41" fontId="3" fillId="0" borderId="0" xfId="1" applyFont="1" applyAlignment="1">
      <alignment horizontal="center" vertical="top" wrapText="1"/>
    </xf>
    <xf numFmtId="167" fontId="6" fillId="0" borderId="1" xfId="0" applyNumberFormat="1" applyFont="1" applyBorder="1" applyAlignment="1">
      <alignment horizontal="center" vertical="center"/>
    </xf>
    <xf numFmtId="167" fontId="6" fillId="0" borderId="2" xfId="0" applyNumberFormat="1" applyFont="1" applyBorder="1" applyAlignment="1">
      <alignment horizontal="center" vertical="center"/>
    </xf>
    <xf numFmtId="0" fontId="3" fillId="0" borderId="0" xfId="0" quotePrefix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70" fontId="9" fillId="0" borderId="4" xfId="0" applyNumberFormat="1" applyFont="1" applyBorder="1" applyAlignment="1">
      <alignment vertical="center"/>
    </xf>
  </cellXfs>
  <cellStyles count="3">
    <cellStyle name="Millares [0]" xfId="1" builtinId="6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197825</xdr:colOff>
      <xdr:row>66</xdr:row>
      <xdr:rowOff>14654</xdr:rowOff>
    </xdr:from>
    <xdr:to>
      <xdr:col>6</xdr:col>
      <xdr:colOff>366347</xdr:colOff>
      <xdr:row>67</xdr:row>
      <xdr:rowOff>175846</xdr:rowOff>
    </xdr:to>
    <xdr:sp macro="" textlink="">
      <xdr:nvSpPr>
        <xdr:cNvPr id="2" name="2 Marcador de contenido">
          <a:extLst>
            <a:ext uri="{FF2B5EF4-FFF2-40B4-BE49-F238E27FC236}">
              <a16:creationId xmlns:a16="http://schemas.microsoft.com/office/drawing/2014/main" id="{CE3B4A41-A801-4C2A-BF97-F1F0462BDFA7}"/>
            </a:ext>
          </a:extLst>
        </xdr:cNvPr>
        <xdr:cNvSpPr txBox="1">
          <a:spLocks/>
        </xdr:cNvSpPr>
      </xdr:nvSpPr>
      <xdr:spPr bwMode="auto">
        <a:xfrm>
          <a:off x="197825" y="6863129"/>
          <a:ext cx="3359397" cy="361217"/>
        </a:xfrm>
        <a:prstGeom prst="rect">
          <a:avLst/>
        </a:prstGeom>
        <a:noFill/>
        <a:ln w="25400">
          <a:solidFill>
            <a:schemeClr val="tx1"/>
          </a:solidFill>
          <a:miter lim="800000"/>
          <a:headEnd/>
          <a:tailEnd/>
        </a:ln>
      </xdr:spPr>
      <xdr:txBody>
        <a:bodyPr vert="horz" wrap="square" lIns="91440" tIns="45720" rIns="91440" bIns="45720" numCol="1" anchor="t" anchorCtr="0" compatLnSpc="1">
          <a:prstTxWarp prst="textNoShape">
            <a:avLst/>
          </a:prstTxWarp>
          <a:no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114300" indent="0" algn="l">
            <a:spcBef>
              <a:spcPts val="0"/>
            </a:spcBef>
            <a:buNone/>
          </a:pPr>
          <a:r>
            <a:rPr lang="pt-BR" sz="1400" b="1">
              <a:solidFill>
                <a:schemeClr val="tx1"/>
              </a:solidFill>
              <a:latin typeface="+mn-lt"/>
            </a:rPr>
            <a:t>n = [log (R) - log ((R - (i x VP)] / log (1 + i)</a:t>
          </a:r>
          <a:endParaRPr lang="es-CO" sz="1400" b="1">
            <a:solidFill>
              <a:schemeClr val="tx1"/>
            </a:solidFill>
            <a:latin typeface="+mn-lt"/>
          </a:endParaRPr>
        </a:p>
      </xdr:txBody>
    </xdr:sp>
    <xdr:clientData/>
  </xdr:twoCellAnchor>
  <xdr:twoCellAnchor editAs="oneCell">
    <xdr:from>
      <xdr:col>7</xdr:col>
      <xdr:colOff>109904</xdr:colOff>
      <xdr:row>65</xdr:row>
      <xdr:rowOff>190500</xdr:rowOff>
    </xdr:from>
    <xdr:to>
      <xdr:col>10</xdr:col>
      <xdr:colOff>183174</xdr:colOff>
      <xdr:row>69</xdr:row>
      <xdr:rowOff>58639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32C6A5F8-BBF8-460D-9733-B5CEB7D658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96079" y="6838950"/>
          <a:ext cx="1854445" cy="6682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97A20-D6CF-4159-AAA6-60D271D601C3}">
  <dimension ref="A1:N65"/>
  <sheetViews>
    <sheetView showGridLines="0" tabSelected="1" topLeftCell="A46" zoomScale="130" zoomScaleNormal="130" workbookViewId="0">
      <selection activeCell="J65" sqref="J65"/>
    </sheetView>
  </sheetViews>
  <sheetFormatPr baseColWidth="10" defaultColWidth="11.5" defaultRowHeight="16" x14ac:dyDescent="0.2"/>
  <cols>
    <col min="1" max="1" width="3.1640625" style="24" customWidth="1"/>
    <col min="2" max="2" width="3.5" style="2" customWidth="1"/>
    <col min="3" max="3" width="16.5" style="2" customWidth="1"/>
    <col min="4" max="4" width="16" style="2" customWidth="1"/>
    <col min="5" max="5" width="7.5" style="2" customWidth="1"/>
    <col min="6" max="6" width="1.1640625" style="2" customWidth="1"/>
    <col min="7" max="8" width="7.5" style="2" customWidth="1"/>
    <col min="9" max="9" width="1" style="2" customWidth="1"/>
    <col min="10" max="10" width="18.33203125" style="2" customWidth="1"/>
    <col min="11" max="11" width="4.5" style="2" customWidth="1"/>
    <col min="12" max="12" width="2" style="2" customWidth="1"/>
    <col min="13" max="13" width="20.5" style="2" bestFit="1" customWidth="1"/>
    <col min="14" max="14" width="16.5" style="2" bestFit="1" customWidth="1"/>
    <col min="15" max="16384" width="11.5" style="2"/>
  </cols>
  <sheetData>
    <row r="1" spans="1:12" x14ac:dyDescent="0.2">
      <c r="A1" s="2"/>
      <c r="B1" s="5"/>
      <c r="C1" s="5"/>
      <c r="D1" s="5"/>
      <c r="E1" s="5"/>
      <c r="F1" s="5"/>
      <c r="G1" s="5"/>
      <c r="H1" s="5"/>
      <c r="I1" s="5"/>
      <c r="J1" s="5"/>
      <c r="K1" s="5"/>
    </row>
    <row r="2" spans="1:12" x14ac:dyDescent="0.2">
      <c r="A2" s="33">
        <v>1</v>
      </c>
      <c r="B2" s="49" t="s">
        <v>0</v>
      </c>
      <c r="C2" s="49"/>
      <c r="D2" s="49"/>
      <c r="E2" s="49"/>
      <c r="F2" s="49"/>
      <c r="G2" s="49"/>
      <c r="H2" s="49"/>
      <c r="I2" s="49"/>
      <c r="J2" s="49"/>
      <c r="K2" s="49"/>
    </row>
    <row r="3" spans="1:12" x14ac:dyDescent="0.2">
      <c r="B3" s="49"/>
      <c r="C3" s="49"/>
      <c r="D3" s="49"/>
      <c r="E3" s="49"/>
      <c r="F3" s="49"/>
      <c r="G3" s="49"/>
      <c r="H3" s="49"/>
      <c r="I3" s="49"/>
      <c r="J3" s="49"/>
      <c r="K3" s="49"/>
    </row>
    <row r="4" spans="1:12" ht="5.25" customHeight="1" x14ac:dyDescent="0.2">
      <c r="B4" s="31"/>
      <c r="C4" s="31"/>
      <c r="D4" s="31"/>
      <c r="E4" s="31"/>
      <c r="F4" s="31"/>
      <c r="G4" s="31"/>
      <c r="H4" s="31"/>
      <c r="I4" s="31"/>
      <c r="J4" s="31"/>
      <c r="K4" s="31"/>
    </row>
    <row r="5" spans="1:12" x14ac:dyDescent="0.2">
      <c r="B5" s="4" t="s">
        <v>1</v>
      </c>
      <c r="C5" s="50" t="s">
        <v>2</v>
      </c>
      <c r="D5" s="50"/>
      <c r="E5" s="50"/>
      <c r="F5" s="50"/>
      <c r="G5" s="50"/>
      <c r="H5" s="50"/>
      <c r="I5" s="50"/>
      <c r="J5" s="50"/>
      <c r="K5" s="50"/>
    </row>
    <row r="6" spans="1:12" x14ac:dyDescent="0.2">
      <c r="B6" s="4"/>
      <c r="C6" s="50"/>
      <c r="D6" s="50"/>
      <c r="E6" s="50"/>
      <c r="F6" s="50"/>
      <c r="G6" s="50"/>
      <c r="H6" s="50"/>
      <c r="I6" s="50"/>
      <c r="J6" s="50"/>
      <c r="K6" s="50"/>
    </row>
    <row r="7" spans="1:12" x14ac:dyDescent="0.2">
      <c r="B7" s="4"/>
      <c r="C7" s="37" t="s">
        <v>41</v>
      </c>
      <c r="D7" s="39">
        <f>(1.18^(1/4))-1</f>
        <v>4.2246635456321124E-2</v>
      </c>
      <c r="E7" s="35"/>
      <c r="F7" s="35"/>
      <c r="G7" s="35"/>
      <c r="H7" s="35"/>
      <c r="I7" s="35"/>
      <c r="J7" s="35"/>
      <c r="K7" s="35"/>
    </row>
    <row r="8" spans="1:12" ht="17" x14ac:dyDescent="0.2">
      <c r="B8" s="4"/>
      <c r="C8" s="35" t="s">
        <v>40</v>
      </c>
      <c r="D8" s="38">
        <v>8</v>
      </c>
      <c r="E8" s="35"/>
      <c r="F8" s="35"/>
      <c r="G8" s="35"/>
      <c r="H8" s="35"/>
      <c r="I8" s="35"/>
      <c r="J8" s="35"/>
      <c r="K8" s="35"/>
    </row>
    <row r="9" spans="1:12" ht="17" x14ac:dyDescent="0.2">
      <c r="B9" s="4"/>
      <c r="C9" s="35" t="s">
        <v>42</v>
      </c>
      <c r="D9" s="41">
        <v>108000000</v>
      </c>
      <c r="E9" s="35"/>
      <c r="F9" s="35"/>
      <c r="G9" s="35"/>
      <c r="H9" s="35"/>
      <c r="I9" s="35"/>
      <c r="J9" s="35"/>
      <c r="K9" s="35"/>
    </row>
    <row r="10" spans="1:12" ht="17" x14ac:dyDescent="0.2">
      <c r="B10" s="4"/>
      <c r="C10" s="35" t="s">
        <v>28</v>
      </c>
      <c r="D10" s="41">
        <f>-PMT(D7,D8,D9)</f>
        <v>16190150.97505914</v>
      </c>
      <c r="E10" s="41"/>
      <c r="F10" s="41"/>
      <c r="G10" s="41"/>
      <c r="H10" s="35"/>
      <c r="I10" s="35"/>
      <c r="J10" s="35"/>
      <c r="K10" s="35"/>
    </row>
    <row r="11" spans="1:12" x14ac:dyDescent="0.2">
      <c r="B11" s="4"/>
      <c r="C11" s="35"/>
      <c r="D11" s="41"/>
      <c r="E11" s="41"/>
      <c r="F11" s="41"/>
      <c r="G11" s="41"/>
      <c r="H11" s="35"/>
      <c r="I11" s="35"/>
      <c r="J11" s="35"/>
      <c r="K11" s="35"/>
    </row>
    <row r="12" spans="1:12" ht="17" x14ac:dyDescent="0.2">
      <c r="B12" s="4"/>
      <c r="C12" s="40" t="s">
        <v>43</v>
      </c>
      <c r="D12" s="41" t="s">
        <v>44</v>
      </c>
      <c r="E12" s="54" t="s">
        <v>15</v>
      </c>
      <c r="F12" s="54"/>
      <c r="G12" s="54"/>
      <c r="H12" s="35"/>
      <c r="I12" s="35"/>
      <c r="J12" s="44"/>
      <c r="K12" s="35"/>
      <c r="L12" s="4"/>
    </row>
    <row r="13" spans="1:12" s="28" customFormat="1" x14ac:dyDescent="0.2">
      <c r="A13" s="24"/>
      <c r="B13" s="40">
        <v>1</v>
      </c>
      <c r="C13" s="42">
        <f>+D9</f>
        <v>108000000</v>
      </c>
      <c r="D13" s="42">
        <f>+C13*$D$7</f>
        <v>4562636.6292826813</v>
      </c>
      <c r="E13" s="55">
        <f>+$D$10-D13</f>
        <v>11627514.345776459</v>
      </c>
      <c r="F13" s="56"/>
      <c r="G13" s="56"/>
      <c r="H13" s="42"/>
      <c r="I13" s="35"/>
      <c r="J13" s="35"/>
      <c r="K13" s="35"/>
    </row>
    <row r="14" spans="1:12" x14ac:dyDescent="0.2">
      <c r="B14" s="40">
        <v>2</v>
      </c>
      <c r="C14" s="42">
        <f>+C13-E13</f>
        <v>96372485.654223546</v>
      </c>
      <c r="D14" s="42">
        <f>+C14*$D$7</f>
        <v>4071413.2694535195</v>
      </c>
      <c r="E14" s="55">
        <f>+$D$10-D14</f>
        <v>12118737.705605621</v>
      </c>
      <c r="F14" s="56"/>
      <c r="G14" s="56"/>
      <c r="H14" s="42"/>
      <c r="I14" s="35"/>
      <c r="J14" s="35"/>
      <c r="K14" s="35"/>
      <c r="L14" s="4"/>
    </row>
    <row r="15" spans="1:12" x14ac:dyDescent="0.2">
      <c r="B15" s="38">
        <v>3</v>
      </c>
      <c r="C15" s="42">
        <f t="shared" ref="C15:C20" si="0">+C14-E14</f>
        <v>84253747.94861792</v>
      </c>
      <c r="D15" s="42">
        <f t="shared" ref="D15:D20" si="1">+C15*$D$7</f>
        <v>3559437.375414025</v>
      </c>
      <c r="E15" s="55">
        <f t="shared" ref="E15:E20" si="2">+$D$10-D15</f>
        <v>12630713.599645115</v>
      </c>
      <c r="F15" s="56"/>
      <c r="G15" s="56"/>
      <c r="H15" s="42"/>
      <c r="I15" s="31"/>
      <c r="J15" s="31"/>
      <c r="K15" s="31"/>
    </row>
    <row r="16" spans="1:12" x14ac:dyDescent="0.2">
      <c r="B16" s="38">
        <v>4</v>
      </c>
      <c r="C16" s="42">
        <f t="shared" si="0"/>
        <v>71623034.348972797</v>
      </c>
      <c r="D16" s="42">
        <f t="shared" si="1"/>
        <v>3025832.2224166198</v>
      </c>
      <c r="E16" s="55">
        <f t="shared" si="2"/>
        <v>13164318.75264252</v>
      </c>
      <c r="F16" s="56"/>
      <c r="G16" s="56"/>
      <c r="H16" s="42"/>
      <c r="I16" s="34"/>
      <c r="J16" s="34"/>
      <c r="K16" s="34"/>
    </row>
    <row r="17" spans="1:14" x14ac:dyDescent="0.2">
      <c r="B17" s="38">
        <v>5</v>
      </c>
      <c r="C17" s="42">
        <f t="shared" si="0"/>
        <v>58458715.596330278</v>
      </c>
      <c r="D17" s="42">
        <f t="shared" si="1"/>
        <v>2469684.0470429193</v>
      </c>
      <c r="E17" s="55">
        <f t="shared" si="2"/>
        <v>13720466.928016221</v>
      </c>
      <c r="F17" s="56"/>
      <c r="G17" s="56"/>
      <c r="H17" s="42"/>
      <c r="I17" s="34"/>
      <c r="J17" s="34"/>
      <c r="K17" s="34"/>
    </row>
    <row r="18" spans="1:14" x14ac:dyDescent="0.2">
      <c r="B18" s="38">
        <v>6</v>
      </c>
      <c r="C18" s="42">
        <f t="shared" si="0"/>
        <v>44738248.668314055</v>
      </c>
      <c r="D18" s="42">
        <f t="shared" si="1"/>
        <v>1890040.4824445078</v>
      </c>
      <c r="E18" s="55">
        <f t="shared" si="2"/>
        <v>14300110.492614632</v>
      </c>
      <c r="F18" s="56"/>
      <c r="G18" s="56"/>
      <c r="H18" s="42"/>
      <c r="I18" s="34"/>
      <c r="J18" s="34"/>
      <c r="K18" s="34"/>
    </row>
    <row r="19" spans="1:14" x14ac:dyDescent="0.2">
      <c r="B19" s="38">
        <v>7</v>
      </c>
      <c r="C19" s="42">
        <f t="shared" si="0"/>
        <v>30438138.17569942</v>
      </c>
      <c r="D19" s="42">
        <f t="shared" si="1"/>
        <v>1285908.9274779048</v>
      </c>
      <c r="E19" s="55">
        <f t="shared" si="2"/>
        <v>14904242.047581235</v>
      </c>
      <c r="F19" s="56"/>
      <c r="G19" s="56"/>
      <c r="H19" s="42"/>
      <c r="I19" s="34"/>
      <c r="J19" s="34"/>
      <c r="K19" s="34"/>
    </row>
    <row r="20" spans="1:14" x14ac:dyDescent="0.2">
      <c r="B20" s="38">
        <v>8</v>
      </c>
      <c r="C20" s="42">
        <f t="shared" si="0"/>
        <v>15533896.128118185</v>
      </c>
      <c r="D20" s="42">
        <f t="shared" si="1"/>
        <v>656254.84694096714</v>
      </c>
      <c r="E20" s="55">
        <f t="shared" si="2"/>
        <v>15533896.128118174</v>
      </c>
      <c r="F20" s="56"/>
      <c r="G20" s="56"/>
      <c r="H20" s="42"/>
      <c r="I20" s="34"/>
      <c r="J20" s="34"/>
      <c r="K20" s="34"/>
    </row>
    <row r="21" spans="1:14" x14ac:dyDescent="0.2">
      <c r="B21" s="4"/>
      <c r="C21" s="34"/>
      <c r="D21" s="43">
        <f>SUM(D13:D20)</f>
        <v>21521207.800473146</v>
      </c>
      <c r="E21" s="34"/>
      <c r="F21" s="34"/>
      <c r="G21" s="34"/>
      <c r="H21" s="34"/>
      <c r="I21" s="34"/>
      <c r="J21" s="34"/>
      <c r="K21" s="34"/>
    </row>
    <row r="22" spans="1:14" x14ac:dyDescent="0.2">
      <c r="B22" s="4"/>
      <c r="C22" s="34"/>
      <c r="D22" s="34"/>
      <c r="E22" s="34"/>
      <c r="F22" s="34"/>
      <c r="G22" s="34"/>
      <c r="H22" s="34"/>
      <c r="I22" s="34"/>
      <c r="J22" s="34"/>
      <c r="K22" s="34"/>
    </row>
    <row r="23" spans="1:14" x14ac:dyDescent="0.2">
      <c r="B23" s="4"/>
      <c r="C23" s="34"/>
      <c r="D23" s="34"/>
      <c r="E23" s="34"/>
      <c r="F23" s="34"/>
      <c r="G23" s="34"/>
      <c r="H23" s="34"/>
      <c r="I23" s="34"/>
      <c r="J23" s="34"/>
      <c r="K23" s="34"/>
    </row>
    <row r="24" spans="1:14" x14ac:dyDescent="0.2">
      <c r="B24" s="4"/>
      <c r="C24" s="34"/>
      <c r="D24" s="34"/>
      <c r="E24" s="34"/>
      <c r="F24" s="34"/>
      <c r="G24" s="34"/>
      <c r="H24" s="34"/>
      <c r="I24" s="34"/>
      <c r="J24" s="34"/>
      <c r="K24" s="34"/>
    </row>
    <row r="25" spans="1:14" x14ac:dyDescent="0.2">
      <c r="B25" s="4"/>
      <c r="C25" s="34"/>
      <c r="D25" s="34"/>
      <c r="E25" s="34"/>
      <c r="F25" s="34"/>
      <c r="G25" s="34"/>
      <c r="H25" s="34"/>
      <c r="I25" s="34"/>
      <c r="J25" s="34"/>
      <c r="K25" s="34"/>
    </row>
    <row r="26" spans="1:14" x14ac:dyDescent="0.2">
      <c r="B26" s="4" t="s">
        <v>3</v>
      </c>
      <c r="C26" s="49" t="s">
        <v>4</v>
      </c>
      <c r="D26" s="49"/>
      <c r="E26" s="49"/>
      <c r="F26" s="49"/>
      <c r="G26" s="49"/>
      <c r="H26" s="49"/>
      <c r="I26" s="49"/>
      <c r="J26" s="49"/>
      <c r="K26" s="49"/>
      <c r="L26" s="4"/>
      <c r="M26" s="37" t="s">
        <v>38</v>
      </c>
      <c r="N26" s="36">
        <f>+((1+(18%/12))^12)-1</f>
        <v>0.19561817146153326</v>
      </c>
    </row>
    <row r="27" spans="1:14" ht="22.5" customHeight="1" x14ac:dyDescent="0.2">
      <c r="B27" s="4"/>
      <c r="C27" s="49"/>
      <c r="D27" s="49"/>
      <c r="E27" s="49"/>
      <c r="F27" s="49"/>
      <c r="G27" s="49"/>
      <c r="H27" s="49"/>
      <c r="I27" s="49"/>
      <c r="J27" s="49"/>
      <c r="K27" s="49"/>
    </row>
    <row r="28" spans="1:14" ht="6" customHeight="1" x14ac:dyDescent="0.2">
      <c r="B28" s="31"/>
      <c r="C28" s="31"/>
      <c r="D28" s="31"/>
      <c r="E28" s="31"/>
      <c r="F28" s="31"/>
      <c r="G28" s="31"/>
      <c r="H28" s="31"/>
      <c r="I28" s="31"/>
      <c r="J28" s="31"/>
      <c r="K28" s="31"/>
    </row>
    <row r="29" spans="1:14" ht="22.5" customHeight="1" x14ac:dyDescent="0.2">
      <c r="B29" s="7" t="s">
        <v>5</v>
      </c>
      <c r="C29" s="4"/>
      <c r="D29" s="4"/>
      <c r="E29" s="4"/>
      <c r="F29" s="4"/>
      <c r="G29" s="4"/>
      <c r="H29" s="4"/>
      <c r="I29" s="4"/>
      <c r="J29" s="4"/>
      <c r="K29" s="4"/>
    </row>
    <row r="30" spans="1:14" ht="17" thickBot="1" x14ac:dyDescent="0.25">
      <c r="A30" s="25"/>
      <c r="B30" s="26"/>
      <c r="C30" s="26"/>
      <c r="D30" s="26"/>
      <c r="E30" s="26"/>
      <c r="F30" s="26"/>
      <c r="G30" s="51" t="s">
        <v>6</v>
      </c>
      <c r="H30" s="51"/>
      <c r="I30" s="26"/>
      <c r="J30" s="27" t="s">
        <v>7</v>
      </c>
      <c r="K30" s="26"/>
    </row>
    <row r="31" spans="1:14" ht="22.5" customHeight="1" thickBot="1" x14ac:dyDescent="0.25">
      <c r="B31" s="7"/>
      <c r="C31" s="4" t="s">
        <v>8</v>
      </c>
      <c r="F31" s="4"/>
      <c r="G31" s="52" t="s">
        <v>39</v>
      </c>
      <c r="H31" s="53"/>
      <c r="J31" s="29">
        <f>+D10</f>
        <v>16190150.97505914</v>
      </c>
      <c r="K31" s="4"/>
    </row>
    <row r="32" spans="1:14" ht="6" customHeight="1" thickBot="1" x14ac:dyDescent="0.25">
      <c r="B32" s="31"/>
      <c r="C32" s="31"/>
      <c r="D32" s="31"/>
      <c r="E32" s="31"/>
      <c r="F32" s="31"/>
      <c r="G32" s="31"/>
      <c r="H32" s="31"/>
      <c r="I32" s="31"/>
      <c r="J32" s="31"/>
      <c r="K32" s="31"/>
    </row>
    <row r="33" spans="1:11" ht="20" thickBot="1" x14ac:dyDescent="0.25">
      <c r="B33" s="7"/>
      <c r="C33" s="4" t="s">
        <v>9</v>
      </c>
      <c r="F33" s="4"/>
      <c r="J33" s="29">
        <f>+D21</f>
        <v>21521207.800473146</v>
      </c>
      <c r="K33" s="4"/>
    </row>
    <row r="34" spans="1:11" ht="6" customHeight="1" x14ac:dyDescent="0.2">
      <c r="B34" s="31"/>
      <c r="C34" s="31"/>
      <c r="D34" s="31"/>
      <c r="E34" s="31"/>
      <c r="F34" s="31"/>
      <c r="G34" s="31"/>
      <c r="H34" s="31"/>
      <c r="I34" s="31"/>
      <c r="J34" s="31"/>
      <c r="K34" s="31"/>
    </row>
    <row r="35" spans="1:11" ht="22.5" customHeight="1" x14ac:dyDescent="0.2">
      <c r="B35" s="4" t="s">
        <v>10</v>
      </c>
      <c r="C35" s="4"/>
      <c r="D35" s="4"/>
      <c r="E35" s="4"/>
      <c r="F35" s="4"/>
      <c r="G35" s="4"/>
      <c r="H35" s="4"/>
      <c r="I35" s="4"/>
      <c r="J35" s="4"/>
      <c r="K35" s="4"/>
    </row>
    <row r="36" spans="1:11" ht="22.5" customHeight="1" x14ac:dyDescent="0.2"/>
    <row r="37" spans="1:11" x14ac:dyDescent="0.2">
      <c r="A37" s="33">
        <v>2</v>
      </c>
      <c r="B37" s="50" t="s">
        <v>11</v>
      </c>
      <c r="C37" s="50"/>
      <c r="D37" s="50"/>
      <c r="E37" s="50"/>
      <c r="F37" s="50"/>
      <c r="G37" s="50"/>
      <c r="H37" s="50"/>
      <c r="I37" s="50"/>
      <c r="J37" s="50"/>
      <c r="K37" s="50"/>
    </row>
    <row r="38" spans="1:11" x14ac:dyDescent="0.2">
      <c r="A38" s="33"/>
      <c r="B38" s="50"/>
      <c r="C38" s="50"/>
      <c r="D38" s="50"/>
      <c r="E38" s="50"/>
      <c r="F38" s="50"/>
      <c r="G38" s="50"/>
      <c r="H38" s="50"/>
      <c r="I38" s="50"/>
      <c r="J38" s="50"/>
      <c r="K38" s="50"/>
    </row>
    <row r="39" spans="1:11" x14ac:dyDescent="0.2">
      <c r="B39" s="50"/>
      <c r="C39" s="50"/>
      <c r="D39" s="50"/>
      <c r="E39" s="50"/>
      <c r="F39" s="50"/>
      <c r="G39" s="50"/>
      <c r="H39" s="50"/>
      <c r="I39" s="50"/>
      <c r="J39" s="50"/>
      <c r="K39" s="50"/>
    </row>
    <row r="41" spans="1:11" x14ac:dyDescent="0.2">
      <c r="B41" s="49" t="s">
        <v>12</v>
      </c>
      <c r="C41" s="49"/>
      <c r="D41" s="49"/>
      <c r="E41" s="49"/>
      <c r="F41" s="49"/>
      <c r="G41" s="49"/>
      <c r="H41" s="49"/>
      <c r="I41" s="49"/>
      <c r="J41" s="49"/>
      <c r="K41" s="49"/>
    </row>
    <row r="42" spans="1:11" x14ac:dyDescent="0.2">
      <c r="B42" s="49"/>
      <c r="C42" s="49"/>
      <c r="D42" s="49"/>
      <c r="E42" s="49"/>
      <c r="F42" s="49"/>
      <c r="G42" s="49"/>
      <c r="H42" s="49"/>
      <c r="I42" s="49"/>
      <c r="J42" s="49"/>
      <c r="K42" s="49"/>
    </row>
    <row r="43" spans="1:11" ht="17" thickBot="1" x14ac:dyDescent="0.25"/>
    <row r="44" spans="1:11" ht="20" thickBot="1" x14ac:dyDescent="0.25">
      <c r="B44" s="4" t="s">
        <v>13</v>
      </c>
      <c r="J44" s="29">
        <f>+J53</f>
        <v>5999998.2603086857</v>
      </c>
      <c r="K44" s="4"/>
    </row>
    <row r="45" spans="1:11" ht="17" thickBot="1" x14ac:dyDescent="0.25"/>
    <row r="46" spans="1:11" ht="20" thickBot="1" x14ac:dyDescent="0.25">
      <c r="B46" s="4" t="s">
        <v>14</v>
      </c>
      <c r="G46" s="4" t="s">
        <v>15</v>
      </c>
      <c r="J46" s="29">
        <f>+J53-J48</f>
        <v>2758903.8300530808</v>
      </c>
      <c r="K46" s="4"/>
    </row>
    <row r="47" spans="1:11" ht="17" thickBot="1" x14ac:dyDescent="0.25">
      <c r="D47" s="12"/>
    </row>
    <row r="48" spans="1:11" ht="20" thickBot="1" x14ac:dyDescent="0.25">
      <c r="B48" s="4"/>
      <c r="G48" s="4" t="s">
        <v>16</v>
      </c>
      <c r="J48" s="29">
        <f>+D57*D58</f>
        <v>3241094.4302556049</v>
      </c>
      <c r="K48" s="4"/>
    </row>
    <row r="50" spans="2:10" x14ac:dyDescent="0.2">
      <c r="C50" s="45" t="s">
        <v>42</v>
      </c>
      <c r="D50" s="12">
        <f>-PV(D51,D52,D53)</f>
        <v>50091933.241304651</v>
      </c>
      <c r="J50" s="19">
        <f>+D50-7421912</f>
        <v>42670021.241304651</v>
      </c>
    </row>
    <row r="51" spans="2:10" x14ac:dyDescent="0.2">
      <c r="C51" s="45" t="s">
        <v>45</v>
      </c>
      <c r="D51" s="46">
        <f>+((1+1.9613%)^4)-1</f>
        <v>8.0790344697549088E-2</v>
      </c>
      <c r="J51" s="46">
        <f>+D51</f>
        <v>8.0790344697549088E-2</v>
      </c>
    </row>
    <row r="52" spans="2:10" ht="17" thickBot="1" x14ac:dyDescent="0.25">
      <c r="C52" s="45" t="s">
        <v>46</v>
      </c>
      <c r="D52" s="2">
        <v>11</v>
      </c>
      <c r="J52" s="2">
        <f>+D52</f>
        <v>11</v>
      </c>
    </row>
    <row r="53" spans="2:10" ht="17" thickBot="1" x14ac:dyDescent="0.25">
      <c r="C53" s="45" t="s">
        <v>28</v>
      </c>
      <c r="D53" s="12">
        <v>7043622.2800000003</v>
      </c>
      <c r="J53" s="47">
        <f>-PMT(J51,J52,J50)</f>
        <v>5999998.2603086857</v>
      </c>
    </row>
    <row r="56" spans="2:10" x14ac:dyDescent="0.2">
      <c r="J56" s="48">
        <f>(LOG(D53)-LOG(D53-(J50*D51)))/LOG(1+D51)</f>
        <v>8.6522810220421178</v>
      </c>
    </row>
    <row r="57" spans="2:10" x14ac:dyDescent="0.2">
      <c r="C57" s="45" t="s">
        <v>42</v>
      </c>
      <c r="D57" s="12">
        <f>-PV(D58,D59,D60)</f>
        <v>40117348.705332719</v>
      </c>
    </row>
    <row r="58" spans="2:10" x14ac:dyDescent="0.2">
      <c r="C58" s="45" t="s">
        <v>45</v>
      </c>
      <c r="D58" s="46">
        <f>+((1+1.9613%)^4)-1</f>
        <v>8.0790344697549088E-2</v>
      </c>
    </row>
    <row r="59" spans="2:10" x14ac:dyDescent="0.2">
      <c r="C59" s="45" t="s">
        <v>46</v>
      </c>
      <c r="D59" s="2">
        <v>10</v>
      </c>
    </row>
    <row r="60" spans="2:10" x14ac:dyDescent="0.2">
      <c r="C60" s="45" t="s">
        <v>28</v>
      </c>
      <c r="D60" s="12">
        <f>+J53</f>
        <v>5999998.2603086857</v>
      </c>
    </row>
    <row r="61" spans="2:10" x14ac:dyDescent="0.2">
      <c r="C61" s="45"/>
      <c r="D61" s="12"/>
    </row>
    <row r="62" spans="2:10" x14ac:dyDescent="0.2">
      <c r="B62" s="30" t="s">
        <v>17</v>
      </c>
      <c r="D62" s="12"/>
    </row>
    <row r="63" spans="2:10" x14ac:dyDescent="0.2">
      <c r="D63" s="12"/>
    </row>
    <row r="64" spans="2:10" ht="17" thickBot="1" x14ac:dyDescent="0.25">
      <c r="B64" s="4" t="s">
        <v>18</v>
      </c>
      <c r="G64" s="4"/>
    </row>
    <row r="65" spans="2:11" ht="20" thickBot="1" x14ac:dyDescent="0.25">
      <c r="B65" s="8" t="s">
        <v>19</v>
      </c>
      <c r="G65" s="4"/>
      <c r="J65" s="62">
        <f>+J56</f>
        <v>8.6522810220421178</v>
      </c>
      <c r="K65" s="4"/>
    </row>
  </sheetData>
  <mergeCells count="16">
    <mergeCell ref="B41:K42"/>
    <mergeCell ref="B2:K3"/>
    <mergeCell ref="C5:K6"/>
    <mergeCell ref="C26:K27"/>
    <mergeCell ref="G30:H30"/>
    <mergeCell ref="G31:H31"/>
    <mergeCell ref="B37:K39"/>
    <mergeCell ref="E12:G12"/>
    <mergeCell ref="E13:G13"/>
    <mergeCell ref="E14:G14"/>
    <mergeCell ref="E15:G15"/>
    <mergeCell ref="E16:G16"/>
    <mergeCell ref="E17:G17"/>
    <mergeCell ref="E18:G18"/>
    <mergeCell ref="E19:G19"/>
    <mergeCell ref="E20:G20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A7858-FC2A-4B65-9D31-9839EE8563D6}">
  <dimension ref="A1:K63"/>
  <sheetViews>
    <sheetView showGridLines="0" zoomScale="120" zoomScaleNormal="120" workbookViewId="0">
      <selection activeCell="B54" sqref="B54"/>
    </sheetView>
  </sheetViews>
  <sheetFormatPr baseColWidth="10" defaultColWidth="11.5" defaultRowHeight="16" x14ac:dyDescent="0.2"/>
  <cols>
    <col min="1" max="1" width="3.1640625" style="6" customWidth="1"/>
    <col min="2" max="2" width="3.5" style="2" customWidth="1"/>
    <col min="3" max="4" width="16" style="2" customWidth="1"/>
    <col min="5" max="5" width="7.5" style="2" customWidth="1"/>
    <col min="6" max="6" width="1.1640625" style="2" customWidth="1"/>
    <col min="7" max="7" width="7.5" style="2" customWidth="1"/>
    <col min="8" max="8" width="16" style="2" customWidth="1"/>
    <col min="9" max="10" width="7.83203125" style="2" customWidth="1"/>
    <col min="11" max="11" width="2" style="2" customWidth="1"/>
    <col min="12" max="16384" width="11.5" style="2"/>
  </cols>
  <sheetData>
    <row r="1" spans="1:10" x14ac:dyDescent="0.2">
      <c r="A1" s="3"/>
      <c r="B1" s="5"/>
      <c r="C1" s="5"/>
      <c r="D1" s="5"/>
      <c r="E1" s="5"/>
      <c r="F1" s="5"/>
      <c r="G1" s="5"/>
      <c r="H1" s="5"/>
      <c r="I1" s="5"/>
      <c r="J1" s="5"/>
    </row>
    <row r="2" spans="1:10" x14ac:dyDescent="0.2">
      <c r="A2" s="1">
        <v>1</v>
      </c>
      <c r="B2" s="49" t="s">
        <v>20</v>
      </c>
      <c r="C2" s="49"/>
      <c r="D2" s="49"/>
      <c r="E2" s="49"/>
      <c r="F2" s="49"/>
      <c r="G2" s="49"/>
      <c r="H2" s="49"/>
      <c r="I2" s="49"/>
      <c r="J2" s="49"/>
    </row>
    <row r="3" spans="1:10" x14ac:dyDescent="0.2">
      <c r="A3" s="1"/>
      <c r="B3" s="49"/>
      <c r="C3" s="49"/>
      <c r="D3" s="49"/>
      <c r="E3" s="49"/>
      <c r="F3" s="49"/>
      <c r="G3" s="49"/>
      <c r="H3" s="49"/>
      <c r="I3" s="49"/>
      <c r="J3" s="49"/>
    </row>
    <row r="4" spans="1:10" x14ac:dyDescent="0.2">
      <c r="B4" s="49"/>
      <c r="C4" s="49"/>
      <c r="D4" s="49"/>
      <c r="E4" s="49"/>
      <c r="F4" s="49"/>
      <c r="G4" s="49"/>
      <c r="H4" s="49"/>
      <c r="I4" s="49"/>
      <c r="J4" s="49"/>
    </row>
    <row r="5" spans="1:10" ht="5.25" customHeight="1" x14ac:dyDescent="0.2">
      <c r="B5" s="31"/>
      <c r="C5" s="31"/>
      <c r="D5" s="31"/>
      <c r="E5" s="31"/>
      <c r="F5" s="31"/>
      <c r="G5" s="31"/>
      <c r="H5" s="31"/>
      <c r="I5" s="31"/>
      <c r="J5" s="31"/>
    </row>
    <row r="6" spans="1:10" x14ac:dyDescent="0.2">
      <c r="B6" s="8" t="s">
        <v>1</v>
      </c>
      <c r="C6" s="50" t="s">
        <v>21</v>
      </c>
      <c r="D6" s="50"/>
      <c r="E6" s="50"/>
      <c r="F6" s="50"/>
      <c r="G6" s="50"/>
      <c r="H6" s="50"/>
      <c r="I6" s="50"/>
      <c r="J6" s="50"/>
    </row>
    <row r="7" spans="1:10" x14ac:dyDescent="0.2">
      <c r="B7" s="8"/>
      <c r="C7" s="50"/>
      <c r="D7" s="50"/>
      <c r="E7" s="50"/>
      <c r="F7" s="50"/>
      <c r="G7" s="50"/>
      <c r="H7" s="50"/>
      <c r="I7" s="50"/>
      <c r="J7" s="50"/>
    </row>
    <row r="8" spans="1:10" ht="17" hidden="1" x14ac:dyDescent="0.2">
      <c r="B8" s="8"/>
      <c r="C8" s="32" t="s">
        <v>22</v>
      </c>
      <c r="D8" s="20">
        <f>ROUND((1.18^(1/4))-1,6)</f>
        <v>4.2247E-2</v>
      </c>
      <c r="E8" s="32"/>
      <c r="F8" s="32"/>
      <c r="G8" s="32"/>
      <c r="H8" s="32"/>
      <c r="I8" s="32"/>
      <c r="J8" s="32"/>
    </row>
    <row r="9" spans="1:10" ht="17" hidden="1" x14ac:dyDescent="0.2">
      <c r="B9" s="8"/>
      <c r="C9" s="32" t="s">
        <v>23</v>
      </c>
      <c r="D9" s="21">
        <f>108000000*(4.2247%/((1-((1+4.2247%)^-12))))</f>
        <v>11658165.910896854</v>
      </c>
      <c r="E9" s="32"/>
      <c r="F9" s="32"/>
      <c r="G9" s="32"/>
      <c r="H9" s="32"/>
      <c r="I9" s="32"/>
      <c r="J9" s="32"/>
    </row>
    <row r="10" spans="1:10" hidden="1" x14ac:dyDescent="0.2">
      <c r="B10" s="8"/>
      <c r="C10" s="32"/>
      <c r="D10" s="22"/>
      <c r="E10" s="32"/>
      <c r="F10" s="32"/>
      <c r="G10" s="32"/>
      <c r="H10" s="32"/>
      <c r="I10" s="32"/>
      <c r="J10" s="32"/>
    </row>
    <row r="11" spans="1:10" hidden="1" x14ac:dyDescent="0.2">
      <c r="B11" s="8"/>
      <c r="C11" s="22">
        <f>108000000</f>
        <v>108000000</v>
      </c>
      <c r="D11" s="22">
        <f>+C11*4.2247%</f>
        <v>4562676.0000000009</v>
      </c>
      <c r="E11" s="57">
        <f>11658165.91-D11</f>
        <v>7095489.9099999992</v>
      </c>
      <c r="F11" s="57"/>
      <c r="G11" s="57"/>
      <c r="H11" s="32"/>
      <c r="I11" s="32"/>
      <c r="J11" s="32"/>
    </row>
    <row r="12" spans="1:10" hidden="1" x14ac:dyDescent="0.2">
      <c r="B12" s="8"/>
      <c r="C12" s="23">
        <f>+C11-E11</f>
        <v>100904510.09</v>
      </c>
      <c r="D12" s="22">
        <f t="shared" ref="D12:D22" si="0">+C12*4.2247%</f>
        <v>4262912.8377722306</v>
      </c>
      <c r="E12" s="57">
        <f t="shared" ref="E12:E22" si="1">11658165.91-D12</f>
        <v>7395253.0722277695</v>
      </c>
      <c r="F12" s="57"/>
      <c r="G12" s="57"/>
      <c r="H12" s="32"/>
      <c r="I12" s="32"/>
      <c r="J12" s="32"/>
    </row>
    <row r="13" spans="1:10" hidden="1" x14ac:dyDescent="0.2">
      <c r="B13" s="8"/>
      <c r="C13" s="23">
        <f t="shared" ref="C13:C21" si="2">+C12-E12</f>
        <v>93509257.017772228</v>
      </c>
      <c r="D13" s="22">
        <f t="shared" si="0"/>
        <v>3950485.5812298241</v>
      </c>
      <c r="E13" s="57">
        <f t="shared" si="1"/>
        <v>7707680.3287701756</v>
      </c>
      <c r="F13" s="57"/>
      <c r="G13" s="57"/>
      <c r="H13" s="32"/>
      <c r="I13" s="32"/>
      <c r="J13" s="32"/>
    </row>
    <row r="14" spans="1:10" hidden="1" x14ac:dyDescent="0.2">
      <c r="B14" s="8"/>
      <c r="C14" s="23">
        <f t="shared" si="2"/>
        <v>85801576.689002052</v>
      </c>
      <c r="D14" s="22">
        <f t="shared" si="0"/>
        <v>3624859.2103802701</v>
      </c>
      <c r="E14" s="57">
        <f t="shared" si="1"/>
        <v>8033306.69961973</v>
      </c>
      <c r="F14" s="57"/>
      <c r="G14" s="57"/>
      <c r="H14" s="32"/>
      <c r="I14" s="32"/>
      <c r="J14" s="32"/>
    </row>
    <row r="15" spans="1:10" hidden="1" x14ac:dyDescent="0.2">
      <c r="B15" s="8"/>
      <c r="C15" s="23">
        <f t="shared" si="2"/>
        <v>77768269.989382327</v>
      </c>
      <c r="D15" s="22">
        <f t="shared" si="0"/>
        <v>3285476.1022414356</v>
      </c>
      <c r="E15" s="57">
        <f t="shared" si="1"/>
        <v>8372689.8077585641</v>
      </c>
      <c r="F15" s="57"/>
      <c r="G15" s="57"/>
      <c r="H15" s="32"/>
      <c r="I15" s="32"/>
      <c r="J15" s="32"/>
    </row>
    <row r="16" spans="1:10" hidden="1" x14ac:dyDescent="0.2">
      <c r="B16" s="8"/>
      <c r="C16" s="23">
        <f t="shared" si="2"/>
        <v>69395580.181623757</v>
      </c>
      <c r="D16" s="22">
        <f t="shared" si="0"/>
        <v>2931755.0759330592</v>
      </c>
      <c r="E16" s="57">
        <f t="shared" si="1"/>
        <v>8726410.8340669405</v>
      </c>
      <c r="F16" s="57"/>
      <c r="G16" s="57"/>
      <c r="H16" s="32"/>
      <c r="I16" s="32"/>
      <c r="J16" s="32"/>
    </row>
    <row r="17" spans="2:10" hidden="1" x14ac:dyDescent="0.2">
      <c r="B17" s="8"/>
      <c r="C17" s="23">
        <f t="shared" si="2"/>
        <v>60669169.347556815</v>
      </c>
      <c r="D17" s="22">
        <f t="shared" si="0"/>
        <v>2563090.3974262332</v>
      </c>
      <c r="E17" s="57">
        <f t="shared" si="1"/>
        <v>9095075.5125737675</v>
      </c>
      <c r="F17" s="57"/>
      <c r="G17" s="57"/>
      <c r="H17" s="32"/>
      <c r="I17" s="32"/>
      <c r="J17" s="32"/>
    </row>
    <row r="18" spans="2:10" hidden="1" x14ac:dyDescent="0.2">
      <c r="B18" s="8"/>
      <c r="C18" s="23">
        <f t="shared" si="2"/>
        <v>51574093.834983051</v>
      </c>
      <c r="D18" s="22">
        <f t="shared" si="0"/>
        <v>2178850.7422465291</v>
      </c>
      <c r="E18" s="57">
        <f t="shared" si="1"/>
        <v>9479315.1677534711</v>
      </c>
      <c r="F18" s="57"/>
      <c r="G18" s="57"/>
      <c r="H18" s="32"/>
      <c r="I18" s="32"/>
      <c r="J18" s="32"/>
    </row>
    <row r="19" spans="2:10" hidden="1" x14ac:dyDescent="0.2">
      <c r="B19" s="8"/>
      <c r="C19" s="23">
        <f t="shared" si="2"/>
        <v>42094778.667229578</v>
      </c>
      <c r="D19" s="22">
        <f t="shared" si="0"/>
        <v>1778378.1143544482</v>
      </c>
      <c r="E19" s="57">
        <f>11658165.91-D19</f>
        <v>9879787.7956455518</v>
      </c>
      <c r="F19" s="57"/>
      <c r="G19" s="57"/>
      <c r="H19" s="32"/>
      <c r="I19" s="32"/>
      <c r="J19" s="32"/>
    </row>
    <row r="20" spans="2:10" hidden="1" x14ac:dyDescent="0.2">
      <c r="B20" s="8"/>
      <c r="C20" s="23">
        <f t="shared" si="2"/>
        <v>32214990.871584028</v>
      </c>
      <c r="D20" s="22">
        <f t="shared" si="0"/>
        <v>1360986.7193518106</v>
      </c>
      <c r="E20" s="57">
        <f t="shared" si="1"/>
        <v>10297179.190648189</v>
      </c>
      <c r="F20" s="57"/>
      <c r="G20" s="57"/>
      <c r="H20" s="32"/>
      <c r="I20" s="32"/>
      <c r="J20" s="32"/>
    </row>
    <row r="21" spans="2:10" hidden="1" x14ac:dyDescent="0.2">
      <c r="B21" s="8"/>
      <c r="C21" s="23">
        <f t="shared" si="2"/>
        <v>21917811.680935837</v>
      </c>
      <c r="D21" s="22">
        <f t="shared" si="0"/>
        <v>925961.79008449649</v>
      </c>
      <c r="E21" s="57">
        <f>11658165.91-D21</f>
        <v>10732204.119915504</v>
      </c>
      <c r="F21" s="57"/>
      <c r="G21" s="57"/>
      <c r="H21" s="32"/>
      <c r="I21" s="32"/>
      <c r="J21" s="32"/>
    </row>
    <row r="22" spans="2:10" hidden="1" x14ac:dyDescent="0.2">
      <c r="B22" s="8"/>
      <c r="C22" s="23">
        <f t="shared" ref="C22" si="3">+C21-E21</f>
        <v>11185607.561020333</v>
      </c>
      <c r="D22" s="22">
        <f t="shared" si="0"/>
        <v>472558.36263042607</v>
      </c>
      <c r="E22" s="57">
        <f t="shared" si="1"/>
        <v>11185607.547369573</v>
      </c>
      <c r="F22" s="57"/>
      <c r="G22" s="57"/>
      <c r="H22" s="32"/>
      <c r="I22" s="32"/>
      <c r="J22" s="32"/>
    </row>
    <row r="23" spans="2:10" hidden="1" x14ac:dyDescent="0.2">
      <c r="B23" s="8"/>
      <c r="C23" s="32"/>
      <c r="D23" s="22">
        <f>SUM(D11:D22)</f>
        <v>31897990.933650758</v>
      </c>
      <c r="E23" s="32"/>
      <c r="F23" s="32"/>
      <c r="G23" s="32"/>
      <c r="H23" s="32"/>
      <c r="I23" s="32"/>
      <c r="J23" s="32"/>
    </row>
    <row r="24" spans="2:10" ht="4.5" hidden="1" customHeight="1" x14ac:dyDescent="0.2">
      <c r="B24" s="8"/>
      <c r="C24" s="32"/>
      <c r="D24" s="32"/>
      <c r="E24" s="32"/>
      <c r="F24" s="32"/>
      <c r="G24" s="32"/>
      <c r="H24" s="32"/>
      <c r="I24" s="32"/>
      <c r="J24" s="32"/>
    </row>
    <row r="25" spans="2:10" x14ac:dyDescent="0.2">
      <c r="B25" s="8" t="s">
        <v>3</v>
      </c>
      <c r="C25" s="50" t="s">
        <v>24</v>
      </c>
      <c r="D25" s="50"/>
      <c r="E25" s="50"/>
      <c r="F25" s="50"/>
      <c r="G25" s="50"/>
      <c r="H25" s="50"/>
      <c r="I25" s="50"/>
      <c r="J25" s="50"/>
    </row>
    <row r="26" spans="2:10" x14ac:dyDescent="0.2">
      <c r="B26" s="8"/>
      <c r="C26" s="50"/>
      <c r="D26" s="50"/>
      <c r="E26" s="50"/>
      <c r="F26" s="50"/>
      <c r="G26" s="50"/>
      <c r="H26" s="50"/>
      <c r="I26" s="50"/>
      <c r="J26" s="50"/>
    </row>
    <row r="27" spans="2:10" ht="17" hidden="1" x14ac:dyDescent="0.2">
      <c r="B27" s="8"/>
      <c r="C27" s="31" t="s">
        <v>22</v>
      </c>
      <c r="D27" s="10">
        <f>ROUND((1.18^(1/4))-1,6)</f>
        <v>4.2247E-2</v>
      </c>
      <c r="E27" s="31"/>
      <c r="F27" s="31"/>
      <c r="G27" s="31"/>
      <c r="H27" s="31"/>
      <c r="I27" s="31"/>
      <c r="J27" s="31"/>
    </row>
    <row r="28" spans="2:10" ht="17" hidden="1" x14ac:dyDescent="0.2">
      <c r="B28" s="8"/>
      <c r="C28" s="31" t="s">
        <v>23</v>
      </c>
      <c r="D28" s="15">
        <f>108000000*(4.2247%/((1-((1+4.2247%)^-11))))</f>
        <v>12477954.823476527</v>
      </c>
      <c r="E28" s="31"/>
      <c r="F28" s="31"/>
      <c r="G28" s="31"/>
      <c r="H28" s="31"/>
      <c r="I28" s="31"/>
      <c r="J28" s="31"/>
    </row>
    <row r="29" spans="2:10" ht="4.5" hidden="1" customHeight="1" x14ac:dyDescent="0.2">
      <c r="B29" s="8"/>
      <c r="C29" s="31"/>
      <c r="D29" s="31"/>
      <c r="E29" s="31"/>
      <c r="F29" s="31"/>
      <c r="G29" s="31"/>
      <c r="H29" s="31"/>
      <c r="I29" s="31"/>
      <c r="J29" s="31"/>
    </row>
    <row r="30" spans="2:10" x14ac:dyDescent="0.2">
      <c r="B30" s="8" t="s">
        <v>25</v>
      </c>
      <c r="C30" s="50" t="s">
        <v>26</v>
      </c>
      <c r="D30" s="50"/>
      <c r="E30" s="50"/>
      <c r="F30" s="50"/>
      <c r="G30" s="50"/>
      <c r="H30" s="50"/>
      <c r="I30" s="50"/>
      <c r="J30" s="50"/>
    </row>
    <row r="31" spans="2:10" x14ac:dyDescent="0.2">
      <c r="B31" s="8"/>
      <c r="C31" s="50"/>
      <c r="D31" s="50"/>
      <c r="E31" s="50"/>
      <c r="F31" s="50"/>
      <c r="G31" s="50"/>
      <c r="H31" s="50"/>
      <c r="I31" s="50"/>
      <c r="J31" s="50"/>
    </row>
    <row r="32" spans="2:10" x14ac:dyDescent="0.2">
      <c r="B32" s="8"/>
      <c r="C32" s="50"/>
      <c r="D32" s="50"/>
      <c r="E32" s="50"/>
      <c r="F32" s="50"/>
      <c r="G32" s="50"/>
      <c r="H32" s="50"/>
      <c r="I32" s="50"/>
      <c r="J32" s="50"/>
    </row>
    <row r="33" spans="2:11" ht="17" hidden="1" x14ac:dyDescent="0.2">
      <c r="B33" s="4"/>
      <c r="C33" s="31" t="s">
        <v>22</v>
      </c>
      <c r="D33" s="10">
        <f>ROUND(((1+(0.166656/12))^3)-1,6)</f>
        <v>4.2244999999999998E-2</v>
      </c>
      <c r="E33" s="31"/>
      <c r="F33" s="31"/>
      <c r="G33" s="31"/>
      <c r="H33" s="10">
        <f>ROUND((1.166656^(1/4))-1,6)</f>
        <v>3.9287999999999997E-2</v>
      </c>
      <c r="I33" s="31"/>
      <c r="J33" s="31"/>
    </row>
    <row r="34" spans="2:11" hidden="1" x14ac:dyDescent="0.2">
      <c r="B34" s="4"/>
      <c r="C34" s="4" t="s">
        <v>27</v>
      </c>
      <c r="D34" s="11">
        <f>5000000/(1.042245^12)</f>
        <v>3043211.6664949688</v>
      </c>
      <c r="E34" s="31"/>
      <c r="F34" s="31"/>
      <c r="G34" s="31"/>
      <c r="H34" s="16">
        <f>5000000/(1.039288^12)</f>
        <v>3148756.3100980083</v>
      </c>
      <c r="I34" s="31"/>
      <c r="J34" s="31"/>
    </row>
    <row r="35" spans="2:11" ht="17" hidden="1" x14ac:dyDescent="0.2">
      <c r="B35" s="4"/>
      <c r="C35" s="31" t="s">
        <v>23</v>
      </c>
      <c r="D35" s="15">
        <f>(108000000-3043212)*(4.2245%/((1-((1+4.2245%)^-11))))</f>
        <v>12126222.376829403</v>
      </c>
      <c r="E35" s="31"/>
      <c r="F35" s="31"/>
      <c r="G35" s="31"/>
      <c r="H35" s="15">
        <f>(108000000-3148756.31)*(3.9288%/((1-((1+3.9288%)^-11))))</f>
        <v>11922753.584594985</v>
      </c>
      <c r="I35" s="31"/>
      <c r="J35" s="31"/>
    </row>
    <row r="36" spans="2:11" ht="5.25" customHeight="1" x14ac:dyDescent="0.2">
      <c r="B36" s="31"/>
      <c r="C36" s="31"/>
      <c r="D36" s="31"/>
      <c r="E36" s="31"/>
      <c r="F36" s="31"/>
      <c r="G36" s="31"/>
      <c r="H36" s="31"/>
      <c r="I36" s="31"/>
      <c r="J36" s="31"/>
    </row>
    <row r="37" spans="2:11" x14ac:dyDescent="0.2">
      <c r="B37" s="7" t="s">
        <v>5</v>
      </c>
      <c r="C37" s="4"/>
      <c r="D37" s="4"/>
      <c r="E37" s="4"/>
      <c r="F37" s="4"/>
      <c r="G37" s="4"/>
      <c r="H37" s="4"/>
      <c r="I37" s="4"/>
      <c r="J37" s="4"/>
      <c r="K37" s="4"/>
    </row>
    <row r="38" spans="2:11" ht="5.25" customHeight="1" x14ac:dyDescent="0.2">
      <c r="B38" s="31"/>
      <c r="C38" s="31"/>
      <c r="D38" s="31"/>
      <c r="E38" s="31"/>
      <c r="F38" s="31"/>
      <c r="G38" s="31"/>
      <c r="H38" s="31"/>
      <c r="I38" s="31"/>
      <c r="J38" s="31"/>
    </row>
    <row r="39" spans="2:11" x14ac:dyDescent="0.2">
      <c r="C39" s="4"/>
      <c r="D39" s="60" t="s">
        <v>28</v>
      </c>
      <c r="E39" s="60"/>
      <c r="F39" s="4"/>
      <c r="G39" s="61" t="s">
        <v>29</v>
      </c>
      <c r="H39" s="61"/>
      <c r="I39" s="33"/>
      <c r="J39" s="4"/>
      <c r="K39" s="4"/>
    </row>
    <row r="40" spans="2:11" ht="5.25" customHeight="1" thickBot="1" x14ac:dyDescent="0.25">
      <c r="B40" s="31"/>
      <c r="C40" s="31"/>
      <c r="D40" s="31"/>
      <c r="E40" s="31"/>
      <c r="F40" s="31"/>
      <c r="G40" s="31"/>
      <c r="H40" s="31"/>
      <c r="I40" s="31"/>
      <c r="J40" s="31"/>
    </row>
    <row r="41" spans="2:11" ht="22.5" customHeight="1" thickBot="1" x14ac:dyDescent="0.25">
      <c r="B41" s="7"/>
      <c r="C41" s="4" t="s">
        <v>30</v>
      </c>
      <c r="D41" s="58"/>
      <c r="E41" s="59"/>
      <c r="F41" s="17"/>
      <c r="G41" s="58"/>
      <c r="H41" s="59"/>
      <c r="I41" s="4"/>
      <c r="J41" s="4"/>
      <c r="K41" s="4"/>
    </row>
    <row r="42" spans="2:11" ht="5.25" customHeight="1" thickBot="1" x14ac:dyDescent="0.25">
      <c r="B42" s="31"/>
      <c r="C42" s="31"/>
      <c r="D42" s="18"/>
      <c r="E42" s="18"/>
      <c r="F42" s="18"/>
      <c r="G42" s="18"/>
      <c r="H42" s="18"/>
      <c r="I42" s="31"/>
      <c r="J42" s="31"/>
    </row>
    <row r="43" spans="2:11" ht="22.5" customHeight="1" thickBot="1" x14ac:dyDescent="0.25">
      <c r="B43" s="7"/>
      <c r="C43" s="4" t="s">
        <v>31</v>
      </c>
      <c r="D43" s="58"/>
      <c r="E43" s="59"/>
      <c r="F43" s="17"/>
      <c r="G43" s="17"/>
      <c r="H43" s="17"/>
      <c r="I43" s="4"/>
      <c r="J43" s="4"/>
      <c r="K43" s="4"/>
    </row>
    <row r="44" spans="2:11" ht="5.25" customHeight="1" thickBot="1" x14ac:dyDescent="0.25">
      <c r="B44" s="31"/>
      <c r="C44" s="31"/>
      <c r="D44" s="18"/>
      <c r="E44" s="18"/>
      <c r="F44" s="18"/>
      <c r="G44" s="18"/>
      <c r="H44" s="18"/>
      <c r="I44" s="31"/>
      <c r="J44" s="31"/>
    </row>
    <row r="45" spans="2:11" ht="22.5" customHeight="1" thickBot="1" x14ac:dyDescent="0.25">
      <c r="B45" s="7"/>
      <c r="C45" s="4" t="s">
        <v>32</v>
      </c>
      <c r="D45" s="58"/>
      <c r="E45" s="59"/>
      <c r="F45" s="17"/>
      <c r="G45" s="19"/>
      <c r="H45" s="19"/>
      <c r="I45" s="9"/>
      <c r="J45" s="4"/>
      <c r="K45" s="4"/>
    </row>
    <row r="46" spans="2:11" ht="5.25" customHeight="1" x14ac:dyDescent="0.2">
      <c r="B46" s="31"/>
      <c r="C46" s="31"/>
      <c r="D46" s="31"/>
      <c r="E46" s="31"/>
      <c r="F46" s="31"/>
      <c r="G46" s="31"/>
      <c r="H46" s="31"/>
      <c r="I46" s="31"/>
      <c r="J46" s="31"/>
    </row>
    <row r="47" spans="2:11" x14ac:dyDescent="0.2">
      <c r="B47" s="4" t="s">
        <v>10</v>
      </c>
      <c r="C47" s="4"/>
      <c r="D47" s="4"/>
      <c r="E47" s="4"/>
      <c r="F47" s="4"/>
      <c r="G47" s="4"/>
      <c r="H47" s="4"/>
      <c r="I47" s="4"/>
      <c r="J47" s="4"/>
    </row>
    <row r="49" spans="1:10" x14ac:dyDescent="0.2">
      <c r="A49" s="1">
        <v>2</v>
      </c>
      <c r="B49" s="49" t="s">
        <v>33</v>
      </c>
      <c r="C49" s="49"/>
      <c r="D49" s="49"/>
      <c r="E49" s="49"/>
      <c r="F49" s="49"/>
      <c r="G49" s="49"/>
      <c r="H49" s="49"/>
      <c r="I49" s="49"/>
      <c r="J49" s="49"/>
    </row>
    <row r="50" spans="1:10" x14ac:dyDescent="0.2">
      <c r="B50" s="49"/>
      <c r="C50" s="49"/>
      <c r="D50" s="49"/>
      <c r="E50" s="49"/>
      <c r="F50" s="49"/>
      <c r="G50" s="49"/>
      <c r="H50" s="49"/>
      <c r="I50" s="49"/>
      <c r="J50" s="49"/>
    </row>
    <row r="51" spans="1:10" x14ac:dyDescent="0.2">
      <c r="B51" s="49"/>
      <c r="C51" s="49"/>
      <c r="D51" s="49"/>
      <c r="E51" s="49"/>
      <c r="F51" s="49"/>
      <c r="G51" s="49"/>
      <c r="H51" s="49"/>
      <c r="I51" s="49"/>
      <c r="J51" s="49"/>
    </row>
    <row r="52" spans="1:10" x14ac:dyDescent="0.2">
      <c r="B52" s="49"/>
      <c r="C52" s="49"/>
      <c r="D52" s="49"/>
      <c r="E52" s="49"/>
      <c r="F52" s="49"/>
      <c r="G52" s="49"/>
      <c r="H52" s="49"/>
      <c r="I52" s="49"/>
      <c r="J52" s="49"/>
    </row>
    <row r="53" spans="1:10" ht="6" customHeight="1" thickBot="1" x14ac:dyDescent="0.25"/>
    <row r="54" spans="1:10" ht="22.5" customHeight="1" thickBot="1" x14ac:dyDescent="0.25">
      <c r="B54" s="4" t="s">
        <v>34</v>
      </c>
      <c r="H54" s="58"/>
      <c r="I54" s="59"/>
    </row>
    <row r="55" spans="1:10" ht="6" customHeight="1" x14ac:dyDescent="0.2"/>
    <row r="56" spans="1:10" ht="17" hidden="1" x14ac:dyDescent="0.2">
      <c r="B56" s="4"/>
      <c r="C56" s="31" t="s">
        <v>22</v>
      </c>
      <c r="D56" s="14">
        <f>ROUND((1.019613^3)-1,6)</f>
        <v>6.0000999999999999E-2</v>
      </c>
      <c r="E56" s="31"/>
      <c r="F56" s="31"/>
      <c r="G56" s="31"/>
      <c r="H56" s="31"/>
      <c r="I56" s="31"/>
      <c r="J56" s="31"/>
    </row>
    <row r="57" spans="1:10" ht="17" hidden="1" x14ac:dyDescent="0.2">
      <c r="B57" s="4"/>
      <c r="C57" s="31" t="s">
        <v>23</v>
      </c>
      <c r="D57" s="16">
        <f>60000000*(6%/((1-((1+6%)^-12))))</f>
        <v>7156621.7628398128</v>
      </c>
      <c r="E57" s="31"/>
      <c r="F57" s="31"/>
      <c r="G57" s="31"/>
      <c r="H57" s="31"/>
      <c r="I57" s="31"/>
      <c r="J57" s="31"/>
    </row>
    <row r="58" spans="1:10" ht="17" hidden="1" x14ac:dyDescent="0.2">
      <c r="B58" s="4"/>
      <c r="C58" s="31" t="s">
        <v>35</v>
      </c>
      <c r="D58" s="15">
        <f>(7156621.76*((1-(1.06^-4))/0.06))-4798529.41</f>
        <v>19999920.818544514</v>
      </c>
      <c r="E58" s="31"/>
      <c r="F58" s="31"/>
      <c r="G58" s="31"/>
      <c r="H58" s="31"/>
      <c r="I58" s="31"/>
      <c r="J58" s="31"/>
    </row>
    <row r="59" spans="1:10" ht="17" hidden="1" x14ac:dyDescent="0.2">
      <c r="B59" s="4"/>
      <c r="C59" s="31" t="s">
        <v>36</v>
      </c>
      <c r="D59" s="14">
        <f>ROUND((1.019613^6)-1,6)</f>
        <v>0.123601</v>
      </c>
      <c r="E59" s="31"/>
      <c r="F59" s="31"/>
      <c r="G59" s="31"/>
      <c r="H59" s="31"/>
      <c r="I59" s="31"/>
      <c r="J59" s="31"/>
    </row>
    <row r="60" spans="1:10" hidden="1" x14ac:dyDescent="0.2">
      <c r="B60" s="4"/>
      <c r="C60" s="4" t="s">
        <v>37</v>
      </c>
      <c r="D60" s="15">
        <f>19999920.82*(12.36%/((1-((1+12.36%)^-2))))</f>
        <v>11889922.413389675</v>
      </c>
      <c r="E60" s="31"/>
      <c r="F60" s="31"/>
      <c r="G60" s="31"/>
      <c r="H60" s="31"/>
      <c r="I60" s="31"/>
      <c r="J60" s="31"/>
    </row>
    <row r="61" spans="1:10" ht="4.5" hidden="1" customHeight="1" x14ac:dyDescent="0.2">
      <c r="B61" s="4"/>
      <c r="C61" s="31"/>
      <c r="D61" s="31"/>
      <c r="E61" s="31"/>
      <c r="F61" s="31"/>
      <c r="G61" s="31"/>
      <c r="H61" s="31"/>
      <c r="I61" s="31"/>
      <c r="J61" s="31"/>
    </row>
    <row r="62" spans="1:10" x14ac:dyDescent="0.2">
      <c r="D62" s="11"/>
    </row>
    <row r="63" spans="1:10" x14ac:dyDescent="0.2">
      <c r="D63" s="13"/>
    </row>
  </sheetData>
  <mergeCells count="24">
    <mergeCell ref="B2:J4"/>
    <mergeCell ref="C6:J7"/>
    <mergeCell ref="C25:J26"/>
    <mergeCell ref="C30:J32"/>
    <mergeCell ref="D39:E39"/>
    <mergeCell ref="G39:H39"/>
    <mergeCell ref="E11:G11"/>
    <mergeCell ref="E12:G12"/>
    <mergeCell ref="E13:G13"/>
    <mergeCell ref="E14:G14"/>
    <mergeCell ref="E15:G15"/>
    <mergeCell ref="E16:G16"/>
    <mergeCell ref="E17:G17"/>
    <mergeCell ref="E18:G18"/>
    <mergeCell ref="E19:G19"/>
    <mergeCell ref="E20:G20"/>
    <mergeCell ref="E21:G21"/>
    <mergeCell ref="E22:G22"/>
    <mergeCell ref="H54:I54"/>
    <mergeCell ref="D41:E41"/>
    <mergeCell ref="D43:E43"/>
    <mergeCell ref="D45:E45"/>
    <mergeCell ref="G41:H41"/>
    <mergeCell ref="B49:J52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6AFAD3F5D4A4B49BF9F9AFC23CD6CC8" ma:contentTypeVersion="2" ma:contentTypeDescription="Crear nuevo documento." ma:contentTypeScope="" ma:versionID="d511245d8851987d0dc8333de02f3680">
  <xsd:schema xmlns:xsd="http://www.w3.org/2001/XMLSchema" xmlns:xs="http://www.w3.org/2001/XMLSchema" xmlns:p="http://schemas.microsoft.com/office/2006/metadata/properties" xmlns:ns2="8d65419f-b40d-4c03-bc93-f175dfd824f3" targetNamespace="http://schemas.microsoft.com/office/2006/metadata/properties" ma:root="true" ma:fieldsID="525d760e24b669dbd55ca28612a6d7b6" ns2:_="">
    <xsd:import namespace="8d65419f-b40d-4c03-bc93-f175dfd824f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65419f-b40d-4c03-bc93-f175dfd824f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78FD0A9-7503-4C64-B934-1F97D788D25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3BB7844-A904-4AFA-B1A4-9C715DDAF3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d65419f-b40d-4c03-bc93-f175dfd824f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9DE570D-2C8E-4355-9D68-F199BEFDDDD7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TIPO A</vt:lpstr>
      <vt:lpstr>TIPO B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RAFAEL GONZALEZ</dc:creator>
  <cp:keywords/>
  <dc:description/>
  <cp:lastModifiedBy>Microsoft Office User</cp:lastModifiedBy>
  <cp:revision/>
  <dcterms:created xsi:type="dcterms:W3CDTF">2019-04-14T17:03:53Z</dcterms:created>
  <dcterms:modified xsi:type="dcterms:W3CDTF">2020-05-13T19:46:01Z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0x01010026AFAD3F5D4A4B49BF9F9AFC23CD6CC8</vt:lpwstr>
  </property>
</Properties>
</file>