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gar/Desktop/Nikolás ECI 201/FCFI/"/>
    </mc:Choice>
  </mc:AlternateContent>
  <xr:revisionPtr revIDLastSave="0" documentId="8_{870B00F2-987B-0E43-8CD8-04893F30A477}" xr6:coauthVersionLast="36" xr6:coauthVersionMax="36" xr10:uidLastSave="{00000000-0000-0000-0000-000000000000}"/>
  <bookViews>
    <workbookView xWindow="0" yWindow="460" windowWidth="24920" windowHeight="15540" activeTab="2" xr2:uid="{61998A02-5636-4315-80F0-05EDB40471CF}"/>
  </bookViews>
  <sheets>
    <sheet name="REPASO 1" sheetId="1" state="hidden" r:id="rId1"/>
    <sheet name="REPASO 2" sheetId="2" r:id="rId2"/>
    <sheet name="REPASO 3" sheetId="3" r:id="rId3"/>
    <sheet name="REPASO 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" i="3" l="1"/>
  <c r="C90" i="3"/>
  <c r="E96" i="3"/>
  <c r="E95" i="3"/>
  <c r="C95" i="3"/>
  <c r="C94" i="3"/>
  <c r="E89" i="3"/>
  <c r="F89" i="3"/>
  <c r="D89" i="3"/>
  <c r="G88" i="3"/>
  <c r="G89" i="3" s="1"/>
  <c r="F80" i="3"/>
  <c r="F81" i="3" s="1"/>
  <c r="E74" i="3" s="1"/>
  <c r="C83" i="3"/>
  <c r="G71" i="3"/>
  <c r="F71" i="3"/>
  <c r="E71" i="3"/>
  <c r="G70" i="3"/>
  <c r="G73" i="3" s="1"/>
  <c r="F69" i="3"/>
  <c r="G69" i="3"/>
  <c r="E69" i="3"/>
  <c r="F68" i="3"/>
  <c r="F70" i="3" s="1"/>
  <c r="F73" i="3" s="1"/>
  <c r="G68" i="3"/>
  <c r="E68" i="3"/>
  <c r="E70" i="3" s="1"/>
  <c r="E73" i="3" s="1"/>
  <c r="E75" i="3" s="1"/>
  <c r="E76" i="3" l="1"/>
  <c r="E77" i="3"/>
  <c r="F82" i="3"/>
  <c r="G80" i="3" s="1"/>
  <c r="E44" i="4"/>
  <c r="H46" i="4"/>
  <c r="I2" i="1"/>
  <c r="K9" i="1" s="1"/>
  <c r="B4" i="1"/>
  <c r="BB9" i="1"/>
  <c r="BA9" i="1" s="1"/>
  <c r="K11" i="1"/>
  <c r="BA11" i="1"/>
  <c r="BB11" i="1"/>
  <c r="B13" i="1"/>
  <c r="K18" i="1"/>
  <c r="BA18" i="1"/>
  <c r="BB18" i="1"/>
  <c r="BB20" i="1"/>
  <c r="BA20" i="1" s="1"/>
  <c r="B22" i="1"/>
  <c r="BB26" i="1"/>
  <c r="BA26" i="1" s="1"/>
  <c r="K28" i="1"/>
  <c r="BB28" i="1"/>
  <c r="BA28" i="1" s="1"/>
  <c r="BB30" i="1"/>
  <c r="BA30" i="1" s="1"/>
  <c r="G81" i="3" l="1"/>
  <c r="K30" i="1"/>
  <c r="K20" i="1"/>
  <c r="K26" i="1"/>
  <c r="F74" i="3" l="1"/>
  <c r="F75" i="3" s="1"/>
  <c r="G82" i="3"/>
  <c r="H80" i="3" s="1"/>
  <c r="H81" i="3" s="1"/>
  <c r="H82" i="3" l="1"/>
  <c r="G74" i="3"/>
  <c r="G75" i="3" s="1"/>
  <c r="F76" i="3"/>
  <c r="F77" i="3" s="1"/>
  <c r="G76" i="3" l="1"/>
  <c r="G77" i="3"/>
</calcChain>
</file>

<file path=xl/sharedStrings.xml><?xml version="1.0" encoding="utf-8"?>
<sst xmlns="http://schemas.openxmlformats.org/spreadsheetml/2006/main" count="176" uniqueCount="135">
  <si>
    <t>NO</t>
  </si>
  <si>
    <t>BANCO DOS</t>
  </si>
  <si>
    <t>SI</t>
  </si>
  <si>
    <t>BANCO UNO</t>
  </si>
  <si>
    <t>B</t>
  </si>
  <si>
    <t>ANDRES FELIPE TRIVIÑO GARZON</t>
  </si>
  <si>
    <t>A</t>
  </si>
  <si>
    <t>EDISON SANCHEZ PARADA</t>
  </si>
  <si>
    <t>D</t>
  </si>
  <si>
    <t>MIGUEL EDUARDO ROMERO PARRA</t>
  </si>
  <si>
    <t>C</t>
  </si>
  <si>
    <t>SEBASTIAN ANDRES ROJAS SILVA</t>
  </si>
  <si>
    <t>LINA MARIA PINZON PADILLA</t>
  </si>
  <si>
    <t>LUISA MARIA PEREZ FORERO</t>
  </si>
  <si>
    <t>JUAN DAVID PEDRAZA MORA</t>
  </si>
  <si>
    <t>ESTEFANIA  OSORIO PRIETO</t>
  </si>
  <si>
    <t>JUAN SEBASTIAN NOVA SUAREZ</t>
  </si>
  <si>
    <t>JUAN CARLOS NEVA GARCIA</t>
  </si>
  <si>
    <t>BRIGITH MONROY VACA</t>
  </si>
  <si>
    <t>NICOLAS MENDOZA PEREZ</t>
  </si>
  <si>
    <t>DAVID ESTEBAN MANRIQUE LOPEZ</t>
  </si>
  <si>
    <t>LAURA FERNANDA LOPEZ MACIAS</t>
  </si>
  <si>
    <t>LINA MARIA LINARES GOMEZ</t>
  </si>
  <si>
    <t>JULIANA JIMENEZ VIZCAINO</t>
  </si>
  <si>
    <t>JUAN SEBASTIAN JIMENEZ RAMOS</t>
  </si>
  <si>
    <t>CATALINA HERNANDEZ FORERO</t>
  </si>
  <si>
    <t>NICOLAS EDUARDO GOMEZ HERRERA</t>
  </si>
  <si>
    <t>ANDREA PAOLA GARAVITO COLORADO</t>
  </si>
  <si>
    <t>EDWIN ALBERTO GAONA ZAMBRANO</t>
  </si>
  <si>
    <t>NICOLAS JAVIER DIAZ TUNJANO</t>
  </si>
  <si>
    <t>MIGUEL ANGEL COLORADO GONZALEZ</t>
  </si>
  <si>
    <t>LAURA CATALINA CESPEDES SANCHEZ</t>
  </si>
  <si>
    <t>CAMILO ANDRES CARDONA MAHECHA</t>
  </si>
  <si>
    <t>SANTIAGO ANDRES CAICEDO CARRILLO</t>
  </si>
  <si>
    <t>CHRISTIAN MIGUEL BOCANEGRA MAPE</t>
  </si>
  <si>
    <t>JULIAN DAVID BERMUDEZ ALARCON</t>
  </si>
  <si>
    <t>MARIA CAMILA ALVARADO GUTIERREZ</t>
  </si>
  <si>
    <t>ANDRES FELIPE AGUIRRE CAÑON</t>
  </si>
  <si>
    <t>CUANTO TENDRÍA QUE PAGAR EL EMPRENDEDOR SI DECIDE CANCELAR EL SALDO DESPUES DE LA TERCERA CUOTA?</t>
  </si>
  <si>
    <t>EN CUANTO DISMINUIRÍA LA CUOTA SI LA TASA BAJA AL 15% ANUAL PARA LOS DOS ULTIMOS AÑOS?</t>
  </si>
  <si>
    <t>CUAL ES EL VALOR DE CADA CUOTA PARA UNA INVERSION DE $100.000.000?</t>
  </si>
  <si>
    <t>CUAL ES LA TASA EFECTIVA ANUAL DEL BANCO DE INVERSIÓN?</t>
  </si>
  <si>
    <t>CONVIENE CAMBIARSE AL BANCO DE INVERSION?</t>
  </si>
  <si>
    <t>CUAL ES LA TASA EFECTIVA DE ESE BANCO PARA EL PERÍODO?</t>
  </si>
  <si>
    <t>CUAL DE LAS DOS PROPUESTAS ES MAS CONVENIENTE?</t>
  </si>
  <si>
    <t>TERMINASTE EL EJERCICIO?</t>
  </si>
  <si>
    <t>CONSIDERANDO UNA TASA DE IMPUESTOS DEL 34%, ES ACEPTABLE LA INVERSIÓN PARA EL ACCIONISTA? DOCUMENTA TU RESPUESTA CON EL VPN, LA TIR Y LA RBC.</t>
  </si>
  <si>
    <t>LA FABRICA SERÁ VENDIDA AL FINAL DEL QUINTO AÑO A SU VALOR EN LIBROS.</t>
  </si>
  <si>
    <t>INVERSIÓNISTA</t>
  </si>
  <si>
    <t>DOS PRESTAMOS DE 5 PAGOS ANUALES C/U, AL 12% E. A. Y 15% E. A. RESPECTIVAMENTE.</t>
  </si>
  <si>
    <t>FINANCIAMIENTO:</t>
  </si>
  <si>
    <t>CAPITAL DE TRABAJO</t>
  </si>
  <si>
    <t>ACTIVOS FIJOS (DEPRECIACIÓN ANUAL: 25.000)</t>
  </si>
  <si>
    <t>INVERSIÓN INICIAL:</t>
  </si>
  <si>
    <t>GASTOS OPERACIONALES (TOTALES)</t>
  </si>
  <si>
    <t>COSTO UNITARIO</t>
  </si>
  <si>
    <t>PRECIO UNITARIO</t>
  </si>
  <si>
    <t>UNIDADES PRODUCIDAS/VENDIDAS</t>
  </si>
  <si>
    <t>UN INVERSIONISTA TE CONTRATA PARA EVALUAR UN PROYECTO DE INVERSIÓN EN EL CUAL QUIERE PARTICIPAR, Y DE LA CUAL ESPERA UNA RENTABILIDAD DEL 15%. A TAL FIN, SE TE SUMINISTRA LA SIGUIENTE INFORMACIÓN:</t>
  </si>
  <si>
    <t>ELABORA UNA TABLA DE AMORTIZACIÓN PARA UN FINANCIAMIENTO A 5 AÑOS POR 160.000, AL 18% ANUAL CAPITALIZABLE TRIMESTRALMENTE, CON UN PRIMER AÑO MUERTO Y UN SEGUNDO AÑO DE GRACIA (MINICUOTA). CONSIDERA QUE AL FINAL DEL PERIODO 3 SE EFECTÚA UN PAGO ADICIONAL POR 20.000 Y RECALCULA LAS CUOTAS RESTANTES.</t>
  </si>
  <si>
    <t>CONSIDERANDO UNA TASA DE IMPUESTOS DEL 34%, CUAL ES TU RECOMENDACIÓN? DOCUMENTA TU RESPUESTA CON EL VPN, LA TIR Y LA RBC.</t>
  </si>
  <si>
    <t>EL ACCIONISTA REQUIERE UNA RENTABILIDAD DEL 12% E. A. PARA SU INVERSION (120.000).</t>
  </si>
  <si>
    <t>LA FABRICA SERÁ VENDIDA AL FINAL DEL TERCER AÑO A SU VALOR EN LIBROS.</t>
  </si>
  <si>
    <t>LA INVERSIÓN INICIAL EN ACTIVOS FIJOS ASCIENDE A 320.000, DEPRECIABLES EN 10 AÑOS A RAZÓN DE 25.000 ANUALES. DE ESE MONTO, 200.000 SERÁN CUBIERTOS POR UN PRÉSTAMO A 3 AÑOS, MEDIANTE CUOTAS ANUALES IGUALES A LA TASA DEL 24% E. A.</t>
  </si>
  <si>
    <t>GASTOS FIJOS ADMINISTRAC.</t>
  </si>
  <si>
    <t>COSTO UNITARIO DE PRODUCCIÓN</t>
  </si>
  <si>
    <t>PRECIO UNITARIO DE VENTA</t>
  </si>
  <si>
    <t>UNIDADES PRODUCIDAS Y VENDIDAS</t>
  </si>
  <si>
    <t>PERIODO</t>
  </si>
  <si>
    <t>SE LE CONTRATA PARA EVALUAR UN PROYECTO DE INVERSIÓN, EN BASE A LA SIGUIENTE INFORMACIÓN:</t>
  </si>
  <si>
    <t>IDENTIFICA LA OPCIÓN MÁS CONVENIENTE, ARGUMENTANDO TU DECISIÓN CON EL VPN, LA TIR Y LA RBC.</t>
  </si>
  <si>
    <t>FLUJOS OPCIÓN C</t>
  </si>
  <si>
    <t>COSTOS OPCIÓN B</t>
  </si>
  <si>
    <t>INGRESOS OPCIÓN B</t>
  </si>
  <si>
    <t>FLUJOS OPCIÓN A</t>
  </si>
  <si>
    <t>DISPONES DE 150.000 PARA INVERTIR EN UNA DE LAS SIGUIENTES OPCIONES, CON UNA TASA DE OPORTUNIDAD DEL 15%:</t>
  </si>
  <si>
    <t>CALCULA LA CUOTA FIJA MENSUAL PARA UN CRÉDITO POR 50.000 A 48 MESES, A LA TASA DEL 14% ANUAL CAPITALIZABLE TRIMESTRE VENCIDO, Y PREPARA UNA TABLA DE AMORTIZACIÓN PARA LOS PRIMEROS SEIS MESES, CONSIDERANDO QUE JUNTO CON LA TERCERA CUOTA SE REALIZA UN ABONO ADICIONAL A CAPITAL POR 2.600 PARA REBAJAR LA CUOTA MENSUAL.</t>
  </si>
  <si>
    <t>- PAGO EXTRAORDINARIO ADICIONAL DE 3.000 EN EL PERÍODO 7.</t>
  </si>
  <si>
    <t xml:space="preserve">- TRES SIGUIENTES MESES DE GRACIA </t>
  </si>
  <si>
    <t>- DOS PRIMEROS MESES MUERTOS</t>
  </si>
  <si>
    <t>ELABORA UNA TABLA DE AMORTIZACIÓN PARA UN FINANCIAMIENTO A 10 MESES POR 40.000, A LA TASA DEL 18% E. A. BAJO LAS SIGUIENTES CONDICIONES:</t>
  </si>
  <si>
    <t>TASA DE OPORTUNIDAD:</t>
  </si>
  <si>
    <t>TASA IMPOSITIVA:</t>
  </si>
  <si>
    <t>GASTOS</t>
  </si>
  <si>
    <t>COSTOS</t>
  </si>
  <si>
    <t>INGRESOS</t>
  </si>
  <si>
    <t>CONSIDERANDO UN HORIZONTE DE INVERSIÓN DE 5 AÑOS, DETERMINA SI EL PROYECTO ES VIABLE O NO. ARGUMENTA TU DECISIÓN CON EL VPN, LA TIR Y LA RBC, PARA CUYO CÁLCULO SE TE SUMINISTRAN LAS SIGUIENTES PROYECCIONES:</t>
  </si>
  <si>
    <t>UNA EMPRESA DESEA INVERTIR EN UN PROYECTO RECURSOS PROPIOS POR $140.000, DE LOS CUALES EL 70% SE DESTINARA A ACTIVOS DEPRECIABLES CON UNA VIDA UTIL DE 5 AÑOS, SIN VALOR DE SALVAMENTO, Y EL RESTO COMO CAPITAL DE TRABAJO.</t>
  </si>
  <si>
    <t>RBC</t>
  </si>
  <si>
    <t>TIR</t>
  </si>
  <si>
    <t>VAN</t>
  </si>
  <si>
    <t>SE REQUIERE QUE DETERMINES LA VIABILIDAD DEL PROYECTO, SUSTENTANDO TU RESPUESTA CON EL VAN, LA TIR Y LA RBC CORRESPONDIENTES, Y QUE PREPARES EL BALANCE DE SITUACIÓN INICIAL DEL PROYECTO.</t>
  </si>
  <si>
    <t>INFLACION PROYECTADA:</t>
  </si>
  <si>
    <t>AÑO:</t>
  </si>
  <si>
    <t>(CRECIMIENTO SEGÚN INFLACIÓN)</t>
  </si>
  <si>
    <t>PRECIO DE VENTA INICIAL:</t>
  </si>
  <si>
    <t>CRECIMIENTO ANUAL DE LA PARTICIPACIÓN:</t>
  </si>
  <si>
    <t>CRECIMIENTO ANUAL DEL MERCADO:</t>
  </si>
  <si>
    <t>PARTICIPACION INICIAL:</t>
  </si>
  <si>
    <t>MERCADO ACTUAL (unidades):</t>
  </si>
  <si>
    <t>INFORMACION DE VENTAS:</t>
  </si>
  <si>
    <t>LA TASA LIBRE DE RIESGO VIGENTE ES DE 6,25%, UNA BETA DESAPALANCADA DE 0,75 Y UN RIESGO DE MERCADO DE 9%.</t>
  </si>
  <si>
    <t>LA INVERSIÓN INICIAL HA SIDO ESTIMADA EN $1.200.000, DE LOS CUALES $800.000 SERÁN CUBIERTOS CON RECURSOS PROPIOS, Y EL RESTO CON DOS PRÉSTAMOS A CINCO AÑOS, CON PAGOS ANUALES IGUALES: EL PRIMERO A LA TASA DEL 12% E. A. Y EL SEGUNDO A LA TASA DEL 14% E. A.</t>
  </si>
  <si>
    <t>SE REQUIERE DE TU ASESORAMIENTO EN LA EVALUACIÓN DE UN PROYECTO PARA FABRICAR UN PRODUCTO "X", CONSIDERANDO UN HORIZONTE DE INVERSIÓN DE CINCO AÑOS.</t>
  </si>
  <si>
    <t>BETA APALANCADA = BETA DESAPALANCADA x  ((1 + ((DEUDA/REC. PROPIOS)*(1-Tx)))</t>
  </si>
  <si>
    <t>BETA APALANCADA = 0,75 x ((1+(400.000/800.000)x(1-40%))) = 0,975</t>
  </si>
  <si>
    <t>ESTOS RECURSOS SERÁN DESTINADOS A ADQUIRIR MAQUINARIAS POR $700.000 Y EQUIPOS DE COMPUTO POR $200.000, TODOS CON UNA VIDA UTIL DE 5 AÑOS, Y EL RESTO PARA CAPITAL DE TRABAJO ($200.000 A INVENTARIOS Y $100.000 A CAJA).</t>
  </si>
  <si>
    <t>PARA EL PRIMER AÑO SE ESTIMAN GASTOS DE NOMINA POR $30.000, PUBLICIDAD POR $14.000 Y OTROS GASTOS POR $16.000; SE ARRENDO UN LOCAL POR $1.500 MENSUALES Y SE CONTRATÓ UN SEGURO POR 2.000 ANUALES. SE ESPERA UNA TASA IMPOSITIVA DE 40%.</t>
  </si>
  <si>
    <t>LOS COSTOS REPRESENTAN 30% DE LOS INGRESOS; LOS GASTOS SE INCREMENTARÁN SEGÚN LA INFLACIÓN.</t>
  </si>
  <si>
    <t>UTILIDAD BRUTA</t>
  </si>
  <si>
    <t>GASTOS OPERACIONALES</t>
  </si>
  <si>
    <t>DEPRECIACION</t>
  </si>
  <si>
    <t>UTILIDAD(PERDIDA) OPERACIONAL</t>
  </si>
  <si>
    <t>GASTOS FINANCIEROS</t>
  </si>
  <si>
    <t>DEUDA</t>
  </si>
  <si>
    <t>TASA</t>
  </si>
  <si>
    <t>No. PAGOS</t>
  </si>
  <si>
    <t>CUOTA</t>
  </si>
  <si>
    <t>SALDO</t>
  </si>
  <si>
    <t>INTERESES</t>
  </si>
  <si>
    <t>A CAPITAL</t>
  </si>
  <si>
    <t>UTILIDAD(PERDIDA) ANTES DE IMPUESTOS</t>
  </si>
  <si>
    <t>IMPUESTOS</t>
  </si>
  <si>
    <t>UTILIDAD(PERDIDA) NETA</t>
  </si>
  <si>
    <t>INVERSION</t>
  </si>
  <si>
    <t>FLUJO DE CAJA LIBRE(N)</t>
  </si>
  <si>
    <t>e</t>
  </si>
  <si>
    <t>d</t>
  </si>
  <si>
    <t>Ke</t>
  </si>
  <si>
    <t>Kd</t>
  </si>
  <si>
    <t>WACC</t>
  </si>
  <si>
    <t>SE ACEPTA, VAN POSITIVA</t>
  </si>
  <si>
    <t>TIR MAYOR QUE TASA DESCUENTO</t>
  </si>
  <si>
    <t>TASA DE DESCUENTO</t>
  </si>
  <si>
    <t>PRIORIDAD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</si>
</sst>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0.0"/>
    <numFmt numFmtId="165" formatCode="_(* #,##0_);_(* \(#,##0\);_(* &quot;-&quot;??_);_(@_)"/>
    <numFmt numFmtId="166" formatCode="&quot;$&quot;\ #,##0"/>
    <numFmt numFmtId="167" formatCode="_(* #,##0.00_);_(* \(#,##0.00\);_(* &quot;-&quot;??_);_(@_)"/>
    <numFmt numFmtId="168" formatCode="0.0%"/>
    <numFmt numFmtId="169" formatCode="#,##0.00\ ;\(#,##0.00\)"/>
    <numFmt numFmtId="170" formatCode="#,##0\ ;\(#,##0\)"/>
    <numFmt numFmtId="173" formatCode="_-* #,##0_-;\-* #,##0_-;_-* &quot;-&quot;??_-;_-@_-"/>
    <numFmt numFmtId="175" formatCode="_-* #,##0.00_-;\-* #,##0.00_-;_-* &quot;-&quot;_-;_-@_-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7" fillId="0" borderId="0"/>
    <xf numFmtId="41" fontId="2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right" vertical="center" indent="1"/>
    </xf>
    <xf numFmtId="0" fontId="6" fillId="0" borderId="0" xfId="0" quotePrefix="1" applyFont="1" applyAlignment="1" applyProtection="1">
      <alignment horizontal="right" vertical="center" indent="1"/>
    </xf>
    <xf numFmtId="0" fontId="3" fillId="0" borderId="0" xfId="0" applyFont="1" applyAlignment="1" applyProtection="1">
      <alignment vertical="center"/>
    </xf>
    <xf numFmtId="0" fontId="8" fillId="0" borderId="0" xfId="0" applyFont="1" applyFill="1" applyBorder="1" applyAlignment="1" applyProtection="1">
      <alignment horizontal="center" vertical="center"/>
    </xf>
    <xf numFmtId="10" fontId="3" fillId="0" borderId="0" xfId="1" applyNumberFormat="1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left" vertical="center" indent="1"/>
    </xf>
    <xf numFmtId="10" fontId="3" fillId="0" borderId="0" xfId="0" applyNumberFormat="1" applyFont="1" applyFill="1" applyBorder="1" applyAlignment="1" applyProtection="1">
      <alignment vertical="center"/>
    </xf>
    <xf numFmtId="10" fontId="4" fillId="0" borderId="0" xfId="0" applyNumberFormat="1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left" vertical="center" indent="1"/>
    </xf>
    <xf numFmtId="10" fontId="3" fillId="0" borderId="0" xfId="1" applyNumberFormat="1" applyFont="1" applyFill="1" applyBorder="1" applyAlignment="1" applyProtection="1">
      <alignment vertical="center"/>
    </xf>
    <xf numFmtId="9" fontId="3" fillId="0" borderId="0" xfId="0" applyNumberFormat="1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vertical="center"/>
    </xf>
    <xf numFmtId="164" fontId="9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0" fillId="3" borderId="0" xfId="0" applyFont="1" applyFill="1" applyBorder="1" applyAlignment="1" applyProtection="1">
      <alignment vertical="center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165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6" fontId="15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vertical="center"/>
    </xf>
    <xf numFmtId="165" fontId="3" fillId="0" borderId="5" xfId="0" applyNumberFormat="1" applyFont="1" applyFill="1" applyBorder="1" applyAlignment="1">
      <alignment vertical="center"/>
    </xf>
    <xf numFmtId="165" fontId="3" fillId="0" borderId="0" xfId="0" applyNumberFormat="1" applyFont="1" applyFill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67" fontId="3" fillId="0" borderId="4" xfId="0" applyNumberFormat="1" applyFont="1" applyFill="1" applyBorder="1" applyAlignment="1">
      <alignment vertical="center"/>
    </xf>
    <xf numFmtId="0" fontId="8" fillId="0" borderId="7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horizontal="center" vertical="center"/>
    </xf>
    <xf numFmtId="168" fontId="3" fillId="0" borderId="0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69" fontId="3" fillId="2" borderId="3" xfId="0" applyNumberFormat="1" applyFont="1" applyFill="1" applyBorder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10" fontId="3" fillId="2" borderId="3" xfId="1" applyNumberFormat="1" applyFont="1" applyFill="1" applyBorder="1" applyAlignment="1" applyProtection="1">
      <alignment vertical="center"/>
      <protection locked="0"/>
    </xf>
    <xf numFmtId="170" fontId="3" fillId="2" borderId="3" xfId="0" applyNumberFormat="1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168" fontId="3" fillId="0" borderId="16" xfId="0" applyNumberFormat="1" applyFont="1" applyFill="1" applyBorder="1" applyAlignment="1">
      <alignment horizontal="center" vertical="center"/>
    </xf>
    <xf numFmtId="168" fontId="3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2" borderId="6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7" xfId="0" applyFont="1" applyFill="1" applyBorder="1" applyAlignment="1">
      <alignment vertical="center"/>
    </xf>
    <xf numFmtId="0" fontId="15" fillId="0" borderId="17" xfId="0" applyFont="1" applyFill="1" applyBorder="1" applyAlignment="1">
      <alignment vertical="center"/>
    </xf>
    <xf numFmtId="0" fontId="15" fillId="2" borderId="18" xfId="0" applyFont="1" applyFill="1" applyBorder="1" applyAlignment="1">
      <alignment vertical="center"/>
    </xf>
    <xf numFmtId="169" fontId="3" fillId="0" borderId="0" xfId="0" applyNumberFormat="1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9" fontId="3" fillId="0" borderId="0" xfId="0" applyNumberFormat="1" applyFont="1" applyFill="1" applyBorder="1" applyAlignment="1">
      <alignment vertical="center"/>
    </xf>
    <xf numFmtId="170" fontId="3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20" fillId="0" borderId="21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170" fontId="11" fillId="0" borderId="0" xfId="0" applyNumberFormat="1" applyFont="1" applyFill="1" applyBorder="1" applyAlignment="1">
      <alignment vertical="center"/>
    </xf>
    <xf numFmtId="169" fontId="11" fillId="0" borderId="0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Alignment="1" applyProtection="1">
      <alignment horizontal="justify" vertical="center" wrapText="1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0" fontId="3" fillId="2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quotePrefix="1" applyFont="1" applyAlignment="1" applyProtection="1">
      <alignment horizontal="left" vertical="center" wrapText="1" indent="1"/>
    </xf>
    <xf numFmtId="3" fontId="3" fillId="2" borderId="2" xfId="0" applyNumberFormat="1" applyFont="1" applyFill="1" applyBorder="1" applyAlignment="1" applyProtection="1">
      <alignment horizontal="right" vertical="center" indent="1"/>
      <protection locked="0"/>
    </xf>
    <xf numFmtId="3" fontId="3" fillId="2" borderId="1" xfId="0" applyNumberFormat="1" applyFont="1" applyFill="1" applyBorder="1" applyAlignment="1" applyProtection="1">
      <alignment horizontal="right" vertical="center" indent="1"/>
      <protection locked="0"/>
    </xf>
    <xf numFmtId="0" fontId="3" fillId="0" borderId="0" xfId="0" applyFont="1" applyFill="1" applyAlignment="1">
      <alignment horizontal="justify" vertical="center" wrapText="1"/>
    </xf>
    <xf numFmtId="0" fontId="3" fillId="0" borderId="0" xfId="0" applyFont="1" applyFill="1" applyAlignment="1">
      <alignment horizontal="left" vertical="center" wrapText="1"/>
    </xf>
    <xf numFmtId="0" fontId="8" fillId="0" borderId="15" xfId="0" applyFont="1" applyFill="1" applyBorder="1" applyAlignment="1">
      <alignment horizontal="justify" vertical="center" wrapText="1"/>
    </xf>
    <xf numFmtId="0" fontId="8" fillId="0" borderId="14" xfId="0" applyFont="1" applyFill="1" applyBorder="1" applyAlignment="1">
      <alignment horizontal="justify" vertical="center" wrapText="1"/>
    </xf>
    <xf numFmtId="0" fontId="8" fillId="0" borderId="13" xfId="0" applyFont="1" applyFill="1" applyBorder="1" applyAlignment="1">
      <alignment horizontal="justify" vertical="center" wrapText="1"/>
    </xf>
    <xf numFmtId="0" fontId="8" fillId="0" borderId="12" xfId="0" applyFont="1" applyFill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8" fillId="0" borderId="11" xfId="0" applyFont="1" applyFill="1" applyBorder="1" applyAlignment="1">
      <alignment horizontal="justify" vertical="center" wrapText="1"/>
    </xf>
    <xf numFmtId="0" fontId="8" fillId="0" borderId="10" xfId="0" applyFont="1" applyFill="1" applyBorder="1" applyAlignment="1">
      <alignment horizontal="justify" vertical="center" wrapText="1"/>
    </xf>
    <xf numFmtId="0" fontId="8" fillId="0" borderId="9" xfId="0" applyFont="1" applyFill="1" applyBorder="1" applyAlignment="1">
      <alignment horizontal="justify" vertical="center" wrapText="1"/>
    </xf>
    <xf numFmtId="0" fontId="8" fillId="0" borderId="8" xfId="0" applyFont="1" applyFill="1" applyBorder="1" applyAlignment="1">
      <alignment horizontal="justify" vertical="center" wrapText="1"/>
    </xf>
    <xf numFmtId="0" fontId="3" fillId="0" borderId="21" xfId="0" applyFont="1" applyFill="1" applyBorder="1" applyAlignment="1">
      <alignment horizontal="justify" vertical="center" wrapText="1"/>
    </xf>
    <xf numFmtId="0" fontId="3" fillId="0" borderId="20" xfId="0" applyFont="1" applyFill="1" applyBorder="1" applyAlignment="1">
      <alignment horizontal="justify" vertical="center" wrapText="1"/>
    </xf>
    <xf numFmtId="0" fontId="3" fillId="0" borderId="19" xfId="0" applyFont="1" applyFill="1" applyBorder="1" applyAlignment="1">
      <alignment horizontal="justify" vertical="center" wrapText="1"/>
    </xf>
    <xf numFmtId="0" fontId="3" fillId="0" borderId="18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3" fillId="0" borderId="6" xfId="0" applyFont="1" applyFill="1" applyBorder="1" applyAlignment="1">
      <alignment horizontal="justify" vertical="center" wrapText="1"/>
    </xf>
    <xf numFmtId="0" fontId="3" fillId="0" borderId="17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3" fillId="0" borderId="16" xfId="0" applyFont="1" applyFill="1" applyBorder="1" applyAlignment="1">
      <alignment horizontal="justify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3" fontId="3" fillId="0" borderId="0" xfId="0" applyNumberFormat="1" applyFont="1" applyFill="1" applyAlignment="1">
      <alignment vertical="center"/>
    </xf>
    <xf numFmtId="165" fontId="3" fillId="0" borderId="7" xfId="0" applyNumberFormat="1" applyFont="1" applyFill="1" applyBorder="1" applyAlignment="1">
      <alignment vertical="center"/>
    </xf>
    <xf numFmtId="165" fontId="1" fillId="0" borderId="0" xfId="0" applyNumberFormat="1" applyFont="1" applyFill="1" applyAlignment="1">
      <alignment vertical="center"/>
    </xf>
    <xf numFmtId="165" fontId="8" fillId="0" borderId="0" xfId="0" applyNumberFormat="1" applyFont="1" applyFill="1" applyAlignment="1">
      <alignment vertical="center"/>
    </xf>
    <xf numFmtId="173" fontId="8" fillId="0" borderId="0" xfId="0" applyNumberFormat="1" applyFont="1" applyFill="1" applyAlignment="1">
      <alignment vertical="center"/>
    </xf>
    <xf numFmtId="41" fontId="3" fillId="0" borderId="0" xfId="3" applyFont="1" applyFill="1" applyAlignment="1">
      <alignment vertical="center"/>
    </xf>
    <xf numFmtId="9" fontId="3" fillId="0" borderId="0" xfId="0" applyNumberFormat="1" applyFont="1" applyFill="1" applyAlignment="1">
      <alignment vertical="center"/>
    </xf>
    <xf numFmtId="175" fontId="3" fillId="0" borderId="0" xfId="3" applyNumberFormat="1" applyFont="1" applyFill="1" applyAlignment="1">
      <alignment vertical="center"/>
    </xf>
    <xf numFmtId="41" fontId="3" fillId="0" borderId="0" xfId="3" applyNumberFormat="1" applyFont="1" applyFill="1" applyAlignment="1">
      <alignment vertical="center"/>
    </xf>
    <xf numFmtId="165" fontId="1" fillId="0" borderId="7" xfId="0" applyNumberFormat="1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vertical="center"/>
    </xf>
    <xf numFmtId="165" fontId="8" fillId="0" borderId="0" xfId="0" applyNumberFormat="1" applyFont="1" applyFill="1" applyBorder="1" applyAlignment="1">
      <alignment vertical="center"/>
    </xf>
    <xf numFmtId="10" fontId="1" fillId="0" borderId="0" xfId="1" applyNumberFormat="1" applyFont="1" applyFill="1" applyAlignment="1">
      <alignment vertical="center"/>
    </xf>
    <xf numFmtId="9" fontId="3" fillId="0" borderId="0" xfId="1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8" fillId="0" borderId="3" xfId="0" applyNumberFormat="1" applyFont="1" applyFill="1" applyBorder="1" applyAlignment="1">
      <alignment vertical="center"/>
    </xf>
    <xf numFmtId="9" fontId="8" fillId="0" borderId="3" xfId="1" applyFont="1" applyFill="1" applyBorder="1" applyAlignment="1">
      <alignment vertical="center"/>
    </xf>
    <xf numFmtId="10" fontId="8" fillId="0" borderId="0" xfId="1" applyNumberFormat="1" applyFont="1" applyFill="1" applyBorder="1" applyAlignment="1">
      <alignment vertical="center"/>
    </xf>
  </cellXfs>
  <cellStyles count="4">
    <cellStyle name="Millares [0]" xfId="3" builtinId="6"/>
    <cellStyle name="Normal" xfId="0" builtinId="0"/>
    <cellStyle name="Normal 2" xfId="2" xr:uid="{8F8304EA-F513-43DA-8B2B-9215BDF3EBC9}"/>
    <cellStyle name="Porcentaje" xfId="1" builtinId="5"/>
  </cellStyles>
  <dxfs count="1"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87313</xdr:colOff>
      <xdr:row>10</xdr:row>
      <xdr:rowOff>15875</xdr:rowOff>
    </xdr:from>
    <xdr:to>
      <xdr:col>9</xdr:col>
      <xdr:colOff>388938</xdr:colOff>
      <xdr:row>12</xdr:row>
      <xdr:rowOff>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F76BBDB2-F17C-43CE-8134-05F92616E03A}"/>
            </a:ext>
          </a:extLst>
        </xdr:cNvPr>
        <xdr:cNvSpPr/>
      </xdr:nvSpPr>
      <xdr:spPr>
        <a:xfrm>
          <a:off x="5897563" y="1690688"/>
          <a:ext cx="301625" cy="381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FD74-AD63-41D1-90D1-A62C53BC408B}">
  <dimension ref="A1:BD131"/>
  <sheetViews>
    <sheetView showGridLines="0" topLeftCell="A19" zoomScale="120" zoomScaleNormal="120" workbookViewId="0">
      <selection activeCell="H18" sqref="H18:I18"/>
    </sheetView>
  </sheetViews>
  <sheetFormatPr baseColWidth="10" defaultColWidth="11.5" defaultRowHeight="16" x14ac:dyDescent="0.2"/>
  <cols>
    <col min="1" max="1" width="2.5" style="1" bestFit="1" customWidth="1"/>
    <col min="2" max="6" width="11.5" style="1"/>
    <col min="7" max="8" width="5.83203125" style="1" customWidth="1"/>
    <col min="9" max="9" width="11.5" style="1"/>
    <col min="10" max="10" width="2.1640625" style="1" customWidth="1"/>
    <col min="11" max="11" width="5.33203125" style="1" customWidth="1"/>
    <col min="12" max="51" width="11.5" style="1"/>
    <col min="52" max="52" width="11.5" style="3"/>
    <col min="53" max="54" width="11.5" style="2" hidden="1" customWidth="1"/>
    <col min="55" max="55" width="0" style="2" hidden="1" customWidth="1"/>
    <col min="56" max="16384" width="11.5" style="1"/>
  </cols>
  <sheetData>
    <row r="1" spans="1:55" s="25" customFormat="1" ht="11" x14ac:dyDescent="0.2">
      <c r="A1" s="28">
        <v>1</v>
      </c>
      <c r="AZ1" s="27"/>
      <c r="BA1" s="26"/>
      <c r="BB1" s="26"/>
      <c r="BC1" s="26"/>
    </row>
    <row r="2" spans="1:55" s="20" customFormat="1" ht="17" hidden="1" thickBot="1" x14ac:dyDescent="0.25">
      <c r="B2" s="20" t="s">
        <v>45</v>
      </c>
      <c r="F2" s="24"/>
      <c r="I2" s="4">
        <f>IF(F2="SI",1,0)</f>
        <v>0</v>
      </c>
      <c r="M2" s="23" t="s">
        <v>2</v>
      </c>
      <c r="AZ2" s="22"/>
      <c r="BA2" s="21"/>
      <c r="BB2" s="21"/>
      <c r="BC2" s="21"/>
    </row>
    <row r="3" spans="1:55" ht="19" hidden="1" x14ac:dyDescent="0.2">
      <c r="I3" s="19"/>
      <c r="M3" s="18" t="s">
        <v>0</v>
      </c>
    </row>
    <row r="4" spans="1:55" ht="15" customHeight="1" x14ac:dyDescent="0.2">
      <c r="A4" s="9" t="s">
        <v>6</v>
      </c>
      <c r="B4" s="105" t="str">
        <f>CONCATENATE("UNA EMPRESA TIENE DOS PROPUESTAS PARA UN PRÉSTAMO A 90 DIAS: EL BANCO UNO COBRA UNA TASA DEL 9% NOMINAL ANUAL, MÁS UNA COMISIÓN POR EL ",IF(A1="A","1%",IF(A1="C","1%","0,5%"))," DEL MONTO PRESTADO, EN TANTO QUE EL BANCO DOS COBRA UNA TASA DEL ",IF(A1="A","15%",IF(A1="D","15%","12%"))," ANUAL, MES VENCIDO.")</f>
        <v>UNA EMPRESA TIENE DOS PROPUESTAS PARA UN PRÉSTAMO A 90 DIAS: EL BANCO UNO COBRA UNA TASA DEL 9% NOMINAL ANUAL, MÁS UNA COMISIÓN POR EL 0,5% DEL MONTO PRESTADO, EN TANTO QUE EL BANCO DOS COBRA UNA TASA DEL 12% ANUAL, MES VENCIDO.</v>
      </c>
      <c r="C4" s="105"/>
      <c r="D4" s="105"/>
      <c r="E4" s="105"/>
      <c r="F4" s="105"/>
      <c r="G4" s="105"/>
      <c r="H4" s="105"/>
      <c r="I4" s="105"/>
      <c r="N4" s="17"/>
      <c r="O4" s="17"/>
    </row>
    <row r="5" spans="1:55" ht="15" customHeight="1" x14ac:dyDescent="0.2">
      <c r="A5" s="9"/>
      <c r="B5" s="105"/>
      <c r="C5" s="105"/>
      <c r="D5" s="105"/>
      <c r="E5" s="105"/>
      <c r="F5" s="105"/>
      <c r="G5" s="105"/>
      <c r="H5" s="105"/>
      <c r="I5" s="105"/>
      <c r="N5" s="16"/>
      <c r="O5" s="12"/>
    </row>
    <row r="6" spans="1:55" ht="15" customHeight="1" x14ac:dyDescent="0.2">
      <c r="A6" s="9"/>
      <c r="B6" s="105"/>
      <c r="C6" s="105"/>
      <c r="D6" s="105"/>
      <c r="E6" s="105"/>
      <c r="F6" s="105"/>
      <c r="G6" s="105"/>
      <c r="H6" s="105"/>
      <c r="I6" s="105"/>
    </row>
    <row r="7" spans="1:55" ht="15" customHeight="1" x14ac:dyDescent="0.2">
      <c r="A7" s="9"/>
      <c r="B7" s="105"/>
      <c r="C7" s="105"/>
      <c r="D7" s="105"/>
      <c r="E7" s="105"/>
      <c r="F7" s="105"/>
      <c r="G7" s="105"/>
      <c r="H7" s="105"/>
      <c r="I7" s="105"/>
    </row>
    <row r="8" spans="1:55" ht="6.75" customHeight="1" thickBot="1" x14ac:dyDescent="0.25">
      <c r="A8" s="9"/>
      <c r="B8" s="8"/>
      <c r="C8" s="8"/>
      <c r="D8" s="8"/>
      <c r="E8" s="8"/>
      <c r="F8" s="8"/>
      <c r="G8" s="8"/>
      <c r="H8" s="8"/>
      <c r="I8" s="8"/>
    </row>
    <row r="9" spans="1:55" ht="17" thickBot="1" x14ac:dyDescent="0.25">
      <c r="A9" s="9"/>
      <c r="B9" s="14" t="s">
        <v>44</v>
      </c>
      <c r="C9" s="15"/>
      <c r="H9" s="106"/>
      <c r="I9" s="107"/>
      <c r="K9" s="5" t="str">
        <f>IF($I$2=1,BA9,"")</f>
        <v/>
      </c>
      <c r="BA9" s="2" t="str">
        <f>IF(H9=BB9,"OK","PAILA")</f>
        <v>PAILA</v>
      </c>
      <c r="BB9" s="2" t="str">
        <f>IF(A1="C","BANCO DOS","BANCO UNO")</f>
        <v>BANCO UNO</v>
      </c>
    </row>
    <row r="10" spans="1:55" ht="6.75" customHeight="1" thickBot="1" x14ac:dyDescent="0.25">
      <c r="A10" s="9"/>
      <c r="B10" s="11"/>
      <c r="C10" s="8"/>
      <c r="D10" s="8"/>
      <c r="E10" s="8"/>
      <c r="F10" s="8"/>
      <c r="G10" s="8"/>
      <c r="H10" s="8"/>
      <c r="I10" s="8"/>
      <c r="K10" s="5"/>
    </row>
    <row r="11" spans="1:55" ht="17" thickBot="1" x14ac:dyDescent="0.25">
      <c r="A11" s="9"/>
      <c r="B11" s="14" t="s">
        <v>43</v>
      </c>
      <c r="H11" s="108"/>
      <c r="I11" s="107"/>
      <c r="K11" s="5" t="str">
        <f>IF($I$2=1,BA11,"")</f>
        <v/>
      </c>
      <c r="BA11" s="2" t="str">
        <f>IF(H11=BB11,"OK","PAILA")</f>
        <v>PAILA</v>
      </c>
      <c r="BB11" s="13">
        <f>IF(A1="A",3.25%,IF(A1="C",3.0301%,2.75%))</f>
        <v>2.75E-2</v>
      </c>
    </row>
    <row r="12" spans="1:55" x14ac:dyDescent="0.2">
      <c r="A12" s="9"/>
      <c r="K12" s="5"/>
    </row>
    <row r="13" spans="1:55" ht="15.75" customHeight="1" x14ac:dyDescent="0.2">
      <c r="A13" s="9" t="s">
        <v>4</v>
      </c>
      <c r="B13" s="105" t="str">
        <f>CONCATENATE("TENEMOS UN CAPITAL COLOCADO EN UN FONDO QUE GENERA RENDIMIENTOS MENSUALES CAPITALIZABLES DEL ",IF(A1="A","1,5%",IF(A1="B","1,5%","1,25%")),", Y RECIBIMOS UNA OFERTA DE UN BANCO DE INVERSION QUE, POR EL MISMO MONTO, OFRECE EL ",IF(A1="A","15%",IF(A1="B","15%","18%"))," ANUAL CAPITALIZABLE CUATRIMESTRALMENTE.")</f>
        <v>TENEMOS UN CAPITAL COLOCADO EN UN FONDO QUE GENERA RENDIMIENTOS MENSUALES CAPITALIZABLES DEL 1,25%, Y RECIBIMOS UNA OFERTA DE UN BANCO DE INVERSION QUE, POR EL MISMO MONTO, OFRECE EL 18% ANUAL CAPITALIZABLE CUATRIMESTRALMENTE.</v>
      </c>
      <c r="C13" s="105"/>
      <c r="D13" s="105"/>
      <c r="E13" s="105"/>
      <c r="F13" s="105"/>
      <c r="G13" s="105"/>
      <c r="H13" s="105"/>
      <c r="I13" s="105"/>
      <c r="K13" s="5"/>
    </row>
    <row r="14" spans="1:55" x14ac:dyDescent="0.2">
      <c r="A14" s="9"/>
      <c r="B14" s="105"/>
      <c r="C14" s="105"/>
      <c r="D14" s="105"/>
      <c r="E14" s="105"/>
      <c r="F14" s="105"/>
      <c r="G14" s="105"/>
      <c r="H14" s="105"/>
      <c r="I14" s="105"/>
      <c r="K14" s="5"/>
    </row>
    <row r="15" spans="1:55" x14ac:dyDescent="0.2">
      <c r="A15" s="9"/>
      <c r="B15" s="105"/>
      <c r="C15" s="105"/>
      <c r="D15" s="105"/>
      <c r="E15" s="105"/>
      <c r="F15" s="105"/>
      <c r="G15" s="105"/>
      <c r="H15" s="105"/>
      <c r="I15" s="105"/>
      <c r="K15" s="5"/>
    </row>
    <row r="16" spans="1:55" x14ac:dyDescent="0.2">
      <c r="A16" s="9"/>
      <c r="B16" s="105"/>
      <c r="C16" s="105"/>
      <c r="D16" s="105"/>
      <c r="E16" s="105"/>
      <c r="F16" s="105"/>
      <c r="G16" s="105"/>
      <c r="H16" s="105"/>
      <c r="I16" s="105"/>
      <c r="K16" s="5"/>
      <c r="M16" s="12"/>
    </row>
    <row r="17" spans="1:56" ht="6.75" customHeight="1" thickBot="1" x14ac:dyDescent="0.25">
      <c r="A17" s="9"/>
      <c r="B17" s="8"/>
      <c r="C17" s="8"/>
      <c r="D17" s="8"/>
      <c r="E17" s="8"/>
      <c r="F17" s="8"/>
      <c r="G17" s="8"/>
      <c r="H17" s="8"/>
      <c r="I17" s="8"/>
      <c r="K17" s="5"/>
    </row>
    <row r="18" spans="1:56" ht="17" thickBot="1" x14ac:dyDescent="0.25">
      <c r="A18" s="9"/>
      <c r="B18" s="10" t="s">
        <v>42</v>
      </c>
      <c r="H18" s="106"/>
      <c r="I18" s="107"/>
      <c r="K18" s="5" t="str">
        <f>IF($I$2=1,BA18,"")</f>
        <v/>
      </c>
      <c r="BA18" s="2" t="str">
        <f>IF(H18=BB18,"OK","PAILA")</f>
        <v>PAILA</v>
      </c>
      <c r="BB18" s="2" t="str">
        <f>IF(A1="A","NO",IF(A1="B","NO","SI"))</f>
        <v>SI</v>
      </c>
      <c r="BC18" s="13"/>
      <c r="BD18" s="12"/>
    </row>
    <row r="19" spans="1:56" ht="6.75" customHeight="1" thickBot="1" x14ac:dyDescent="0.25">
      <c r="A19" s="9"/>
      <c r="B19" s="11"/>
      <c r="C19" s="8"/>
      <c r="D19" s="8"/>
      <c r="E19" s="8"/>
      <c r="F19" s="8"/>
      <c r="G19" s="8"/>
      <c r="H19" s="8"/>
      <c r="I19" s="8"/>
      <c r="K19" s="5"/>
    </row>
    <row r="20" spans="1:56" ht="17" thickBot="1" x14ac:dyDescent="0.25">
      <c r="A20" s="9"/>
      <c r="B20" s="10" t="s">
        <v>41</v>
      </c>
      <c r="H20" s="108"/>
      <c r="I20" s="107"/>
      <c r="K20" s="5" t="str">
        <f>IF($I$2=1,BA20,"")</f>
        <v/>
      </c>
      <c r="BA20" s="2" t="str">
        <f>IF(H20&gt;BB20*0.995,IF(H20&lt;BB20*1.005,"OK","PAILA"),"PAILA")</f>
        <v>PAILA</v>
      </c>
      <c r="BB20" s="2" t="str">
        <f>IF(A1="A","15,7625%",IF(A1="B","15,7625%","19,1016%"))</f>
        <v>19,1016%</v>
      </c>
    </row>
    <row r="21" spans="1:56" x14ac:dyDescent="0.2">
      <c r="A21" s="9"/>
      <c r="K21" s="5"/>
    </row>
    <row r="22" spans="1:56" ht="15.75" customHeight="1" x14ac:dyDescent="0.2">
      <c r="A22" s="9" t="s">
        <v>10</v>
      </c>
      <c r="B22" s="105" t="str">
        <f>CONCATENATE("UNA INCUBADORA DE NEGOCIOS OFRECE UN PLAN DIRIGIDO A EMPRENDEDORES, QUE PERMITE FINANCIAR LA INVERSIÓN MEDIANTE CINCO (5) PAGOS ANUALES IGUALES, CALCULADOS A LA TASA DEL 18% ANUAL, ",IF(A1="A","TRIMESTRE",IF(A1="D","TRIMESTRE","BIMESTRE"))," VENCIDO.")</f>
        <v>UNA INCUBADORA DE NEGOCIOS OFRECE UN PLAN DIRIGIDO A EMPRENDEDORES, QUE PERMITE FINANCIAR LA INVERSIÓN MEDIANTE CINCO (5) PAGOS ANUALES IGUALES, CALCULADOS A LA TASA DEL 18% ANUAL, BIMESTRE VENCIDO.</v>
      </c>
      <c r="C22" s="105"/>
      <c r="D22" s="105"/>
      <c r="E22" s="105"/>
      <c r="F22" s="105"/>
      <c r="G22" s="105"/>
      <c r="H22" s="105"/>
      <c r="I22" s="105"/>
      <c r="K22" s="5"/>
    </row>
    <row r="23" spans="1:56" x14ac:dyDescent="0.2">
      <c r="B23" s="105"/>
      <c r="C23" s="105"/>
      <c r="D23" s="105"/>
      <c r="E23" s="105"/>
      <c r="F23" s="105"/>
      <c r="G23" s="105"/>
      <c r="H23" s="105"/>
      <c r="I23" s="105"/>
      <c r="K23" s="5"/>
    </row>
    <row r="24" spans="1:56" x14ac:dyDescent="0.2">
      <c r="B24" s="105"/>
      <c r="C24" s="105"/>
      <c r="D24" s="105"/>
      <c r="E24" s="105"/>
      <c r="F24" s="105"/>
      <c r="G24" s="105"/>
      <c r="H24" s="105"/>
      <c r="I24" s="105"/>
      <c r="K24" s="5"/>
    </row>
    <row r="25" spans="1:56" ht="6.75" customHeight="1" thickBot="1" x14ac:dyDescent="0.25">
      <c r="B25" s="8"/>
      <c r="C25" s="8"/>
      <c r="D25" s="8"/>
      <c r="E25" s="8"/>
      <c r="F25" s="8"/>
      <c r="G25" s="8"/>
      <c r="H25" s="8"/>
      <c r="I25" s="8"/>
      <c r="K25" s="5"/>
    </row>
    <row r="26" spans="1:56" ht="17" thickBot="1" x14ac:dyDescent="0.25">
      <c r="B26" s="109" t="s">
        <v>40</v>
      </c>
      <c r="C26" s="109"/>
      <c r="D26" s="109"/>
      <c r="E26" s="109"/>
      <c r="F26" s="109"/>
      <c r="G26" s="109"/>
      <c r="H26" s="110"/>
      <c r="I26" s="111"/>
      <c r="K26" s="5" t="str">
        <f>IF($I$2=1,BA26,"")</f>
        <v/>
      </c>
      <c r="BA26" s="2" t="str">
        <f>IF(H26&gt;BB26*0.995,IF(H26&lt;BB26*1.005,"OK","PAILA"),"PAILA")</f>
        <v>PAILA</v>
      </c>
      <c r="BB26" s="2">
        <f>IF(A1="A",32889084,IF(A1="D",32889084,33001348))</f>
        <v>33001348</v>
      </c>
    </row>
    <row r="27" spans="1:56" ht="17" thickBot="1" x14ac:dyDescent="0.25">
      <c r="B27" s="109"/>
      <c r="C27" s="109"/>
      <c r="D27" s="109"/>
      <c r="E27" s="109"/>
      <c r="F27" s="109"/>
      <c r="G27" s="109"/>
      <c r="H27" s="6"/>
      <c r="I27" s="6"/>
      <c r="K27" s="5"/>
    </row>
    <row r="28" spans="1:56" ht="15.75" customHeight="1" thickBot="1" x14ac:dyDescent="0.25">
      <c r="B28" s="109" t="s">
        <v>39</v>
      </c>
      <c r="C28" s="109"/>
      <c r="D28" s="109"/>
      <c r="E28" s="109"/>
      <c r="F28" s="109"/>
      <c r="G28" s="109"/>
      <c r="H28" s="110"/>
      <c r="I28" s="111"/>
      <c r="K28" s="5" t="str">
        <f>IF($I$2=1,BA28,"")</f>
        <v/>
      </c>
      <c r="BA28" s="2" t="str">
        <f>IF(H28&gt;BB28*0.995,IF(H28&lt;BB28*1.005,"OK","PAILA"),"PAILA")</f>
        <v>PAILA</v>
      </c>
      <c r="BB28" s="2">
        <f>IF(A1="A",1354488,IF(A1="D",1354488,1418268))</f>
        <v>1418268</v>
      </c>
    </row>
    <row r="29" spans="1:56" ht="17" thickBot="1" x14ac:dyDescent="0.25">
      <c r="B29" s="109"/>
      <c r="C29" s="109"/>
      <c r="D29" s="109"/>
      <c r="E29" s="109"/>
      <c r="F29" s="109"/>
      <c r="G29" s="109"/>
      <c r="H29" s="7"/>
      <c r="I29" s="6"/>
      <c r="K29" s="5"/>
    </row>
    <row r="30" spans="1:56" ht="16.5" customHeight="1" thickBot="1" x14ac:dyDescent="0.25">
      <c r="B30" s="109" t="s">
        <v>38</v>
      </c>
      <c r="C30" s="109"/>
      <c r="D30" s="109"/>
      <c r="E30" s="109"/>
      <c r="F30" s="109"/>
      <c r="G30" s="109"/>
      <c r="H30" s="110"/>
      <c r="I30" s="111"/>
      <c r="K30" s="5" t="str">
        <f>IF($I$2=1,BA30,"")</f>
        <v/>
      </c>
      <c r="BA30" s="2" t="str">
        <f>IF(H30&gt;BB30*0.995,IF(H30&lt;BB30*1.005,"OK","PAILA"),"PAILA")</f>
        <v>PAILA</v>
      </c>
      <c r="BB30" s="2">
        <f>IF(A1="A",50706629,IF(A1="D",50706629,50784591))</f>
        <v>50784591</v>
      </c>
    </row>
    <row r="31" spans="1:56" x14ac:dyDescent="0.2">
      <c r="B31" s="109"/>
      <c r="C31" s="109"/>
      <c r="D31" s="109"/>
      <c r="E31" s="109"/>
      <c r="F31" s="109"/>
      <c r="G31" s="109"/>
    </row>
    <row r="99" spans="53:54" x14ac:dyDescent="0.2">
      <c r="BA99" s="2" t="s">
        <v>37</v>
      </c>
      <c r="BB99" s="2" t="s">
        <v>6</v>
      </c>
    </row>
    <row r="100" spans="53:54" x14ac:dyDescent="0.2">
      <c r="BA100" s="2" t="s">
        <v>36</v>
      </c>
      <c r="BB100" s="2" t="s">
        <v>4</v>
      </c>
    </row>
    <row r="101" spans="53:54" x14ac:dyDescent="0.2">
      <c r="BA101" s="2" t="s">
        <v>35</v>
      </c>
      <c r="BB101" s="2" t="s">
        <v>10</v>
      </c>
    </row>
    <row r="102" spans="53:54" x14ac:dyDescent="0.2">
      <c r="BA102" s="2" t="s">
        <v>34</v>
      </c>
      <c r="BB102" s="2" t="s">
        <v>8</v>
      </c>
    </row>
    <row r="103" spans="53:54" x14ac:dyDescent="0.2">
      <c r="BA103" s="2" t="s">
        <v>33</v>
      </c>
      <c r="BB103" s="2" t="s">
        <v>6</v>
      </c>
    </row>
    <row r="104" spans="53:54" x14ac:dyDescent="0.2">
      <c r="BA104" s="2" t="s">
        <v>32</v>
      </c>
      <c r="BB104" s="2" t="s">
        <v>4</v>
      </c>
    </row>
    <row r="105" spans="53:54" x14ac:dyDescent="0.2">
      <c r="BA105" s="2" t="s">
        <v>31</v>
      </c>
      <c r="BB105" s="2" t="s">
        <v>10</v>
      </c>
    </row>
    <row r="106" spans="53:54" x14ac:dyDescent="0.2">
      <c r="BA106" s="2" t="s">
        <v>30</v>
      </c>
      <c r="BB106" s="2" t="s">
        <v>8</v>
      </c>
    </row>
    <row r="107" spans="53:54" x14ac:dyDescent="0.2">
      <c r="BA107" s="2" t="s">
        <v>29</v>
      </c>
      <c r="BB107" s="2" t="s">
        <v>6</v>
      </c>
    </row>
    <row r="108" spans="53:54" x14ac:dyDescent="0.2">
      <c r="BA108" s="2" t="s">
        <v>28</v>
      </c>
      <c r="BB108" s="2" t="s">
        <v>4</v>
      </c>
    </row>
    <row r="109" spans="53:54" x14ac:dyDescent="0.2">
      <c r="BA109" s="2" t="s">
        <v>27</v>
      </c>
      <c r="BB109" s="2" t="s">
        <v>10</v>
      </c>
    </row>
    <row r="110" spans="53:54" x14ac:dyDescent="0.2">
      <c r="BA110" s="2" t="s">
        <v>26</v>
      </c>
      <c r="BB110" s="2" t="s">
        <v>8</v>
      </c>
    </row>
    <row r="111" spans="53:54" x14ac:dyDescent="0.2">
      <c r="BA111" s="2" t="s">
        <v>25</v>
      </c>
      <c r="BB111" s="2" t="s">
        <v>6</v>
      </c>
    </row>
    <row r="112" spans="53:54" x14ac:dyDescent="0.2">
      <c r="BA112" s="2" t="s">
        <v>24</v>
      </c>
      <c r="BB112" s="2" t="s">
        <v>4</v>
      </c>
    </row>
    <row r="113" spans="53:54" x14ac:dyDescent="0.2">
      <c r="BA113" s="2" t="s">
        <v>23</v>
      </c>
      <c r="BB113" s="2" t="s">
        <v>10</v>
      </c>
    </row>
    <row r="114" spans="53:54" x14ac:dyDescent="0.2">
      <c r="BA114" s="2" t="s">
        <v>22</v>
      </c>
      <c r="BB114" s="2" t="s">
        <v>8</v>
      </c>
    </row>
    <row r="115" spans="53:54" x14ac:dyDescent="0.2">
      <c r="BA115" s="2" t="s">
        <v>21</v>
      </c>
      <c r="BB115" s="2" t="s">
        <v>6</v>
      </c>
    </row>
    <row r="116" spans="53:54" x14ac:dyDescent="0.2">
      <c r="BA116" s="2" t="s">
        <v>20</v>
      </c>
      <c r="BB116" s="2" t="s">
        <v>4</v>
      </c>
    </row>
    <row r="117" spans="53:54" x14ac:dyDescent="0.2">
      <c r="BA117" s="2" t="s">
        <v>19</v>
      </c>
      <c r="BB117" s="2" t="s">
        <v>10</v>
      </c>
    </row>
    <row r="118" spans="53:54" x14ac:dyDescent="0.2">
      <c r="BA118" s="2" t="s">
        <v>18</v>
      </c>
      <c r="BB118" s="2" t="s">
        <v>8</v>
      </c>
    </row>
    <row r="119" spans="53:54" x14ac:dyDescent="0.2">
      <c r="BA119" s="2" t="s">
        <v>17</v>
      </c>
      <c r="BB119" s="2" t="s">
        <v>6</v>
      </c>
    </row>
    <row r="120" spans="53:54" x14ac:dyDescent="0.2">
      <c r="BA120" s="2" t="s">
        <v>16</v>
      </c>
      <c r="BB120" s="2" t="s">
        <v>4</v>
      </c>
    </row>
    <row r="121" spans="53:54" x14ac:dyDescent="0.2">
      <c r="BA121" s="2" t="s">
        <v>15</v>
      </c>
      <c r="BB121" s="2" t="s">
        <v>10</v>
      </c>
    </row>
    <row r="122" spans="53:54" x14ac:dyDescent="0.2">
      <c r="BA122" s="2" t="s">
        <v>14</v>
      </c>
      <c r="BB122" s="2" t="s">
        <v>8</v>
      </c>
    </row>
    <row r="123" spans="53:54" x14ac:dyDescent="0.2">
      <c r="BA123" s="2" t="s">
        <v>13</v>
      </c>
      <c r="BB123" s="2" t="s">
        <v>6</v>
      </c>
    </row>
    <row r="124" spans="53:54" x14ac:dyDescent="0.2">
      <c r="BA124" s="2" t="s">
        <v>12</v>
      </c>
      <c r="BB124" s="2" t="s">
        <v>4</v>
      </c>
    </row>
    <row r="125" spans="53:54" x14ac:dyDescent="0.2">
      <c r="BA125" s="2" t="s">
        <v>11</v>
      </c>
      <c r="BB125" s="2" t="s">
        <v>10</v>
      </c>
    </row>
    <row r="126" spans="53:54" x14ac:dyDescent="0.2">
      <c r="BA126" s="2" t="s">
        <v>9</v>
      </c>
      <c r="BB126" s="2" t="s">
        <v>8</v>
      </c>
    </row>
    <row r="127" spans="53:54" x14ac:dyDescent="0.2">
      <c r="BA127" s="2" t="s">
        <v>7</v>
      </c>
      <c r="BB127" s="2" t="s">
        <v>6</v>
      </c>
    </row>
    <row r="128" spans="53:54" x14ac:dyDescent="0.2">
      <c r="BA128" s="2" t="s">
        <v>5</v>
      </c>
      <c r="BB128" s="2" t="s">
        <v>4</v>
      </c>
    </row>
    <row r="130" spans="53:54" x14ac:dyDescent="0.2">
      <c r="BA130" s="2" t="s">
        <v>3</v>
      </c>
      <c r="BB130" s="4" t="s">
        <v>2</v>
      </c>
    </row>
    <row r="131" spans="53:54" x14ac:dyDescent="0.2">
      <c r="BA131" s="2" t="s">
        <v>1</v>
      </c>
      <c r="BB131" s="4" t="s">
        <v>0</v>
      </c>
    </row>
  </sheetData>
  <sheetProtection sheet="1" objects="1" scenarios="1" selectLockedCells="1"/>
  <mergeCells count="13">
    <mergeCell ref="B28:G29"/>
    <mergeCell ref="H28:I28"/>
    <mergeCell ref="B30:G31"/>
    <mergeCell ref="H30:I30"/>
    <mergeCell ref="H20:I20"/>
    <mergeCell ref="B22:I24"/>
    <mergeCell ref="B26:G27"/>
    <mergeCell ref="H26:I26"/>
    <mergeCell ref="B4:I7"/>
    <mergeCell ref="H9:I9"/>
    <mergeCell ref="H11:I11"/>
    <mergeCell ref="B13:I16"/>
    <mergeCell ref="H18:I18"/>
  </mergeCells>
  <dataValidations count="3">
    <dataValidation type="list" allowBlank="1" showInputMessage="1" showErrorMessage="1" sqref="H9:I9" xr:uid="{00000000-0002-0000-0600-000002000000}">
      <formula1>$BA$130:$BA$132</formula1>
    </dataValidation>
    <dataValidation type="list" allowBlank="1" showInputMessage="1" showErrorMessage="1" sqref="H18:I18" xr:uid="{00000000-0002-0000-0600-000001000000}">
      <formula1>$BB$130:$BB$131</formula1>
    </dataValidation>
    <dataValidation type="list" allowBlank="1" showInputMessage="1" showErrorMessage="1" sqref="F2" xr:uid="{00000000-0002-0000-0600-000000000000}">
      <formula1>$M$2:$M$3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80CF-02B9-4B02-B043-721F4249F129}">
  <dimension ref="A2:L27"/>
  <sheetViews>
    <sheetView showGridLines="0" topLeftCell="A6" zoomScale="120" zoomScaleNormal="120" workbookViewId="0">
      <selection activeCell="B2" sqref="B2:I5"/>
    </sheetView>
  </sheetViews>
  <sheetFormatPr baseColWidth="10" defaultColWidth="11.5" defaultRowHeight="16" x14ac:dyDescent="0.2"/>
  <cols>
    <col min="1" max="1" width="4" style="30" customWidth="1"/>
    <col min="2" max="2" width="14.5" style="29" customWidth="1"/>
    <col min="3" max="3" width="8.5" style="29" customWidth="1"/>
    <col min="4" max="9" width="11.83203125" style="29" customWidth="1"/>
    <col min="10" max="10" width="1.83203125" style="29" customWidth="1"/>
    <col min="11" max="16384" width="11.5" style="29"/>
  </cols>
  <sheetData>
    <row r="2" spans="1:12" ht="15.75" customHeight="1" x14ac:dyDescent="0.2">
      <c r="A2" s="30">
        <v>1</v>
      </c>
      <c r="B2" s="112" t="s">
        <v>59</v>
      </c>
      <c r="C2" s="112"/>
      <c r="D2" s="112"/>
      <c r="E2" s="112"/>
      <c r="F2" s="112"/>
      <c r="G2" s="112"/>
      <c r="H2" s="112"/>
      <c r="I2" s="112"/>
    </row>
    <row r="3" spans="1:12" ht="15.75" customHeight="1" x14ac:dyDescent="0.2">
      <c r="B3" s="112"/>
      <c r="C3" s="112"/>
      <c r="D3" s="112"/>
      <c r="E3" s="112"/>
      <c r="F3" s="112"/>
      <c r="G3" s="112"/>
      <c r="H3" s="112"/>
      <c r="I3" s="112"/>
    </row>
    <row r="4" spans="1:12" ht="15.75" customHeight="1" x14ac:dyDescent="0.2">
      <c r="B4" s="112"/>
      <c r="C4" s="112"/>
      <c r="D4" s="112"/>
      <c r="E4" s="112"/>
      <c r="F4" s="112"/>
      <c r="G4" s="112"/>
      <c r="H4" s="112"/>
      <c r="I4" s="112"/>
    </row>
    <row r="5" spans="1:12" x14ac:dyDescent="0.2">
      <c r="B5" s="112"/>
      <c r="C5" s="112"/>
      <c r="D5" s="112"/>
      <c r="E5" s="112"/>
      <c r="F5" s="112"/>
      <c r="G5" s="112"/>
      <c r="H5" s="112"/>
      <c r="I5" s="112"/>
    </row>
    <row r="6" spans="1:12" x14ac:dyDescent="0.2">
      <c r="B6" s="42"/>
    </row>
    <row r="7" spans="1:12" ht="15.75" customHeight="1" x14ac:dyDescent="0.2">
      <c r="A7" s="30">
        <v>2</v>
      </c>
      <c r="B7" s="112" t="s">
        <v>58</v>
      </c>
      <c r="C7" s="112"/>
      <c r="D7" s="112"/>
      <c r="E7" s="112"/>
      <c r="F7" s="112"/>
      <c r="G7" s="112"/>
      <c r="H7" s="112"/>
      <c r="I7" s="112"/>
    </row>
    <row r="8" spans="1:12" ht="15.75" customHeight="1" x14ac:dyDescent="0.2">
      <c r="B8" s="112"/>
      <c r="C8" s="112"/>
      <c r="D8" s="112"/>
      <c r="E8" s="112"/>
      <c r="F8" s="112"/>
      <c r="G8" s="112"/>
      <c r="H8" s="112"/>
      <c r="I8" s="112"/>
    </row>
    <row r="9" spans="1:12" ht="15.75" customHeight="1" x14ac:dyDescent="0.2">
      <c r="B9" s="112"/>
      <c r="C9" s="112"/>
      <c r="D9" s="112"/>
      <c r="E9" s="112"/>
      <c r="F9" s="112"/>
      <c r="G9" s="112"/>
      <c r="H9" s="112"/>
      <c r="I9" s="112"/>
    </row>
    <row r="10" spans="1:12" ht="7.5" customHeight="1" x14ac:dyDescent="0.2">
      <c r="E10" s="31"/>
      <c r="F10" s="31"/>
      <c r="G10" s="31"/>
      <c r="H10" s="31"/>
    </row>
    <row r="11" spans="1:12" s="32" customFormat="1" x14ac:dyDescent="0.2">
      <c r="A11" s="34"/>
      <c r="B11" s="39"/>
      <c r="E11" s="41">
        <v>1</v>
      </c>
      <c r="F11" s="41">
        <v>2</v>
      </c>
      <c r="G11" s="41">
        <v>3</v>
      </c>
      <c r="H11" s="41">
        <v>4</v>
      </c>
      <c r="I11" s="41">
        <v>5</v>
      </c>
      <c r="J11" s="31"/>
      <c r="K11" s="31"/>
      <c r="L11" s="31"/>
    </row>
    <row r="12" spans="1:12" x14ac:dyDescent="0.2">
      <c r="B12" s="39" t="s">
        <v>57</v>
      </c>
      <c r="C12" s="32"/>
      <c r="D12" s="38"/>
      <c r="E12" s="35">
        <v>120000</v>
      </c>
      <c r="F12" s="35">
        <v>132000</v>
      </c>
      <c r="G12" s="35">
        <v>145200</v>
      </c>
      <c r="H12" s="35">
        <v>159720</v>
      </c>
      <c r="I12" s="35">
        <v>175700</v>
      </c>
      <c r="J12" s="37"/>
      <c r="K12" s="37"/>
      <c r="L12" s="37"/>
    </row>
    <row r="13" spans="1:12" x14ac:dyDescent="0.2">
      <c r="B13" s="39" t="s">
        <v>56</v>
      </c>
      <c r="C13" s="32"/>
      <c r="D13" s="38"/>
      <c r="E13" s="40">
        <v>1.8</v>
      </c>
      <c r="F13" s="40">
        <v>2.2999999999999998</v>
      </c>
      <c r="G13" s="40">
        <v>3</v>
      </c>
      <c r="H13" s="40">
        <v>3.2</v>
      </c>
      <c r="I13" s="40">
        <v>3.4</v>
      </c>
      <c r="J13" s="37"/>
      <c r="K13" s="37"/>
      <c r="L13" s="37"/>
    </row>
    <row r="14" spans="1:12" x14ac:dyDescent="0.2">
      <c r="B14" s="39" t="s">
        <v>55</v>
      </c>
      <c r="C14" s="32"/>
      <c r="D14" s="38"/>
      <c r="E14" s="40">
        <v>1.2</v>
      </c>
      <c r="F14" s="40">
        <v>1.5</v>
      </c>
      <c r="G14" s="40">
        <v>1.8</v>
      </c>
      <c r="H14" s="40">
        <v>2.1</v>
      </c>
      <c r="I14" s="40">
        <v>2.4</v>
      </c>
      <c r="J14" s="37"/>
      <c r="K14" s="37"/>
      <c r="L14" s="37"/>
    </row>
    <row r="15" spans="1:12" x14ac:dyDescent="0.2">
      <c r="B15" s="39" t="s">
        <v>54</v>
      </c>
      <c r="C15" s="32"/>
      <c r="D15" s="38"/>
      <c r="E15" s="35">
        <v>10000</v>
      </c>
      <c r="F15" s="35">
        <v>12000</v>
      </c>
      <c r="G15" s="35">
        <v>15000</v>
      </c>
      <c r="H15" s="35">
        <v>19500</v>
      </c>
      <c r="I15" s="35">
        <v>27300</v>
      </c>
      <c r="J15" s="37"/>
      <c r="K15" s="37"/>
      <c r="L15" s="37"/>
    </row>
    <row r="16" spans="1:12" ht="7.5" customHeight="1" x14ac:dyDescent="0.2">
      <c r="E16" s="31"/>
      <c r="F16" s="31"/>
      <c r="G16" s="31"/>
      <c r="H16" s="31"/>
    </row>
    <row r="17" spans="1:9" x14ac:dyDescent="0.2">
      <c r="B17" s="29" t="s">
        <v>53</v>
      </c>
      <c r="D17" s="35">
        <v>250000</v>
      </c>
      <c r="E17" s="29" t="s">
        <v>52</v>
      </c>
    </row>
    <row r="18" spans="1:9" x14ac:dyDescent="0.2">
      <c r="D18" s="35">
        <v>70000</v>
      </c>
      <c r="E18" s="29" t="s">
        <v>51</v>
      </c>
    </row>
    <row r="19" spans="1:9" ht="7.5" customHeight="1" x14ac:dyDescent="0.2">
      <c r="E19" s="31"/>
      <c r="F19" s="31"/>
      <c r="G19" s="31"/>
      <c r="H19" s="31"/>
    </row>
    <row r="20" spans="1:9" x14ac:dyDescent="0.2">
      <c r="B20" s="29" t="s">
        <v>50</v>
      </c>
      <c r="D20" s="35">
        <v>160000</v>
      </c>
      <c r="E20" s="113" t="s">
        <v>49</v>
      </c>
      <c r="F20" s="113"/>
      <c r="G20" s="113"/>
      <c r="H20" s="113"/>
      <c r="I20" s="113"/>
    </row>
    <row r="21" spans="1:9" s="32" customFormat="1" x14ac:dyDescent="0.2">
      <c r="A21" s="34"/>
      <c r="D21" s="36"/>
      <c r="E21" s="113"/>
      <c r="F21" s="113"/>
      <c r="G21" s="113"/>
      <c r="H21" s="113"/>
      <c r="I21" s="113"/>
    </row>
    <row r="22" spans="1:9" x14ac:dyDescent="0.2">
      <c r="D22" s="35">
        <v>160000</v>
      </c>
      <c r="E22" s="29" t="s">
        <v>48</v>
      </c>
    </row>
    <row r="23" spans="1:9" ht="7.5" customHeight="1" x14ac:dyDescent="0.2">
      <c r="E23" s="31"/>
      <c r="F23" s="31"/>
      <c r="G23" s="31"/>
      <c r="H23" s="31"/>
    </row>
    <row r="24" spans="1:9" s="32" customFormat="1" x14ac:dyDescent="0.2">
      <c r="A24" s="34"/>
      <c r="B24" s="32" t="s">
        <v>47</v>
      </c>
      <c r="C24" s="33"/>
      <c r="I24" s="33"/>
    </row>
    <row r="25" spans="1:9" ht="7.5" customHeight="1" x14ac:dyDescent="0.2">
      <c r="E25" s="31"/>
      <c r="F25" s="31"/>
      <c r="G25" s="31"/>
      <c r="H25" s="31"/>
    </row>
    <row r="26" spans="1:9" ht="15.75" customHeight="1" x14ac:dyDescent="0.2">
      <c r="B26" s="112" t="s">
        <v>46</v>
      </c>
      <c r="C26" s="112"/>
      <c r="D26" s="112"/>
      <c r="E26" s="112"/>
      <c r="F26" s="112"/>
      <c r="G26" s="112"/>
      <c r="H26" s="112"/>
      <c r="I26" s="112"/>
    </row>
    <row r="27" spans="1:9" x14ac:dyDescent="0.2">
      <c r="B27" s="112"/>
      <c r="C27" s="112"/>
      <c r="D27" s="112"/>
      <c r="E27" s="112"/>
      <c r="F27" s="112"/>
      <c r="G27" s="112"/>
      <c r="H27" s="112"/>
      <c r="I27" s="112"/>
    </row>
  </sheetData>
  <mergeCells count="4">
    <mergeCell ref="B2:I5"/>
    <mergeCell ref="B7:I9"/>
    <mergeCell ref="B26:I27"/>
    <mergeCell ref="E20:I21"/>
  </mergeCells>
  <pageMargins left="0.51181102362204722" right="0.51181102362204722" top="0.35433070866141736" bottom="0.35433070866141736" header="0.31496062992125984" footer="0.31496062992125984"/>
  <pageSetup scale="9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1EA0-C307-4E30-8399-3EDE34414340}">
  <dimension ref="A2:K108"/>
  <sheetViews>
    <sheetView showGridLines="0" tabSelected="1" topLeftCell="A73" zoomScale="120" zoomScaleNormal="120" workbookViewId="0">
      <selection activeCell="I94" sqref="I94"/>
    </sheetView>
  </sheetViews>
  <sheetFormatPr baseColWidth="10" defaultColWidth="11.5" defaultRowHeight="16" x14ac:dyDescent="0.2"/>
  <cols>
    <col min="1" max="1" width="4" style="30" customWidth="1"/>
    <col min="2" max="2" width="17.5" style="29" customWidth="1"/>
    <col min="3" max="8" width="11.83203125" style="29" customWidth="1"/>
    <col min="9" max="9" width="13.33203125" style="29" bestFit="1" customWidth="1"/>
    <col min="10" max="16384" width="11.5" style="29"/>
  </cols>
  <sheetData>
    <row r="2" spans="1:9" ht="15.75" customHeight="1" x14ac:dyDescent="0.2">
      <c r="A2" s="30">
        <v>1</v>
      </c>
      <c r="B2" s="113" t="s">
        <v>87</v>
      </c>
      <c r="C2" s="113"/>
      <c r="D2" s="113"/>
      <c r="E2" s="113"/>
      <c r="F2" s="113"/>
      <c r="G2" s="113"/>
      <c r="H2" s="113"/>
      <c r="I2" s="113"/>
    </row>
    <row r="3" spans="1:9" x14ac:dyDescent="0.2">
      <c r="B3" s="113"/>
      <c r="C3" s="113"/>
      <c r="D3" s="113"/>
      <c r="E3" s="113"/>
      <c r="F3" s="113"/>
      <c r="G3" s="113"/>
      <c r="H3" s="113"/>
      <c r="I3" s="113"/>
    </row>
    <row r="4" spans="1:9" x14ac:dyDescent="0.2">
      <c r="B4" s="113"/>
      <c r="C4" s="113"/>
      <c r="D4" s="113"/>
      <c r="E4" s="113"/>
      <c r="F4" s="113"/>
      <c r="G4" s="113"/>
      <c r="H4" s="113"/>
      <c r="I4" s="113"/>
    </row>
    <row r="5" spans="1:9" ht="15.75" customHeight="1" x14ac:dyDescent="0.2">
      <c r="B5" s="113" t="s">
        <v>86</v>
      </c>
      <c r="C5" s="113"/>
      <c r="D5" s="113"/>
      <c r="E5" s="113"/>
      <c r="F5" s="113"/>
      <c r="G5" s="113"/>
      <c r="H5" s="113"/>
      <c r="I5" s="113"/>
    </row>
    <row r="6" spans="1:9" x14ac:dyDescent="0.2">
      <c r="B6" s="113"/>
      <c r="C6" s="113"/>
      <c r="D6" s="113"/>
      <c r="E6" s="113"/>
      <c r="F6" s="113"/>
      <c r="G6" s="113"/>
      <c r="H6" s="113"/>
      <c r="I6" s="113"/>
    </row>
    <row r="7" spans="1:9" x14ac:dyDescent="0.2">
      <c r="B7" s="113"/>
      <c r="C7" s="113"/>
      <c r="D7" s="113"/>
      <c r="E7" s="113"/>
      <c r="F7" s="113"/>
      <c r="G7" s="113"/>
      <c r="H7" s="113"/>
      <c r="I7" s="113"/>
    </row>
    <row r="8" spans="1:9" ht="7.5" customHeight="1" x14ac:dyDescent="0.2">
      <c r="D8" s="31"/>
      <c r="E8" s="31"/>
      <c r="F8" s="31"/>
      <c r="G8" s="31"/>
      <c r="H8" s="31"/>
    </row>
    <row r="9" spans="1:9" s="30" customFormat="1" x14ac:dyDescent="0.2">
      <c r="D9" s="30">
        <v>1</v>
      </c>
      <c r="E9" s="30">
        <v>2</v>
      </c>
      <c r="F9" s="30">
        <v>3</v>
      </c>
      <c r="G9" s="30">
        <v>4</v>
      </c>
      <c r="H9" s="30">
        <v>5</v>
      </c>
    </row>
    <row r="10" spans="1:9" x14ac:dyDescent="0.2">
      <c r="B10" s="29" t="s">
        <v>85</v>
      </c>
      <c r="D10" s="31">
        <v>159000</v>
      </c>
      <c r="E10" s="31">
        <v>165000</v>
      </c>
      <c r="F10" s="31">
        <v>172000</v>
      </c>
      <c r="G10" s="31">
        <v>184000</v>
      </c>
      <c r="H10" s="31">
        <v>192000</v>
      </c>
    </row>
    <row r="11" spans="1:9" x14ac:dyDescent="0.2">
      <c r="B11" s="29" t="s">
        <v>84</v>
      </c>
      <c r="D11" s="31">
        <v>51000</v>
      </c>
      <c r="E11" s="31">
        <v>57000</v>
      </c>
      <c r="F11" s="31">
        <v>60000</v>
      </c>
      <c r="G11" s="31">
        <v>68000</v>
      </c>
      <c r="H11" s="31">
        <v>72000</v>
      </c>
    </row>
    <row r="12" spans="1:9" x14ac:dyDescent="0.2">
      <c r="B12" s="29" t="s">
        <v>83</v>
      </c>
      <c r="D12" s="31">
        <v>47000</v>
      </c>
      <c r="E12" s="31">
        <v>51500</v>
      </c>
      <c r="F12" s="31">
        <v>57500</v>
      </c>
      <c r="G12" s="31">
        <v>61000</v>
      </c>
      <c r="H12" s="31">
        <v>72000</v>
      </c>
    </row>
    <row r="13" spans="1:9" ht="7.5" customHeight="1" x14ac:dyDescent="0.2">
      <c r="D13" s="31"/>
      <c r="E13" s="31"/>
      <c r="F13" s="31"/>
      <c r="G13" s="31"/>
      <c r="H13" s="31"/>
    </row>
    <row r="14" spans="1:9" x14ac:dyDescent="0.2">
      <c r="B14" s="29" t="s">
        <v>82</v>
      </c>
      <c r="D14" s="51">
        <v>0.34</v>
      </c>
      <c r="E14" s="31"/>
      <c r="F14" s="31"/>
      <c r="G14" s="31"/>
      <c r="H14" s="31"/>
    </row>
    <row r="15" spans="1:9" x14ac:dyDescent="0.2">
      <c r="B15" s="29" t="s">
        <v>81</v>
      </c>
      <c r="D15" s="51">
        <v>0.15</v>
      </c>
      <c r="E15" s="31"/>
      <c r="F15" s="31"/>
      <c r="G15" s="31"/>
      <c r="H15" s="31"/>
    </row>
    <row r="17" spans="1:9" ht="15.75" hidden="1" customHeight="1" x14ac:dyDescent="0.2">
      <c r="A17" s="30">
        <v>2</v>
      </c>
      <c r="B17" s="113" t="s">
        <v>80</v>
      </c>
      <c r="C17" s="113"/>
      <c r="D17" s="113"/>
      <c r="E17" s="113"/>
      <c r="F17" s="113"/>
      <c r="G17" s="113"/>
      <c r="H17" s="113"/>
      <c r="I17" s="113"/>
    </row>
    <row r="18" spans="1:9" hidden="1" x14ac:dyDescent="0.2">
      <c r="B18" s="113"/>
      <c r="C18" s="113"/>
      <c r="D18" s="113"/>
      <c r="E18" s="113"/>
      <c r="F18" s="113"/>
      <c r="G18" s="113"/>
      <c r="H18" s="113"/>
      <c r="I18" s="113"/>
    </row>
    <row r="19" spans="1:9" ht="7.5" hidden="1" customHeight="1" x14ac:dyDescent="0.2">
      <c r="D19" s="31"/>
      <c r="E19" s="31"/>
      <c r="F19" s="31"/>
      <c r="G19" s="31"/>
      <c r="H19" s="31"/>
    </row>
    <row r="20" spans="1:9" hidden="1" x14ac:dyDescent="0.2">
      <c r="B20" s="42" t="s">
        <v>79</v>
      </c>
    </row>
    <row r="21" spans="1:9" hidden="1" x14ac:dyDescent="0.2">
      <c r="B21" s="42" t="s">
        <v>78</v>
      </c>
    </row>
    <row r="22" spans="1:9" hidden="1" x14ac:dyDescent="0.2">
      <c r="B22" s="42" t="s">
        <v>77</v>
      </c>
    </row>
    <row r="23" spans="1:9" hidden="1" x14ac:dyDescent="0.2"/>
    <row r="24" spans="1:9" ht="15.75" customHeight="1" x14ac:dyDescent="0.2">
      <c r="A24" s="30">
        <v>3</v>
      </c>
      <c r="B24" s="113" t="s">
        <v>76</v>
      </c>
      <c r="C24" s="113"/>
      <c r="D24" s="113"/>
      <c r="E24" s="113"/>
      <c r="F24" s="113"/>
      <c r="G24" s="113"/>
      <c r="H24" s="113"/>
      <c r="I24" s="113"/>
    </row>
    <row r="25" spans="1:9" x14ac:dyDescent="0.2">
      <c r="B25" s="113"/>
      <c r="C25" s="113"/>
      <c r="D25" s="113"/>
      <c r="E25" s="113"/>
      <c r="F25" s="113"/>
      <c r="G25" s="113"/>
      <c r="H25" s="113"/>
      <c r="I25" s="113"/>
    </row>
    <row r="26" spans="1:9" x14ac:dyDescent="0.2">
      <c r="B26" s="113"/>
      <c r="C26" s="113"/>
      <c r="D26" s="113"/>
      <c r="E26" s="113"/>
      <c r="F26" s="113"/>
      <c r="G26" s="113"/>
      <c r="H26" s="113"/>
      <c r="I26" s="113"/>
    </row>
    <row r="27" spans="1:9" x14ac:dyDescent="0.2">
      <c r="B27" s="113"/>
      <c r="C27" s="113"/>
      <c r="D27" s="113"/>
      <c r="E27" s="113"/>
      <c r="F27" s="113"/>
      <c r="G27" s="113"/>
      <c r="H27" s="113"/>
      <c r="I27" s="113"/>
    </row>
    <row r="29" spans="1:9" ht="15" customHeight="1" x14ac:dyDescent="0.2">
      <c r="A29" s="34">
        <v>4</v>
      </c>
      <c r="B29" s="113" t="s">
        <v>75</v>
      </c>
      <c r="C29" s="113"/>
      <c r="D29" s="113"/>
      <c r="E29" s="113"/>
      <c r="F29" s="113"/>
      <c r="G29" s="113"/>
      <c r="H29" s="113"/>
      <c r="I29" s="113"/>
    </row>
    <row r="30" spans="1:9" ht="15" customHeight="1" x14ac:dyDescent="0.2">
      <c r="A30" s="34"/>
      <c r="B30" s="113"/>
      <c r="C30" s="113"/>
      <c r="D30" s="113"/>
      <c r="E30" s="113"/>
      <c r="F30" s="113"/>
      <c r="G30" s="113"/>
      <c r="H30" s="113"/>
      <c r="I30" s="113"/>
    </row>
    <row r="31" spans="1:9" ht="7.5" customHeight="1" x14ac:dyDescent="0.2">
      <c r="D31" s="31"/>
      <c r="E31" s="31"/>
      <c r="F31" s="31"/>
      <c r="G31" s="31"/>
      <c r="H31" s="31"/>
    </row>
    <row r="32" spans="1:9" s="30" customFormat="1" ht="15" customHeight="1" x14ac:dyDescent="0.2">
      <c r="A32" s="50"/>
      <c r="B32" s="50"/>
      <c r="D32" s="50">
        <v>0</v>
      </c>
      <c r="E32" s="50">
        <v>1</v>
      </c>
      <c r="F32" s="50">
        <v>2</v>
      </c>
      <c r="G32" s="50">
        <v>3</v>
      </c>
      <c r="H32" s="50">
        <v>4</v>
      </c>
    </row>
    <row r="33" spans="1:9" ht="7.5" customHeight="1" x14ac:dyDescent="0.2">
      <c r="E33" s="31"/>
      <c r="F33" s="31"/>
      <c r="G33" s="31"/>
      <c r="H33" s="31"/>
    </row>
    <row r="34" spans="1:9" ht="15" customHeight="1" x14ac:dyDescent="0.2">
      <c r="A34" s="50"/>
      <c r="B34" s="49" t="s">
        <v>74</v>
      </c>
      <c r="D34" s="31">
        <v>-150000</v>
      </c>
      <c r="E34" s="31">
        <v>33000</v>
      </c>
      <c r="F34" s="31">
        <v>40000</v>
      </c>
      <c r="G34" s="31">
        <v>37000</v>
      </c>
      <c r="H34" s="31">
        <v>50000</v>
      </c>
    </row>
    <row r="35" spans="1:9" ht="7.5" customHeight="1" x14ac:dyDescent="0.2">
      <c r="E35" s="31"/>
      <c r="F35" s="31"/>
      <c r="G35" s="31"/>
      <c r="H35" s="31"/>
    </row>
    <row r="36" spans="1:9" ht="15" customHeight="1" x14ac:dyDescent="0.2">
      <c r="A36" s="50"/>
      <c r="B36" s="49" t="s">
        <v>73</v>
      </c>
      <c r="D36" s="31"/>
      <c r="E36" s="31">
        <v>77000</v>
      </c>
      <c r="F36" s="31">
        <v>89000</v>
      </c>
      <c r="G36" s="31">
        <v>80000</v>
      </c>
      <c r="H36" s="31">
        <v>97000</v>
      </c>
    </row>
    <row r="37" spans="1:9" ht="15" customHeight="1" x14ac:dyDescent="0.2">
      <c r="A37" s="50"/>
      <c r="B37" s="49" t="s">
        <v>72</v>
      </c>
      <c r="D37" s="31">
        <v>-150000</v>
      </c>
      <c r="E37" s="31">
        <v>-30000</v>
      </c>
      <c r="F37" s="31">
        <v>-32000</v>
      </c>
      <c r="G37" s="31">
        <v>-34000</v>
      </c>
      <c r="H37" s="31">
        <v>-36000</v>
      </c>
    </row>
    <row r="38" spans="1:9" ht="7.5" customHeight="1" x14ac:dyDescent="0.2">
      <c r="E38" s="31"/>
      <c r="F38" s="31"/>
      <c r="G38" s="31"/>
      <c r="H38" s="31"/>
    </row>
    <row r="39" spans="1:9" ht="15" customHeight="1" x14ac:dyDescent="0.2">
      <c r="A39" s="50"/>
      <c r="B39" s="49" t="s">
        <v>71</v>
      </c>
      <c r="D39" s="31">
        <v>-150000</v>
      </c>
      <c r="E39" s="31">
        <v>21000</v>
      </c>
      <c r="F39" s="31">
        <v>21000</v>
      </c>
      <c r="G39" s="31">
        <v>21000</v>
      </c>
      <c r="H39" s="31">
        <v>171000</v>
      </c>
    </row>
    <row r="40" spans="1:9" ht="7.5" customHeight="1" x14ac:dyDescent="0.2">
      <c r="D40" s="31"/>
      <c r="E40" s="31"/>
      <c r="F40" s="31"/>
      <c r="G40" s="31"/>
      <c r="H40" s="31"/>
    </row>
    <row r="41" spans="1:9" ht="15.75" customHeight="1" x14ac:dyDescent="0.2">
      <c r="B41" s="113" t="s">
        <v>70</v>
      </c>
      <c r="C41" s="113"/>
      <c r="D41" s="113"/>
      <c r="E41" s="113"/>
      <c r="F41" s="113"/>
      <c r="G41" s="113"/>
      <c r="H41" s="113"/>
      <c r="I41" s="113"/>
    </row>
    <row r="42" spans="1:9" ht="15" customHeight="1" x14ac:dyDescent="0.2">
      <c r="A42" s="50"/>
      <c r="B42" s="49"/>
      <c r="C42" s="31"/>
      <c r="D42" s="31"/>
      <c r="E42" s="31"/>
      <c r="F42" s="31"/>
      <c r="G42" s="31"/>
    </row>
    <row r="43" spans="1:9" ht="15.75" customHeight="1" x14ac:dyDescent="0.2">
      <c r="A43" s="34">
        <v>5</v>
      </c>
      <c r="B43" s="113" t="s">
        <v>69</v>
      </c>
      <c r="C43" s="113"/>
      <c r="D43" s="113"/>
      <c r="E43" s="113"/>
      <c r="F43" s="113"/>
      <c r="G43" s="113"/>
      <c r="H43" s="113"/>
      <c r="I43" s="113"/>
    </row>
    <row r="44" spans="1:9" ht="7.5" customHeight="1" x14ac:dyDescent="0.2">
      <c r="E44" s="31"/>
      <c r="F44" s="31"/>
      <c r="G44" s="31"/>
      <c r="H44" s="31"/>
    </row>
    <row r="45" spans="1:9" s="45" customFormat="1" ht="39" x14ac:dyDescent="0.2">
      <c r="A45" s="48"/>
      <c r="C45" s="47" t="s">
        <v>68</v>
      </c>
      <c r="D45" s="46" t="s">
        <v>67</v>
      </c>
      <c r="E45" s="46" t="s">
        <v>66</v>
      </c>
      <c r="F45" s="46" t="s">
        <v>65</v>
      </c>
      <c r="G45" s="46" t="s">
        <v>64</v>
      </c>
    </row>
    <row r="46" spans="1:9" x14ac:dyDescent="0.2">
      <c r="C46" s="44">
        <v>1</v>
      </c>
      <c r="D46" s="35">
        <v>120000</v>
      </c>
      <c r="E46" s="40">
        <v>2.5</v>
      </c>
      <c r="F46" s="40">
        <v>1.5</v>
      </c>
      <c r="G46" s="35">
        <v>10000</v>
      </c>
    </row>
    <row r="47" spans="1:9" x14ac:dyDescent="0.2">
      <c r="C47" s="44">
        <v>2</v>
      </c>
      <c r="D47" s="35">
        <v>132000</v>
      </c>
      <c r="E47" s="40">
        <v>3.2</v>
      </c>
      <c r="F47" s="40">
        <v>1.92</v>
      </c>
      <c r="G47" s="35">
        <v>12000</v>
      </c>
    </row>
    <row r="48" spans="1:9" x14ac:dyDescent="0.2">
      <c r="C48" s="44">
        <v>3</v>
      </c>
      <c r="D48" s="35">
        <v>145200</v>
      </c>
      <c r="E48" s="40">
        <v>4.0999999999999996</v>
      </c>
      <c r="F48" s="40">
        <v>2.46</v>
      </c>
      <c r="G48" s="35">
        <v>15000</v>
      </c>
    </row>
    <row r="50" spans="1:9" ht="15.75" customHeight="1" x14ac:dyDescent="0.2">
      <c r="B50" s="113" t="s">
        <v>63</v>
      </c>
      <c r="C50" s="113"/>
      <c r="D50" s="113"/>
      <c r="E50" s="113"/>
      <c r="F50" s="113"/>
      <c r="G50" s="113"/>
      <c r="H50" s="113"/>
      <c r="I50" s="113"/>
    </row>
    <row r="51" spans="1:9" x14ac:dyDescent="0.2">
      <c r="B51" s="113"/>
      <c r="C51" s="113"/>
      <c r="D51" s="113"/>
      <c r="E51" s="113"/>
      <c r="F51" s="113"/>
      <c r="G51" s="113"/>
      <c r="H51" s="113"/>
      <c r="I51" s="113"/>
    </row>
    <row r="52" spans="1:9" s="32" customFormat="1" x14ac:dyDescent="0.2">
      <c r="A52" s="34"/>
      <c r="B52" s="113"/>
      <c r="C52" s="113"/>
      <c r="D52" s="113"/>
      <c r="E52" s="113"/>
      <c r="F52" s="113"/>
      <c r="G52" s="113"/>
      <c r="H52" s="113"/>
      <c r="I52" s="113"/>
    </row>
    <row r="53" spans="1:9" s="32" customFormat="1" x14ac:dyDescent="0.2">
      <c r="A53" s="34"/>
      <c r="B53" s="43"/>
      <c r="C53" s="43"/>
      <c r="D53" s="43"/>
      <c r="E53" s="43"/>
      <c r="F53" s="43"/>
      <c r="G53" s="43"/>
      <c r="H53" s="43"/>
      <c r="I53" s="43"/>
    </row>
    <row r="54" spans="1:9" s="32" customFormat="1" x14ac:dyDescent="0.2">
      <c r="A54" s="34"/>
      <c r="B54" s="32" t="s">
        <v>62</v>
      </c>
      <c r="C54" s="33"/>
      <c r="I54" s="33"/>
    </row>
    <row r="55" spans="1:9" ht="7.5" customHeight="1" x14ac:dyDescent="0.2">
      <c r="E55" s="31"/>
      <c r="F55" s="31"/>
      <c r="G55" s="31"/>
      <c r="H55" s="31"/>
    </row>
    <row r="56" spans="1:9" s="32" customFormat="1" x14ac:dyDescent="0.2">
      <c r="A56" s="34"/>
      <c r="B56" s="32" t="s">
        <v>61</v>
      </c>
      <c r="C56" s="33"/>
      <c r="I56" s="33"/>
    </row>
    <row r="57" spans="1:9" ht="7.5" customHeight="1" x14ac:dyDescent="0.2">
      <c r="E57" s="31"/>
      <c r="F57" s="31"/>
      <c r="G57" s="31"/>
      <c r="H57" s="31"/>
    </row>
    <row r="58" spans="1:9" ht="15.75" customHeight="1" x14ac:dyDescent="0.2">
      <c r="B58" s="113" t="s">
        <v>60</v>
      </c>
      <c r="C58" s="113"/>
      <c r="D58" s="113"/>
      <c r="E58" s="113"/>
      <c r="F58" s="113"/>
      <c r="G58" s="113"/>
      <c r="H58" s="113"/>
      <c r="I58" s="113"/>
    </row>
    <row r="59" spans="1:9" x14ac:dyDescent="0.2">
      <c r="B59" s="113"/>
      <c r="C59" s="113"/>
      <c r="D59" s="113"/>
      <c r="E59" s="113"/>
      <c r="F59" s="113"/>
      <c r="G59" s="113"/>
      <c r="H59" s="113"/>
      <c r="I59" s="113"/>
    </row>
    <row r="62" spans="1:9" s="134" customFormat="1" x14ac:dyDescent="0.2">
      <c r="A62" s="30"/>
      <c r="D62" s="30">
        <v>0</v>
      </c>
      <c r="E62" s="30">
        <v>1</v>
      </c>
      <c r="F62" s="30">
        <v>2</v>
      </c>
      <c r="G62" s="30">
        <v>3</v>
      </c>
    </row>
    <row r="63" spans="1:9" ht="26" x14ac:dyDescent="0.2">
      <c r="B63" s="46" t="s">
        <v>67</v>
      </c>
      <c r="E63" s="35">
        <v>120000</v>
      </c>
      <c r="F63" s="35">
        <v>132000</v>
      </c>
      <c r="G63" s="35">
        <v>145200</v>
      </c>
    </row>
    <row r="64" spans="1:9" ht="26" x14ac:dyDescent="0.2">
      <c r="B64" s="46" t="s">
        <v>66</v>
      </c>
      <c r="E64" s="40">
        <v>2.5</v>
      </c>
      <c r="F64" s="40">
        <v>3.2</v>
      </c>
      <c r="G64" s="40">
        <v>4.0999999999999996</v>
      </c>
    </row>
    <row r="65" spans="1:8" ht="26" x14ac:dyDescent="0.2">
      <c r="B65" s="46" t="s">
        <v>65</v>
      </c>
      <c r="E65" s="40">
        <v>1.5</v>
      </c>
      <c r="F65" s="40">
        <v>1.92</v>
      </c>
      <c r="G65" s="40">
        <v>2.46</v>
      </c>
    </row>
    <row r="66" spans="1:8" ht="26" x14ac:dyDescent="0.2">
      <c r="B66" s="46" t="s">
        <v>64</v>
      </c>
      <c r="E66" s="35">
        <v>10000</v>
      </c>
      <c r="F66" s="35">
        <v>12000</v>
      </c>
      <c r="G66" s="35">
        <v>15000</v>
      </c>
    </row>
    <row r="68" spans="1:8" x14ac:dyDescent="0.2">
      <c r="B68" s="133" t="s">
        <v>85</v>
      </c>
      <c r="E68" s="135">
        <f>+E63*E64</f>
        <v>300000</v>
      </c>
      <c r="F68" s="135">
        <f t="shared" ref="F68:G68" si="0">+F63*F64</f>
        <v>422400</v>
      </c>
      <c r="G68" s="135">
        <f t="shared" si="0"/>
        <v>595320</v>
      </c>
    </row>
    <row r="69" spans="1:8" x14ac:dyDescent="0.2">
      <c r="B69" s="133" t="s">
        <v>84</v>
      </c>
      <c r="E69" s="136">
        <f>-E63*E65</f>
        <v>-180000</v>
      </c>
      <c r="F69" s="136">
        <f t="shared" ref="F69:G69" si="1">-F63*F65</f>
        <v>-253440</v>
      </c>
      <c r="G69" s="136">
        <f t="shared" si="1"/>
        <v>-357192</v>
      </c>
    </row>
    <row r="70" spans="1:8" s="134" customFormat="1" x14ac:dyDescent="0.2">
      <c r="A70" s="30"/>
      <c r="B70" s="134" t="s">
        <v>109</v>
      </c>
      <c r="E70" s="139">
        <f>+E68+E69</f>
        <v>120000</v>
      </c>
      <c r="F70" s="139">
        <f t="shared" ref="F70:G70" si="2">+F68+F69</f>
        <v>168960</v>
      </c>
      <c r="G70" s="139">
        <f t="shared" si="2"/>
        <v>238128</v>
      </c>
    </row>
    <row r="71" spans="1:8" x14ac:dyDescent="0.2">
      <c r="B71" s="133" t="s">
        <v>110</v>
      </c>
      <c r="E71" s="37">
        <f>-E66</f>
        <v>-10000</v>
      </c>
      <c r="F71" s="37">
        <f>-F66</f>
        <v>-12000</v>
      </c>
      <c r="G71" s="37">
        <f>-G66</f>
        <v>-15000</v>
      </c>
    </row>
    <row r="72" spans="1:8" x14ac:dyDescent="0.2">
      <c r="B72" s="133" t="s">
        <v>111</v>
      </c>
      <c r="E72" s="136">
        <v>-25000</v>
      </c>
      <c r="F72" s="136">
        <v>-25000</v>
      </c>
      <c r="G72" s="136">
        <v>-25000</v>
      </c>
    </row>
    <row r="73" spans="1:8" s="134" customFormat="1" x14ac:dyDescent="0.2">
      <c r="A73" s="30"/>
      <c r="B73" s="134" t="s">
        <v>112</v>
      </c>
      <c r="E73" s="138">
        <f>+E70+E71+E72</f>
        <v>85000</v>
      </c>
      <c r="F73" s="138">
        <f t="shared" ref="F73:G73" si="3">+F70+F71+F72</f>
        <v>131960</v>
      </c>
      <c r="G73" s="138">
        <f t="shared" si="3"/>
        <v>198128</v>
      </c>
    </row>
    <row r="74" spans="1:8" x14ac:dyDescent="0.2">
      <c r="B74" s="133" t="s">
        <v>113</v>
      </c>
      <c r="E74" s="136">
        <f>-F81</f>
        <v>-48000</v>
      </c>
      <c r="F74" s="136">
        <f t="shared" ref="F74:G74" si="4">-G81</f>
        <v>-35293.519695044473</v>
      </c>
      <c r="G74" s="136">
        <f t="shared" si="4"/>
        <v>-19537.484116899621</v>
      </c>
    </row>
    <row r="75" spans="1:8" s="134" customFormat="1" x14ac:dyDescent="0.2">
      <c r="A75" s="30"/>
      <c r="B75" s="134" t="s">
        <v>121</v>
      </c>
      <c r="E75" s="138">
        <f>+E73+E74</f>
        <v>37000</v>
      </c>
      <c r="F75" s="138">
        <f t="shared" ref="F75:G75" si="5">+F73+F74</f>
        <v>96666.480304955534</v>
      </c>
      <c r="G75" s="138">
        <f t="shared" si="5"/>
        <v>178590.51588310039</v>
      </c>
    </row>
    <row r="76" spans="1:8" s="133" customFormat="1" x14ac:dyDescent="0.2">
      <c r="A76" s="132"/>
      <c r="B76" s="133" t="s">
        <v>122</v>
      </c>
      <c r="E76" s="144">
        <f>-E75*0.34</f>
        <v>-12580</v>
      </c>
      <c r="F76" s="144">
        <f t="shared" ref="F76:G76" si="6">-F75*0.34</f>
        <v>-32866.603303684882</v>
      </c>
      <c r="G76" s="144">
        <f t="shared" si="6"/>
        <v>-60720.775400254141</v>
      </c>
    </row>
    <row r="77" spans="1:8" s="134" customFormat="1" x14ac:dyDescent="0.2">
      <c r="A77" s="30"/>
      <c r="B77" s="134" t="s">
        <v>123</v>
      </c>
      <c r="E77" s="138">
        <f>+E75+E76</f>
        <v>24420</v>
      </c>
      <c r="F77" s="138">
        <f t="shared" ref="F77:G77" si="7">+F75+F76</f>
        <v>63799.877001270652</v>
      </c>
      <c r="G77" s="138">
        <f t="shared" si="7"/>
        <v>117869.74048284625</v>
      </c>
    </row>
    <row r="78" spans="1:8" x14ac:dyDescent="0.2">
      <c r="E78" s="37"/>
      <c r="F78" s="37"/>
      <c r="G78" s="37"/>
    </row>
    <row r="79" spans="1:8" x14ac:dyDescent="0.2">
      <c r="E79" s="37"/>
      <c r="F79" s="37"/>
      <c r="G79" s="37"/>
    </row>
    <row r="80" spans="1:8" x14ac:dyDescent="0.2">
      <c r="B80" s="133" t="s">
        <v>114</v>
      </c>
      <c r="C80" s="140">
        <v>200000</v>
      </c>
      <c r="E80" s="137" t="s">
        <v>118</v>
      </c>
      <c r="F80" s="137">
        <f>+C80</f>
        <v>200000</v>
      </c>
      <c r="G80" s="31">
        <f>+F80-F82</f>
        <v>147056.33206268531</v>
      </c>
      <c r="H80" s="31">
        <f>+G80-G82</f>
        <v>81406.183820415084</v>
      </c>
    </row>
    <row r="81" spans="1:11" x14ac:dyDescent="0.2">
      <c r="B81" s="133" t="s">
        <v>115</v>
      </c>
      <c r="C81" s="141">
        <v>0.24</v>
      </c>
      <c r="E81" s="137" t="s">
        <v>119</v>
      </c>
      <c r="F81" s="37">
        <f>F80*$C$81</f>
        <v>48000</v>
      </c>
      <c r="G81" s="31">
        <f>G80*$C$81</f>
        <v>35293.519695044473</v>
      </c>
      <c r="H81" s="31">
        <f>H80*$C$81</f>
        <v>19537.484116899621</v>
      </c>
    </row>
    <row r="82" spans="1:11" x14ac:dyDescent="0.2">
      <c r="B82" s="133" t="s">
        <v>116</v>
      </c>
      <c r="C82" s="29">
        <v>3</v>
      </c>
      <c r="E82" s="137" t="s">
        <v>120</v>
      </c>
      <c r="F82" s="143">
        <f>+$C$83-F81</f>
        <v>52943.667937314691</v>
      </c>
      <c r="G82" s="143">
        <f>+$C$83-G81</f>
        <v>65650.148242270225</v>
      </c>
      <c r="H82" s="143">
        <f>+$C$83-H81</f>
        <v>81406.18382041507</v>
      </c>
      <c r="I82" s="31"/>
      <c r="J82" s="31"/>
      <c r="K82" s="31"/>
    </row>
    <row r="83" spans="1:11" x14ac:dyDescent="0.2">
      <c r="B83" s="133" t="s">
        <v>117</v>
      </c>
      <c r="C83" s="142">
        <f>-PMT(C81,C82,C80)</f>
        <v>100943.66793731469</v>
      </c>
      <c r="E83" s="37"/>
      <c r="F83" s="37"/>
      <c r="G83" s="37"/>
      <c r="I83" s="31"/>
      <c r="J83" s="31"/>
      <c r="K83" s="31"/>
    </row>
    <row r="84" spans="1:11" x14ac:dyDescent="0.2">
      <c r="I84" s="31"/>
      <c r="J84" s="31"/>
      <c r="K84" s="31"/>
    </row>
    <row r="86" spans="1:11" x14ac:dyDescent="0.2">
      <c r="B86" s="134" t="s">
        <v>123</v>
      </c>
      <c r="C86" s="134"/>
      <c r="D86" s="31"/>
      <c r="E86" s="31">
        <v>24420</v>
      </c>
      <c r="F86" s="31">
        <v>63799.877001270652</v>
      </c>
      <c r="G86" s="31">
        <v>117869.74048284625</v>
      </c>
    </row>
    <row r="87" spans="1:11" x14ac:dyDescent="0.2">
      <c r="B87" s="133" t="s">
        <v>111</v>
      </c>
      <c r="D87" s="31"/>
      <c r="E87" s="31">
        <v>25000</v>
      </c>
      <c r="F87" s="31">
        <v>25000</v>
      </c>
      <c r="G87" s="31">
        <v>25000</v>
      </c>
    </row>
    <row r="88" spans="1:11" x14ac:dyDescent="0.2">
      <c r="B88" s="133" t="s">
        <v>124</v>
      </c>
      <c r="D88" s="31">
        <v>-320000</v>
      </c>
      <c r="E88" s="31"/>
      <c r="F88" s="31"/>
      <c r="G88" s="31">
        <f>-D88-SUM(E87:G87)</f>
        <v>245000</v>
      </c>
    </row>
    <row r="89" spans="1:11" s="134" customFormat="1" ht="17" thickBot="1" x14ac:dyDescent="0.25">
      <c r="A89" s="30"/>
      <c r="B89" s="134" t="s">
        <v>125</v>
      </c>
      <c r="D89" s="146">
        <f>SUM(D86:D88)</f>
        <v>-320000</v>
      </c>
      <c r="E89" s="146">
        <f t="shared" ref="E89:G89" si="8">SUM(E86:E88)</f>
        <v>49420</v>
      </c>
      <c r="F89" s="146">
        <f t="shared" si="8"/>
        <v>88799.877001270652</v>
      </c>
      <c r="G89" s="146">
        <f t="shared" si="8"/>
        <v>387869.74048284627</v>
      </c>
    </row>
    <row r="90" spans="1:11" ht="17" thickBot="1" x14ac:dyDescent="0.25">
      <c r="B90" s="133" t="s">
        <v>90</v>
      </c>
      <c r="C90" s="150">
        <f>NPV(E96,E89:G89)+D89</f>
        <v>50115.388395990303</v>
      </c>
      <c r="D90" s="145" t="s">
        <v>131</v>
      </c>
      <c r="E90" s="31"/>
      <c r="F90" s="31"/>
      <c r="G90" s="31"/>
    </row>
    <row r="91" spans="1:11" ht="17" thickBot="1" x14ac:dyDescent="0.25">
      <c r="B91" s="133" t="s">
        <v>89</v>
      </c>
      <c r="C91" s="151">
        <f>IRR(D89:G89)</f>
        <v>0.2106460643901269</v>
      </c>
      <c r="D91" s="145" t="s">
        <v>132</v>
      </c>
      <c r="E91" s="31"/>
      <c r="F91" s="31"/>
      <c r="G91" s="134" t="s">
        <v>134</v>
      </c>
    </row>
    <row r="92" spans="1:11" x14ac:dyDescent="0.2">
      <c r="D92" s="31"/>
      <c r="E92" s="31"/>
      <c r="F92" s="31"/>
      <c r="G92" s="31"/>
    </row>
    <row r="93" spans="1:11" x14ac:dyDescent="0.2">
      <c r="D93" s="31"/>
      <c r="E93" s="31"/>
      <c r="F93" s="31"/>
      <c r="G93" s="31"/>
    </row>
    <row r="94" spans="1:11" x14ac:dyDescent="0.2">
      <c r="B94" s="132" t="s">
        <v>126</v>
      </c>
      <c r="C94" s="147">
        <f>120000/320000</f>
        <v>0.375</v>
      </c>
      <c r="D94" s="149" t="s">
        <v>128</v>
      </c>
      <c r="E94" s="148">
        <v>0.12</v>
      </c>
      <c r="G94" s="31"/>
    </row>
    <row r="95" spans="1:11" x14ac:dyDescent="0.2">
      <c r="B95" s="132" t="s">
        <v>127</v>
      </c>
      <c r="C95" s="147">
        <f>200000/320000</f>
        <v>0.625</v>
      </c>
      <c r="D95" s="149" t="s">
        <v>129</v>
      </c>
      <c r="E95" s="148">
        <f>24%*(1-34%)</f>
        <v>0.15839999999999999</v>
      </c>
      <c r="F95" s="31"/>
      <c r="G95" s="31"/>
    </row>
    <row r="96" spans="1:11" x14ac:dyDescent="0.2">
      <c r="D96" s="149" t="s">
        <v>130</v>
      </c>
      <c r="E96" s="152">
        <f>+(C94*E94)+(C95*E95)</f>
        <v>0.14399999999999999</v>
      </c>
      <c r="F96" s="145" t="s">
        <v>133</v>
      </c>
      <c r="G96" s="31"/>
    </row>
    <row r="97" spans="4:7" x14ac:dyDescent="0.2">
      <c r="D97" s="31"/>
      <c r="E97" s="31"/>
      <c r="F97" s="31"/>
      <c r="G97" s="31"/>
    </row>
    <row r="98" spans="4:7" x14ac:dyDescent="0.2">
      <c r="D98" s="31"/>
      <c r="E98" s="31"/>
      <c r="F98" s="31"/>
      <c r="G98" s="31"/>
    </row>
    <row r="99" spans="4:7" x14ac:dyDescent="0.2">
      <c r="D99" s="31"/>
      <c r="E99" s="31"/>
      <c r="F99" s="31"/>
      <c r="G99" s="31"/>
    </row>
    <row r="100" spans="4:7" x14ac:dyDescent="0.2">
      <c r="D100" s="31"/>
      <c r="E100" s="31"/>
      <c r="F100" s="31"/>
      <c r="G100" s="31"/>
    </row>
    <row r="101" spans="4:7" x14ac:dyDescent="0.2">
      <c r="D101" s="31"/>
      <c r="E101" s="31"/>
      <c r="F101" s="31"/>
      <c r="G101" s="31"/>
    </row>
    <row r="102" spans="4:7" x14ac:dyDescent="0.2">
      <c r="D102" s="31"/>
      <c r="E102" s="31"/>
      <c r="F102" s="31"/>
      <c r="G102" s="31"/>
    </row>
    <row r="103" spans="4:7" x14ac:dyDescent="0.2">
      <c r="D103" s="31"/>
      <c r="E103" s="31"/>
      <c r="F103" s="31"/>
      <c r="G103" s="31"/>
    </row>
    <row r="104" spans="4:7" x14ac:dyDescent="0.2">
      <c r="D104" s="31"/>
      <c r="E104" s="31"/>
      <c r="F104" s="31"/>
      <c r="G104" s="31"/>
    </row>
    <row r="105" spans="4:7" x14ac:dyDescent="0.2">
      <c r="D105" s="31"/>
      <c r="E105" s="31"/>
      <c r="F105" s="31"/>
      <c r="G105" s="31"/>
    </row>
    <row r="106" spans="4:7" x14ac:dyDescent="0.2">
      <c r="D106" s="31"/>
      <c r="E106" s="31"/>
      <c r="F106" s="31"/>
      <c r="G106" s="31"/>
    </row>
    <row r="107" spans="4:7" x14ac:dyDescent="0.2">
      <c r="D107" s="31"/>
      <c r="E107" s="31"/>
      <c r="F107" s="31"/>
      <c r="G107" s="31"/>
    </row>
    <row r="108" spans="4:7" x14ac:dyDescent="0.2">
      <c r="D108" s="31"/>
      <c r="E108" s="31"/>
      <c r="F108" s="31"/>
      <c r="G108" s="31"/>
    </row>
  </sheetData>
  <mergeCells count="9">
    <mergeCell ref="B43:I43"/>
    <mergeCell ref="B50:I52"/>
    <mergeCell ref="B58:I59"/>
    <mergeCell ref="B2:I4"/>
    <mergeCell ref="B5:I7"/>
    <mergeCell ref="B17:I18"/>
    <mergeCell ref="B24:I27"/>
    <mergeCell ref="B29:I30"/>
    <mergeCell ref="B41:I41"/>
  </mergeCells>
  <pageMargins left="0.51181102362204722" right="0.51181102362204722" top="0.35433070866141736" bottom="0.35433070866141736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0A6E-4867-4B9F-AB7C-E9DD3DAB6AF7}">
  <dimension ref="A1:P48"/>
  <sheetViews>
    <sheetView showGridLines="0" zoomScale="120" zoomScaleNormal="120" workbookViewId="0">
      <selection activeCell="M13" sqref="M13"/>
    </sheetView>
  </sheetViews>
  <sheetFormatPr baseColWidth="10" defaultColWidth="11.5" defaultRowHeight="16" x14ac:dyDescent="0.2"/>
  <cols>
    <col min="1" max="1" width="2.6640625" style="52" customWidth="1"/>
    <col min="2" max="8" width="11.6640625" style="52" customWidth="1"/>
    <col min="9" max="9" width="2.6640625" style="52" customWidth="1"/>
    <col min="10" max="10" width="6.6640625" style="52" hidden="1" customWidth="1"/>
    <col min="11" max="11" width="0" style="52" hidden="1" customWidth="1"/>
    <col min="12" max="16384" width="11.5" style="52"/>
  </cols>
  <sheetData>
    <row r="1" spans="1:11" ht="7.5" customHeight="1" x14ac:dyDescent="0.2">
      <c r="A1" s="99"/>
      <c r="B1" s="98"/>
      <c r="C1" s="98"/>
      <c r="D1" s="98"/>
      <c r="E1" s="98"/>
      <c r="F1" s="98"/>
      <c r="G1" s="98"/>
      <c r="H1" s="98"/>
      <c r="I1" s="97"/>
    </row>
    <row r="2" spans="1:11" x14ac:dyDescent="0.2">
      <c r="A2" s="74"/>
      <c r="B2" s="123" t="s">
        <v>103</v>
      </c>
      <c r="C2" s="124"/>
      <c r="D2" s="124"/>
      <c r="E2" s="124"/>
      <c r="F2" s="124"/>
      <c r="G2" s="124"/>
      <c r="H2" s="125"/>
      <c r="I2" s="69"/>
    </row>
    <row r="3" spans="1:11" x14ac:dyDescent="0.2">
      <c r="A3" s="74"/>
      <c r="B3" s="126"/>
      <c r="C3" s="127"/>
      <c r="D3" s="127"/>
      <c r="E3" s="127"/>
      <c r="F3" s="127"/>
      <c r="G3" s="127"/>
      <c r="H3" s="128"/>
      <c r="I3" s="69"/>
    </row>
    <row r="4" spans="1:11" x14ac:dyDescent="0.2">
      <c r="A4" s="74"/>
      <c r="B4" s="129"/>
      <c r="C4" s="130"/>
      <c r="D4" s="130"/>
      <c r="E4" s="130"/>
      <c r="F4" s="130"/>
      <c r="G4" s="130"/>
      <c r="H4" s="131"/>
      <c r="I4" s="69"/>
    </row>
    <row r="5" spans="1:11" ht="7.5" customHeight="1" x14ac:dyDescent="0.2">
      <c r="A5" s="74"/>
      <c r="B5" s="82"/>
      <c r="C5" s="82"/>
      <c r="D5" s="82"/>
      <c r="E5" s="82"/>
      <c r="F5" s="82"/>
      <c r="G5" s="82"/>
      <c r="H5" s="82"/>
      <c r="I5" s="69"/>
    </row>
    <row r="6" spans="1:11" x14ac:dyDescent="0.2">
      <c r="A6" s="74"/>
      <c r="B6" s="123" t="s">
        <v>102</v>
      </c>
      <c r="C6" s="124"/>
      <c r="D6" s="124"/>
      <c r="E6" s="124"/>
      <c r="F6" s="124"/>
      <c r="G6" s="124"/>
      <c r="H6" s="125"/>
      <c r="I6" s="69"/>
    </row>
    <row r="7" spans="1:11" x14ac:dyDescent="0.2">
      <c r="A7" s="74"/>
      <c r="B7" s="126"/>
      <c r="C7" s="127"/>
      <c r="D7" s="127"/>
      <c r="E7" s="127"/>
      <c r="F7" s="127"/>
      <c r="G7" s="127"/>
      <c r="H7" s="128"/>
      <c r="I7" s="69"/>
    </row>
    <row r="8" spans="1:11" x14ac:dyDescent="0.2">
      <c r="A8" s="74"/>
      <c r="B8" s="126"/>
      <c r="C8" s="127"/>
      <c r="D8" s="127"/>
      <c r="E8" s="127"/>
      <c r="F8" s="127"/>
      <c r="G8" s="127"/>
      <c r="H8" s="128"/>
      <c r="I8" s="69"/>
    </row>
    <row r="9" spans="1:11" x14ac:dyDescent="0.2">
      <c r="A9" s="74"/>
      <c r="B9" s="129"/>
      <c r="C9" s="130"/>
      <c r="D9" s="130"/>
      <c r="E9" s="130"/>
      <c r="F9" s="130"/>
      <c r="G9" s="130"/>
      <c r="H9" s="131"/>
      <c r="I9" s="69"/>
    </row>
    <row r="10" spans="1:11" ht="7.5" customHeight="1" x14ac:dyDescent="0.2">
      <c r="A10" s="74"/>
      <c r="B10" s="82"/>
      <c r="C10" s="82"/>
      <c r="D10" s="82"/>
      <c r="E10" s="82"/>
      <c r="F10" s="82"/>
      <c r="G10" s="82"/>
      <c r="H10" s="82"/>
      <c r="I10" s="69"/>
    </row>
    <row r="11" spans="1:11" x14ac:dyDescent="0.2">
      <c r="A11" s="74"/>
      <c r="B11" s="123" t="s">
        <v>101</v>
      </c>
      <c r="C11" s="124"/>
      <c r="D11" s="124"/>
      <c r="E11" s="124"/>
      <c r="F11" s="124"/>
      <c r="G11" s="124"/>
      <c r="H11" s="125"/>
      <c r="I11" s="69"/>
      <c r="K11" s="100" t="s">
        <v>104</v>
      </c>
    </row>
    <row r="12" spans="1:11" x14ac:dyDescent="0.2">
      <c r="A12" s="74"/>
      <c r="B12" s="129"/>
      <c r="C12" s="130"/>
      <c r="D12" s="130"/>
      <c r="E12" s="130"/>
      <c r="F12" s="130"/>
      <c r="G12" s="130"/>
      <c r="H12" s="131"/>
      <c r="I12" s="69"/>
      <c r="K12" s="100" t="s">
        <v>105</v>
      </c>
    </row>
    <row r="13" spans="1:11" ht="7.5" customHeight="1" x14ac:dyDescent="0.2">
      <c r="A13" s="74"/>
      <c r="B13" s="82"/>
      <c r="C13" s="82"/>
      <c r="D13" s="82"/>
      <c r="E13" s="82"/>
      <c r="F13" s="82"/>
      <c r="G13" s="82"/>
      <c r="H13" s="82"/>
      <c r="I13" s="69"/>
    </row>
    <row r="14" spans="1:11" x14ac:dyDescent="0.2">
      <c r="A14" s="74"/>
      <c r="B14" s="123" t="s">
        <v>106</v>
      </c>
      <c r="C14" s="124"/>
      <c r="D14" s="124"/>
      <c r="E14" s="124"/>
      <c r="F14" s="124"/>
      <c r="G14" s="124"/>
      <c r="H14" s="125"/>
      <c r="I14" s="69"/>
    </row>
    <row r="15" spans="1:11" x14ac:dyDescent="0.2">
      <c r="A15" s="74"/>
      <c r="B15" s="126"/>
      <c r="C15" s="127"/>
      <c r="D15" s="127"/>
      <c r="E15" s="127"/>
      <c r="F15" s="127"/>
      <c r="G15" s="127"/>
      <c r="H15" s="128"/>
      <c r="I15" s="69"/>
    </row>
    <row r="16" spans="1:11" x14ac:dyDescent="0.2">
      <c r="A16" s="74"/>
      <c r="B16" s="129"/>
      <c r="C16" s="130"/>
      <c r="D16" s="130"/>
      <c r="E16" s="130"/>
      <c r="F16" s="130"/>
      <c r="G16" s="130"/>
      <c r="H16" s="131"/>
      <c r="I16" s="69"/>
    </row>
    <row r="17" spans="1:16" ht="7.5" customHeight="1" x14ac:dyDescent="0.2">
      <c r="A17" s="74"/>
      <c r="B17" s="82"/>
      <c r="C17" s="82"/>
      <c r="D17" s="82"/>
      <c r="E17" s="82"/>
      <c r="F17" s="82"/>
      <c r="G17" s="82"/>
      <c r="H17" s="82"/>
      <c r="I17" s="69"/>
    </row>
    <row r="18" spans="1:16" x14ac:dyDescent="0.2">
      <c r="A18" s="74"/>
      <c r="B18" s="123" t="s">
        <v>107</v>
      </c>
      <c r="C18" s="124"/>
      <c r="D18" s="124"/>
      <c r="E18" s="124"/>
      <c r="F18" s="124"/>
      <c r="G18" s="124"/>
      <c r="H18" s="125"/>
      <c r="I18" s="69"/>
    </row>
    <row r="19" spans="1:16" x14ac:dyDescent="0.2">
      <c r="A19" s="74"/>
      <c r="B19" s="126"/>
      <c r="C19" s="127"/>
      <c r="D19" s="127"/>
      <c r="E19" s="127"/>
      <c r="F19" s="127"/>
      <c r="G19" s="127"/>
      <c r="H19" s="128"/>
      <c r="I19" s="69"/>
    </row>
    <row r="20" spans="1:16" x14ac:dyDescent="0.2">
      <c r="A20" s="74"/>
      <c r="B20" s="126"/>
      <c r="C20" s="127"/>
      <c r="D20" s="127"/>
      <c r="E20" s="127"/>
      <c r="F20" s="127"/>
      <c r="G20" s="127"/>
      <c r="H20" s="128"/>
      <c r="I20" s="69"/>
    </row>
    <row r="21" spans="1:16" x14ac:dyDescent="0.2">
      <c r="A21" s="74"/>
      <c r="B21" s="129"/>
      <c r="C21" s="130"/>
      <c r="D21" s="130"/>
      <c r="E21" s="130"/>
      <c r="F21" s="130"/>
      <c r="G21" s="130"/>
      <c r="H21" s="131"/>
      <c r="I21" s="69"/>
    </row>
    <row r="22" spans="1:16" ht="7.5" customHeight="1" x14ac:dyDescent="0.2">
      <c r="A22" s="74"/>
      <c r="B22" s="82"/>
      <c r="C22" s="82"/>
      <c r="D22" s="82"/>
      <c r="E22" s="82"/>
      <c r="F22" s="82"/>
      <c r="G22" s="82"/>
      <c r="H22" s="82"/>
      <c r="I22" s="69"/>
    </row>
    <row r="23" spans="1:16" x14ac:dyDescent="0.2">
      <c r="A23" s="74"/>
      <c r="B23" s="123" t="s">
        <v>108</v>
      </c>
      <c r="C23" s="124"/>
      <c r="D23" s="124"/>
      <c r="E23" s="124"/>
      <c r="F23" s="124"/>
      <c r="G23" s="124"/>
      <c r="H23" s="125"/>
      <c r="I23" s="69"/>
    </row>
    <row r="24" spans="1:16" x14ac:dyDescent="0.2">
      <c r="A24" s="74"/>
      <c r="B24" s="129"/>
      <c r="C24" s="130"/>
      <c r="D24" s="130"/>
      <c r="E24" s="130"/>
      <c r="F24" s="130"/>
      <c r="G24" s="130"/>
      <c r="H24" s="131"/>
      <c r="I24" s="69"/>
    </row>
    <row r="25" spans="1:16" ht="7.5" customHeight="1" x14ac:dyDescent="0.2">
      <c r="A25" s="74"/>
      <c r="B25" s="82"/>
      <c r="C25" s="82"/>
      <c r="D25" s="82"/>
      <c r="E25" s="82"/>
      <c r="F25" s="82"/>
      <c r="G25" s="82"/>
      <c r="H25" s="82"/>
      <c r="I25" s="69"/>
    </row>
    <row r="26" spans="1:16" s="93" customFormat="1" x14ac:dyDescent="0.2">
      <c r="A26" s="74"/>
      <c r="B26" s="96" t="s">
        <v>100</v>
      </c>
      <c r="C26" s="95"/>
      <c r="D26" s="95"/>
      <c r="E26" s="95"/>
      <c r="F26" s="95"/>
      <c r="G26" s="95"/>
      <c r="H26" s="94"/>
      <c r="I26" s="69"/>
      <c r="K26" s="101"/>
      <c r="L26" s="104"/>
      <c r="M26" s="104"/>
      <c r="N26" s="104"/>
      <c r="O26" s="104"/>
      <c r="P26" s="104"/>
    </row>
    <row r="27" spans="1:16" x14ac:dyDescent="0.2">
      <c r="A27" s="74"/>
      <c r="B27" s="90" t="s">
        <v>99</v>
      </c>
      <c r="C27" s="32"/>
      <c r="D27" s="32"/>
      <c r="E27" s="32"/>
      <c r="F27" s="92">
        <v>600000</v>
      </c>
      <c r="G27" s="32"/>
      <c r="H27" s="38"/>
      <c r="I27" s="69"/>
      <c r="K27" s="101"/>
      <c r="L27" s="102"/>
      <c r="M27" s="102"/>
      <c r="N27" s="102"/>
      <c r="O27" s="102"/>
      <c r="P27" s="102"/>
    </row>
    <row r="28" spans="1:16" x14ac:dyDescent="0.2">
      <c r="A28" s="74"/>
      <c r="B28" s="90" t="s">
        <v>98</v>
      </c>
      <c r="C28" s="32"/>
      <c r="D28" s="32"/>
      <c r="E28" s="32"/>
      <c r="F28" s="91">
        <v>0.01</v>
      </c>
      <c r="G28" s="92"/>
      <c r="H28" s="38"/>
      <c r="I28" s="69"/>
      <c r="K28" s="101"/>
      <c r="L28" s="102"/>
      <c r="M28" s="102"/>
      <c r="N28" s="102"/>
      <c r="O28" s="102"/>
      <c r="P28" s="102"/>
    </row>
    <row r="29" spans="1:16" x14ac:dyDescent="0.2">
      <c r="A29" s="74"/>
      <c r="B29" s="90" t="s">
        <v>97</v>
      </c>
      <c r="C29" s="32"/>
      <c r="D29" s="32"/>
      <c r="E29" s="32"/>
      <c r="F29" s="91">
        <v>0.05</v>
      </c>
      <c r="G29" s="32"/>
      <c r="H29" s="38"/>
      <c r="I29" s="69"/>
      <c r="K29" s="101"/>
      <c r="L29" s="103"/>
      <c r="M29" s="103"/>
      <c r="N29" s="103"/>
      <c r="O29" s="103"/>
      <c r="P29" s="103"/>
    </row>
    <row r="30" spans="1:16" x14ac:dyDescent="0.2">
      <c r="A30" s="74"/>
      <c r="B30" s="90" t="s">
        <v>96</v>
      </c>
      <c r="C30" s="32"/>
      <c r="D30" s="32"/>
      <c r="E30" s="32"/>
      <c r="F30" s="91">
        <v>0.01</v>
      </c>
      <c r="G30" s="32"/>
      <c r="H30" s="38"/>
      <c r="I30" s="69"/>
      <c r="K30" s="101"/>
      <c r="L30" s="102"/>
      <c r="M30" s="102"/>
      <c r="N30" s="102"/>
      <c r="O30" s="102"/>
      <c r="P30" s="102"/>
    </row>
    <row r="31" spans="1:16" x14ac:dyDescent="0.2">
      <c r="A31" s="74"/>
      <c r="B31" s="90" t="s">
        <v>95</v>
      </c>
      <c r="C31" s="32"/>
      <c r="D31" s="32"/>
      <c r="E31" s="32"/>
      <c r="F31" s="89">
        <v>11</v>
      </c>
      <c r="G31" s="32"/>
      <c r="H31" s="38"/>
      <c r="I31" s="69"/>
      <c r="K31" s="101"/>
      <c r="L31" s="102"/>
      <c r="M31" s="102"/>
      <c r="N31" s="102"/>
      <c r="O31" s="102"/>
      <c r="P31" s="102"/>
    </row>
    <row r="32" spans="1:16" s="83" customFormat="1" ht="14" x14ac:dyDescent="0.2">
      <c r="A32" s="88"/>
      <c r="B32" s="87" t="s">
        <v>94</v>
      </c>
      <c r="C32" s="86"/>
      <c r="D32" s="86"/>
      <c r="E32" s="86"/>
      <c r="F32" s="86"/>
      <c r="G32" s="86"/>
      <c r="H32" s="85"/>
      <c r="I32" s="84"/>
    </row>
    <row r="33" spans="1:9" ht="7.5" customHeight="1" x14ac:dyDescent="0.2">
      <c r="A33" s="74"/>
      <c r="B33" s="82"/>
      <c r="C33" s="82"/>
      <c r="D33" s="82"/>
      <c r="E33" s="82"/>
      <c r="F33" s="82"/>
      <c r="G33" s="82"/>
      <c r="H33" s="82"/>
      <c r="I33" s="69"/>
    </row>
    <row r="34" spans="1:9" s="75" customFormat="1" ht="15" x14ac:dyDescent="0.2">
      <c r="A34" s="81"/>
      <c r="B34" s="80" t="s">
        <v>93</v>
      </c>
      <c r="C34" s="79"/>
      <c r="D34" s="78"/>
      <c r="E34" s="78">
        <v>2</v>
      </c>
      <c r="F34" s="78">
        <v>3</v>
      </c>
      <c r="G34" s="78">
        <v>4</v>
      </c>
      <c r="H34" s="77">
        <v>5</v>
      </c>
      <c r="I34" s="76"/>
    </row>
    <row r="35" spans="1:9" x14ac:dyDescent="0.2">
      <c r="A35" s="74"/>
      <c r="B35" s="73" t="s">
        <v>92</v>
      </c>
      <c r="C35" s="72"/>
      <c r="D35" s="71"/>
      <c r="E35" s="71">
        <v>0.03</v>
      </c>
      <c r="F35" s="71">
        <v>0.04</v>
      </c>
      <c r="G35" s="71">
        <v>4.4999999999999998E-2</v>
      </c>
      <c r="H35" s="70">
        <v>0.05</v>
      </c>
      <c r="I35" s="69"/>
    </row>
    <row r="36" spans="1:9" ht="7.5" customHeight="1" x14ac:dyDescent="0.2">
      <c r="A36" s="68"/>
      <c r="B36" s="67"/>
      <c r="C36" s="67"/>
      <c r="D36" s="67"/>
      <c r="E36" s="67"/>
      <c r="F36" s="67"/>
      <c r="G36" s="67"/>
      <c r="H36" s="67"/>
      <c r="I36" s="66"/>
    </row>
    <row r="37" spans="1:9" ht="6.75" customHeight="1" thickBot="1" x14ac:dyDescent="0.25"/>
    <row r="38" spans="1:9" ht="7.5" customHeight="1" thickBot="1" x14ac:dyDescent="0.25">
      <c r="A38" s="65"/>
      <c r="B38" s="64"/>
      <c r="C38" s="64"/>
      <c r="D38" s="64"/>
      <c r="E38" s="64"/>
      <c r="F38" s="64"/>
      <c r="G38" s="64"/>
      <c r="H38" s="64"/>
      <c r="I38" s="63"/>
    </row>
    <row r="39" spans="1:9" ht="15.75" customHeight="1" x14ac:dyDescent="0.2">
      <c r="A39" s="62"/>
      <c r="B39" s="114" t="s">
        <v>91</v>
      </c>
      <c r="C39" s="115"/>
      <c r="D39" s="115"/>
      <c r="E39" s="115"/>
      <c r="F39" s="115"/>
      <c r="G39" s="115"/>
      <c r="H39" s="116"/>
      <c r="I39" s="61"/>
    </row>
    <row r="40" spans="1:9" x14ac:dyDescent="0.2">
      <c r="A40" s="62"/>
      <c r="B40" s="117"/>
      <c r="C40" s="118"/>
      <c r="D40" s="118"/>
      <c r="E40" s="118"/>
      <c r="F40" s="118"/>
      <c r="G40" s="118"/>
      <c r="H40" s="119"/>
      <c r="I40" s="61"/>
    </row>
    <row r="41" spans="1:9" ht="17" thickBot="1" x14ac:dyDescent="0.25">
      <c r="A41" s="62"/>
      <c r="B41" s="120"/>
      <c r="C41" s="121"/>
      <c r="D41" s="121"/>
      <c r="E41" s="121"/>
      <c r="F41" s="121"/>
      <c r="G41" s="121"/>
      <c r="H41" s="122"/>
      <c r="I41" s="61"/>
    </row>
    <row r="42" spans="1:9" ht="7.5" customHeight="1" thickBot="1" x14ac:dyDescent="0.25">
      <c r="A42" s="60"/>
      <c r="B42" s="59"/>
      <c r="C42" s="59"/>
      <c r="D42" s="59"/>
      <c r="E42" s="59"/>
      <c r="F42" s="59"/>
      <c r="G42" s="59"/>
      <c r="H42" s="59"/>
      <c r="I42" s="58"/>
    </row>
    <row r="43" spans="1:9" ht="17" thickBot="1" x14ac:dyDescent="0.25"/>
    <row r="44" spans="1:9" ht="17" thickBot="1" x14ac:dyDescent="0.25">
      <c r="B44" s="55" t="s">
        <v>90</v>
      </c>
      <c r="C44" s="57"/>
      <c r="D44" s="53"/>
      <c r="E44" s="55" t="str">
        <f>IF(D44="PAILA","QUE TASA DE DESCUENTO USASTE?","")</f>
        <v/>
      </c>
      <c r="H44" s="56"/>
    </row>
    <row r="45" spans="1:9" ht="5.25" customHeight="1" thickBot="1" x14ac:dyDescent="0.25">
      <c r="D45" s="53"/>
    </row>
    <row r="46" spans="1:9" ht="17" thickBot="1" x14ac:dyDescent="0.25">
      <c r="B46" s="55" t="s">
        <v>89</v>
      </c>
      <c r="C46" s="56"/>
      <c r="D46" s="53"/>
      <c r="H46" s="53" t="str">
        <f>IF(H44="","",IF(H44&gt;#REF!*0.995,IF(H44&lt;#REF!*1.005,"CORRECTA","PAILA"),"PAILA"))</f>
        <v/>
      </c>
    </row>
    <row r="47" spans="1:9" ht="5.25" customHeight="1" thickBot="1" x14ac:dyDescent="0.25">
      <c r="D47" s="53"/>
    </row>
    <row r="48" spans="1:9" ht="17" thickBot="1" x14ac:dyDescent="0.25">
      <c r="B48" s="55" t="s">
        <v>88</v>
      </c>
      <c r="C48" s="54"/>
      <c r="D48" s="53"/>
    </row>
  </sheetData>
  <sheetProtection selectLockedCells="1"/>
  <mergeCells count="7">
    <mergeCell ref="B39:H41"/>
    <mergeCell ref="B2:H4"/>
    <mergeCell ref="B6:H9"/>
    <mergeCell ref="B14:H16"/>
    <mergeCell ref="B18:H21"/>
    <mergeCell ref="B23:H24"/>
    <mergeCell ref="B11:H12"/>
  </mergeCells>
  <conditionalFormatting sqref="H44">
    <cfRule type="expression" dxfId="0" priority="1">
      <formula>$D$44=""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AFAD3F5D4A4B49BF9F9AFC23CD6CC8" ma:contentTypeVersion="2" ma:contentTypeDescription="Crear nuevo documento." ma:contentTypeScope="" ma:versionID="d511245d8851987d0dc8333de02f3680">
  <xsd:schema xmlns:xsd="http://www.w3.org/2001/XMLSchema" xmlns:xs="http://www.w3.org/2001/XMLSchema" xmlns:p="http://schemas.microsoft.com/office/2006/metadata/properties" xmlns:ns2="8d65419f-b40d-4c03-bc93-f175dfd824f3" targetNamespace="http://schemas.microsoft.com/office/2006/metadata/properties" ma:root="true" ma:fieldsID="525d760e24b669dbd55ca28612a6d7b6" ns2:_="">
    <xsd:import namespace="8d65419f-b40d-4c03-bc93-f175dfd824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419f-b40d-4c03-bc93-f175dfd82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56EB5A-9FFB-40E7-8C8A-A740E01470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594B84F-C4A9-4F5E-9FEA-C10A2D0C5B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C967FA-1C65-4D1D-9008-79B7566059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65419f-b40d-4c03-bc93-f175dfd82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REPASO 1</vt:lpstr>
      <vt:lpstr>REPASO 2</vt:lpstr>
      <vt:lpstr>REPASO 3</vt:lpstr>
      <vt:lpstr>REPASO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GONZALEZ</dc:creator>
  <cp:lastModifiedBy>Microsoft Office User</cp:lastModifiedBy>
  <dcterms:created xsi:type="dcterms:W3CDTF">2019-04-14T16:46:47Z</dcterms:created>
  <dcterms:modified xsi:type="dcterms:W3CDTF">2020-05-13T19:44:54Z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0x01010026AFAD3F5D4A4B49BF9F9AFC23CD6CC8</vt:lpwstr>
  </property>
</Properties>
</file>