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Nikolás ECI 201/FCFI/"/>
    </mc:Choice>
  </mc:AlternateContent>
  <xr:revisionPtr revIDLastSave="0" documentId="13_ncr:1_{0CCE55A1-0D0A-C24B-B048-98EC31EBFBDF}" xr6:coauthVersionLast="36" xr6:coauthVersionMax="36" xr10:uidLastSave="{00000000-0000-0000-0000-000000000000}"/>
  <bookViews>
    <workbookView xWindow="20" yWindow="460" windowWidth="25600" windowHeight="14500" xr2:uid="{00000000-000D-0000-FFFF-FFFF00000000}"/>
  </bookViews>
  <sheets>
    <sheet name="TPL" sheetId="1" r:id="rId1"/>
    <sheet name="BAY" sheetId="2" r:id="rId2"/>
    <sheet name="ITX" sheetId="4" r:id="rId3"/>
    <sheet name="Hoja1" sheetId="5" r:id="rId4"/>
  </sheets>
  <externalReferences>
    <externalReference r:id="rId5"/>
  </externalReferences>
  <definedNames>
    <definedName name="EERR">'[1]Consolidated Income Statement'!$C$4:$BU$228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4" l="1"/>
  <c r="F134" i="4"/>
  <c r="B134" i="4"/>
  <c r="F122" i="2"/>
  <c r="D122" i="2"/>
  <c r="F127" i="4" l="1"/>
  <c r="D127" i="4"/>
  <c r="B127" i="4"/>
  <c r="F147" i="4" l="1"/>
  <c r="F145" i="4"/>
  <c r="F146" i="4" s="1"/>
  <c r="F148" i="4" s="1"/>
  <c r="F144" i="4"/>
  <c r="D147" i="4"/>
  <c r="D145" i="4"/>
  <c r="D146" i="4" s="1"/>
  <c r="D148" i="4" s="1"/>
  <c r="D144" i="4"/>
  <c r="B147" i="4"/>
  <c r="F141" i="4"/>
  <c r="F140" i="4"/>
  <c r="F139" i="4"/>
  <c r="F138" i="4"/>
  <c r="F137" i="4"/>
  <c r="D141" i="4"/>
  <c r="D140" i="4"/>
  <c r="D139" i="4"/>
  <c r="D138" i="4"/>
  <c r="D137" i="4"/>
  <c r="B148" i="4"/>
  <c r="B140" i="4"/>
  <c r="B146" i="4"/>
  <c r="B145" i="4"/>
  <c r="B144" i="4"/>
  <c r="B141" i="4"/>
  <c r="B139" i="4"/>
  <c r="B138" i="4"/>
  <c r="B137" i="4"/>
  <c r="F133" i="4"/>
  <c r="F132" i="4"/>
  <c r="D133" i="4"/>
  <c r="D132" i="4"/>
  <c r="B133" i="4"/>
  <c r="B132" i="4"/>
  <c r="F129" i="4"/>
  <c r="F126" i="4"/>
  <c r="F124" i="4"/>
  <c r="F123" i="4"/>
  <c r="F125" i="4" s="1"/>
  <c r="F121" i="4"/>
  <c r="F120" i="4"/>
  <c r="F119" i="4"/>
  <c r="D129" i="4"/>
  <c r="D126" i="4"/>
  <c r="D124" i="4"/>
  <c r="D125" i="4" s="1"/>
  <c r="D123" i="4"/>
  <c r="D121" i="4"/>
  <c r="D120" i="4"/>
  <c r="D119" i="4"/>
  <c r="B129" i="4"/>
  <c r="B126" i="4"/>
  <c r="B125" i="4"/>
  <c r="B124" i="4"/>
  <c r="B123" i="4"/>
  <c r="B121" i="4"/>
  <c r="B120" i="4"/>
  <c r="B119" i="4"/>
  <c r="F135" i="2"/>
  <c r="F133" i="2"/>
  <c r="F134" i="2" s="1"/>
  <c r="F136" i="2" s="1"/>
  <c r="F132" i="2"/>
  <c r="D135" i="2"/>
  <c r="D133" i="2"/>
  <c r="D134" i="2" s="1"/>
  <c r="D136" i="2" s="1"/>
  <c r="D132" i="2"/>
  <c r="B136" i="2"/>
  <c r="B135" i="2"/>
  <c r="B134" i="2"/>
  <c r="B133" i="2"/>
  <c r="B132" i="2"/>
  <c r="F129" i="2"/>
  <c r="F128" i="2"/>
  <c r="F127" i="2"/>
  <c r="F126" i="2"/>
  <c r="F125" i="2"/>
  <c r="D129" i="2"/>
  <c r="D128" i="2"/>
  <c r="D127" i="2"/>
  <c r="D126" i="2"/>
  <c r="D125" i="2"/>
  <c r="B129" i="2"/>
  <c r="B128" i="2"/>
  <c r="B127" i="2"/>
  <c r="B126" i="2"/>
  <c r="B125" i="2"/>
  <c r="F121" i="2"/>
  <c r="F120" i="2"/>
  <c r="D121" i="2"/>
  <c r="D120" i="2"/>
  <c r="B122" i="2"/>
  <c r="B121" i="2"/>
  <c r="B120" i="2"/>
  <c r="F117" i="2"/>
  <c r="F114" i="2"/>
  <c r="F113" i="2"/>
  <c r="F115" i="2" s="1"/>
  <c r="F112" i="2"/>
  <c r="F111" i="2"/>
  <c r="F109" i="2"/>
  <c r="F108" i="2"/>
  <c r="F107" i="2"/>
  <c r="D117" i="2"/>
  <c r="D114" i="2"/>
  <c r="D113" i="2"/>
  <c r="D115" i="2" s="1"/>
  <c r="D112" i="2"/>
  <c r="D111" i="2"/>
  <c r="D109" i="2"/>
  <c r="D108" i="2"/>
  <c r="D107" i="2"/>
  <c r="B67" i="1"/>
  <c r="F82" i="1" l="1"/>
  <c r="D82" i="1"/>
  <c r="B82" i="1"/>
  <c r="B80" i="1"/>
  <c r="D67" i="1"/>
  <c r="F67" i="1"/>
  <c r="D68" i="1"/>
  <c r="F68" i="1"/>
  <c r="B68" i="1"/>
  <c r="F64" i="1"/>
  <c r="F80" i="1" s="1"/>
  <c r="D64" i="1"/>
  <c r="D80" i="1" s="1"/>
  <c r="B64" i="1"/>
  <c r="I59" i="1"/>
  <c r="I58" i="1"/>
  <c r="I60" i="1" s="1"/>
  <c r="D91" i="2" l="1"/>
  <c r="F91" i="2"/>
  <c r="D92" i="2"/>
  <c r="F92" i="2"/>
  <c r="D94" i="2"/>
  <c r="F94" i="2"/>
  <c r="D96" i="2"/>
  <c r="F96" i="2"/>
  <c r="D98" i="2"/>
  <c r="F98" i="2"/>
  <c r="D100" i="2"/>
  <c r="F100" i="2"/>
  <c r="B100" i="2"/>
  <c r="B98" i="2"/>
  <c r="B96" i="2"/>
  <c r="B94" i="2"/>
  <c r="B92" i="2"/>
  <c r="B91" i="2"/>
  <c r="D80" i="2"/>
  <c r="F80" i="2"/>
  <c r="D81" i="2"/>
  <c r="F81" i="2"/>
  <c r="B81" i="2"/>
  <c r="B80" i="2"/>
  <c r="I80" i="2" s="1"/>
  <c r="D68" i="2"/>
  <c r="F68" i="2"/>
  <c r="D69" i="2"/>
  <c r="F69" i="2"/>
  <c r="D70" i="2"/>
  <c r="F70" i="2"/>
  <c r="D73" i="2"/>
  <c r="F73" i="2"/>
  <c r="D74" i="2"/>
  <c r="F74" i="2"/>
  <c r="D75" i="2"/>
  <c r="F75" i="2"/>
  <c r="B75" i="2"/>
  <c r="B74" i="2"/>
  <c r="I74" i="2" s="1"/>
  <c r="B73" i="2"/>
  <c r="B70" i="2"/>
  <c r="B69" i="2"/>
  <c r="B68" i="2"/>
  <c r="D53" i="2"/>
  <c r="F53" i="2"/>
  <c r="D54" i="2"/>
  <c r="F54" i="2"/>
  <c r="D55" i="2"/>
  <c r="F55" i="2"/>
  <c r="D56" i="2"/>
  <c r="F56" i="2"/>
  <c r="D59" i="2"/>
  <c r="F59" i="2"/>
  <c r="D60" i="2"/>
  <c r="F60" i="2"/>
  <c r="D61" i="2"/>
  <c r="F61" i="2"/>
  <c r="B59" i="2"/>
  <c r="B61" i="2"/>
  <c r="B60" i="2"/>
  <c r="B56" i="2"/>
  <c r="B55" i="2"/>
  <c r="B112" i="2" s="1"/>
  <c r="B54" i="2"/>
  <c r="B53" i="2"/>
  <c r="B111" i="2" l="1"/>
  <c r="B113" i="2" s="1"/>
  <c r="B114" i="2"/>
  <c r="J61" i="2"/>
  <c r="G98" i="2"/>
  <c r="I94" i="2"/>
  <c r="J70" i="2"/>
  <c r="J81" i="2"/>
  <c r="J94" i="2"/>
  <c r="I56" i="2"/>
  <c r="J54" i="2"/>
  <c r="J56" i="2"/>
  <c r="I53" i="2"/>
  <c r="J53" i="2"/>
  <c r="I73" i="2"/>
  <c r="J75" i="2"/>
  <c r="E100" i="2"/>
  <c r="E92" i="2"/>
  <c r="F71" i="2"/>
  <c r="B93" i="2"/>
  <c r="B95" i="2" s="1"/>
  <c r="J91" i="2"/>
  <c r="I69" i="2"/>
  <c r="D71" i="2"/>
  <c r="J71" i="2" s="1"/>
  <c r="I92" i="2"/>
  <c r="E94" i="2"/>
  <c r="C100" i="2"/>
  <c r="J60" i="2"/>
  <c r="I75" i="2"/>
  <c r="I96" i="2"/>
  <c r="J96" i="2"/>
  <c r="C96" i="2"/>
  <c r="J74" i="2"/>
  <c r="F76" i="2"/>
  <c r="J98" i="2"/>
  <c r="J73" i="2"/>
  <c r="G96" i="2"/>
  <c r="I55" i="2"/>
  <c r="D76" i="2"/>
  <c r="C98" i="2"/>
  <c r="C92" i="2"/>
  <c r="B71" i="2"/>
  <c r="B109" i="2" s="1"/>
  <c r="I60" i="2"/>
  <c r="I100" i="2"/>
  <c r="I61" i="2"/>
  <c r="I68" i="2"/>
  <c r="G100" i="2"/>
  <c r="G92" i="2"/>
  <c r="F62" i="2"/>
  <c r="F93" i="2"/>
  <c r="G91" i="2"/>
  <c r="G94" i="2"/>
  <c r="D62" i="2"/>
  <c r="D93" i="2"/>
  <c r="E98" i="2"/>
  <c r="I59" i="2"/>
  <c r="C91" i="2"/>
  <c r="C94" i="2"/>
  <c r="J59" i="2"/>
  <c r="B76" i="2"/>
  <c r="B108" i="2" s="1"/>
  <c r="I91" i="2"/>
  <c r="I54" i="2"/>
  <c r="E96" i="2"/>
  <c r="I98" i="2"/>
  <c r="I81" i="2"/>
  <c r="I70" i="2"/>
  <c r="J80" i="2"/>
  <c r="J69" i="2"/>
  <c r="E91" i="2"/>
  <c r="F57" i="2"/>
  <c r="J100" i="2"/>
  <c r="J92" i="2"/>
  <c r="J68" i="2"/>
  <c r="J55" i="2"/>
  <c r="D57" i="2"/>
  <c r="B57" i="2"/>
  <c r="B62" i="2"/>
  <c r="I5" i="1"/>
  <c r="J5" i="1"/>
  <c r="I7" i="1"/>
  <c r="J7" i="1"/>
  <c r="I8" i="1"/>
  <c r="J8" i="1"/>
  <c r="I10" i="1"/>
  <c r="J10" i="1"/>
  <c r="I12" i="1"/>
  <c r="J12" i="1"/>
  <c r="I18" i="1"/>
  <c r="J18" i="1"/>
  <c r="I19" i="1"/>
  <c r="J19" i="1"/>
  <c r="I20" i="1"/>
  <c r="J20" i="1"/>
  <c r="I21" i="1"/>
  <c r="J21" i="1"/>
  <c r="I22" i="1"/>
  <c r="J22" i="1"/>
  <c r="I24" i="1"/>
  <c r="J24" i="1"/>
  <c r="I25" i="1"/>
  <c r="J25" i="1"/>
  <c r="I26" i="1"/>
  <c r="J26" i="1"/>
  <c r="I27" i="1"/>
  <c r="J27" i="1"/>
  <c r="I28" i="1"/>
  <c r="J28" i="1"/>
  <c r="I32" i="1"/>
  <c r="J32" i="1"/>
  <c r="I33" i="1"/>
  <c r="J33" i="1"/>
  <c r="I34" i="1"/>
  <c r="J34" i="1"/>
  <c r="I35" i="1"/>
  <c r="J35" i="1"/>
  <c r="I37" i="1"/>
  <c r="J37" i="1"/>
  <c r="I38" i="1"/>
  <c r="J38" i="1"/>
  <c r="I39" i="1"/>
  <c r="J39" i="1"/>
  <c r="I40" i="1"/>
  <c r="J40" i="1"/>
  <c r="I41" i="1"/>
  <c r="J41" i="1"/>
  <c r="I44" i="1"/>
  <c r="J44" i="1"/>
  <c r="I45" i="1"/>
  <c r="J45" i="1"/>
  <c r="I46" i="1"/>
  <c r="J46" i="1"/>
  <c r="I47" i="1"/>
  <c r="J47" i="1"/>
  <c r="I48" i="1"/>
  <c r="J48" i="1"/>
  <c r="I50" i="1"/>
  <c r="J50" i="1"/>
  <c r="J4" i="1"/>
  <c r="I4" i="1"/>
  <c r="G5" i="1"/>
  <c r="G7" i="1"/>
  <c r="G8" i="1"/>
  <c r="G10" i="1"/>
  <c r="G12" i="1"/>
  <c r="G4" i="1"/>
  <c r="E5" i="1"/>
  <c r="E7" i="1"/>
  <c r="E8" i="1"/>
  <c r="E10" i="1"/>
  <c r="E12" i="1"/>
  <c r="E4" i="1"/>
  <c r="C5" i="1"/>
  <c r="C7" i="1"/>
  <c r="C8" i="1"/>
  <c r="C10" i="1"/>
  <c r="C12" i="1"/>
  <c r="C4" i="1"/>
  <c r="G19" i="1"/>
  <c r="G20" i="1"/>
  <c r="G21" i="1"/>
  <c r="G22" i="1"/>
  <c r="G24" i="1"/>
  <c r="G25" i="1"/>
  <c r="G26" i="1"/>
  <c r="G28" i="1"/>
  <c r="G32" i="1"/>
  <c r="G33" i="1"/>
  <c r="G34" i="1"/>
  <c r="G35" i="1"/>
  <c r="G37" i="1"/>
  <c r="G38" i="1"/>
  <c r="G39" i="1"/>
  <c r="G40" i="1"/>
  <c r="G41" i="1"/>
  <c r="G44" i="1"/>
  <c r="G45" i="1"/>
  <c r="G46" i="1"/>
  <c r="G47" i="1"/>
  <c r="G48" i="1"/>
  <c r="G50" i="1"/>
  <c r="G18" i="1"/>
  <c r="E19" i="1"/>
  <c r="E20" i="1"/>
  <c r="E21" i="1"/>
  <c r="E22" i="1"/>
  <c r="E24" i="1"/>
  <c r="E25" i="1"/>
  <c r="E26" i="1"/>
  <c r="E27" i="1"/>
  <c r="E28" i="1"/>
  <c r="E32" i="1"/>
  <c r="E33" i="1"/>
  <c r="E34" i="1"/>
  <c r="E35" i="1"/>
  <c r="E37" i="1"/>
  <c r="E38" i="1"/>
  <c r="E39" i="1"/>
  <c r="E40" i="1"/>
  <c r="E41" i="1"/>
  <c r="E44" i="1"/>
  <c r="E45" i="1"/>
  <c r="E46" i="1"/>
  <c r="E47" i="1"/>
  <c r="E48" i="1"/>
  <c r="E50" i="1"/>
  <c r="E18" i="1"/>
  <c r="C19" i="1"/>
  <c r="C20" i="1"/>
  <c r="C21" i="1"/>
  <c r="C22" i="1"/>
  <c r="C24" i="1"/>
  <c r="C25" i="1"/>
  <c r="C26" i="1"/>
  <c r="C27" i="1"/>
  <c r="C28" i="1"/>
  <c r="C32" i="1"/>
  <c r="C33" i="1"/>
  <c r="C34" i="1"/>
  <c r="C35" i="1"/>
  <c r="C37" i="1"/>
  <c r="C38" i="1"/>
  <c r="C39" i="1"/>
  <c r="C40" i="1"/>
  <c r="C41" i="1"/>
  <c r="C44" i="1"/>
  <c r="C45" i="1"/>
  <c r="C46" i="1"/>
  <c r="C47" i="1"/>
  <c r="C48" i="1"/>
  <c r="C50" i="1"/>
  <c r="C18" i="1"/>
  <c r="I87" i="4"/>
  <c r="J87" i="4"/>
  <c r="B107" i="2" l="1"/>
  <c r="B115" i="2"/>
  <c r="J76" i="2"/>
  <c r="I71" i="2"/>
  <c r="B77" i="2"/>
  <c r="C93" i="2"/>
  <c r="D77" i="2"/>
  <c r="F77" i="2"/>
  <c r="F95" i="2"/>
  <c r="I95" i="2" s="1"/>
  <c r="G93" i="2"/>
  <c r="I62" i="2"/>
  <c r="E93" i="2"/>
  <c r="D95" i="2"/>
  <c r="J93" i="2"/>
  <c r="J62" i="2"/>
  <c r="B97" i="2"/>
  <c r="C95" i="2"/>
  <c r="D63" i="2"/>
  <c r="J57" i="2"/>
  <c r="F63" i="2"/>
  <c r="G62" i="2" s="1"/>
  <c r="I93" i="2"/>
  <c r="I76" i="2"/>
  <c r="I57" i="2"/>
  <c r="B63" i="2"/>
  <c r="B117" i="2" s="1"/>
  <c r="D103" i="4"/>
  <c r="F103" i="4"/>
  <c r="G103" i="4" s="1"/>
  <c r="D104" i="4"/>
  <c r="F104" i="4"/>
  <c r="D106" i="4"/>
  <c r="F106" i="4"/>
  <c r="G106" i="4" s="1"/>
  <c r="D108" i="4"/>
  <c r="F108" i="4"/>
  <c r="D110" i="4"/>
  <c r="F110" i="4"/>
  <c r="G110" i="4" s="1"/>
  <c r="D112" i="4"/>
  <c r="F112" i="4"/>
  <c r="B112" i="4"/>
  <c r="B108" i="4"/>
  <c r="B104" i="4"/>
  <c r="B103" i="4"/>
  <c r="D93" i="4"/>
  <c r="F93" i="4"/>
  <c r="D94" i="4"/>
  <c r="F94" i="4"/>
  <c r="B93" i="4"/>
  <c r="B94" i="4"/>
  <c r="D86" i="4"/>
  <c r="F86" i="4"/>
  <c r="D88" i="4"/>
  <c r="F88" i="4"/>
  <c r="B88" i="4"/>
  <c r="B86" i="4"/>
  <c r="I86" i="4" s="1"/>
  <c r="D81" i="4"/>
  <c r="F81" i="4"/>
  <c r="D82" i="4"/>
  <c r="F82" i="4"/>
  <c r="D83" i="4"/>
  <c r="F83" i="4"/>
  <c r="B83" i="4"/>
  <c r="B82" i="4"/>
  <c r="I82" i="4" s="1"/>
  <c r="B81" i="4"/>
  <c r="D71" i="4"/>
  <c r="F71" i="4"/>
  <c r="D72" i="4"/>
  <c r="F72" i="4"/>
  <c r="D73" i="4"/>
  <c r="J73" i="4" s="1"/>
  <c r="F73" i="4"/>
  <c r="D74" i="4"/>
  <c r="F74" i="4"/>
  <c r="D65" i="4"/>
  <c r="J65" i="4" s="1"/>
  <c r="F65" i="4"/>
  <c r="D66" i="4"/>
  <c r="F66" i="4"/>
  <c r="D67" i="4"/>
  <c r="J67" i="4" s="1"/>
  <c r="F67" i="4"/>
  <c r="D68" i="4"/>
  <c r="F68" i="4"/>
  <c r="B74" i="4"/>
  <c r="I74" i="4" s="1"/>
  <c r="B73" i="4"/>
  <c r="I73" i="4" s="1"/>
  <c r="B72" i="4"/>
  <c r="B71" i="4"/>
  <c r="I71" i="4" s="1"/>
  <c r="B65" i="4"/>
  <c r="I65" i="4" s="1"/>
  <c r="B68" i="4"/>
  <c r="B67" i="4"/>
  <c r="B66" i="4"/>
  <c r="I66" i="4" s="1"/>
  <c r="E104" i="4" l="1"/>
  <c r="J82" i="4"/>
  <c r="J86" i="4"/>
  <c r="J94" i="4"/>
  <c r="I104" i="4"/>
  <c r="J112" i="4"/>
  <c r="J108" i="4"/>
  <c r="J71" i="4"/>
  <c r="I94" i="4"/>
  <c r="I108" i="4"/>
  <c r="I112" i="4"/>
  <c r="I77" i="2"/>
  <c r="J77" i="2"/>
  <c r="J103" i="4"/>
  <c r="I103" i="4"/>
  <c r="G112" i="4"/>
  <c r="G108" i="4"/>
  <c r="G104" i="4"/>
  <c r="C76" i="2"/>
  <c r="I63" i="2"/>
  <c r="G57" i="2"/>
  <c r="C57" i="2"/>
  <c r="C62" i="2"/>
  <c r="C97" i="2"/>
  <c r="B99" i="2"/>
  <c r="F97" i="2"/>
  <c r="G95" i="2"/>
  <c r="G60" i="2"/>
  <c r="G73" i="2"/>
  <c r="G63" i="2"/>
  <c r="G68" i="2"/>
  <c r="G54" i="2"/>
  <c r="G71" i="2"/>
  <c r="G56" i="2"/>
  <c r="G80" i="2"/>
  <c r="G69" i="2"/>
  <c r="G75" i="2"/>
  <c r="G55" i="2"/>
  <c r="G59" i="2"/>
  <c r="G53" i="2"/>
  <c r="G70" i="2"/>
  <c r="G74" i="2"/>
  <c r="G61" i="2"/>
  <c r="G76" i="2"/>
  <c r="G81" i="2"/>
  <c r="C63" i="2"/>
  <c r="C56" i="2"/>
  <c r="C69" i="2"/>
  <c r="C80" i="2"/>
  <c r="C74" i="2"/>
  <c r="C73" i="2"/>
  <c r="C54" i="2"/>
  <c r="C81" i="2"/>
  <c r="C60" i="2"/>
  <c r="C68" i="2"/>
  <c r="C53" i="2"/>
  <c r="C70" i="2"/>
  <c r="C55" i="2"/>
  <c r="C59" i="2"/>
  <c r="C71" i="2"/>
  <c r="C61" i="2"/>
  <c r="C75" i="2"/>
  <c r="G77" i="2"/>
  <c r="E70" i="2"/>
  <c r="E81" i="2"/>
  <c r="E59" i="2"/>
  <c r="E75" i="2"/>
  <c r="E54" i="2"/>
  <c r="E53" i="2"/>
  <c r="J63" i="2"/>
  <c r="E63" i="2"/>
  <c r="E77" i="2"/>
  <c r="E55" i="2"/>
  <c r="E80" i="2"/>
  <c r="E68" i="2"/>
  <c r="E61" i="2"/>
  <c r="E74" i="2"/>
  <c r="E69" i="2"/>
  <c r="E73" i="2"/>
  <c r="E71" i="2"/>
  <c r="E60" i="2"/>
  <c r="E56" i="2"/>
  <c r="E76" i="2"/>
  <c r="E62" i="2"/>
  <c r="E57" i="2"/>
  <c r="E95" i="2"/>
  <c r="D97" i="2"/>
  <c r="J95" i="2"/>
  <c r="C77" i="2"/>
  <c r="J106" i="4"/>
  <c r="E112" i="4"/>
  <c r="E108" i="4"/>
  <c r="J110" i="4"/>
  <c r="I67" i="4"/>
  <c r="I72" i="4"/>
  <c r="J68" i="4"/>
  <c r="J66" i="4"/>
  <c r="J74" i="4"/>
  <c r="J72" i="4"/>
  <c r="C112" i="4"/>
  <c r="C108" i="4"/>
  <c r="C104" i="4"/>
  <c r="I81" i="4"/>
  <c r="J83" i="4"/>
  <c r="J81" i="4"/>
  <c r="J88" i="4"/>
  <c r="I93" i="4"/>
  <c r="J93" i="4"/>
  <c r="I68" i="4"/>
  <c r="I83" i="4"/>
  <c r="I88" i="4"/>
  <c r="D105" i="4"/>
  <c r="D107" i="4" s="1"/>
  <c r="J104" i="4"/>
  <c r="E103" i="4"/>
  <c r="E110" i="4"/>
  <c r="E106" i="4"/>
  <c r="C103" i="4"/>
  <c r="F84" i="4"/>
  <c r="B105" i="4"/>
  <c r="F105" i="4"/>
  <c r="B69" i="4"/>
  <c r="B75" i="4"/>
  <c r="B84" i="4"/>
  <c r="F89" i="4"/>
  <c r="D75" i="4"/>
  <c r="D84" i="4"/>
  <c r="D89" i="4"/>
  <c r="B89" i="4"/>
  <c r="D69" i="4"/>
  <c r="F69" i="4"/>
  <c r="F75" i="4"/>
  <c r="B53" i="4"/>
  <c r="B110" i="4" s="1"/>
  <c r="B48" i="4"/>
  <c r="B106" i="4" s="1"/>
  <c r="F99" i="2" l="1"/>
  <c r="G97" i="2"/>
  <c r="C99" i="2"/>
  <c r="B101" i="2"/>
  <c r="D99" i="2"/>
  <c r="J97" i="2"/>
  <c r="E97" i="2"/>
  <c r="I97" i="2"/>
  <c r="B107" i="4"/>
  <c r="I106" i="4"/>
  <c r="C106" i="4"/>
  <c r="I69" i="4"/>
  <c r="D109" i="4"/>
  <c r="E107" i="4"/>
  <c r="D76" i="4"/>
  <c r="E69" i="4" s="1"/>
  <c r="J69" i="4"/>
  <c r="J75" i="4"/>
  <c r="J89" i="4"/>
  <c r="I84" i="4"/>
  <c r="J84" i="4"/>
  <c r="I75" i="4"/>
  <c r="I105" i="4"/>
  <c r="C105" i="4"/>
  <c r="I110" i="4"/>
  <c r="C110" i="4"/>
  <c r="I89" i="4"/>
  <c r="F90" i="4"/>
  <c r="F107" i="4"/>
  <c r="J107" i="4" s="1"/>
  <c r="G105" i="4"/>
  <c r="J105" i="4"/>
  <c r="E105" i="4"/>
  <c r="B90" i="4"/>
  <c r="B76" i="4"/>
  <c r="D90" i="4"/>
  <c r="F76" i="4"/>
  <c r="G75" i="4" s="1"/>
  <c r="D10" i="4"/>
  <c r="F10" i="4"/>
  <c r="D18" i="4"/>
  <c r="F18" i="4"/>
  <c r="D26" i="4"/>
  <c r="F26" i="4"/>
  <c r="D32" i="4"/>
  <c r="F32" i="4"/>
  <c r="D41" i="4"/>
  <c r="F41" i="4"/>
  <c r="D47" i="4"/>
  <c r="D52" i="4" s="1"/>
  <c r="D55" i="4" s="1"/>
  <c r="D57" i="4" s="1"/>
  <c r="D59" i="4" s="1"/>
  <c r="F47" i="4"/>
  <c r="F52" i="4" s="1"/>
  <c r="F55" i="4" s="1"/>
  <c r="F57" i="4" s="1"/>
  <c r="F59" i="4" s="1"/>
  <c r="B47" i="4"/>
  <c r="B52" i="4" s="1"/>
  <c r="B55" i="4" s="1"/>
  <c r="B57" i="4" s="1"/>
  <c r="B59" i="4" s="1"/>
  <c r="B41" i="4"/>
  <c r="B26" i="4"/>
  <c r="B18" i="4"/>
  <c r="B10" i="4"/>
  <c r="E75" i="4" l="1"/>
  <c r="G89" i="4"/>
  <c r="G90" i="4"/>
  <c r="G84" i="4"/>
  <c r="E84" i="4"/>
  <c r="E89" i="4"/>
  <c r="G69" i="4"/>
  <c r="F101" i="2"/>
  <c r="G99" i="2"/>
  <c r="D101" i="2"/>
  <c r="E99" i="2"/>
  <c r="J99" i="2"/>
  <c r="I99" i="2"/>
  <c r="B83" i="2"/>
  <c r="C101" i="2"/>
  <c r="J90" i="4"/>
  <c r="E90" i="4"/>
  <c r="I76" i="4"/>
  <c r="C87" i="4"/>
  <c r="C76" i="4"/>
  <c r="C68" i="4"/>
  <c r="C72" i="4"/>
  <c r="C83" i="4"/>
  <c r="C74" i="4"/>
  <c r="C81" i="4"/>
  <c r="C67" i="4"/>
  <c r="C86" i="4"/>
  <c r="C94" i="4"/>
  <c r="C66" i="4"/>
  <c r="C93" i="4"/>
  <c r="C73" i="4"/>
  <c r="C65" i="4"/>
  <c r="C88" i="4"/>
  <c r="C82" i="4"/>
  <c r="C71" i="4"/>
  <c r="C75" i="4"/>
  <c r="I90" i="4"/>
  <c r="C90" i="4"/>
  <c r="C89" i="4"/>
  <c r="C84" i="4"/>
  <c r="D111" i="4"/>
  <c r="E109" i="4"/>
  <c r="G87" i="4"/>
  <c r="G76" i="4"/>
  <c r="G71" i="4"/>
  <c r="G93" i="4"/>
  <c r="G72" i="4"/>
  <c r="G82" i="4"/>
  <c r="G67" i="4"/>
  <c r="G83" i="4"/>
  <c r="G68" i="4"/>
  <c r="G86" i="4"/>
  <c r="G65" i="4"/>
  <c r="G81" i="4"/>
  <c r="G66" i="4"/>
  <c r="G94" i="4"/>
  <c r="G73" i="4"/>
  <c r="G88" i="4"/>
  <c r="G74" i="4"/>
  <c r="F109" i="4"/>
  <c r="G107" i="4"/>
  <c r="J76" i="4"/>
  <c r="E76" i="4"/>
  <c r="E87" i="4"/>
  <c r="E66" i="4"/>
  <c r="E93" i="4"/>
  <c r="E94" i="4"/>
  <c r="E81" i="4"/>
  <c r="E71" i="4"/>
  <c r="E73" i="4"/>
  <c r="E83" i="4"/>
  <c r="E82" i="4"/>
  <c r="E68" i="4"/>
  <c r="E72" i="4"/>
  <c r="E88" i="4"/>
  <c r="E74" i="4"/>
  <c r="E86" i="4"/>
  <c r="E67" i="4"/>
  <c r="E65" i="4"/>
  <c r="C69" i="4"/>
  <c r="B109" i="4"/>
  <c r="I107" i="4"/>
  <c r="C107" i="4"/>
  <c r="F33" i="4"/>
  <c r="F42" i="4" s="1"/>
  <c r="F19" i="4"/>
  <c r="D33" i="4"/>
  <c r="D42" i="4" s="1"/>
  <c r="B32" i="4"/>
  <c r="B33" i="4" s="1"/>
  <c r="B42" i="4" s="1"/>
  <c r="B19" i="4"/>
  <c r="D19" i="4"/>
  <c r="F46" i="2"/>
  <c r="D46" i="2"/>
  <c r="B46" i="2"/>
  <c r="F39" i="2"/>
  <c r="D39" i="2"/>
  <c r="B39" i="2"/>
  <c r="F34" i="2"/>
  <c r="D34" i="2"/>
  <c r="B34" i="2"/>
  <c r="F26" i="2"/>
  <c r="D26" i="2"/>
  <c r="B26" i="2"/>
  <c r="F21" i="2"/>
  <c r="D21" i="2"/>
  <c r="B21" i="2"/>
  <c r="F5" i="2"/>
  <c r="F8" i="2" s="1"/>
  <c r="F10" i="2" s="1"/>
  <c r="F12" i="2" s="1"/>
  <c r="D5" i="2"/>
  <c r="D8" i="2" s="1"/>
  <c r="D10" i="2" s="1"/>
  <c r="D12" i="2" s="1"/>
  <c r="B5" i="2"/>
  <c r="B8" i="2" s="1"/>
  <c r="B10" i="2" s="1"/>
  <c r="B12" i="2" s="1"/>
  <c r="D6" i="1"/>
  <c r="D72" i="1" s="1"/>
  <c r="F6" i="1"/>
  <c r="F72" i="1" s="1"/>
  <c r="B6" i="1"/>
  <c r="B72" i="1" s="1"/>
  <c r="F40" i="2" l="1"/>
  <c r="F47" i="2" s="1"/>
  <c r="F83" i="2"/>
  <c r="I83" i="2" s="1"/>
  <c r="G101" i="2"/>
  <c r="I101" i="2"/>
  <c r="B82" i="2"/>
  <c r="C83" i="2"/>
  <c r="E101" i="2"/>
  <c r="J101" i="2"/>
  <c r="D83" i="2"/>
  <c r="B40" i="2"/>
  <c r="B47" i="2" s="1"/>
  <c r="F27" i="2"/>
  <c r="D40" i="2"/>
  <c r="D47" i="2" s="1"/>
  <c r="B27" i="2"/>
  <c r="D27" i="2"/>
  <c r="D113" i="4"/>
  <c r="J111" i="4"/>
  <c r="E111" i="4"/>
  <c r="J6" i="1"/>
  <c r="E6" i="1"/>
  <c r="D9" i="1"/>
  <c r="D73" i="1" s="1"/>
  <c r="B111" i="4"/>
  <c r="I109" i="4"/>
  <c r="C109" i="4"/>
  <c r="B9" i="1"/>
  <c r="B73" i="1" s="1"/>
  <c r="I6" i="1"/>
  <c r="C6" i="1"/>
  <c r="F111" i="4"/>
  <c r="G109" i="4"/>
  <c r="F9" i="1"/>
  <c r="F73" i="1" s="1"/>
  <c r="G6" i="1"/>
  <c r="J109" i="4"/>
  <c r="C82" i="2" l="1"/>
  <c r="B84" i="2"/>
  <c r="J83" i="2"/>
  <c r="D82" i="2"/>
  <c r="E83" i="2"/>
  <c r="F82" i="2"/>
  <c r="G83" i="2"/>
  <c r="B113" i="4"/>
  <c r="I111" i="4"/>
  <c r="C111" i="4"/>
  <c r="F11" i="1"/>
  <c r="G9" i="1"/>
  <c r="B11" i="1"/>
  <c r="I9" i="1"/>
  <c r="C9" i="1"/>
  <c r="D11" i="1"/>
  <c r="J9" i="1"/>
  <c r="E9" i="1"/>
  <c r="F113" i="4"/>
  <c r="G111" i="4"/>
  <c r="D96" i="4"/>
  <c r="E113" i="4"/>
  <c r="G82" i="2" l="1"/>
  <c r="F84" i="2"/>
  <c r="I84" i="2" s="1"/>
  <c r="B86" i="2"/>
  <c r="C84" i="2"/>
  <c r="E82" i="2"/>
  <c r="J82" i="2"/>
  <c r="D84" i="2"/>
  <c r="I82" i="2"/>
  <c r="F96" i="4"/>
  <c r="J96" i="4" s="1"/>
  <c r="G113" i="4"/>
  <c r="F13" i="1"/>
  <c r="G11" i="1"/>
  <c r="J113" i="4"/>
  <c r="D95" i="4"/>
  <c r="E96" i="4"/>
  <c r="C11" i="1"/>
  <c r="B13" i="1"/>
  <c r="I11" i="1"/>
  <c r="J11" i="1"/>
  <c r="E11" i="1"/>
  <c r="D13" i="1"/>
  <c r="B96" i="4"/>
  <c r="I113" i="4"/>
  <c r="C113" i="4"/>
  <c r="D69" i="1" l="1"/>
  <c r="D75" i="1"/>
  <c r="D74" i="1"/>
  <c r="D76" i="1"/>
  <c r="B69" i="1"/>
  <c r="B75" i="1"/>
  <c r="B76" i="1"/>
  <c r="B74" i="1"/>
  <c r="F75" i="1"/>
  <c r="F74" i="1"/>
  <c r="F76" i="1"/>
  <c r="G13" i="1"/>
  <c r="F79" i="1" s="1"/>
  <c r="F81" i="1" s="1"/>
  <c r="F83" i="1" s="1"/>
  <c r="F69" i="1"/>
  <c r="B87" i="2"/>
  <c r="C86" i="2"/>
  <c r="D86" i="2"/>
  <c r="J84" i="2"/>
  <c r="E84" i="2"/>
  <c r="F86" i="2"/>
  <c r="G84" i="2"/>
  <c r="B95" i="4"/>
  <c r="I96" i="4"/>
  <c r="C96" i="4"/>
  <c r="E13" i="1"/>
  <c r="D79" i="1" s="1"/>
  <c r="D81" i="1" s="1"/>
  <c r="D83" i="1" s="1"/>
  <c r="J13" i="1"/>
  <c r="C13" i="1"/>
  <c r="B79" i="1" s="1"/>
  <c r="B81" i="1" s="1"/>
  <c r="B83" i="1" s="1"/>
  <c r="I13" i="1"/>
  <c r="D97" i="4"/>
  <c r="E95" i="4"/>
  <c r="F95" i="4"/>
  <c r="G96" i="4"/>
  <c r="D87" i="2" l="1"/>
  <c r="E86" i="2"/>
  <c r="J86" i="2"/>
  <c r="F87" i="2"/>
  <c r="G86" i="2"/>
  <c r="I86" i="2"/>
  <c r="E97" i="4"/>
  <c r="D99" i="4"/>
  <c r="F97" i="4"/>
  <c r="J97" i="4" s="1"/>
  <c r="G95" i="4"/>
  <c r="J95" i="4"/>
  <c r="B97" i="4"/>
  <c r="I95" i="4"/>
  <c r="C95" i="4"/>
  <c r="I97" i="4" l="1"/>
  <c r="C97" i="4"/>
  <c r="B99" i="4"/>
  <c r="D100" i="4"/>
  <c r="E99" i="4"/>
  <c r="G97" i="4"/>
  <c r="F99" i="4"/>
  <c r="I99" i="4" l="1"/>
  <c r="C99" i="4"/>
  <c r="B100" i="4"/>
  <c r="G99" i="4"/>
  <c r="F100" i="4"/>
  <c r="J9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TURNOS</author>
  </authors>
  <commentList>
    <comment ref="B54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0,8 ES INVENTARIO(PRINCIPAL)
</t>
        </r>
        <r>
          <rPr>
            <sz val="9"/>
            <color rgb="FF000000"/>
            <rFont val="Tahoma"/>
            <family val="2"/>
          </rPr>
          <t xml:space="preserve">0,4 CUENTAS POR COBRAR
</t>
        </r>
        <r>
          <rPr>
            <sz val="9"/>
            <color rgb="FF000000"/>
            <rFont val="Tahoma"/>
            <family val="2"/>
          </rPr>
          <t xml:space="preserve">0,3 CAJA
</t>
        </r>
      </text>
    </comment>
    <comment ref="B58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LO QUE SE DEMORA PARA COBRAR UNA FACTURA
</t>
        </r>
      </text>
    </comment>
    <comment ref="B60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DIAS QUE SE TARDA EN VOLVER A CONVERTIRSE EN DINERO
</t>
        </r>
      </text>
    </comment>
    <comment ref="B67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POR CADA PESO, CONSIGO 2,2 EN LA CALLE
</t>
        </r>
      </text>
    </comment>
    <comment ref="B68" authorId="0" shapeId="0" xr:uid="{00000000-0006-0000-0000-000005000000}">
      <text>
        <r>
          <rPr>
            <sz val="9"/>
            <color rgb="FF000000"/>
            <rFont val="Tahoma"/>
            <family val="2"/>
          </rPr>
          <t>70% DE ACTIVOS COMPRADOS CON PLATA DE OTROS</t>
        </r>
      </text>
    </comment>
    <comment ref="I68" authorId="0" shapeId="0" xr:uid="{00000000-0006-0000-0000-000006000000}">
      <text>
        <r>
          <rPr>
            <sz val="9"/>
            <color indexed="81"/>
            <rFont val="Tahoma"/>
            <family val="2"/>
          </rPr>
          <t>CALCULAR ENDEUDAMIENTO CONOCIENDO APALANCACMIENTO</t>
        </r>
      </text>
    </comment>
    <comment ref="B69" authorId="0" shapeId="0" xr:uid="{00000000-0006-0000-0000-000007000000}">
      <text>
        <r>
          <rPr>
            <sz val="9"/>
            <color rgb="FF000000"/>
            <rFont val="Tahoma"/>
            <family val="2"/>
          </rPr>
          <t>GANANCIA CUBRE 1,7 DE LSO INTERESES</t>
        </r>
      </text>
    </comment>
    <comment ref="B72" authorId="0" shapeId="0" xr:uid="{00000000-0006-0000-0000-000008000000}">
      <text>
        <r>
          <rPr>
            <sz val="9"/>
            <color rgb="FF000000"/>
            <rFont val="Tahoma"/>
            <family val="2"/>
          </rPr>
          <t>LO QUE ME QUEDA PARA PAGAR GASTOS</t>
        </r>
      </text>
    </comment>
    <comment ref="B74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LO QUE LE QUEDA AL DUEÑO
</t>
        </r>
      </text>
    </comment>
    <comment ref="B82" authorId="0" shapeId="0" xr:uid="{00000000-0006-0000-0000-00000A000000}">
      <text>
        <r>
          <rPr>
            <sz val="9"/>
            <color rgb="FF000000"/>
            <rFont val="Tahoma"/>
            <family val="2"/>
          </rPr>
          <t>LO QUE LE DEBOLVEMOS EN ACTIVOS</t>
        </r>
      </text>
    </comment>
    <comment ref="D82" authorId="0" shapeId="0" xr:uid="{00000000-0006-0000-0000-00000B000000}">
      <text>
        <r>
          <rPr>
            <sz val="9"/>
            <color indexed="81"/>
            <rFont val="Tahoma"/>
            <family val="2"/>
          </rPr>
          <t>LO QUE LE DEBOLVEMOS EN ACTIVOS</t>
        </r>
      </text>
    </comment>
    <comment ref="F82" authorId="0" shapeId="0" xr:uid="{00000000-0006-0000-0000-00000C000000}">
      <text>
        <r>
          <rPr>
            <sz val="9"/>
            <color indexed="81"/>
            <rFont val="Tahoma"/>
            <family val="2"/>
          </rPr>
          <t>LO QUE LE DEBOLVEMOS EN ACTIVOS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9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EARNINGS BEFORE INTERESTS, TAXES, DEPRECIATIONS &amp; AMORTIZATIONS</t>
        </r>
      </text>
    </comment>
    <comment ref="A148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MAS DEPENDIENTE DE TERCEROS MIRANDO SI EL TOTAL PASIVO ES MAYOR QUE EL TOTAL PATRIMONIO.
</t>
        </r>
        <r>
          <rPr>
            <sz val="9"/>
            <color rgb="FF000000"/>
            <rFont val="Tahoma"/>
            <family val="2"/>
          </rPr>
          <t>COMERCIAL SI LA SUMA DE LAS OBLIGACIONES COMERCIALES ES MAYOR AL DE LAS FINANCIERAS.</t>
        </r>
      </text>
    </comment>
    <comment ref="A1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MIRA LA UTILIDAD BRUTA Y LA OPERATIVA
</t>
        </r>
      </text>
    </comment>
    <comment ref="A15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 MIRA EL TOTAL DE ACTIVO CORRIENTE Y NO CORRIENTE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6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LAS INVERSIONES TEMPORALES O A CORTO PLAZO SE CONSIDERAN EFECTIVO</t>
        </r>
      </text>
    </comment>
    <comment ref="A10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EARNINGS BEFORE INTERESTS, TAXES, DEPRECIATIONS &amp; AMORTIZATIONS</t>
        </r>
      </text>
    </comment>
  </commentList>
</comments>
</file>

<file path=xl/sharedStrings.xml><?xml version="1.0" encoding="utf-8"?>
<sst xmlns="http://schemas.openxmlformats.org/spreadsheetml/2006/main" count="381" uniqueCount="220">
  <si>
    <t>ESTADO DE RESULTADOS</t>
  </si>
  <si>
    <t>INGRESOS</t>
  </si>
  <si>
    <t>COSTOS</t>
  </si>
  <si>
    <t>UTILIDAD BRUTA</t>
  </si>
  <si>
    <t>GASTOS OPERACIONALES</t>
  </si>
  <si>
    <t>DEPRECIACIONES Y AMORTIZACIONES</t>
  </si>
  <si>
    <t>UTILIDAD OPERATIVA</t>
  </si>
  <si>
    <t>INGRESOS (GASTOS) FINANCIEROS</t>
  </si>
  <si>
    <t>UTILIDAD ANTES DE IMPUESTOS</t>
  </si>
  <si>
    <t>IMPUESTO DE RENTA</t>
  </si>
  <si>
    <t>UTILIDAD NETA</t>
  </si>
  <si>
    <t>BALANCE DE SITUACIÓN FINANCIERA</t>
  </si>
  <si>
    <t>ACTIVO</t>
  </si>
  <si>
    <t>ACTIVO CORRIENTE</t>
  </si>
  <si>
    <t>CAJA Y EQUIVALENTES</t>
  </si>
  <si>
    <t>CUENTAS POR COBRAR COMERCIALES</t>
  </si>
  <si>
    <t>INVENTARIOS</t>
  </si>
  <si>
    <t>OTROS ACTIVOS CORRIENTES</t>
  </si>
  <si>
    <t>TOTAL ACTIVO CORRIENTE</t>
  </si>
  <si>
    <t>ACTIVO NO CORRIENTE</t>
  </si>
  <si>
    <t>INMOVILIZADO</t>
  </si>
  <si>
    <t>INVERSIONES</t>
  </si>
  <si>
    <t>OTROS ACTIVOS NO CORRIENTES</t>
  </si>
  <si>
    <t>TOTAL ACTIVO NO CORRIENTE</t>
  </si>
  <si>
    <t>TOTAL ACTIVO</t>
  </si>
  <si>
    <t>PASIVO</t>
  </si>
  <si>
    <t>PASIVO CORRIENTE</t>
  </si>
  <si>
    <t>OBLIGACIONES FINANCIERAS</t>
  </si>
  <si>
    <t>OBLIGACIONES COMERCIALES</t>
  </si>
  <si>
    <t>OTROS PASIVOS CORRIENTES</t>
  </si>
  <si>
    <t>TOTAL PASIVO CORRIENTE</t>
  </si>
  <si>
    <t>PASIVO NO CORRIENTE</t>
  </si>
  <si>
    <t>TOTAL PASIVO NO CORRIENTE</t>
  </si>
  <si>
    <t>TOTAL PASIVO</t>
  </si>
  <si>
    <t>PATRIMONIO</t>
  </si>
  <si>
    <t>CAPITAL</t>
  </si>
  <si>
    <t>RESERVAS Y OTROS</t>
  </si>
  <si>
    <t>UTILIDADES ACUMULADAS</t>
  </si>
  <si>
    <t>UTILIDAD DEL EJERCICIO</t>
  </si>
  <si>
    <t>TOTAL PATRIMONIO</t>
  </si>
  <si>
    <t>TOTAL PASIVO Y PATRIMONIO</t>
  </si>
  <si>
    <t>REVENUE</t>
  </si>
  <si>
    <t>COSTS</t>
  </si>
  <si>
    <t>GROSS PROFIT</t>
  </si>
  <si>
    <t>OPEX excl. DEPRECIATIONS &amp; AMORTIZATIONS</t>
  </si>
  <si>
    <t>DEPRECIATIONS &amp; AMORTIZATIONS</t>
  </si>
  <si>
    <t>OPERATING PROFIT (LOSS)</t>
  </si>
  <si>
    <t>FINANCIAL INCOME (EXPENSES)</t>
  </si>
  <si>
    <t>INCOME (LOSS) BEFORE TAX</t>
  </si>
  <si>
    <t>INCOME TAX</t>
  </si>
  <si>
    <t>NET INCOME (LOSS)</t>
  </si>
  <si>
    <t>BALANCE SHEET</t>
  </si>
  <si>
    <t>ASSETS</t>
  </si>
  <si>
    <t>CURRENT ASSETS</t>
  </si>
  <si>
    <t>CASH &amp; EQUIVALENTS</t>
  </si>
  <si>
    <t>ACCOUNTS RECEIVABLE</t>
  </si>
  <si>
    <t>INVENTORIES</t>
  </si>
  <si>
    <t>OTHER CURRENT ASSETS</t>
  </si>
  <si>
    <t>TOTAL CURRENT ASSETS</t>
  </si>
  <si>
    <t>NON-CURRENT ASSETS</t>
  </si>
  <si>
    <t>FIXED ASSETS</t>
  </si>
  <si>
    <t>INVESTMENTS</t>
  </si>
  <si>
    <t>OTHER NON-CURRENT ASSETS</t>
  </si>
  <si>
    <t>TOTAL NON-CURRENT ASSETS</t>
  </si>
  <si>
    <t>TOTAL ASSETS</t>
  </si>
  <si>
    <t>LIABILITIES</t>
  </si>
  <si>
    <t>CURRENT LIABILITIES</t>
  </si>
  <si>
    <t>FINANCIAL OBLIGATIONS</t>
  </si>
  <si>
    <t>COMMERCIAL OBLIGATIONS</t>
  </si>
  <si>
    <t>OTHER CURRENT LIABILITIES</t>
  </si>
  <si>
    <t>TOTAL CURRENT LIABILITIES</t>
  </si>
  <si>
    <t>NON-CURRENT LIABILITIES</t>
  </si>
  <si>
    <t>OTHER NON-CURRENT LIABILITIES</t>
  </si>
  <si>
    <t>TOTAL NON-CURRENT LIABILITIES</t>
  </si>
  <si>
    <t>TOTAL LIABILITIES</t>
  </si>
  <si>
    <t>EQUITY</t>
  </si>
  <si>
    <t>SHARES CAPITAL</t>
  </si>
  <si>
    <t>RESERVES &amp; SUPERAVIT (DEFICIT)</t>
  </si>
  <si>
    <t>RETAINED EARNINGS (ACCUMULATED LOSSES)</t>
  </si>
  <si>
    <t>TOTAL EQUITY</t>
  </si>
  <si>
    <t>TOTAL LIABILITIES + EQUITY</t>
  </si>
  <si>
    <t>PROFIT &amp; LOSSES STATEMENT</t>
  </si>
  <si>
    <t>BALANCE DE SITUACIÓN (EN MILLONES DE EUROS)</t>
  </si>
  <si>
    <t>ACTIVOS</t>
  </si>
  <si>
    <t>ACTIVOS CORRIENTES</t>
  </si>
  <si>
    <t>EFECTIVO Y EQUIVALENTES</t>
  </si>
  <si>
    <t>INVERSIONES A CORTO PLAZO</t>
  </si>
  <si>
    <t>DEUDORES COMERCIALES</t>
  </si>
  <si>
    <t>EXISTENCIAS</t>
  </si>
  <si>
    <t>TOTAL ACTIVOS CORRIENTES</t>
  </si>
  <si>
    <t>ACTIVOS NO CORRIENTES</t>
  </si>
  <si>
    <t>FONDO DE COMERCIO</t>
  </si>
  <si>
    <t>INMOVILIZADO INTANGIBLE - NETO</t>
  </si>
  <si>
    <t>INVERSIONES A LARGO PLAZO</t>
  </si>
  <si>
    <t>ACTIVOS FISCALES DIFERIDOS</t>
  </si>
  <si>
    <t>TOTAL ACTIVOS NO CORRIENTES</t>
  </si>
  <si>
    <t>TOTAL ACTIVOS</t>
  </si>
  <si>
    <t>ACREEDORES COMERCIALES</t>
  </si>
  <si>
    <t>GASTOS ACUMULADOS</t>
  </si>
  <si>
    <t>DEUDAS CON ENTIDADES DE CRÉDITO</t>
  </si>
  <si>
    <t>ARRENDAMIENTO FINANCIERO</t>
  </si>
  <si>
    <t>PASIVOS POR IMPUESTO DIFERIDO</t>
  </si>
  <si>
    <t>INTERESES MINORITARIOS</t>
  </si>
  <si>
    <t>OTROS PASIVOS NO CORRIENTES</t>
  </si>
  <si>
    <t>PRIMA DE EMISIÓN</t>
  </si>
  <si>
    <t>RESERVAS (PÉRDIDAS) ACUMULADAS</t>
  </si>
  <si>
    <t>ACCIONES PROPIAS EN CARTERA</t>
  </si>
  <si>
    <t>DIFERENCIAS DE CONVERSIÓN</t>
  </si>
  <si>
    <t>TOTAL PASIVO Y PATRIMONIO NETO</t>
  </si>
  <si>
    <t>ESTADO DE RESULTADOS (EN MILLONES DE EUROS)</t>
  </si>
  <si>
    <t>CONSUMOS Y OTROS GASTOS EXTERNOS</t>
  </si>
  <si>
    <t>BENEFICIO BRUTO</t>
  </si>
  <si>
    <t>GASTOS DE PERSONAL</t>
  </si>
  <si>
    <t>AMORTIZACIONES</t>
  </si>
  <si>
    <t>INGRESOS (GASTOS) EXTRAORDINARIOS</t>
  </si>
  <si>
    <t>OTROS GASTOS DE EXPLOTACIÓN</t>
  </si>
  <si>
    <t>RESULTADO DE EXPLOTACIÓN</t>
  </si>
  <si>
    <t>INGRESOS FINANCIEROS</t>
  </si>
  <si>
    <t>GASTOS FINANCIEROS</t>
  </si>
  <si>
    <t>RESULTADO ORDINARIO ANTES DE IMPUESTOS</t>
  </si>
  <si>
    <t>IMPUESTO SOBRE BENEFICIOS</t>
  </si>
  <si>
    <t>RESULTADO DEL EJERCICIO ANTES DE INTS. MINORITARIOS</t>
  </si>
  <si>
    <t>RESULTADO NETO DEL EJERCICIO</t>
  </si>
  <si>
    <t>PROPIEDAD, PLANTA Y EQUIPO - NETO</t>
  </si>
  <si>
    <t>DASHBOARD</t>
  </si>
  <si>
    <t>INVERSION=&gt;LIVIANA</t>
  </si>
  <si>
    <t>FINACIAMIENTO=&gt;MAS CORRIENTE, MAS COMERCIAL</t>
  </si>
  <si>
    <t>OPERACIÓN=&gt;MARGENES ALTOS</t>
  </si>
  <si>
    <t>BALANCE DE SITUACION</t>
  </si>
  <si>
    <t>DOCUMENTOS POR COBRAR</t>
  </si>
  <si>
    <t>INMOVILIZADO MATERIAL-NETO</t>
  </si>
  <si>
    <t>INMOVILIZADO INMATERIAL-NETO</t>
  </si>
  <si>
    <t>PASIVO Y PATRIMONIO</t>
  </si>
  <si>
    <t>APORTES DE LOS PROPIETARIOS</t>
  </si>
  <si>
    <t>UTILIDAD (PERDIDA) DEL EJERCICIO</t>
  </si>
  <si>
    <t>UTILIDADES RETENIDAS (POR DISTRIBUIR)(PERDIDAS ACUMULADAS)</t>
  </si>
  <si>
    <t>LINEA CONTROL</t>
  </si>
  <si>
    <t>ESTADO DE RESULTADO</t>
  </si>
  <si>
    <t>DEPRECIACIONES</t>
  </si>
  <si>
    <t>GASTOS OPERACIONALES excl. DEPRECIACIONES</t>
  </si>
  <si>
    <t>EBITDA</t>
  </si>
  <si>
    <t>UTILIDAD (PERDIDA) OPERACIONAL</t>
  </si>
  <si>
    <t>UTILIDAD (PERDIDA) ANTES DE IMPUESTOS</t>
  </si>
  <si>
    <t>IMPUESTOS</t>
  </si>
  <si>
    <t>UTILIDAD (PERDIDA) NETA</t>
  </si>
  <si>
    <t>INVERSION</t>
  </si>
  <si>
    <t>ESTRUCTURA BALANCEADA; NO LUCE COMO SE ESPERA PARA SU SECTOR</t>
  </si>
  <si>
    <t>EFECTIVO Y EQUIBALENTES LUCEN MUY GRANDES (&gt;30% DEL ACTIVO)</t>
  </si>
  <si>
    <t>FINANCIAMIENTO</t>
  </si>
  <si>
    <t>ESTRUCTURA NO CORRIENTE, DEPENDIENTE DE LOS DUEÑOS</t>
  </si>
  <si>
    <t>PASIVO MAYORMENTE COMERCIAL; OTROS PASIVOS NO CORRIENTES LUCEN PESADOS(7%)</t>
  </si>
  <si>
    <t>PASIVOS FINANCIEROS INEXISTENTES(&lt;1%)</t>
  </si>
  <si>
    <t>2018/2016</t>
  </si>
  <si>
    <t>2017/2016</t>
  </si>
  <si>
    <t>OPERACIONAL</t>
  </si>
  <si>
    <t>COSTOS Y GASTOS CRECIERON MAS QUE LOS INGRESOS</t>
  </si>
  <si>
    <t>SIN EMBARGO, UTILIDAD NETA CRECIO 9%GRACIAS A CRECIMIENTO DE INGRESOS Y DISMINUCION DE IMPUESTO</t>
  </si>
  <si>
    <t>ESTRUCTURA DE INVERSION BALANCEADA Y NO ACORDE AL SECTOR, CON MUCHO PESO DEL EFECTIVO. ESTRUCTURA DE FINANCIAMIENTO DEPENDIENTE DE DUEÑOS. RENTABILIDAD LUCE ALTA Y EN CRECIMIENTO.</t>
  </si>
  <si>
    <t xml:space="preserve"> </t>
  </si>
  <si>
    <t>INVERSION =&gt; PESADA; FINANCIAMIENTO DEPENDE DE TERCEROS, FINANCIERO; MARGENES BAJOS</t>
  </si>
  <si>
    <t>BENCHMARK</t>
  </si>
  <si>
    <t>CONCLUSION</t>
  </si>
  <si>
    <t>ESTRUCTURA PESADA, COMO SE ESPARA PARA EL SECTOR</t>
  </si>
  <si>
    <t>ESTRUCTURA ACORDE A LA INVERSION, CON DEPENDENCIA DE TERCEROS PRINCIPALMENTE FINANCIEROS</t>
  </si>
  <si>
    <t>MARGENES BAJOS, DE A CUERDO AL SECTOR. GASTOS FINANCIEROS CONSUMEN LA MITAD DE LA UTILIDAD</t>
  </si>
  <si>
    <t>ESTRUCTURA DE INVERSION PESADA Y DE ACUERDO AL SECTOR. ESTRUCTURA DE FINANCIAMIENTO DEPENDIENTE DE TERCEROS. ESTRUCTURA OPERACIONAL DE MARGENES BAJOS DE ACUERDO AL SECTOR.</t>
  </si>
  <si>
    <t>TOTAL PASIVO PATRIMONIO</t>
  </si>
  <si>
    <t>LINEA DE CONTROL</t>
  </si>
  <si>
    <t xml:space="preserve">INMOVILIZADO </t>
  </si>
  <si>
    <t>BAYER</t>
  </si>
  <si>
    <t xml:space="preserve">LABORATORIO FARMACEUTICO </t>
  </si>
  <si>
    <t>INVERSION=&gt;PESADA;ACTIVO FIJO; INVENTARIOS</t>
  </si>
  <si>
    <t>FINANCIAMIENTO=&gt;PESADA; TERCEROS;MAS DEUDA COMERCIAL</t>
  </si>
  <si>
    <t>MARGENES ALTOS</t>
  </si>
  <si>
    <t>ESTRUCTURA DE INVERSION PESADA, EN AUMENTO(+51%); CARTERA ESTABLE A PESAR DE CRECIMIENTO DE VENTAS</t>
  </si>
  <si>
    <t>MARGENES ALTOS PERO EN DESCENSO - EN ESPECIAL EN EL 2018 - POR DEFECTO DE LOS COSTOS(+45%)</t>
  </si>
  <si>
    <t>ESTRUCTURA DE FINANCIAMIENTO ACORDE CON LA INVERSION; DEUDA FINANCIERA ES EL MAYOR RUBRO, CASI SE DUPLICO. LUCE COSTOSA.</t>
  </si>
  <si>
    <t>ESTRUCTURA DE INVERSION PESADA, EN AUMENTO(+51%); CARTERA ESTABLE A PESAR DE CRECIMIENTO DE VENTAS. ESTRUCTURA DE FINANCIAMIENTO ACORDE CON LA INVERSION; DEUDA FINANCIERA ES EL MAYOR RUBRO, CASI SE DUPLICO. LUCE COSTOSA. MARGENES ALTOS PERO EN DESCENSO, POR DEFECTO DE LOS COSTOS(+45%).</t>
  </si>
  <si>
    <t>RAZON CORRIENTE</t>
  </si>
  <si>
    <t>PRUEBA ACIDA</t>
  </si>
  <si>
    <t>PRUEBA RAPIDA</t>
  </si>
  <si>
    <t>DIAS DE CARTERA</t>
  </si>
  <si>
    <t>DIAS DE INVENTARIO</t>
  </si>
  <si>
    <t>CICLO OPERATIVO</t>
  </si>
  <si>
    <t>DIAS DE PAGO(DPO)</t>
  </si>
  <si>
    <t>CICLO DE CAJA</t>
  </si>
  <si>
    <t>ROTACION DE ACTIVOS</t>
  </si>
  <si>
    <t>INDICADORES EFICIENCIA</t>
  </si>
  <si>
    <t>INDICADORES DE ENDEUDAMIENTO</t>
  </si>
  <si>
    <t>APALANCAMIENTO</t>
  </si>
  <si>
    <t>ENDEUDAMIENTO</t>
  </si>
  <si>
    <t>COBERTURA DE INTERESES</t>
  </si>
  <si>
    <t>MARGEN BRUTO</t>
  </si>
  <si>
    <t>MARGEN OPERACIONAL</t>
  </si>
  <si>
    <t>MARGEN NETO</t>
  </si>
  <si>
    <t>ROE</t>
  </si>
  <si>
    <t>ROA</t>
  </si>
  <si>
    <t>MODELO DUPONT</t>
  </si>
  <si>
    <t>MULRIPLICADOR DEL CAPITAL</t>
  </si>
  <si>
    <t>INDICADORES DE RENTABILIDAD</t>
  </si>
  <si>
    <t>UN POCO MAS BAJA QUE EL SECTOR</t>
  </si>
  <si>
    <t>CON MAS PESO DE CARTERA</t>
  </si>
  <si>
    <t>COBRO MAS TARDE</t>
  </si>
  <si>
    <t>VENDO MAS TARDE</t>
  </si>
  <si>
    <t>MAS LARGO QUE EL SECTOR</t>
  </si>
  <si>
    <t>ES LA MITAD DE EFICIENTE DEL SECTOR PARA GENERAR VENTAS</t>
  </si>
  <si>
    <t>MAS APALANCADA QUE EL SECTOR</t>
  </si>
  <si>
    <t>MAS ENDEUDADA QUE EL SECTOR</t>
  </si>
  <si>
    <t>PUEDE SOPORTAR EL COSTO DE DEUDA, PERO VIENE EN DETERIORO</t>
  </si>
  <si>
    <t>SUS GASTOS PESAN MAS QUE EN EL SECTOR</t>
  </si>
  <si>
    <t>LA MITAD DEL SECTOR</t>
  </si>
  <si>
    <t>MENOS RETNABLE=&gt;UN QUINTO DEL SECTOR</t>
  </si>
  <si>
    <t>MENOS RENTABLE=&gt;UN CUARTO DEL SECTOR</t>
  </si>
  <si>
    <t>SOLVENCIA LIGERAMENTE MENOR QUE EL SECTOR, Y DE PEOR CALIDAD, LO QUE CAUSA UN APALANCAMIENTO ALTO(CASI 2) Y COSTOSO(50%). MUY BAJA RENTABILIDAD Y EFICIENCIA (TANTO MARGENES COMO ROE Y ROA MUCHOS MENORES QUE EL SECTOR).</t>
  </si>
  <si>
    <t>MAYOR QUE LA DEL SECTOR</t>
  </si>
  <si>
    <t>MUY LIQUIDOS</t>
  </si>
  <si>
    <t>MAS ALTO QUE EL SECTOR PERO DE BUENA CALIDAD</t>
  </si>
  <si>
    <t>RENTABLE PERO MENOS QUE EL SECTOR</t>
  </si>
  <si>
    <t>CICLO OPERATIVO SIMILAR AL SECTOR Y MEJORANDO</t>
  </si>
  <si>
    <t>SOLVENCIA MAYOR QUE EL SECTOR Y DE BUENA CALIDAD(CICLO OPERATIVO SIMILAR AL SECTOR); MUY LIQUIDA(PRUEBA RAPIDA 1,3). MAYOR APALANCAMIENTO QUE EL SECTOR PERO DE BUENA CALIDAD(NO TIENE COSTO). RENTABLE PERO MENOS QUE SU SECTOR Y DISMINUYENDO, Y MAS EFICIENTE(1,2 vs 0,7)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</si>
</sst>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;\(#,##0\)"/>
    <numFmt numFmtId="165" formatCode="#,##0.0\ ;\(#,##0.0\)"/>
    <numFmt numFmtId="166" formatCode="#,##0.0"/>
    <numFmt numFmtId="167" formatCode="#,##0.00\ ;\(#,##0.00\)"/>
    <numFmt numFmtId="168" formatCode="0.0%\ ;\(0.0%\)"/>
    <numFmt numFmtId="169" formatCode="0.0%"/>
    <numFmt numFmtId="170" formatCode="0.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1" xfId="0" applyNumberFormat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0" fontId="2" fillId="0" borderId="0" xfId="0" applyFont="1"/>
    <xf numFmtId="166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5" fillId="0" borderId="0" xfId="0" applyFont="1"/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167" fontId="7" fillId="0" borderId="0" xfId="1" applyNumberFormat="1" applyFont="1">
      <alignment vertical="center"/>
    </xf>
    <xf numFmtId="0" fontId="6" fillId="0" borderId="0" xfId="1">
      <alignment vertical="center"/>
    </xf>
    <xf numFmtId="167" fontId="6" fillId="0" borderId="0" xfId="1" applyNumberFormat="1">
      <alignment vertical="center"/>
    </xf>
    <xf numFmtId="4" fontId="6" fillId="0" borderId="0" xfId="1" applyNumberFormat="1">
      <alignment vertical="center"/>
    </xf>
    <xf numFmtId="168" fontId="6" fillId="0" borderId="0" xfId="1" applyNumberFormat="1">
      <alignment vertical="center"/>
    </xf>
    <xf numFmtId="164" fontId="6" fillId="0" borderId="0" xfId="1" applyNumberFormat="1">
      <alignment vertical="center"/>
    </xf>
    <xf numFmtId="164" fontId="7" fillId="0" borderId="0" xfId="1" applyNumberFormat="1" applyFont="1">
      <alignment vertical="center"/>
    </xf>
    <xf numFmtId="0" fontId="0" fillId="0" borderId="0" xfId="0" applyAlignment="1"/>
    <xf numFmtId="0" fontId="10" fillId="0" borderId="0" xfId="1" applyFont="1">
      <alignment vertical="center"/>
    </xf>
    <xf numFmtId="164" fontId="6" fillId="0" borderId="2" xfId="1" applyNumberFormat="1" applyBorder="1">
      <alignment vertical="center"/>
    </xf>
    <xf numFmtId="164" fontId="7" fillId="0" borderId="3" xfId="1" applyNumberFormat="1" applyFont="1" applyBorder="1">
      <alignment vertical="center"/>
    </xf>
    <xf numFmtId="164" fontId="7" fillId="0" borderId="4" xfId="1" applyNumberFormat="1" applyFont="1" applyBorder="1">
      <alignment vertical="center"/>
    </xf>
    <xf numFmtId="164" fontId="7" fillId="0" borderId="0" xfId="1" applyNumberFormat="1" applyFont="1" applyBorder="1">
      <alignment vertical="center"/>
    </xf>
    <xf numFmtId="0" fontId="13" fillId="0" borderId="0" xfId="1" applyFont="1">
      <alignment vertical="center"/>
    </xf>
    <xf numFmtId="164" fontId="13" fillId="0" borderId="0" xfId="1" applyNumberFormat="1" applyFont="1">
      <alignment vertical="center"/>
    </xf>
    <xf numFmtId="169" fontId="6" fillId="0" borderId="0" xfId="3" applyNumberFormat="1" applyFont="1" applyAlignment="1">
      <alignment vertical="center"/>
    </xf>
    <xf numFmtId="169" fontId="0" fillId="0" borderId="0" xfId="3" applyNumberFormat="1" applyFont="1" applyAlignment="1">
      <alignment vertical="center"/>
    </xf>
    <xf numFmtId="0" fontId="14" fillId="0" borderId="0" xfId="0" applyFont="1" applyAlignment="1"/>
    <xf numFmtId="0" fontId="2" fillId="0" borderId="0" xfId="0" applyFont="1" applyFill="1" applyAlignment="1">
      <alignment vertical="center" wrapText="1"/>
    </xf>
    <xf numFmtId="169" fontId="2" fillId="0" borderId="0" xfId="3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/>
    <xf numFmtId="0" fontId="15" fillId="0" borderId="0" xfId="0" applyFont="1"/>
    <xf numFmtId="165" fontId="5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5" fontId="5" fillId="0" borderId="2" xfId="0" applyNumberFormat="1" applyFont="1" applyBorder="1"/>
    <xf numFmtId="165" fontId="3" fillId="0" borderId="3" xfId="0" applyNumberFormat="1" applyFont="1" applyBorder="1"/>
    <xf numFmtId="166" fontId="3" fillId="0" borderId="4" xfId="0" applyNumberFormat="1" applyFont="1" applyBorder="1"/>
    <xf numFmtId="0" fontId="15" fillId="0" borderId="0" xfId="0" applyFont="1" applyBorder="1"/>
    <xf numFmtId="0" fontId="3" fillId="0" borderId="0" xfId="0" applyFont="1" applyBorder="1"/>
    <xf numFmtId="164" fontId="5" fillId="0" borderId="0" xfId="0" applyNumberFormat="1" applyFont="1"/>
    <xf numFmtId="0" fontId="16" fillId="0" borderId="0" xfId="0" applyFont="1"/>
    <xf numFmtId="165" fontId="3" fillId="0" borderId="1" xfId="0" applyNumberFormat="1" applyFont="1" applyBorder="1"/>
    <xf numFmtId="166" fontId="16" fillId="0" borderId="0" xfId="0" applyNumberFormat="1" applyFont="1"/>
    <xf numFmtId="0" fontId="14" fillId="0" borderId="0" xfId="0" applyFont="1"/>
    <xf numFmtId="168" fontId="5" fillId="0" borderId="0" xfId="3" applyNumberFormat="1" applyFont="1"/>
    <xf numFmtId="0" fontId="19" fillId="2" borderId="0" xfId="0" applyFont="1" applyFill="1" applyAlignment="1">
      <alignment horizontal="center" wrapText="1"/>
    </xf>
    <xf numFmtId="165" fontId="0" fillId="0" borderId="0" xfId="0" applyNumberForma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2" fontId="20" fillId="2" borderId="5" xfId="0" applyNumberFormat="1" applyFont="1" applyFill="1" applyBorder="1" applyAlignment="1">
      <alignment vertical="center"/>
    </xf>
    <xf numFmtId="10" fontId="20" fillId="0" borderId="0" xfId="3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169" fontId="0" fillId="3" borderId="0" xfId="3" applyNumberFormat="1" applyFont="1" applyFill="1" applyAlignment="1">
      <alignment vertical="center"/>
    </xf>
    <xf numFmtId="165" fontId="0" fillId="3" borderId="0" xfId="0" applyNumberFormat="1" applyFont="1" applyFill="1" applyAlignment="1">
      <alignment vertical="center"/>
    </xf>
    <xf numFmtId="164" fontId="0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0" fontId="20" fillId="3" borderId="0" xfId="3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169" fontId="0" fillId="4" borderId="0" xfId="3" applyNumberFormat="1" applyFont="1" applyFill="1" applyAlignment="1">
      <alignment vertical="center"/>
    </xf>
    <xf numFmtId="165" fontId="0" fillId="4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10" fontId="20" fillId="4" borderId="0" xfId="3" applyNumberFormat="1" applyFont="1" applyFill="1" applyAlignment="1">
      <alignment vertical="center"/>
    </xf>
    <xf numFmtId="164" fontId="0" fillId="4" borderId="0" xfId="0" applyNumberFormat="1" applyFont="1" applyFill="1" applyAlignment="1">
      <alignment vertical="center"/>
    </xf>
    <xf numFmtId="165" fontId="3" fillId="0" borderId="0" xfId="0" applyNumberFormat="1" applyFont="1" applyBorder="1"/>
    <xf numFmtId="0" fontId="0" fillId="0" borderId="0" xfId="0" applyFont="1" applyFill="1" applyAlignment="1">
      <alignment vertical="center"/>
    </xf>
    <xf numFmtId="170" fontId="5" fillId="0" borderId="0" xfId="0" applyNumberFormat="1" applyFont="1"/>
    <xf numFmtId="0" fontId="19" fillId="0" borderId="0" xfId="0" applyFont="1" applyFill="1" applyAlignment="1">
      <alignment horizontal="center" wrapText="1"/>
    </xf>
    <xf numFmtId="170" fontId="0" fillId="0" borderId="0" xfId="0" applyNumberFormat="1" applyFont="1" applyBorder="1"/>
    <xf numFmtId="165" fontId="5" fillId="0" borderId="0" xfId="0" applyNumberFormat="1" applyFont="1" applyBorder="1"/>
    <xf numFmtId="0" fontId="22" fillId="0" borderId="0" xfId="0" applyFont="1" applyFill="1" applyAlignment="1">
      <alignment wrapText="1"/>
    </xf>
    <xf numFmtId="169" fontId="22" fillId="0" borderId="0" xfId="3" applyNumberFormat="1" applyFont="1" applyFill="1" applyAlignment="1">
      <alignment wrapText="1"/>
    </xf>
    <xf numFmtId="169" fontId="22" fillId="0" borderId="0" xfId="0" applyNumberFormat="1" applyFont="1" applyFill="1" applyAlignment="1">
      <alignment wrapText="1"/>
    </xf>
    <xf numFmtId="170" fontId="22" fillId="0" borderId="0" xfId="0" applyNumberFormat="1" applyFont="1" applyFill="1" applyAlignment="1">
      <alignment wrapText="1"/>
    </xf>
    <xf numFmtId="169" fontId="22" fillId="3" borderId="0" xfId="3" applyNumberFormat="1" applyFont="1" applyFill="1" applyAlignment="1">
      <alignment wrapText="1"/>
    </xf>
    <xf numFmtId="0" fontId="19" fillId="3" borderId="0" xfId="0" applyFont="1" applyFill="1" applyAlignment="1">
      <alignment horizontal="center" wrapText="1"/>
    </xf>
    <xf numFmtId="168" fontId="5" fillId="3" borderId="0" xfId="3" applyNumberFormat="1" applyFont="1" applyFill="1"/>
    <xf numFmtId="0" fontId="5" fillId="3" borderId="0" xfId="0" applyFont="1" applyFill="1"/>
    <xf numFmtId="169" fontId="22" fillId="3" borderId="0" xfId="0" applyNumberFormat="1" applyFont="1" applyFill="1" applyAlignment="1">
      <alignment wrapText="1"/>
    </xf>
    <xf numFmtId="169" fontId="22" fillId="4" borderId="0" xfId="3" applyNumberFormat="1" applyFont="1" applyFill="1" applyAlignment="1">
      <alignment wrapText="1"/>
    </xf>
    <xf numFmtId="168" fontId="5" fillId="4" borderId="0" xfId="3" applyNumberFormat="1" applyFont="1" applyFill="1"/>
    <xf numFmtId="0" fontId="5" fillId="4" borderId="0" xfId="0" applyFont="1" applyFill="1"/>
    <xf numFmtId="169" fontId="22" fillId="4" borderId="0" xfId="0" applyNumberFormat="1" applyFont="1" applyFill="1" applyAlignment="1">
      <alignment wrapText="1"/>
    </xf>
    <xf numFmtId="170" fontId="6" fillId="0" borderId="0" xfId="1" applyNumberFormat="1">
      <alignment vertical="center"/>
    </xf>
    <xf numFmtId="169" fontId="6" fillId="4" borderId="0" xfId="3" applyNumberFormat="1" applyFont="1" applyFill="1" applyAlignment="1">
      <alignment vertical="center"/>
    </xf>
    <xf numFmtId="0" fontId="6" fillId="4" borderId="0" xfId="1" applyFill="1">
      <alignment vertical="center"/>
    </xf>
    <xf numFmtId="169" fontId="6" fillId="3" borderId="0" xfId="3" applyNumberFormat="1" applyFont="1" applyFill="1" applyAlignment="1">
      <alignment vertical="center"/>
    </xf>
    <xf numFmtId="0" fontId="6" fillId="3" borderId="0" xfId="1" applyFill="1">
      <alignment vertical="center"/>
    </xf>
    <xf numFmtId="165" fontId="6" fillId="0" borderId="0" xfId="1" applyNumberFormat="1" applyBorder="1">
      <alignment vertical="center"/>
    </xf>
    <xf numFmtId="0" fontId="2" fillId="2" borderId="0" xfId="0" applyFont="1" applyFill="1" applyAlignment="1">
      <alignment horizontal="center" vertical="center" wrapText="1"/>
    </xf>
    <xf numFmtId="170" fontId="0" fillId="2" borderId="0" xfId="0" applyNumberFormat="1" applyFont="1" applyFill="1" applyBorder="1"/>
    <xf numFmtId="168" fontId="1" fillId="0" borderId="0" xfId="3" applyNumberFormat="1" applyFont="1"/>
    <xf numFmtId="169" fontId="0" fillId="2" borderId="0" xfId="3" applyNumberFormat="1" applyFont="1" applyFill="1" applyBorder="1"/>
    <xf numFmtId="168" fontId="1" fillId="3" borderId="0" xfId="3" applyNumberFormat="1" applyFont="1" applyFill="1"/>
    <xf numFmtId="168" fontId="1" fillId="4" borderId="0" xfId="3" applyNumberFormat="1" applyFont="1" applyFill="1"/>
    <xf numFmtId="0" fontId="2" fillId="2" borderId="0" xfId="0" applyFont="1" applyFill="1" applyAlignment="1">
      <alignment horizontal="left" vertical="center" wrapText="1"/>
    </xf>
    <xf numFmtId="0" fontId="6" fillId="2" borderId="0" xfId="1" applyFill="1">
      <alignment vertical="center"/>
    </xf>
    <xf numFmtId="170" fontId="6" fillId="2" borderId="0" xfId="1" applyNumberFormat="1" applyFill="1">
      <alignment vertical="center"/>
    </xf>
    <xf numFmtId="169" fontId="6" fillId="2" borderId="0" xfId="3" applyNumberFormat="1" applyFont="1" applyFill="1" applyAlignment="1">
      <alignment vertical="center"/>
    </xf>
    <xf numFmtId="0" fontId="7" fillId="2" borderId="0" xfId="1" applyFont="1" applyFill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Porcentaje" xfId="3" builtinId="5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tdata3/LATAM%20AIRLINES%20GROUP/Resultados%20Trimestrales/2016/2Q%202016/Tablas/Estado%20de%20Resultado%20USA%202Q%202016%20LA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tabSelected="1" topLeftCell="A50" zoomScale="110" zoomScaleNormal="110" workbookViewId="0">
      <selection activeCell="B55" sqref="B55"/>
    </sheetView>
  </sheetViews>
  <sheetFormatPr baseColWidth="10" defaultColWidth="11.5" defaultRowHeight="15" x14ac:dyDescent="0.2"/>
  <cols>
    <col min="1" max="1" width="37.33203125" style="3" bestFit="1" customWidth="1"/>
    <col min="2" max="2" width="16" style="4" bestFit="1" customWidth="1"/>
    <col min="3" max="3" width="16" style="4" customWidth="1"/>
    <col min="4" max="4" width="16" style="4" bestFit="1" customWidth="1"/>
    <col min="5" max="5" width="16" style="4" customWidth="1"/>
    <col min="6" max="6" width="16" style="4" bestFit="1" customWidth="1"/>
    <col min="7" max="7" width="11.5" style="3"/>
    <col min="8" max="8" width="3.1640625" style="3" customWidth="1"/>
    <col min="9" max="16384" width="11.5" style="3"/>
  </cols>
  <sheetData>
    <row r="1" spans="1:16" s="1" customFormat="1" x14ac:dyDescent="0.2">
      <c r="B1" s="2">
        <v>2018</v>
      </c>
      <c r="C1" s="2"/>
      <c r="D1" s="2">
        <v>2017</v>
      </c>
      <c r="E1" s="2"/>
      <c r="F1" s="2">
        <v>2016</v>
      </c>
      <c r="I1" s="1" t="s">
        <v>152</v>
      </c>
      <c r="J1" s="1" t="s">
        <v>153</v>
      </c>
    </row>
    <row r="3" spans="1:16" s="5" customFormat="1" ht="16" x14ac:dyDescent="0.2">
      <c r="A3" s="5" t="s">
        <v>0</v>
      </c>
      <c r="B3" s="6"/>
      <c r="C3" s="6"/>
      <c r="D3" s="6"/>
      <c r="E3" s="6"/>
      <c r="F3" s="6"/>
    </row>
    <row r="4" spans="1:16" x14ac:dyDescent="0.2">
      <c r="A4" s="3" t="s">
        <v>1</v>
      </c>
      <c r="B4" s="4">
        <v>19065573453</v>
      </c>
      <c r="C4" s="48">
        <f>+B4/$B$4</f>
        <v>1</v>
      </c>
      <c r="D4" s="4">
        <v>15346837130</v>
      </c>
      <c r="E4" s="48">
        <f>+D4/$D$4</f>
        <v>1</v>
      </c>
      <c r="F4" s="4">
        <v>14431614074</v>
      </c>
      <c r="G4" s="48">
        <f>+F4/$F$4</f>
        <v>1</v>
      </c>
      <c r="H4" s="4"/>
      <c r="I4" s="48">
        <f>+(B4/F4)-1</f>
        <v>0.3210977895638536</v>
      </c>
      <c r="J4" s="48">
        <f>+(D4/F4)-1</f>
        <v>6.341792756562592E-2</v>
      </c>
      <c r="K4" s="4"/>
      <c r="L4" s="4"/>
      <c r="M4" s="4"/>
      <c r="N4" s="4"/>
      <c r="O4" s="4"/>
      <c r="P4" s="4"/>
    </row>
    <row r="5" spans="1:16" x14ac:dyDescent="0.2">
      <c r="A5" s="3" t="s">
        <v>2</v>
      </c>
      <c r="B5" s="13">
        <v>-17370774073</v>
      </c>
      <c r="C5" s="48">
        <f t="shared" ref="C5:C13" si="0">+B5/$B$4</f>
        <v>-0.91110682381634212</v>
      </c>
      <c r="D5" s="13">
        <v>-13821862361</v>
      </c>
      <c r="E5" s="48">
        <f t="shared" ref="E5:E13" si="1">+D5/$D$4</f>
        <v>-0.90063263484962786</v>
      </c>
      <c r="F5" s="13">
        <v>-13000601919</v>
      </c>
      <c r="G5" s="48">
        <f t="shared" ref="G5:G13" si="2">+F5/$F$4</f>
        <v>-0.9008418498677766</v>
      </c>
      <c r="H5" s="4"/>
      <c r="I5" s="48">
        <f t="shared" ref="I5:I50" si="3">+(B5/F5)-1</f>
        <v>0.33615152446234986</v>
      </c>
      <c r="J5" s="48">
        <f t="shared" ref="J5:J50" si="4">+(D5/F5)-1</f>
        <v>6.3170955246291571E-2</v>
      </c>
      <c r="K5" s="4"/>
      <c r="L5" s="4"/>
      <c r="M5" s="4"/>
      <c r="N5" s="4"/>
      <c r="O5" s="4"/>
      <c r="P5" s="4"/>
    </row>
    <row r="6" spans="1:16" s="7" customFormat="1" x14ac:dyDescent="0.2">
      <c r="A6" s="7" t="s">
        <v>3</v>
      </c>
      <c r="B6" s="8">
        <f>SUM(B4:B5)</f>
        <v>1694799380</v>
      </c>
      <c r="C6" s="51">
        <f t="shared" si="0"/>
        <v>8.8893176183657899E-2</v>
      </c>
      <c r="D6" s="8">
        <f t="shared" ref="D6:F6" si="5">SUM(D4:D5)</f>
        <v>1524974769</v>
      </c>
      <c r="E6" s="51">
        <f t="shared" si="1"/>
        <v>9.9367365150372186E-2</v>
      </c>
      <c r="F6" s="8">
        <f t="shared" si="5"/>
        <v>1431012155</v>
      </c>
      <c r="G6" s="51">
        <f t="shared" si="2"/>
        <v>9.9158150132223385E-2</v>
      </c>
      <c r="H6" s="8"/>
      <c r="I6" s="51">
        <f t="shared" si="3"/>
        <v>0.18433611767609337</v>
      </c>
      <c r="J6" s="51">
        <f t="shared" si="4"/>
        <v>6.5661646319139733E-2</v>
      </c>
      <c r="K6" s="8"/>
      <c r="L6" s="8"/>
      <c r="M6" s="8"/>
      <c r="N6" s="8"/>
      <c r="O6" s="8"/>
      <c r="P6" s="8"/>
    </row>
    <row r="7" spans="1:16" x14ac:dyDescent="0.2">
      <c r="A7" s="3" t="s">
        <v>4</v>
      </c>
      <c r="B7" s="4">
        <v>-1020539598</v>
      </c>
      <c r="C7" s="48">
        <f t="shared" si="0"/>
        <v>-5.3527873185446537E-2</v>
      </c>
      <c r="D7" s="4">
        <v>-879277645</v>
      </c>
      <c r="E7" s="48">
        <f t="shared" si="1"/>
        <v>-5.7293736654127118E-2</v>
      </c>
      <c r="F7" s="4">
        <v>-809127694</v>
      </c>
      <c r="G7" s="48">
        <f t="shared" si="2"/>
        <v>-5.6066333942349847E-2</v>
      </c>
      <c r="H7" s="4"/>
      <c r="I7" s="48">
        <f t="shared" si="3"/>
        <v>0.26128373255260251</v>
      </c>
      <c r="J7" s="48">
        <f t="shared" si="4"/>
        <v>8.6698244937343683E-2</v>
      </c>
      <c r="K7" s="4"/>
      <c r="L7" s="4"/>
      <c r="M7" s="4"/>
      <c r="N7" s="4"/>
      <c r="O7" s="4"/>
      <c r="P7" s="4"/>
    </row>
    <row r="8" spans="1:16" x14ac:dyDescent="0.2">
      <c r="A8" s="3" t="s">
        <v>5</v>
      </c>
      <c r="B8" s="13">
        <v>-284636530</v>
      </c>
      <c r="C8" s="48">
        <f t="shared" si="0"/>
        <v>-1.4929345330298049E-2</v>
      </c>
      <c r="D8" s="13">
        <v>-204655152</v>
      </c>
      <c r="E8" s="48">
        <f t="shared" si="1"/>
        <v>-1.3335330939294329E-2</v>
      </c>
      <c r="F8" s="13">
        <v>-178164215</v>
      </c>
      <c r="G8" s="48">
        <f t="shared" si="2"/>
        <v>-1.2345411544851432E-2</v>
      </c>
      <c r="I8" s="48">
        <f t="shared" si="3"/>
        <v>0.59760774631426417</v>
      </c>
      <c r="J8" s="48">
        <f t="shared" si="4"/>
        <v>0.14868831543977556</v>
      </c>
    </row>
    <row r="9" spans="1:16" s="7" customFormat="1" x14ac:dyDescent="0.2">
      <c r="A9" s="7" t="s">
        <v>6</v>
      </c>
      <c r="B9" s="8">
        <f>SUM(B6:B8)</f>
        <v>389623252</v>
      </c>
      <c r="C9" s="48">
        <f t="shared" si="0"/>
        <v>2.043595766791332E-2</v>
      </c>
      <c r="D9" s="8">
        <f t="shared" ref="D9:F9" si="6">SUM(D6:D8)</f>
        <v>441041972</v>
      </c>
      <c r="E9" s="48">
        <f t="shared" si="1"/>
        <v>2.8738297556950745E-2</v>
      </c>
      <c r="F9" s="8">
        <f t="shared" si="6"/>
        <v>443720246</v>
      </c>
      <c r="G9" s="48">
        <f t="shared" si="2"/>
        <v>3.0746404645022107E-2</v>
      </c>
      <c r="I9" s="48">
        <f t="shared" si="3"/>
        <v>-0.12191689355549484</v>
      </c>
      <c r="J9" s="48">
        <f t="shared" si="4"/>
        <v>-6.0359517604702262E-3</v>
      </c>
    </row>
    <row r="10" spans="1:16" x14ac:dyDescent="0.2">
      <c r="A10" s="3" t="s">
        <v>7</v>
      </c>
      <c r="B10" s="13">
        <v>-182940749</v>
      </c>
      <c r="C10" s="48">
        <f t="shared" si="0"/>
        <v>-9.5953446903121586E-3</v>
      </c>
      <c r="D10" s="13">
        <v>-95631443</v>
      </c>
      <c r="E10" s="48">
        <f t="shared" si="1"/>
        <v>-6.2313454029599129E-3</v>
      </c>
      <c r="F10" s="13">
        <v>-120633279</v>
      </c>
      <c r="G10" s="48">
        <f t="shared" si="2"/>
        <v>-8.3589595994901875E-3</v>
      </c>
      <c r="I10" s="48">
        <f t="shared" si="3"/>
        <v>0.51650316161927412</v>
      </c>
      <c r="J10" s="48">
        <f t="shared" si="4"/>
        <v>-0.20725488196337594</v>
      </c>
    </row>
    <row r="11" spans="1:16" s="7" customFormat="1" x14ac:dyDescent="0.2">
      <c r="A11" s="7" t="s">
        <v>8</v>
      </c>
      <c r="B11" s="8">
        <f>SUM(B9:B10)</f>
        <v>206682503</v>
      </c>
      <c r="C11" s="48">
        <f t="shared" si="0"/>
        <v>1.0840612977601163E-2</v>
      </c>
      <c r="D11" s="8">
        <f t="shared" ref="D11:F11" si="7">SUM(D9:D10)</f>
        <v>345410529</v>
      </c>
      <c r="E11" s="48">
        <f t="shared" si="1"/>
        <v>2.2506952153990834E-2</v>
      </c>
      <c r="F11" s="8">
        <f t="shared" si="7"/>
        <v>323086967</v>
      </c>
      <c r="G11" s="48">
        <f t="shared" si="2"/>
        <v>2.2387445045531917E-2</v>
      </c>
      <c r="I11" s="48">
        <f t="shared" si="3"/>
        <v>-0.36028833066485166</v>
      </c>
      <c r="J11" s="48">
        <f t="shared" si="4"/>
        <v>6.9094591488117807E-2</v>
      </c>
    </row>
    <row r="12" spans="1:16" x14ac:dyDescent="0.2">
      <c r="A12" s="3" t="s">
        <v>9</v>
      </c>
      <c r="B12" s="4">
        <v>-72941641</v>
      </c>
      <c r="C12" s="48">
        <f t="shared" si="0"/>
        <v>-3.8258299011993532E-3</v>
      </c>
      <c r="D12" s="4">
        <v>-150129177</v>
      </c>
      <c r="E12" s="48">
        <f t="shared" si="1"/>
        <v>-9.7824180792619123E-3</v>
      </c>
      <c r="F12" s="4">
        <v>-126570548</v>
      </c>
      <c r="G12" s="48">
        <f t="shared" si="2"/>
        <v>-8.7703667345172109E-3</v>
      </c>
      <c r="I12" s="48">
        <f t="shared" si="3"/>
        <v>-0.42370763062509609</v>
      </c>
      <c r="J12" s="48">
        <f t="shared" si="4"/>
        <v>0.18613041795473628</v>
      </c>
    </row>
    <row r="13" spans="1:16" s="7" customFormat="1" ht="16" thickBot="1" x14ac:dyDescent="0.25">
      <c r="A13" s="7" t="s">
        <v>10</v>
      </c>
      <c r="B13" s="12">
        <f>SUM(B11:B12)</f>
        <v>133740862</v>
      </c>
      <c r="C13" s="48">
        <f t="shared" si="0"/>
        <v>7.0147830764018086E-3</v>
      </c>
      <c r="D13" s="12">
        <f t="shared" ref="D13" si="8">SUM(D11:D12)</f>
        <v>195281352</v>
      </c>
      <c r="E13" s="48">
        <f t="shared" si="1"/>
        <v>1.2724534074728922E-2</v>
      </c>
      <c r="F13" s="12">
        <f t="shared" ref="F13" si="9">SUM(F11:F12)</f>
        <v>196516419</v>
      </c>
      <c r="G13" s="48">
        <f t="shared" si="2"/>
        <v>1.3617078311014707E-2</v>
      </c>
      <c r="I13" s="48">
        <f t="shared" si="3"/>
        <v>-0.31944179178229382</v>
      </c>
      <c r="J13" s="48">
        <f t="shared" si="4"/>
        <v>-6.2848031033987395E-3</v>
      </c>
    </row>
    <row r="14" spans="1:16" ht="16" thickTop="1" x14ac:dyDescent="0.2">
      <c r="I14" s="48"/>
      <c r="J14" s="48"/>
    </row>
    <row r="15" spans="1:16" s="11" customFormat="1" ht="16" x14ac:dyDescent="0.2">
      <c r="A15" s="9" t="s">
        <v>11</v>
      </c>
      <c r="B15" s="10"/>
      <c r="C15" s="10"/>
      <c r="D15" s="10"/>
      <c r="E15" s="10"/>
      <c r="F15" s="10"/>
      <c r="I15" s="48"/>
      <c r="J15" s="48"/>
    </row>
    <row r="16" spans="1:16" s="7" customFormat="1" x14ac:dyDescent="0.2">
      <c r="A16" s="7" t="s">
        <v>12</v>
      </c>
      <c r="B16" s="8"/>
      <c r="C16" s="8"/>
      <c r="D16" s="8"/>
      <c r="E16" s="8"/>
      <c r="F16" s="8"/>
      <c r="I16" s="48"/>
      <c r="J16" s="48"/>
    </row>
    <row r="17" spans="1:10" s="7" customFormat="1" x14ac:dyDescent="0.2">
      <c r="A17" s="7" t="s">
        <v>13</v>
      </c>
      <c r="B17" s="8"/>
      <c r="C17" s="8"/>
      <c r="D17" s="8"/>
      <c r="E17" s="8"/>
      <c r="F17" s="8"/>
      <c r="I17" s="48"/>
      <c r="J17" s="48"/>
    </row>
    <row r="18" spans="1:10" x14ac:dyDescent="0.2">
      <c r="A18" s="3" t="s">
        <v>14</v>
      </c>
      <c r="B18" s="4">
        <v>435711491</v>
      </c>
      <c r="C18" s="48">
        <f>+B18/$B$28</f>
        <v>6.8294722138609584E-2</v>
      </c>
      <c r="D18" s="4">
        <v>240453180</v>
      </c>
      <c r="E18" s="48">
        <f>+D18/$D$28</f>
        <v>5.5955807058989712E-2</v>
      </c>
      <c r="F18" s="4">
        <v>361872723</v>
      </c>
      <c r="G18" s="48">
        <f>+F18/$F$28</f>
        <v>8.7581717929700389E-2</v>
      </c>
      <c r="I18" s="48">
        <f t="shared" si="3"/>
        <v>0.20404623865502014</v>
      </c>
      <c r="J18" s="48">
        <f t="shared" si="4"/>
        <v>-0.3355310728960359</v>
      </c>
    </row>
    <row r="19" spans="1:10" x14ac:dyDescent="0.2">
      <c r="A19" s="3" t="s">
        <v>15</v>
      </c>
      <c r="B19" s="4">
        <v>774804458</v>
      </c>
      <c r="C19" s="48">
        <f t="shared" ref="C19:C50" si="10">+B19/$B$28</f>
        <v>0.12144516787799385</v>
      </c>
      <c r="D19" s="4">
        <v>511827395</v>
      </c>
      <c r="E19" s="48">
        <f t="shared" ref="E19:E50" si="11">+D19/$D$28</f>
        <v>0.11910724142689781</v>
      </c>
      <c r="F19" s="4">
        <v>469040218</v>
      </c>
      <c r="G19" s="48">
        <f t="shared" ref="G19:G50" si="12">+F19/$F$28</f>
        <v>0.11351877458462427</v>
      </c>
      <c r="I19" s="48">
        <f t="shared" si="3"/>
        <v>0.65189343741947514</v>
      </c>
      <c r="J19" s="48">
        <f t="shared" si="4"/>
        <v>9.1222831983247987E-2</v>
      </c>
    </row>
    <row r="20" spans="1:10" x14ac:dyDescent="0.2">
      <c r="A20" s="3" t="s">
        <v>16</v>
      </c>
      <c r="B20" s="4">
        <v>874764329</v>
      </c>
      <c r="C20" s="48">
        <f t="shared" si="10"/>
        <v>0.13711317699863523</v>
      </c>
      <c r="D20" s="4">
        <v>638134164</v>
      </c>
      <c r="E20" s="48">
        <f t="shared" si="11"/>
        <v>0.14850006208499175</v>
      </c>
      <c r="F20" s="4">
        <v>481488706</v>
      </c>
      <c r="G20" s="48">
        <f t="shared" si="12"/>
        <v>0.11653160173453703</v>
      </c>
      <c r="I20" s="48">
        <f t="shared" si="3"/>
        <v>0.81679096124011674</v>
      </c>
      <c r="J20" s="48">
        <f t="shared" si="4"/>
        <v>0.32533568502850829</v>
      </c>
    </row>
    <row r="21" spans="1:10" x14ac:dyDescent="0.2">
      <c r="A21" s="3" t="s">
        <v>17</v>
      </c>
      <c r="B21" s="13">
        <v>268997246</v>
      </c>
      <c r="C21" s="48">
        <f t="shared" si="10"/>
        <v>4.2163432801503073E-2</v>
      </c>
      <c r="D21" s="13">
        <v>180235331</v>
      </c>
      <c r="E21" s="48">
        <f t="shared" si="11"/>
        <v>4.1942524555712457E-2</v>
      </c>
      <c r="F21" s="13">
        <v>153315714</v>
      </c>
      <c r="G21" s="48">
        <f t="shared" si="12"/>
        <v>3.7106012043186289E-2</v>
      </c>
      <c r="I21" s="48">
        <f t="shared" si="3"/>
        <v>0.7545314761407953</v>
      </c>
      <c r="J21" s="48">
        <f t="shared" si="4"/>
        <v>0.17558289556672579</v>
      </c>
    </row>
    <row r="22" spans="1:10" s="7" customFormat="1" x14ac:dyDescent="0.2">
      <c r="A22" s="7" t="s">
        <v>18</v>
      </c>
      <c r="B22" s="8">
        <v>2354277524</v>
      </c>
      <c r="C22" s="48">
        <f t="shared" si="10"/>
        <v>0.36901649981674173</v>
      </c>
      <c r="D22" s="8">
        <v>1570650070</v>
      </c>
      <c r="E22" s="48">
        <f t="shared" si="11"/>
        <v>0.36550563512659173</v>
      </c>
      <c r="F22" s="8">
        <v>1465717361</v>
      </c>
      <c r="G22" s="48">
        <f t="shared" si="12"/>
        <v>0.35473810629204794</v>
      </c>
      <c r="I22" s="48">
        <f t="shared" si="3"/>
        <v>0.60622885874379695</v>
      </c>
      <c r="J22" s="48">
        <f t="shared" si="4"/>
        <v>7.1591366652305144E-2</v>
      </c>
    </row>
    <row r="23" spans="1:10" s="7" customFormat="1" x14ac:dyDescent="0.2">
      <c r="A23" s="7" t="s">
        <v>19</v>
      </c>
      <c r="B23" s="8"/>
      <c r="C23" s="48"/>
      <c r="D23" s="8"/>
      <c r="E23" s="48"/>
      <c r="F23" s="8"/>
      <c r="G23" s="48"/>
      <c r="I23" s="48"/>
      <c r="J23" s="48"/>
    </row>
    <row r="24" spans="1:10" x14ac:dyDescent="0.2">
      <c r="A24" s="3" t="s">
        <v>20</v>
      </c>
      <c r="B24" s="4">
        <v>3879844257</v>
      </c>
      <c r="C24" s="48">
        <f t="shared" si="10"/>
        <v>0.6081383919087302</v>
      </c>
      <c r="D24" s="4">
        <v>2658423402</v>
      </c>
      <c r="E24" s="48">
        <f t="shared" si="11"/>
        <v>0.61864112990069442</v>
      </c>
      <c r="F24" s="4">
        <v>2630265393</v>
      </c>
      <c r="G24" s="48">
        <f t="shared" si="12"/>
        <v>0.63658614504077593</v>
      </c>
      <c r="I24" s="48">
        <f t="shared" si="3"/>
        <v>0.47507710336969788</v>
      </c>
      <c r="J24" s="48">
        <f t="shared" si="4"/>
        <v>1.0705387020996993E-2</v>
      </c>
    </row>
    <row r="25" spans="1:10" x14ac:dyDescent="0.2">
      <c r="A25" s="3" t="s">
        <v>21</v>
      </c>
      <c r="B25" s="4">
        <v>15832510</v>
      </c>
      <c r="C25" s="48">
        <f t="shared" si="10"/>
        <v>2.4816349661220152E-3</v>
      </c>
      <c r="D25" s="4">
        <v>14247678</v>
      </c>
      <c r="E25" s="48">
        <f t="shared" si="11"/>
        <v>3.3155740390150481E-3</v>
      </c>
      <c r="F25" s="4">
        <v>13748587</v>
      </c>
      <c r="G25" s="48">
        <f t="shared" si="12"/>
        <v>3.3274817139670007E-3</v>
      </c>
      <c r="I25" s="48">
        <f t="shared" si="3"/>
        <v>0.15157361261924596</v>
      </c>
      <c r="J25" s="48">
        <f t="shared" si="4"/>
        <v>3.6301257721975455E-2</v>
      </c>
    </row>
    <row r="26" spans="1:10" x14ac:dyDescent="0.2">
      <c r="A26" s="3" t="s">
        <v>22</v>
      </c>
      <c r="B26" s="13">
        <v>129916325</v>
      </c>
      <c r="C26" s="48">
        <f t="shared" si="10"/>
        <v>2.036347330840604E-2</v>
      </c>
      <c r="D26" s="13">
        <v>53876811</v>
      </c>
      <c r="E26" s="48">
        <f t="shared" si="11"/>
        <v>1.2537660933698838E-2</v>
      </c>
      <c r="F26" s="13">
        <v>22098127</v>
      </c>
      <c r="G26" s="48">
        <f t="shared" si="12"/>
        <v>5.3482669532091158E-3</v>
      </c>
      <c r="I26" s="48">
        <f t="shared" si="3"/>
        <v>4.879064999490681</v>
      </c>
      <c r="J26" s="48">
        <f t="shared" si="4"/>
        <v>1.4380713804387133</v>
      </c>
    </row>
    <row r="27" spans="1:10" s="7" customFormat="1" x14ac:dyDescent="0.2">
      <c r="A27" s="7" t="s">
        <v>23</v>
      </c>
      <c r="B27" s="8">
        <v>4025593092</v>
      </c>
      <c r="C27" s="48">
        <f t="shared" si="10"/>
        <v>0.63098350018325822</v>
      </c>
      <c r="D27" s="8">
        <v>2726547891</v>
      </c>
      <c r="E27" s="48">
        <f t="shared" si="11"/>
        <v>0.63449436487340827</v>
      </c>
      <c r="F27" s="8">
        <v>2666112107</v>
      </c>
      <c r="G27" s="48" t="s">
        <v>158</v>
      </c>
      <c r="I27" s="48">
        <f t="shared" si="3"/>
        <v>0.50991141048818611</v>
      </c>
      <c r="J27" s="48">
        <f t="shared" si="4"/>
        <v>2.2668133062118123E-2</v>
      </c>
    </row>
    <row r="28" spans="1:10" s="7" customFormat="1" ht="16" thickBot="1" x14ac:dyDescent="0.25">
      <c r="A28" s="7" t="s">
        <v>24</v>
      </c>
      <c r="B28" s="12">
        <v>6379870616</v>
      </c>
      <c r="C28" s="48">
        <f t="shared" si="10"/>
        <v>1</v>
      </c>
      <c r="D28" s="12">
        <v>4297197961</v>
      </c>
      <c r="E28" s="48">
        <f t="shared" si="11"/>
        <v>1</v>
      </c>
      <c r="F28" s="12">
        <v>4131829468</v>
      </c>
      <c r="G28" s="48">
        <f t="shared" si="12"/>
        <v>1</v>
      </c>
      <c r="I28" s="48">
        <f t="shared" si="3"/>
        <v>0.54407887968526381</v>
      </c>
      <c r="J28" s="48">
        <f t="shared" si="4"/>
        <v>4.0023068299584574E-2</v>
      </c>
    </row>
    <row r="29" spans="1:10" ht="16" thickTop="1" x14ac:dyDescent="0.2">
      <c r="C29" s="48"/>
      <c r="E29" s="48"/>
      <c r="G29" s="48"/>
      <c r="I29" s="48"/>
      <c r="J29" s="48"/>
    </row>
    <row r="30" spans="1:10" s="7" customFormat="1" x14ac:dyDescent="0.2">
      <c r="A30" s="7" t="s">
        <v>25</v>
      </c>
      <c r="B30" s="8"/>
      <c r="C30" s="48"/>
      <c r="D30" s="8"/>
      <c r="E30" s="48"/>
      <c r="F30" s="8"/>
      <c r="G30" s="48"/>
      <c r="I30" s="48"/>
      <c r="J30" s="48"/>
    </row>
    <row r="31" spans="1:10" s="7" customFormat="1" x14ac:dyDescent="0.2">
      <c r="A31" s="7" t="s">
        <v>26</v>
      </c>
      <c r="B31" s="8"/>
      <c r="C31" s="48"/>
      <c r="D31" s="8"/>
      <c r="E31" s="48"/>
      <c r="F31" s="8"/>
      <c r="G31" s="48"/>
      <c r="I31" s="48"/>
      <c r="J31" s="48"/>
    </row>
    <row r="32" spans="1:10" x14ac:dyDescent="0.2">
      <c r="A32" s="3" t="s">
        <v>27</v>
      </c>
      <c r="B32" s="4">
        <v>502561372</v>
      </c>
      <c r="C32" s="48">
        <f t="shared" si="10"/>
        <v>7.8772972407878061E-2</v>
      </c>
      <c r="D32" s="4">
        <v>323223934</v>
      </c>
      <c r="E32" s="48">
        <f t="shared" si="11"/>
        <v>7.5217371164530353E-2</v>
      </c>
      <c r="F32" s="4">
        <v>139179829</v>
      </c>
      <c r="G32" s="48">
        <f t="shared" si="12"/>
        <v>3.3684795095710859E-2</v>
      </c>
      <c r="I32" s="48">
        <f t="shared" si="3"/>
        <v>2.610877923984229</v>
      </c>
      <c r="J32" s="48">
        <f t="shared" si="4"/>
        <v>1.322347543622862</v>
      </c>
    </row>
    <row r="33" spans="1:10" x14ac:dyDescent="0.2">
      <c r="A33" s="3" t="s">
        <v>28</v>
      </c>
      <c r="B33" s="4">
        <v>981173861</v>
      </c>
      <c r="C33" s="48">
        <f t="shared" si="10"/>
        <v>0.15379212527277999</v>
      </c>
      <c r="D33" s="4">
        <v>738727457</v>
      </c>
      <c r="E33" s="48">
        <f t="shared" si="11"/>
        <v>0.17190910535294279</v>
      </c>
      <c r="F33" s="4">
        <v>716692246</v>
      </c>
      <c r="G33" s="48">
        <f t="shared" si="12"/>
        <v>0.17345639541772104</v>
      </c>
      <c r="I33" s="48">
        <f t="shared" si="3"/>
        <v>0.36903094246676149</v>
      </c>
      <c r="J33" s="48">
        <f t="shared" si="4"/>
        <v>3.0745708667817784E-2</v>
      </c>
    </row>
    <row r="34" spans="1:10" x14ac:dyDescent="0.2">
      <c r="A34" s="3" t="s">
        <v>29</v>
      </c>
      <c r="B34" s="13">
        <v>132905231</v>
      </c>
      <c r="C34" s="48">
        <f t="shared" si="10"/>
        <v>2.0831963373471648E-2</v>
      </c>
      <c r="D34" s="13">
        <v>181006169</v>
      </c>
      <c r="E34" s="48">
        <f t="shared" si="11"/>
        <v>4.212190609852149E-2</v>
      </c>
      <c r="F34" s="13">
        <v>160017378</v>
      </c>
      <c r="G34" s="48">
        <f t="shared" si="12"/>
        <v>3.8727972497242476E-2</v>
      </c>
      <c r="I34" s="48">
        <f t="shared" si="3"/>
        <v>-0.16943251626082767</v>
      </c>
      <c r="J34" s="48">
        <f t="shared" si="4"/>
        <v>0.13116569751567853</v>
      </c>
    </row>
    <row r="35" spans="1:10" s="7" customFormat="1" x14ac:dyDescent="0.2">
      <c r="A35" s="7" t="s">
        <v>30</v>
      </c>
      <c r="B35" s="8">
        <v>1616640464</v>
      </c>
      <c r="C35" s="48">
        <f t="shared" si="10"/>
        <v>0.25339706105412968</v>
      </c>
      <c r="D35" s="8">
        <v>1242957560</v>
      </c>
      <c r="E35" s="48">
        <f t="shared" si="11"/>
        <v>0.28924838261599461</v>
      </c>
      <c r="F35" s="8">
        <v>1015889453</v>
      </c>
      <c r="G35" s="48">
        <f t="shared" si="12"/>
        <v>0.24586916301067438</v>
      </c>
      <c r="I35" s="48">
        <f t="shared" si="3"/>
        <v>0.59135470815838853</v>
      </c>
      <c r="J35" s="48">
        <f t="shared" si="4"/>
        <v>0.22351655126396897</v>
      </c>
    </row>
    <row r="36" spans="1:10" s="7" customFormat="1" x14ac:dyDescent="0.2">
      <c r="A36" s="7" t="s">
        <v>31</v>
      </c>
      <c r="B36" s="8"/>
      <c r="C36" s="48"/>
      <c r="D36" s="8"/>
      <c r="E36" s="48"/>
      <c r="F36" s="8"/>
      <c r="G36" s="48"/>
      <c r="I36" s="48"/>
      <c r="J36" s="48"/>
    </row>
    <row r="37" spans="1:10" x14ac:dyDescent="0.2">
      <c r="A37" s="3" t="s">
        <v>27</v>
      </c>
      <c r="B37" s="4">
        <v>2264432452</v>
      </c>
      <c r="C37" s="48">
        <f t="shared" si="10"/>
        <v>0.35493391454068951</v>
      </c>
      <c r="D37" s="4">
        <v>1135226330</v>
      </c>
      <c r="E37" s="48">
        <f t="shared" si="11"/>
        <v>0.2641782715860318</v>
      </c>
      <c r="F37" s="4">
        <v>1301911010</v>
      </c>
      <c r="G37" s="48">
        <f t="shared" si="12"/>
        <v>0.31509311313135735</v>
      </c>
      <c r="I37" s="48">
        <f t="shared" si="3"/>
        <v>0.7393143115058225</v>
      </c>
      <c r="J37" s="48">
        <f t="shared" si="4"/>
        <v>-0.12803077838630461</v>
      </c>
    </row>
    <row r="38" spans="1:10" x14ac:dyDescent="0.2">
      <c r="A38" s="3" t="s">
        <v>28</v>
      </c>
      <c r="B38" s="4">
        <v>20552406</v>
      </c>
      <c r="C38" s="48">
        <f t="shared" si="10"/>
        <v>3.2214455804882424E-3</v>
      </c>
      <c r="D38" s="4">
        <v>8779542</v>
      </c>
      <c r="E38" s="48">
        <f t="shared" si="11"/>
        <v>2.0430853034187225E-3</v>
      </c>
      <c r="F38" s="4">
        <v>0</v>
      </c>
      <c r="G38" s="48">
        <f t="shared" si="12"/>
        <v>0</v>
      </c>
      <c r="I38" s="48" t="e">
        <f t="shared" si="3"/>
        <v>#DIV/0!</v>
      </c>
      <c r="J38" s="48" t="e">
        <f t="shared" si="4"/>
        <v>#DIV/0!</v>
      </c>
    </row>
    <row r="39" spans="1:10" x14ac:dyDescent="0.2">
      <c r="A39" s="3" t="s">
        <v>29</v>
      </c>
      <c r="B39" s="4">
        <v>515113260</v>
      </c>
      <c r="C39" s="48">
        <f t="shared" si="10"/>
        <v>8.074039287068828E-2</v>
      </c>
      <c r="D39" s="4">
        <v>232968978</v>
      </c>
      <c r="E39" s="48">
        <f t="shared" si="11"/>
        <v>5.4214160044371296E-2</v>
      </c>
      <c r="F39" s="4">
        <v>227547388</v>
      </c>
      <c r="G39" s="48">
        <f t="shared" si="12"/>
        <v>5.507182466321478E-2</v>
      </c>
      <c r="I39" s="48">
        <f t="shared" si="3"/>
        <v>1.2637625706342979</v>
      </c>
      <c r="J39" s="48">
        <f t="shared" si="4"/>
        <v>2.3826201863499374E-2</v>
      </c>
    </row>
    <row r="40" spans="1:10" s="7" customFormat="1" x14ac:dyDescent="0.2">
      <c r="A40" s="7" t="s">
        <v>32</v>
      </c>
      <c r="B40" s="14">
        <v>2800098118</v>
      </c>
      <c r="C40" s="48">
        <f t="shared" si="10"/>
        <v>0.43889575299186601</v>
      </c>
      <c r="D40" s="14">
        <v>1376974850</v>
      </c>
      <c r="E40" s="48">
        <f t="shared" si="11"/>
        <v>0.32043551693382177</v>
      </c>
      <c r="F40" s="14">
        <v>1529458398</v>
      </c>
      <c r="G40" s="48">
        <f t="shared" si="12"/>
        <v>0.3701649377945721</v>
      </c>
      <c r="I40" s="48">
        <f t="shared" si="3"/>
        <v>0.83077756260749247</v>
      </c>
      <c r="J40" s="48">
        <f t="shared" si="4"/>
        <v>-9.9697741500779258E-2</v>
      </c>
    </row>
    <row r="41" spans="1:10" s="7" customFormat="1" x14ac:dyDescent="0.2">
      <c r="A41" s="7" t="s">
        <v>33</v>
      </c>
      <c r="B41" s="8">
        <v>4416738582</v>
      </c>
      <c r="C41" s="48">
        <f t="shared" si="10"/>
        <v>0.69229281404599574</v>
      </c>
      <c r="D41" s="8">
        <v>2619932410</v>
      </c>
      <c r="E41" s="48">
        <f t="shared" si="11"/>
        <v>0.60968389954981639</v>
      </c>
      <c r="F41" s="8">
        <v>2545347851</v>
      </c>
      <c r="G41" s="48">
        <f t="shared" si="12"/>
        <v>0.61603410080524645</v>
      </c>
      <c r="I41" s="48">
        <f t="shared" si="3"/>
        <v>0.73522003299658234</v>
      </c>
      <c r="J41" s="48">
        <f t="shared" si="4"/>
        <v>2.930230497599684E-2</v>
      </c>
    </row>
    <row r="42" spans="1:10" x14ac:dyDescent="0.2">
      <c r="C42" s="48"/>
      <c r="E42" s="48"/>
      <c r="G42" s="48"/>
      <c r="I42" s="48"/>
      <c r="J42" s="48"/>
    </row>
    <row r="43" spans="1:10" s="7" customFormat="1" x14ac:dyDescent="0.2">
      <c r="A43" s="7" t="s">
        <v>34</v>
      </c>
      <c r="B43" s="8"/>
      <c r="C43" s="48"/>
      <c r="D43" s="8"/>
      <c r="E43" s="48"/>
      <c r="F43" s="8"/>
      <c r="G43" s="48"/>
      <c r="I43" s="48"/>
      <c r="J43" s="48"/>
    </row>
    <row r="44" spans="1:10" x14ac:dyDescent="0.2">
      <c r="A44" s="3" t="s">
        <v>35</v>
      </c>
      <c r="B44" s="4">
        <v>415900006</v>
      </c>
      <c r="C44" s="48">
        <f t="shared" si="10"/>
        <v>6.518941073146052E-2</v>
      </c>
      <c r="D44" s="4">
        <v>415367718</v>
      </c>
      <c r="E44" s="48">
        <f t="shared" si="11"/>
        <v>9.6660131036490543E-2</v>
      </c>
      <c r="F44" s="4">
        <v>415367585</v>
      </c>
      <c r="G44" s="48">
        <f t="shared" si="12"/>
        <v>0.1005287338736798</v>
      </c>
      <c r="I44" s="48">
        <f t="shared" si="3"/>
        <v>1.2818068121516202E-3</v>
      </c>
      <c r="J44" s="48">
        <f t="shared" si="4"/>
        <v>3.2019831297525059E-7</v>
      </c>
    </row>
    <row r="45" spans="1:10" x14ac:dyDescent="0.2">
      <c r="A45" s="3" t="s">
        <v>36</v>
      </c>
      <c r="B45" s="4">
        <v>393205680</v>
      </c>
      <c r="C45" s="48">
        <f t="shared" si="10"/>
        <v>6.1632234204543938E-2</v>
      </c>
      <c r="D45" s="4">
        <v>147070908</v>
      </c>
      <c r="E45" s="48">
        <f t="shared" si="11"/>
        <v>3.4224838914746009E-2</v>
      </c>
      <c r="F45" s="4">
        <v>157653929</v>
      </c>
      <c r="G45" s="48">
        <f t="shared" si="12"/>
        <v>3.8155962200519353E-2</v>
      </c>
      <c r="I45" s="48">
        <f t="shared" si="3"/>
        <v>1.4941064424724866</v>
      </c>
      <c r="J45" s="48">
        <f t="shared" si="4"/>
        <v>-6.7128177947280987E-2</v>
      </c>
    </row>
    <row r="46" spans="1:10" x14ac:dyDescent="0.2">
      <c r="A46" s="3" t="s">
        <v>37</v>
      </c>
      <c r="B46" s="4">
        <v>1020284998</v>
      </c>
      <c r="C46" s="48">
        <f t="shared" si="10"/>
        <v>0.15992252185196978</v>
      </c>
      <c r="D46" s="4">
        <v>919545718</v>
      </c>
      <c r="E46" s="48">
        <f t="shared" si="11"/>
        <v>0.2139872834217795</v>
      </c>
      <c r="F46" s="4">
        <v>816943902</v>
      </c>
      <c r="G46" s="48">
        <f t="shared" si="12"/>
        <v>0.19771965622662527</v>
      </c>
      <c r="I46" s="48">
        <f t="shared" si="3"/>
        <v>0.24890460104077006</v>
      </c>
      <c r="J46" s="48">
        <f t="shared" si="4"/>
        <v>0.12559224170572247</v>
      </c>
    </row>
    <row r="47" spans="1:10" x14ac:dyDescent="0.2">
      <c r="A47" s="3" t="s">
        <v>38</v>
      </c>
      <c r="B47" s="4">
        <v>133741350</v>
      </c>
      <c r="C47" s="48">
        <f t="shared" si="10"/>
        <v>2.0963019166030061E-2</v>
      </c>
      <c r="D47" s="4">
        <v>195281207</v>
      </c>
      <c r="E47" s="48">
        <f t="shared" si="11"/>
        <v>4.5443847077167504E-2</v>
      </c>
      <c r="F47" s="4">
        <v>196516201</v>
      </c>
      <c r="G47" s="48">
        <f t="shared" si="12"/>
        <v>4.7561546893929073E-2</v>
      </c>
      <c r="I47" s="48">
        <f t="shared" si="3"/>
        <v>-0.3194385535673977</v>
      </c>
      <c r="J47" s="48">
        <f t="shared" si="4"/>
        <v>-6.2844386046319034E-3</v>
      </c>
    </row>
    <row r="48" spans="1:10" s="7" customFormat="1" x14ac:dyDescent="0.2">
      <c r="A48" s="7" t="s">
        <v>39</v>
      </c>
      <c r="B48" s="14">
        <v>1963132034</v>
      </c>
      <c r="C48" s="48">
        <f t="shared" si="10"/>
        <v>0.30770718595400431</v>
      </c>
      <c r="D48" s="14">
        <v>1677265551</v>
      </c>
      <c r="E48" s="48">
        <f t="shared" si="11"/>
        <v>0.39031610045018356</v>
      </c>
      <c r="F48" s="14">
        <v>1586481617</v>
      </c>
      <c r="G48" s="48">
        <f t="shared" si="12"/>
        <v>0.38396589919475349</v>
      </c>
      <c r="I48" s="48">
        <f t="shared" si="3"/>
        <v>0.23741240551670373</v>
      </c>
      <c r="J48" s="48">
        <f t="shared" si="4"/>
        <v>5.7223438977925367E-2</v>
      </c>
    </row>
    <row r="49" spans="1:10" s="7" customFormat="1" x14ac:dyDescent="0.2">
      <c r="B49" s="8"/>
      <c r="C49" s="48"/>
      <c r="D49" s="8"/>
      <c r="E49" s="48"/>
      <c r="F49" s="8"/>
      <c r="G49" s="48"/>
      <c r="I49" s="48"/>
      <c r="J49" s="48"/>
    </row>
    <row r="50" spans="1:10" s="7" customFormat="1" ht="16" thickBot="1" x14ac:dyDescent="0.25">
      <c r="A50" s="7" t="s">
        <v>40</v>
      </c>
      <c r="B50" s="15">
        <v>6379870616</v>
      </c>
      <c r="C50" s="48">
        <f t="shared" si="10"/>
        <v>1</v>
      </c>
      <c r="D50" s="15">
        <v>4297197961</v>
      </c>
      <c r="E50" s="48">
        <f t="shared" si="11"/>
        <v>1</v>
      </c>
      <c r="F50" s="15">
        <v>4131829468</v>
      </c>
      <c r="G50" s="48">
        <f t="shared" si="12"/>
        <v>1</v>
      </c>
      <c r="I50" s="48">
        <f t="shared" si="3"/>
        <v>0.54407887968526381</v>
      </c>
      <c r="J50" s="48">
        <f t="shared" si="4"/>
        <v>4.0023068299584574E-2</v>
      </c>
    </row>
    <row r="51" spans="1:10" s="7" customFormat="1" ht="16" thickTop="1" x14ac:dyDescent="0.2">
      <c r="B51" s="72"/>
      <c r="C51" s="48"/>
      <c r="D51" s="72"/>
      <c r="E51" s="48"/>
      <c r="F51" s="72"/>
      <c r="G51" s="48"/>
      <c r="I51" s="48"/>
      <c r="J51" s="48"/>
    </row>
    <row r="52" spans="1:10" s="7" customFormat="1" x14ac:dyDescent="0.2">
      <c r="B52" s="72"/>
      <c r="C52" s="48"/>
      <c r="D52" s="72"/>
      <c r="E52" s="48"/>
      <c r="F52" s="72"/>
      <c r="G52" s="48"/>
      <c r="I52" s="48"/>
      <c r="J52" s="48"/>
    </row>
    <row r="53" spans="1:10" x14ac:dyDescent="0.2">
      <c r="A53" s="74" t="s">
        <v>187</v>
      </c>
    </row>
    <row r="54" spans="1:10" x14ac:dyDescent="0.2">
      <c r="A54" s="3" t="s">
        <v>178</v>
      </c>
      <c r="B54" s="70">
        <v>1.4562777416661301</v>
      </c>
      <c r="D54" s="70">
        <v>1.2636393393833978</v>
      </c>
      <c r="F54" s="70">
        <v>1.4427921824285344</v>
      </c>
      <c r="I54" s="74">
        <v>1.51</v>
      </c>
    </row>
    <row r="55" spans="1:10" x14ac:dyDescent="0.2">
      <c r="A55" s="3" t="s">
        <v>179</v>
      </c>
      <c r="B55" s="70">
        <v>0.74878488814071897</v>
      </c>
      <c r="D55" s="70">
        <v>0.60523432111390829</v>
      </c>
      <c r="F55" s="70">
        <v>0.81791669216197682</v>
      </c>
      <c r="I55" s="74">
        <v>0.87</v>
      </c>
    </row>
    <row r="56" spans="1:10" x14ac:dyDescent="0.2">
      <c r="A56" s="3" t="s">
        <v>180</v>
      </c>
      <c r="B56" s="70">
        <v>0.26951663075532173</v>
      </c>
      <c r="D56" s="70">
        <v>0.19345244579388535</v>
      </c>
      <c r="F56" s="70">
        <v>0.35621269807591949</v>
      </c>
      <c r="I56" s="74"/>
    </row>
    <row r="57" spans="1:10" x14ac:dyDescent="0.2">
      <c r="B57" s="70"/>
      <c r="D57" s="70"/>
      <c r="F57" s="70"/>
      <c r="I57" s="74"/>
    </row>
    <row r="58" spans="1:10" x14ac:dyDescent="0.2">
      <c r="A58" s="3" t="s">
        <v>181</v>
      </c>
      <c r="B58" s="70">
        <v>14.630013913172382</v>
      </c>
      <c r="C58" s="70"/>
      <c r="D58" s="70">
        <v>12.006243412840599</v>
      </c>
      <c r="F58" s="70">
        <v>11.700318316037032</v>
      </c>
      <c r="I58" s="75">
        <f>360/33.28</f>
        <v>10.817307692307692</v>
      </c>
    </row>
    <row r="59" spans="1:10" x14ac:dyDescent="0.2">
      <c r="A59" s="3" t="s">
        <v>182</v>
      </c>
      <c r="B59" s="70">
        <v>18.129022754920499</v>
      </c>
      <c r="D59" s="70">
        <v>16.620647278922792</v>
      </c>
      <c r="F59" s="70">
        <v>13.33291606342277</v>
      </c>
      <c r="I59" s="75">
        <f>360/25.06</f>
        <v>14.365522745411015</v>
      </c>
    </row>
    <row r="60" spans="1:10" x14ac:dyDescent="0.2">
      <c r="A60" s="7" t="s">
        <v>183</v>
      </c>
      <c r="B60" s="71">
        <v>32.759036668092882</v>
      </c>
      <c r="C60" s="7"/>
      <c r="D60" s="71">
        <v>28.626890691763393</v>
      </c>
      <c r="E60" s="8"/>
      <c r="F60" s="71">
        <v>25.033234379459802</v>
      </c>
      <c r="I60" s="75">
        <f>SUM(I58:I59)</f>
        <v>25.182830437718707</v>
      </c>
    </row>
    <row r="61" spans="1:10" x14ac:dyDescent="0.2">
      <c r="A61" s="3" t="s">
        <v>184</v>
      </c>
      <c r="B61" s="70">
        <v>19.205946691941449</v>
      </c>
      <c r="C61" s="70"/>
      <c r="D61" s="70">
        <v>18.089881765050922</v>
      </c>
      <c r="E61" s="70"/>
      <c r="F61" s="70">
        <v>18.683147012315079</v>
      </c>
      <c r="I61" s="75"/>
    </row>
    <row r="62" spans="1:10" x14ac:dyDescent="0.2">
      <c r="A62" s="7" t="s">
        <v>185</v>
      </c>
      <c r="B62" s="71">
        <v>-13.553089976151433</v>
      </c>
      <c r="C62" s="71"/>
      <c r="D62" s="71">
        <v>-10.53700892671247</v>
      </c>
      <c r="E62" s="8"/>
      <c r="F62" s="71">
        <v>-6.3500873671447238</v>
      </c>
      <c r="I62" s="75"/>
    </row>
    <row r="63" spans="1:10" x14ac:dyDescent="0.2">
      <c r="A63" s="7"/>
      <c r="B63" s="71"/>
      <c r="C63" s="71"/>
      <c r="D63" s="71"/>
      <c r="E63" s="8"/>
      <c r="F63" s="71"/>
      <c r="I63" s="75"/>
    </row>
    <row r="64" spans="1:10" x14ac:dyDescent="0.2">
      <c r="A64" s="7" t="s">
        <v>186</v>
      </c>
      <c r="B64" s="71">
        <f>+B4/B28</f>
        <v>2.9883950005483935</v>
      </c>
      <c r="C64" s="71"/>
      <c r="D64" s="71">
        <f>+D4/D28</f>
        <v>3.571359120357732</v>
      </c>
      <c r="E64" s="8"/>
      <c r="F64" s="71">
        <f>+F4/F28</f>
        <v>3.4927903452379367</v>
      </c>
      <c r="I64" s="75">
        <v>3.84</v>
      </c>
    </row>
    <row r="65" spans="1:9" x14ac:dyDescent="0.2">
      <c r="A65" s="7"/>
      <c r="B65" s="71"/>
      <c r="C65" s="71"/>
      <c r="D65" s="71"/>
      <c r="E65" s="8"/>
      <c r="F65" s="71"/>
      <c r="I65" s="75"/>
    </row>
    <row r="66" spans="1:9" x14ac:dyDescent="0.2">
      <c r="A66" s="74" t="s">
        <v>188</v>
      </c>
      <c r="B66" s="71"/>
      <c r="C66" s="71"/>
      <c r="D66" s="71"/>
      <c r="E66" s="8"/>
      <c r="F66" s="71"/>
      <c r="I66" s="75"/>
    </row>
    <row r="67" spans="1:9" s="76" customFormat="1" ht="16" thickBot="1" x14ac:dyDescent="0.25">
      <c r="A67" s="76" t="s">
        <v>189</v>
      </c>
      <c r="B67" s="77">
        <f>+B41/B48</f>
        <v>2.2498428559594275</v>
      </c>
      <c r="C67" s="77"/>
      <c r="D67" s="77">
        <f t="shared" ref="D67:F67" si="13">+D41/D48</f>
        <v>1.5620260062206452</v>
      </c>
      <c r="E67" s="77"/>
      <c r="F67" s="77">
        <f t="shared" si="13"/>
        <v>1.6043979480916986</v>
      </c>
      <c r="I67" s="73">
        <v>1.02</v>
      </c>
    </row>
    <row r="68" spans="1:9" s="76" customFormat="1" ht="16" thickBot="1" x14ac:dyDescent="0.25">
      <c r="A68" s="76" t="s">
        <v>190</v>
      </c>
      <c r="B68" s="77">
        <f>+B41/B28</f>
        <v>0.69229281404599574</v>
      </c>
      <c r="C68" s="77"/>
      <c r="D68" s="77">
        <f t="shared" ref="D68:F68" si="14">+D41/D28</f>
        <v>0.60968389954981639</v>
      </c>
      <c r="E68" s="77"/>
      <c r="F68" s="77">
        <f t="shared" si="14"/>
        <v>0.61603410080524645</v>
      </c>
      <c r="I68" s="79"/>
    </row>
    <row r="69" spans="1:9" s="76" customFormat="1" x14ac:dyDescent="0.2">
      <c r="A69" s="76" t="s">
        <v>191</v>
      </c>
      <c r="B69" s="77">
        <f>-(B13-B10)/B10</f>
        <v>1.7310610825147545</v>
      </c>
      <c r="C69" s="77"/>
      <c r="D69" s="77">
        <f t="shared" ref="D69:F69" si="15">-(D13-D10)/D10</f>
        <v>3.0420203426189021</v>
      </c>
      <c r="E69" s="77"/>
      <c r="F69" s="77">
        <f t="shared" si="15"/>
        <v>2.6290398522616631</v>
      </c>
      <c r="I69" s="73"/>
    </row>
    <row r="70" spans="1:9" s="76" customFormat="1" x14ac:dyDescent="0.2">
      <c r="B70" s="77"/>
      <c r="C70" s="77"/>
      <c r="D70" s="77"/>
      <c r="E70" s="77"/>
      <c r="F70" s="77"/>
      <c r="I70" s="73"/>
    </row>
    <row r="71" spans="1:9" s="76" customFormat="1" x14ac:dyDescent="0.2">
      <c r="A71" s="74" t="s">
        <v>199</v>
      </c>
      <c r="B71" s="77"/>
      <c r="C71" s="77"/>
      <c r="D71" s="77"/>
      <c r="E71" s="77"/>
      <c r="F71" s="77"/>
      <c r="I71" s="73"/>
    </row>
    <row r="72" spans="1:9" s="76" customFormat="1" x14ac:dyDescent="0.2">
      <c r="A72" s="76" t="s">
        <v>192</v>
      </c>
      <c r="B72" s="48">
        <f>+B6/B4</f>
        <v>8.8893176183657899E-2</v>
      </c>
      <c r="C72" s="77"/>
      <c r="D72" s="48">
        <f>+D6/D4</f>
        <v>9.9367365150372186E-2</v>
      </c>
      <c r="E72" s="77"/>
      <c r="F72" s="48">
        <f>+F6/F4</f>
        <v>9.9158150132223385E-2</v>
      </c>
      <c r="I72" s="80">
        <v>8.8700000000000001E-2</v>
      </c>
    </row>
    <row r="73" spans="1:9" x14ac:dyDescent="0.2">
      <c r="A73" s="76" t="s">
        <v>193</v>
      </c>
      <c r="B73" s="48">
        <f>+B9/B4</f>
        <v>2.043595766791332E-2</v>
      </c>
      <c r="C73" s="77"/>
      <c r="D73" s="48">
        <f>+D9/D4</f>
        <v>2.8738297556950745E-2</v>
      </c>
      <c r="E73" s="77"/>
      <c r="F73" s="48">
        <f>+F9/F4</f>
        <v>3.0746404645022107E-2</v>
      </c>
      <c r="I73" s="80">
        <v>2.2499999999999999E-2</v>
      </c>
    </row>
    <row r="74" spans="1:9" x14ac:dyDescent="0.2">
      <c r="A74" s="76" t="s">
        <v>194</v>
      </c>
      <c r="B74" s="48">
        <f>+B13/B4</f>
        <v>7.0147830764018086E-3</v>
      </c>
      <c r="C74" s="77"/>
      <c r="D74" s="48">
        <f>+D13/D4</f>
        <v>1.2724534074728922E-2</v>
      </c>
      <c r="E74" s="77"/>
      <c r="F74" s="48">
        <f>+F13/F4</f>
        <v>1.3617078311014707E-2</v>
      </c>
      <c r="I74" s="80">
        <v>8.5000000000000006E-3</v>
      </c>
    </row>
    <row r="75" spans="1:9" s="85" customFormat="1" x14ac:dyDescent="0.2">
      <c r="A75" s="81" t="s">
        <v>195</v>
      </c>
      <c r="B75" s="82">
        <f>+B13/B48</f>
        <v>6.8126269493700292E-2</v>
      </c>
      <c r="C75" s="83"/>
      <c r="D75" s="82">
        <f>+D13/D48</f>
        <v>0.11642840448465158</v>
      </c>
      <c r="E75" s="83"/>
      <c r="F75" s="82">
        <f>+F13/F48</f>
        <v>0.12386933254959991</v>
      </c>
      <c r="I75" s="86">
        <v>4.2000000000000003E-2</v>
      </c>
    </row>
    <row r="76" spans="1:9" s="90" customFormat="1" x14ac:dyDescent="0.2">
      <c r="A76" s="87" t="s">
        <v>196</v>
      </c>
      <c r="B76" s="88">
        <f>+B13/B28</f>
        <v>2.0962942675450645E-2</v>
      </c>
      <c r="C76" s="89"/>
      <c r="D76" s="88">
        <f>+D13/D28</f>
        <v>4.5443880820085866E-2</v>
      </c>
      <c r="E76" s="89"/>
      <c r="F76" s="88">
        <f>+F13/F28</f>
        <v>4.7561599655061078E-2</v>
      </c>
      <c r="I76" s="91">
        <v>3.27E-2</v>
      </c>
    </row>
    <row r="77" spans="1:9" x14ac:dyDescent="0.2">
      <c r="A77" s="76"/>
      <c r="B77" s="77"/>
      <c r="C77" s="77"/>
      <c r="D77" s="77"/>
      <c r="E77" s="77"/>
    </row>
    <row r="78" spans="1:9" x14ac:dyDescent="0.2">
      <c r="A78" s="74" t="s">
        <v>197</v>
      </c>
      <c r="B78" s="77"/>
      <c r="C78" s="77"/>
      <c r="D78" s="77"/>
      <c r="E78" s="77"/>
    </row>
    <row r="79" spans="1:9" x14ac:dyDescent="0.2">
      <c r="A79" s="76" t="s">
        <v>194</v>
      </c>
      <c r="B79" s="48">
        <f>+C13</f>
        <v>7.0147830764018086E-3</v>
      </c>
      <c r="C79" s="77"/>
      <c r="D79" s="48">
        <f>+E13</f>
        <v>1.2724534074728922E-2</v>
      </c>
      <c r="E79" s="78"/>
      <c r="F79" s="48">
        <f>+G13</f>
        <v>1.3617078311014707E-2</v>
      </c>
    </row>
    <row r="80" spans="1:9" x14ac:dyDescent="0.2">
      <c r="A80" s="76" t="s">
        <v>186</v>
      </c>
      <c r="B80" s="77">
        <f>+B64</f>
        <v>2.9883950005483935</v>
      </c>
      <c r="C80" s="77"/>
      <c r="D80" s="77">
        <f>+D64</f>
        <v>3.571359120357732</v>
      </c>
      <c r="E80" s="78"/>
      <c r="F80" s="77">
        <f>+F64</f>
        <v>3.4927903452379367</v>
      </c>
    </row>
    <row r="81" spans="1:6" s="90" customFormat="1" x14ac:dyDescent="0.2">
      <c r="A81" s="87" t="s">
        <v>196</v>
      </c>
      <c r="B81" s="88">
        <f>+B79*B80</f>
        <v>2.0962942675450645E-2</v>
      </c>
      <c r="C81" s="89"/>
      <c r="D81" s="88">
        <f>+D79*D80</f>
        <v>4.5443880820085866E-2</v>
      </c>
      <c r="E81" s="92"/>
      <c r="F81" s="88">
        <f>+F79*F80</f>
        <v>4.7561599655061078E-2</v>
      </c>
    </row>
    <row r="82" spans="1:6" x14ac:dyDescent="0.2">
      <c r="A82" s="76" t="s">
        <v>198</v>
      </c>
      <c r="B82" s="77">
        <f>+B28/B48</f>
        <v>3.2498428559594275</v>
      </c>
      <c r="C82" s="77"/>
      <c r="D82" s="77">
        <f>+D28/D48</f>
        <v>2.5620260062206452</v>
      </c>
      <c r="E82" s="78"/>
      <c r="F82" s="77">
        <f>+F28/F48</f>
        <v>2.6043979480916986</v>
      </c>
    </row>
    <row r="83" spans="1:6" s="85" customFormat="1" x14ac:dyDescent="0.2">
      <c r="A83" s="81" t="s">
        <v>195</v>
      </c>
      <c r="B83" s="82">
        <f>+B81*B82</f>
        <v>6.8126269493700292E-2</v>
      </c>
      <c r="C83" s="83"/>
      <c r="D83" s="82">
        <f>+D81*D82</f>
        <v>0.11642840448465157</v>
      </c>
      <c r="E83" s="84"/>
      <c r="F83" s="82">
        <f>+F81*F82</f>
        <v>0.12386933254959991</v>
      </c>
    </row>
    <row r="84" spans="1:6" x14ac:dyDescent="0.2">
      <c r="A84" s="76"/>
      <c r="B84" s="48"/>
      <c r="C84" s="77"/>
      <c r="D84" s="77"/>
      <c r="E84" s="78"/>
    </row>
    <row r="85" spans="1:6" x14ac:dyDescent="0.2">
      <c r="A85" s="76"/>
      <c r="B85" s="48"/>
      <c r="C85" s="77"/>
      <c r="D85" s="77"/>
      <c r="E85" s="78"/>
    </row>
    <row r="86" spans="1:6" s="7" customFormat="1" x14ac:dyDescent="0.2">
      <c r="A86" s="3"/>
      <c r="B86" s="48"/>
      <c r="C86" s="4"/>
      <c r="D86" s="4"/>
      <c r="E86" s="4"/>
      <c r="F86" s="4"/>
    </row>
    <row r="87" spans="1:6" x14ac:dyDescent="0.2">
      <c r="A87" s="52" t="s">
        <v>160</v>
      </c>
    </row>
    <row r="88" spans="1:6" s="7" customFormat="1" x14ac:dyDescent="0.2">
      <c r="A88" s="3" t="s">
        <v>159</v>
      </c>
      <c r="B88" s="4"/>
      <c r="C88" s="4"/>
      <c r="D88" s="4"/>
      <c r="E88" s="4"/>
      <c r="F88" s="4"/>
    </row>
    <row r="90" spans="1:6" x14ac:dyDescent="0.2">
      <c r="A90" s="7" t="s">
        <v>145</v>
      </c>
    </row>
    <row r="91" spans="1:6" x14ac:dyDescent="0.2">
      <c r="A91" s="3" t="s">
        <v>162</v>
      </c>
    </row>
    <row r="93" spans="1:6" x14ac:dyDescent="0.2">
      <c r="A93" s="7" t="s">
        <v>148</v>
      </c>
    </row>
    <row r="94" spans="1:6" x14ac:dyDescent="0.2">
      <c r="A94" s="3" t="s">
        <v>163</v>
      </c>
    </row>
    <row r="96" spans="1:6" x14ac:dyDescent="0.2">
      <c r="A96" s="23" t="s">
        <v>154</v>
      </c>
      <c r="F96" s="70"/>
    </row>
    <row r="97" spans="1:6" x14ac:dyDescent="0.2">
      <c r="A97" s="3" t="s">
        <v>164</v>
      </c>
      <c r="F97" s="70"/>
    </row>
    <row r="98" spans="1:6" x14ac:dyDescent="0.2">
      <c r="F98" s="70"/>
    </row>
    <row r="99" spans="1:6" x14ac:dyDescent="0.2">
      <c r="A99" s="7" t="s">
        <v>161</v>
      </c>
      <c r="F99" s="70"/>
    </row>
    <row r="100" spans="1:6" x14ac:dyDescent="0.2">
      <c r="A100" s="118" t="s">
        <v>165</v>
      </c>
      <c r="B100" s="118"/>
      <c r="C100" s="118"/>
      <c r="D100" s="118"/>
      <c r="F100" s="70"/>
    </row>
    <row r="101" spans="1:6" x14ac:dyDescent="0.2">
      <c r="A101" s="118"/>
      <c r="B101" s="118"/>
      <c r="C101" s="118"/>
      <c r="D101" s="118"/>
      <c r="F101" s="70"/>
    </row>
    <row r="102" spans="1:6" x14ac:dyDescent="0.2">
      <c r="A102" s="118"/>
      <c r="B102" s="118"/>
      <c r="C102" s="118"/>
      <c r="D102" s="118"/>
      <c r="F102" s="71"/>
    </row>
    <row r="103" spans="1:6" x14ac:dyDescent="0.2">
      <c r="F103" s="70"/>
    </row>
    <row r="104" spans="1:6" x14ac:dyDescent="0.2">
      <c r="F104" s="71"/>
    </row>
    <row r="105" spans="1:6" x14ac:dyDescent="0.2">
      <c r="B105" s="70"/>
      <c r="D105" s="70"/>
    </row>
    <row r="106" spans="1:6" x14ac:dyDescent="0.2">
      <c r="B106" s="70"/>
      <c r="D106" s="70"/>
    </row>
    <row r="107" spans="1:6" x14ac:dyDescent="0.2">
      <c r="B107" s="70"/>
      <c r="D107" s="70"/>
    </row>
    <row r="108" spans="1:6" x14ac:dyDescent="0.2">
      <c r="B108" s="70"/>
      <c r="D108" s="70"/>
    </row>
    <row r="109" spans="1:6" x14ac:dyDescent="0.2">
      <c r="B109" s="70"/>
      <c r="D109" s="70"/>
    </row>
    <row r="110" spans="1:6" x14ac:dyDescent="0.2">
      <c r="B110" s="70"/>
      <c r="D110" s="70"/>
    </row>
    <row r="111" spans="1:6" x14ac:dyDescent="0.2">
      <c r="A111" s="7"/>
      <c r="B111" s="71"/>
      <c r="C111" s="7"/>
      <c r="D111" s="71"/>
      <c r="E111" s="8"/>
    </row>
    <row r="112" spans="1:6" x14ac:dyDescent="0.2">
      <c r="B112" s="70"/>
      <c r="C112" s="70"/>
      <c r="D112" s="70"/>
      <c r="E112" s="70"/>
    </row>
    <row r="113" spans="1:5" x14ac:dyDescent="0.2">
      <c r="A113" s="7"/>
      <c r="B113" s="71"/>
      <c r="C113" s="71"/>
      <c r="D113" s="71"/>
      <c r="E113" s="8"/>
    </row>
    <row r="114" spans="1:5" x14ac:dyDescent="0.2">
      <c r="B114" s="70"/>
      <c r="C114" s="70"/>
    </row>
    <row r="115" spans="1:5" x14ac:dyDescent="0.2">
      <c r="B115" s="70"/>
      <c r="C115" s="70"/>
    </row>
    <row r="116" spans="1:5" x14ac:dyDescent="0.2">
      <c r="B116" s="70"/>
      <c r="C116" s="70"/>
    </row>
    <row r="117" spans="1:5" x14ac:dyDescent="0.2">
      <c r="B117" s="70"/>
      <c r="C117" s="70"/>
    </row>
    <row r="118" spans="1:5" x14ac:dyDescent="0.2">
      <c r="B118" s="70"/>
      <c r="C118" s="70"/>
    </row>
    <row r="119" spans="1:5" x14ac:dyDescent="0.2">
      <c r="B119" s="70"/>
      <c r="C119" s="70"/>
    </row>
    <row r="120" spans="1:5" x14ac:dyDescent="0.2">
      <c r="B120" s="70"/>
      <c r="C120" s="70"/>
    </row>
    <row r="121" spans="1:5" x14ac:dyDescent="0.2">
      <c r="B121" s="70"/>
      <c r="C121" s="70"/>
    </row>
    <row r="122" spans="1:5" x14ac:dyDescent="0.2">
      <c r="B122" s="70"/>
      <c r="C122" s="70"/>
    </row>
    <row r="123" spans="1:5" x14ac:dyDescent="0.2">
      <c r="B123" s="70"/>
      <c r="C123" s="70"/>
    </row>
  </sheetData>
  <mergeCells count="1">
    <mergeCell ref="A100:D10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4"/>
  <sheetViews>
    <sheetView zoomScaleNormal="100" workbookViewId="0">
      <pane ySplit="1" topLeftCell="A107" activePane="bottomLeft" state="frozen"/>
      <selection pane="bottomLeft" activeCell="A138" sqref="A138:E139"/>
    </sheetView>
  </sheetViews>
  <sheetFormatPr baseColWidth="10" defaultColWidth="11.5" defaultRowHeight="16" x14ac:dyDescent="0.2"/>
  <cols>
    <col min="1" max="1" width="52" style="27" customWidth="1"/>
    <col min="2" max="2" width="13.6640625" style="27" bestFit="1" customWidth="1"/>
    <col min="3" max="3" width="11.5" style="68"/>
    <col min="4" max="4" width="11.5" style="27"/>
    <col min="5" max="5" width="11.5" style="68"/>
    <col min="6" max="6" width="11.5" style="27"/>
    <col min="7" max="7" width="11.5" style="68"/>
    <col min="8" max="8" width="5.5" style="27" customWidth="1"/>
    <col min="9" max="10" width="11.5" style="68"/>
    <col min="11" max="16384" width="11.5" style="27"/>
  </cols>
  <sheetData>
    <row r="1" spans="1:10" s="53" customFormat="1" x14ac:dyDescent="0.2">
      <c r="B1" s="53">
        <v>2018</v>
      </c>
      <c r="C1" s="68"/>
      <c r="D1" s="53">
        <v>2017</v>
      </c>
      <c r="E1" s="68"/>
      <c r="F1" s="53">
        <v>2016</v>
      </c>
      <c r="G1" s="68"/>
      <c r="I1" s="68" t="s">
        <v>152</v>
      </c>
      <c r="J1" s="68" t="s">
        <v>153</v>
      </c>
    </row>
    <row r="2" spans="1:10" s="16" customFormat="1" ht="19" x14ac:dyDescent="0.2">
      <c r="A2" s="16" t="s">
        <v>81</v>
      </c>
      <c r="C2" s="68"/>
      <c r="E2" s="68"/>
      <c r="G2" s="68"/>
      <c r="I2" s="68"/>
      <c r="J2" s="68"/>
    </row>
    <row r="3" spans="1:10" s="17" customFormat="1" x14ac:dyDescent="0.2">
      <c r="A3" s="17" t="s">
        <v>41</v>
      </c>
      <c r="B3" s="18">
        <v>39586</v>
      </c>
      <c r="C3" s="68"/>
      <c r="D3" s="18">
        <v>35015</v>
      </c>
      <c r="E3" s="68"/>
      <c r="F3" s="18">
        <v>34943</v>
      </c>
      <c r="G3" s="68"/>
      <c r="I3" s="68"/>
      <c r="J3" s="68"/>
    </row>
    <row r="4" spans="1:10" s="17" customFormat="1" x14ac:dyDescent="0.2">
      <c r="A4" s="17" t="s">
        <v>42</v>
      </c>
      <c r="B4" s="19">
        <v>-17010</v>
      </c>
      <c r="C4" s="68"/>
      <c r="D4" s="19">
        <v>-11382</v>
      </c>
      <c r="E4" s="68"/>
      <c r="F4" s="19">
        <v>-11756</v>
      </c>
      <c r="G4" s="68"/>
      <c r="I4" s="68"/>
      <c r="J4" s="68"/>
    </row>
    <row r="5" spans="1:10" s="5" customFormat="1" x14ac:dyDescent="0.2">
      <c r="A5" s="5" t="s">
        <v>43</v>
      </c>
      <c r="B5" s="20">
        <f>SUM(B3:B4)</f>
        <v>22576</v>
      </c>
      <c r="C5" s="68"/>
      <c r="D5" s="20">
        <f t="shared" ref="D5:F5" si="0">SUM(D3:D4)</f>
        <v>23633</v>
      </c>
      <c r="E5" s="68"/>
      <c r="F5" s="20">
        <f t="shared" si="0"/>
        <v>23187</v>
      </c>
      <c r="G5" s="68"/>
      <c r="I5" s="68"/>
      <c r="J5" s="68"/>
    </row>
    <row r="6" spans="1:10" s="17" customFormat="1" x14ac:dyDescent="0.2">
      <c r="A6" s="17" t="s">
        <v>44</v>
      </c>
      <c r="B6" s="18">
        <v>-12310</v>
      </c>
      <c r="C6" s="68"/>
      <c r="D6" s="18">
        <v>-15070</v>
      </c>
      <c r="E6" s="68"/>
      <c r="F6" s="18">
        <v>-14386</v>
      </c>
      <c r="G6" s="68"/>
      <c r="I6" s="68"/>
      <c r="J6" s="68"/>
    </row>
    <row r="7" spans="1:10" s="17" customFormat="1" x14ac:dyDescent="0.2">
      <c r="A7" s="17" t="s">
        <v>45</v>
      </c>
      <c r="B7" s="19">
        <v>-6352</v>
      </c>
      <c r="C7" s="68"/>
      <c r="D7" s="19">
        <v>-2660</v>
      </c>
      <c r="E7" s="68"/>
      <c r="F7" s="19">
        <v>-3063</v>
      </c>
      <c r="G7" s="68"/>
      <c r="I7" s="68"/>
      <c r="J7" s="68"/>
    </row>
    <row r="8" spans="1:10" s="5" customFormat="1" x14ac:dyDescent="0.2">
      <c r="A8" s="5" t="s">
        <v>46</v>
      </c>
      <c r="B8" s="20">
        <f>SUM(B5:B7)</f>
        <v>3914</v>
      </c>
      <c r="C8" s="68"/>
      <c r="D8" s="20">
        <f t="shared" ref="D8:F8" si="1">SUM(D5:D7)</f>
        <v>5903</v>
      </c>
      <c r="E8" s="68"/>
      <c r="F8" s="20">
        <f t="shared" si="1"/>
        <v>5738</v>
      </c>
      <c r="G8" s="68"/>
      <c r="I8" s="68"/>
      <c r="J8" s="68"/>
    </row>
    <row r="9" spans="1:10" s="17" customFormat="1" x14ac:dyDescent="0.2">
      <c r="A9" s="17" t="s">
        <v>47</v>
      </c>
      <c r="B9" s="19">
        <v>-1596</v>
      </c>
      <c r="C9" s="68"/>
      <c r="D9" s="19">
        <v>3520</v>
      </c>
      <c r="E9" s="68"/>
      <c r="F9" s="19">
        <v>105</v>
      </c>
      <c r="G9" s="68"/>
      <c r="I9" s="68"/>
      <c r="J9" s="68"/>
    </row>
    <row r="10" spans="1:10" s="5" customFormat="1" x14ac:dyDescent="0.2">
      <c r="A10" s="5" t="s">
        <v>48</v>
      </c>
      <c r="B10" s="20">
        <f>SUM(B8:B9)</f>
        <v>2318</v>
      </c>
      <c r="C10" s="68"/>
      <c r="D10" s="20">
        <f t="shared" ref="D10:F10" si="2">SUM(D8:D9)</f>
        <v>9423</v>
      </c>
      <c r="E10" s="68"/>
      <c r="F10" s="20">
        <f t="shared" si="2"/>
        <v>5843</v>
      </c>
      <c r="G10" s="68"/>
      <c r="I10" s="68"/>
      <c r="J10" s="68"/>
    </row>
    <row r="11" spans="1:10" s="17" customFormat="1" x14ac:dyDescent="0.2">
      <c r="A11" s="17" t="s">
        <v>49</v>
      </c>
      <c r="B11" s="18">
        <v>-607</v>
      </c>
      <c r="C11" s="68"/>
      <c r="D11" s="18">
        <v>-1329</v>
      </c>
      <c r="E11" s="68"/>
      <c r="F11" s="18">
        <v>-1017</v>
      </c>
      <c r="G11" s="68"/>
      <c r="I11" s="68"/>
      <c r="J11" s="68"/>
    </row>
    <row r="12" spans="1:10" s="5" customFormat="1" ht="17" thickBot="1" x14ac:dyDescent="0.25">
      <c r="A12" s="5" t="s">
        <v>50</v>
      </c>
      <c r="B12" s="21">
        <f>SUM(B10:B11)</f>
        <v>1711</v>
      </c>
      <c r="C12" s="68"/>
      <c r="D12" s="21">
        <f t="shared" ref="D12:F12" si="3">SUM(D10:D11)</f>
        <v>8094</v>
      </c>
      <c r="E12" s="68"/>
      <c r="F12" s="21">
        <f t="shared" si="3"/>
        <v>4826</v>
      </c>
      <c r="G12" s="68"/>
      <c r="I12" s="68"/>
      <c r="J12" s="68"/>
    </row>
    <row r="13" spans="1:10" s="17" customFormat="1" ht="17" thickTop="1" x14ac:dyDescent="0.2">
      <c r="B13" s="22"/>
      <c r="C13" s="68"/>
      <c r="D13" s="22"/>
      <c r="E13" s="68"/>
      <c r="F13" s="22"/>
      <c r="G13" s="68"/>
      <c r="I13" s="68"/>
      <c r="J13" s="68"/>
    </row>
    <row r="14" spans="1:10" s="16" customFormat="1" ht="19" x14ac:dyDescent="0.2">
      <c r="A14" s="16" t="s">
        <v>51</v>
      </c>
      <c r="C14" s="68"/>
      <c r="E14" s="68"/>
      <c r="G14" s="68"/>
      <c r="I14" s="68"/>
      <c r="J14" s="68"/>
    </row>
    <row r="15" spans="1:10" s="5" customFormat="1" x14ac:dyDescent="0.2">
      <c r="A15" s="5" t="s">
        <v>52</v>
      </c>
      <c r="B15" s="23"/>
      <c r="C15" s="68"/>
      <c r="E15" s="68"/>
      <c r="G15" s="68"/>
      <c r="I15" s="68"/>
      <c r="J15" s="68"/>
    </row>
    <row r="16" spans="1:10" s="5" customFormat="1" x14ac:dyDescent="0.2">
      <c r="A16" s="5" t="s">
        <v>53</v>
      </c>
      <c r="C16" s="68"/>
      <c r="E16" s="68"/>
      <c r="G16" s="68"/>
      <c r="I16" s="68"/>
      <c r="J16" s="68"/>
    </row>
    <row r="17" spans="1:10" s="17" customFormat="1" x14ac:dyDescent="0.2">
      <c r="A17" s="17" t="s">
        <v>54</v>
      </c>
      <c r="B17" s="18">
        <v>5218</v>
      </c>
      <c r="C17" s="68"/>
      <c r="D17" s="18">
        <v>11110</v>
      </c>
      <c r="E17" s="68"/>
      <c r="F17" s="18">
        <v>8174</v>
      </c>
      <c r="G17" s="68"/>
      <c r="I17" s="68"/>
      <c r="J17" s="68"/>
    </row>
    <row r="18" spans="1:10" s="17" customFormat="1" x14ac:dyDescent="0.2">
      <c r="A18" s="17" t="s">
        <v>55</v>
      </c>
      <c r="B18" s="18">
        <v>13711</v>
      </c>
      <c r="C18" s="68"/>
      <c r="D18" s="18">
        <v>9858</v>
      </c>
      <c r="E18" s="68"/>
      <c r="F18" s="18">
        <v>13179</v>
      </c>
      <c r="G18" s="68"/>
      <c r="I18" s="68"/>
      <c r="J18" s="68"/>
    </row>
    <row r="19" spans="1:10" s="17" customFormat="1" x14ac:dyDescent="0.2">
      <c r="A19" s="17" t="s">
        <v>56</v>
      </c>
      <c r="B19" s="18">
        <v>10961</v>
      </c>
      <c r="C19" s="68"/>
      <c r="D19" s="18">
        <v>6550</v>
      </c>
      <c r="E19" s="68"/>
      <c r="F19" s="18">
        <v>8408</v>
      </c>
      <c r="G19" s="68"/>
      <c r="I19" s="68"/>
      <c r="J19" s="68"/>
    </row>
    <row r="20" spans="1:10" s="17" customFormat="1" x14ac:dyDescent="0.2">
      <c r="A20" s="17" t="s">
        <v>57</v>
      </c>
      <c r="B20" s="19">
        <v>222</v>
      </c>
      <c r="C20" s="68"/>
      <c r="D20" s="19">
        <v>1970</v>
      </c>
      <c r="E20" s="68"/>
      <c r="F20" s="19">
        <v>10</v>
      </c>
      <c r="G20" s="68"/>
      <c r="I20" s="68"/>
      <c r="J20" s="68"/>
    </row>
    <row r="21" spans="1:10" s="5" customFormat="1" x14ac:dyDescent="0.2">
      <c r="A21" s="5" t="s">
        <v>58</v>
      </c>
      <c r="B21" s="20">
        <f>SUM(B17:B20)</f>
        <v>30112</v>
      </c>
      <c r="C21" s="68"/>
      <c r="D21" s="20">
        <f t="shared" ref="D21:F21" si="4">SUM(D17:D20)</f>
        <v>29488</v>
      </c>
      <c r="E21" s="68"/>
      <c r="F21" s="20">
        <f t="shared" si="4"/>
        <v>29771</v>
      </c>
      <c r="G21" s="68"/>
      <c r="I21" s="68"/>
      <c r="J21" s="68"/>
    </row>
    <row r="22" spans="1:10" s="5" customFormat="1" x14ac:dyDescent="0.2">
      <c r="A22" s="5" t="s">
        <v>59</v>
      </c>
      <c r="C22" s="68"/>
      <c r="E22" s="68"/>
      <c r="G22" s="68"/>
      <c r="I22" s="68"/>
      <c r="J22" s="68"/>
    </row>
    <row r="23" spans="1:10" s="17" customFormat="1" x14ac:dyDescent="0.2">
      <c r="A23" s="17" t="s">
        <v>60</v>
      </c>
      <c r="B23" s="18">
        <v>87836</v>
      </c>
      <c r="C23" s="68"/>
      <c r="D23" s="18">
        <v>34058</v>
      </c>
      <c r="E23" s="68"/>
      <c r="F23" s="18">
        <v>42993</v>
      </c>
      <c r="G23" s="68"/>
      <c r="I23" s="68"/>
      <c r="J23" s="68"/>
    </row>
    <row r="24" spans="1:10" s="17" customFormat="1" x14ac:dyDescent="0.2">
      <c r="A24" s="17" t="s">
        <v>61</v>
      </c>
      <c r="B24" s="18">
        <v>2727</v>
      </c>
      <c r="C24" s="68"/>
      <c r="D24" s="18">
        <v>5641</v>
      </c>
      <c r="E24" s="68"/>
      <c r="F24" s="18">
        <v>1865</v>
      </c>
      <c r="G24" s="68"/>
      <c r="I24" s="68"/>
      <c r="J24" s="68"/>
    </row>
    <row r="25" spans="1:10" s="17" customFormat="1" x14ac:dyDescent="0.2">
      <c r="A25" s="17" t="s">
        <v>62</v>
      </c>
      <c r="B25" s="19">
        <v>511</v>
      </c>
      <c r="C25" s="68"/>
      <c r="D25" s="19">
        <v>4162</v>
      </c>
      <c r="E25" s="68"/>
      <c r="F25" s="19">
        <v>5603</v>
      </c>
      <c r="G25" s="68"/>
      <c r="I25" s="68"/>
      <c r="J25" s="68"/>
    </row>
    <row r="26" spans="1:10" s="5" customFormat="1" x14ac:dyDescent="0.2">
      <c r="A26" s="5" t="s">
        <v>63</v>
      </c>
      <c r="B26" s="20">
        <f>SUM(B23:B25)</f>
        <v>91074</v>
      </c>
      <c r="C26" s="68"/>
      <c r="D26" s="20">
        <f t="shared" ref="D26:F26" si="5">SUM(D23:D25)</f>
        <v>43861</v>
      </c>
      <c r="E26" s="68"/>
      <c r="F26" s="20">
        <f t="shared" si="5"/>
        <v>50461</v>
      </c>
      <c r="G26" s="68"/>
      <c r="I26" s="68"/>
      <c r="J26" s="68"/>
    </row>
    <row r="27" spans="1:10" s="5" customFormat="1" ht="17" thickBot="1" x14ac:dyDescent="0.25">
      <c r="A27" s="5" t="s">
        <v>64</v>
      </c>
      <c r="B27" s="21">
        <f>SUM(B26,B21)</f>
        <v>121186</v>
      </c>
      <c r="C27" s="68"/>
      <c r="D27" s="21">
        <f t="shared" ref="D27:F27" si="6">SUM(D26,D21)</f>
        <v>73349</v>
      </c>
      <c r="E27" s="68"/>
      <c r="F27" s="21">
        <f t="shared" si="6"/>
        <v>80232</v>
      </c>
      <c r="G27" s="68"/>
      <c r="I27" s="68"/>
      <c r="J27" s="68"/>
    </row>
    <row r="28" spans="1:10" s="5" customFormat="1" ht="17" thickTop="1" x14ac:dyDescent="0.2">
      <c r="B28" s="20"/>
      <c r="C28" s="68"/>
      <c r="D28" s="20"/>
      <c r="E28" s="68"/>
      <c r="F28" s="20"/>
      <c r="G28" s="68"/>
      <c r="I28" s="68"/>
      <c r="J28" s="68"/>
    </row>
    <row r="29" spans="1:10" s="5" customFormat="1" x14ac:dyDescent="0.2">
      <c r="A29" s="5" t="s">
        <v>65</v>
      </c>
      <c r="B29" s="24"/>
      <c r="C29" s="68"/>
      <c r="D29" s="24"/>
      <c r="E29" s="68"/>
      <c r="F29" s="24"/>
      <c r="G29" s="68"/>
      <c r="I29" s="68"/>
      <c r="J29" s="68"/>
    </row>
    <row r="30" spans="1:10" s="5" customFormat="1" x14ac:dyDescent="0.2">
      <c r="A30" s="5" t="s">
        <v>66</v>
      </c>
      <c r="C30" s="68"/>
      <c r="E30" s="68"/>
      <c r="G30" s="68"/>
      <c r="I30" s="68"/>
      <c r="J30" s="68"/>
    </row>
    <row r="31" spans="1:10" s="17" customFormat="1" x14ac:dyDescent="0.2">
      <c r="A31" s="17" t="s">
        <v>67</v>
      </c>
      <c r="B31" s="18">
        <v>3682</v>
      </c>
      <c r="C31" s="68"/>
      <c r="D31" s="18">
        <v>1935</v>
      </c>
      <c r="E31" s="68"/>
      <c r="F31" s="18">
        <v>3401</v>
      </c>
      <c r="G31" s="68"/>
      <c r="I31" s="68"/>
      <c r="J31" s="68"/>
    </row>
    <row r="32" spans="1:10" s="17" customFormat="1" x14ac:dyDescent="0.2">
      <c r="A32" s="17" t="s">
        <v>68</v>
      </c>
      <c r="B32" s="18">
        <v>12271</v>
      </c>
      <c r="C32" s="68"/>
      <c r="D32" s="18">
        <v>5129</v>
      </c>
      <c r="E32" s="68"/>
      <c r="F32" s="18">
        <v>6410</v>
      </c>
      <c r="G32" s="68"/>
      <c r="I32" s="68"/>
      <c r="J32" s="68"/>
    </row>
    <row r="33" spans="1:10" s="17" customFormat="1" x14ac:dyDescent="0.2">
      <c r="A33" s="17" t="s">
        <v>69</v>
      </c>
      <c r="B33" s="19">
        <v>6049</v>
      </c>
      <c r="C33" s="68"/>
      <c r="D33" s="19">
        <v>5944</v>
      </c>
      <c r="E33" s="68"/>
      <c r="F33" s="19">
        <v>8050</v>
      </c>
      <c r="G33" s="68"/>
      <c r="I33" s="68"/>
      <c r="J33" s="68"/>
    </row>
    <row r="34" spans="1:10" s="5" customFormat="1" x14ac:dyDescent="0.2">
      <c r="A34" s="5" t="s">
        <v>70</v>
      </c>
      <c r="B34" s="20">
        <f>SUM(B31:B33)</f>
        <v>22002</v>
      </c>
      <c r="C34" s="68"/>
      <c r="D34" s="20">
        <f t="shared" ref="D34:F34" si="7">SUM(D31:D33)</f>
        <v>13008</v>
      </c>
      <c r="E34" s="68"/>
      <c r="F34" s="20">
        <f t="shared" si="7"/>
        <v>17861</v>
      </c>
      <c r="G34" s="68"/>
      <c r="I34" s="68"/>
      <c r="J34" s="68"/>
    </row>
    <row r="35" spans="1:10" s="5" customFormat="1" x14ac:dyDescent="0.2">
      <c r="A35" s="5" t="s">
        <v>71</v>
      </c>
      <c r="C35" s="68"/>
      <c r="E35" s="68"/>
      <c r="G35" s="68"/>
      <c r="I35" s="68"/>
      <c r="J35" s="68"/>
    </row>
    <row r="36" spans="1:10" s="17" customFormat="1" x14ac:dyDescent="0.2">
      <c r="A36" s="17" t="s">
        <v>67</v>
      </c>
      <c r="B36" s="18">
        <v>37712</v>
      </c>
      <c r="C36" s="68"/>
      <c r="D36" s="18">
        <v>12483</v>
      </c>
      <c r="E36" s="68"/>
      <c r="F36" s="18">
        <v>16180</v>
      </c>
      <c r="G36" s="68"/>
      <c r="I36" s="68"/>
      <c r="J36" s="68"/>
    </row>
    <row r="37" spans="1:10" s="17" customFormat="1" x14ac:dyDescent="0.2">
      <c r="A37" s="17" t="s">
        <v>68</v>
      </c>
      <c r="B37" s="25">
        <v>1153</v>
      </c>
      <c r="C37" s="68"/>
      <c r="D37" s="25">
        <v>0</v>
      </c>
      <c r="E37" s="68"/>
      <c r="F37" s="25">
        <v>0</v>
      </c>
      <c r="G37" s="68"/>
      <c r="I37" s="68"/>
      <c r="J37" s="68"/>
    </row>
    <row r="38" spans="1:10" s="17" customFormat="1" x14ac:dyDescent="0.2">
      <c r="A38" s="17" t="s">
        <v>72</v>
      </c>
      <c r="B38" s="18">
        <v>14171</v>
      </c>
      <c r="C38" s="68"/>
      <c r="D38" s="18">
        <v>10997</v>
      </c>
      <c r="E38" s="68"/>
      <c r="F38" s="18">
        <v>14294</v>
      </c>
      <c r="G38" s="68"/>
      <c r="I38" s="68"/>
      <c r="J38" s="68"/>
    </row>
    <row r="39" spans="1:10" s="5" customFormat="1" x14ac:dyDescent="0.2">
      <c r="A39" s="5" t="s">
        <v>73</v>
      </c>
      <c r="B39" s="26">
        <f>SUM(B36:B38)</f>
        <v>53036</v>
      </c>
      <c r="C39" s="68"/>
      <c r="D39" s="26">
        <f t="shared" ref="D39:F39" si="8">SUM(D36:D38)</f>
        <v>23480</v>
      </c>
      <c r="E39" s="68"/>
      <c r="F39" s="26">
        <f t="shared" si="8"/>
        <v>30474</v>
      </c>
      <c r="G39" s="68"/>
      <c r="I39" s="68"/>
      <c r="J39" s="68"/>
    </row>
    <row r="40" spans="1:10" s="5" customFormat="1" x14ac:dyDescent="0.2">
      <c r="A40" s="5" t="s">
        <v>74</v>
      </c>
      <c r="B40" s="20">
        <f>SUM(B39,B34)</f>
        <v>75038</v>
      </c>
      <c r="C40" s="68"/>
      <c r="D40" s="20">
        <f t="shared" ref="D40:F40" si="9">SUM(D39,D34)</f>
        <v>36488</v>
      </c>
      <c r="E40" s="68"/>
      <c r="F40" s="20">
        <f t="shared" si="9"/>
        <v>48335</v>
      </c>
      <c r="G40" s="68"/>
      <c r="I40" s="68"/>
      <c r="J40" s="68"/>
    </row>
    <row r="41" spans="1:10" s="5" customFormat="1" x14ac:dyDescent="0.2">
      <c r="B41" s="20"/>
      <c r="C41" s="68"/>
      <c r="D41" s="20"/>
      <c r="E41" s="68"/>
      <c r="F41" s="20"/>
      <c r="G41" s="68"/>
      <c r="I41" s="68"/>
      <c r="J41" s="68"/>
    </row>
    <row r="42" spans="1:10" s="5" customFormat="1" x14ac:dyDescent="0.2">
      <c r="A42" s="5" t="s">
        <v>75</v>
      </c>
      <c r="C42" s="68"/>
      <c r="E42" s="68"/>
      <c r="G42" s="68"/>
      <c r="I42" s="68"/>
      <c r="J42" s="68"/>
    </row>
    <row r="43" spans="1:10" s="17" customFormat="1" x14ac:dyDescent="0.2">
      <c r="A43" s="17" t="s">
        <v>76</v>
      </c>
      <c r="B43" s="18">
        <v>2558</v>
      </c>
      <c r="C43" s="68"/>
      <c r="D43" s="18">
        <v>2177</v>
      </c>
      <c r="E43" s="68"/>
      <c r="F43" s="18">
        <v>3681</v>
      </c>
      <c r="G43" s="68"/>
      <c r="I43" s="68"/>
      <c r="J43" s="68"/>
    </row>
    <row r="44" spans="1:10" s="17" customFormat="1" x14ac:dyDescent="0.2">
      <c r="A44" s="17" t="s">
        <v>77</v>
      </c>
      <c r="B44" s="18">
        <v>18388</v>
      </c>
      <c r="C44" s="68"/>
      <c r="D44" s="18">
        <v>9658</v>
      </c>
      <c r="E44" s="68"/>
      <c r="F44" s="18">
        <v>9658</v>
      </c>
      <c r="G44" s="68"/>
      <c r="I44" s="68"/>
      <c r="J44" s="68"/>
    </row>
    <row r="45" spans="1:10" s="17" customFormat="1" x14ac:dyDescent="0.2">
      <c r="A45" s="17" t="s">
        <v>78</v>
      </c>
      <c r="B45" s="18">
        <v>25202</v>
      </c>
      <c r="C45" s="68"/>
      <c r="D45" s="18">
        <v>25026</v>
      </c>
      <c r="E45" s="68"/>
      <c r="F45" s="18">
        <v>18558</v>
      </c>
      <c r="G45" s="68"/>
      <c r="I45" s="68"/>
      <c r="J45" s="68"/>
    </row>
    <row r="46" spans="1:10" s="5" customFormat="1" x14ac:dyDescent="0.2">
      <c r="A46" s="5" t="s">
        <v>79</v>
      </c>
      <c r="B46" s="26">
        <f>SUM(B43:B45)</f>
        <v>46148</v>
      </c>
      <c r="C46" s="68"/>
      <c r="D46" s="26">
        <f t="shared" ref="D46:F46" si="10">SUM(D43:D45)</f>
        <v>36861</v>
      </c>
      <c r="E46" s="68"/>
      <c r="F46" s="26">
        <f t="shared" si="10"/>
        <v>31897</v>
      </c>
      <c r="G46" s="68"/>
      <c r="I46" s="68"/>
      <c r="J46" s="68"/>
    </row>
    <row r="47" spans="1:10" s="5" customFormat="1" ht="17" thickBot="1" x14ac:dyDescent="0.25">
      <c r="A47" s="5" t="s">
        <v>80</v>
      </c>
      <c r="B47" s="21">
        <f>SUM(B46,B40)</f>
        <v>121186</v>
      </c>
      <c r="C47" s="68"/>
      <c r="D47" s="21">
        <f t="shared" ref="D47:F47" si="11">SUM(D46,D40)</f>
        <v>73349</v>
      </c>
      <c r="E47" s="68"/>
      <c r="F47" s="21">
        <f t="shared" si="11"/>
        <v>80232</v>
      </c>
      <c r="G47" s="68"/>
      <c r="I47" s="68"/>
      <c r="J47" s="68"/>
    </row>
    <row r="48" spans="1:10" ht="17" thickTop="1" x14ac:dyDescent="0.2"/>
    <row r="50" spans="1:10" s="54" customFormat="1" x14ac:dyDescent="0.2">
      <c r="A50" s="54" t="s">
        <v>128</v>
      </c>
      <c r="C50" s="68"/>
      <c r="E50" s="68"/>
      <c r="G50" s="68"/>
      <c r="I50" s="68"/>
      <c r="J50" s="68"/>
    </row>
    <row r="51" spans="1:10" s="62" customFormat="1" x14ac:dyDescent="0.2">
      <c r="A51" s="61" t="s">
        <v>12</v>
      </c>
      <c r="C51" s="68"/>
      <c r="E51" s="68"/>
      <c r="G51" s="68"/>
      <c r="I51" s="68"/>
      <c r="J51" s="68"/>
    </row>
    <row r="52" spans="1:10" s="53" customFormat="1" x14ac:dyDescent="0.2">
      <c r="A52" s="53" t="s">
        <v>13</v>
      </c>
      <c r="C52" s="68"/>
      <c r="E52" s="68"/>
      <c r="G52" s="68"/>
      <c r="I52" s="68"/>
      <c r="J52" s="68"/>
    </row>
    <row r="53" spans="1:10" x14ac:dyDescent="0.2">
      <c r="A53" s="33" t="s">
        <v>85</v>
      </c>
      <c r="B53" s="55">
        <f>+B17</f>
        <v>5218</v>
      </c>
      <c r="C53" s="68">
        <f>+B53/$B$63</f>
        <v>4.305777895136402E-2</v>
      </c>
      <c r="D53" s="55">
        <f t="shared" ref="D53:F53" si="12">+D17</f>
        <v>11110</v>
      </c>
      <c r="E53" s="68">
        <f>+D53/$D$63</f>
        <v>0.15146764100396734</v>
      </c>
      <c r="F53" s="55">
        <f t="shared" si="12"/>
        <v>8174</v>
      </c>
      <c r="G53" s="68">
        <f>+F53/$F$63</f>
        <v>0.10187954930700967</v>
      </c>
      <c r="I53" s="68">
        <f>+(B53/F53)-1</f>
        <v>-0.36163445069733302</v>
      </c>
      <c r="J53" s="68">
        <f>+(D53/F53)-1</f>
        <v>0.35918766821629555</v>
      </c>
    </row>
    <row r="54" spans="1:10" x14ac:dyDescent="0.2">
      <c r="A54" s="33" t="s">
        <v>129</v>
      </c>
      <c r="B54" s="55">
        <f>+B18</f>
        <v>13711</v>
      </c>
      <c r="C54" s="68">
        <f>+B54/$B$63</f>
        <v>0.113140131698381</v>
      </c>
      <c r="D54" s="55">
        <f t="shared" ref="D54:F54" si="13">+D18</f>
        <v>9858</v>
      </c>
      <c r="E54" s="68">
        <f>+D54/$D$63</f>
        <v>0.13439856030757066</v>
      </c>
      <c r="F54" s="55">
        <f t="shared" si="13"/>
        <v>13179</v>
      </c>
      <c r="G54" s="68">
        <f>+F54/$F$63</f>
        <v>0.16426114268621</v>
      </c>
      <c r="I54" s="68">
        <f t="shared" ref="I54:I101" si="14">+(B54/F54)-1</f>
        <v>4.0367250929508991E-2</v>
      </c>
      <c r="J54" s="68">
        <f t="shared" ref="J54:J101" si="15">+(D54/F54)-1</f>
        <v>-0.25199180514454811</v>
      </c>
    </row>
    <row r="55" spans="1:10" x14ac:dyDescent="0.2">
      <c r="A55" s="33" t="s">
        <v>16</v>
      </c>
      <c r="B55" s="55">
        <f>+B19</f>
        <v>10961</v>
      </c>
      <c r="C55" s="68">
        <f>+B55/$B$63</f>
        <v>9.0447741488290725E-2</v>
      </c>
      <c r="D55" s="55">
        <f t="shared" ref="D55:F55" si="16">+D19</f>
        <v>6550</v>
      </c>
      <c r="E55" s="68">
        <f>+D55/$D$63</f>
        <v>8.9299104282266964E-2</v>
      </c>
      <c r="F55" s="55">
        <f t="shared" si="16"/>
        <v>8408</v>
      </c>
      <c r="G55" s="68">
        <f>+F55/$F$63</f>
        <v>0.10479609133512813</v>
      </c>
      <c r="I55" s="68">
        <f t="shared" si="14"/>
        <v>0.30363939105613702</v>
      </c>
      <c r="J55" s="68">
        <f t="shared" si="15"/>
        <v>-0.22098001902949571</v>
      </c>
    </row>
    <row r="56" spans="1:10" x14ac:dyDescent="0.2">
      <c r="A56" s="33" t="s">
        <v>17</v>
      </c>
      <c r="B56" s="58">
        <f>+B20</f>
        <v>222</v>
      </c>
      <c r="C56" s="68">
        <f>+B56/$B$63</f>
        <v>1.8318947733236514E-3</v>
      </c>
      <c r="D56" s="58">
        <f t="shared" ref="D56:F56" si="17">+D20</f>
        <v>1970</v>
      </c>
      <c r="E56" s="68">
        <f>+D56/$D$63</f>
        <v>2.6857898539857393E-2</v>
      </c>
      <c r="F56" s="58">
        <f t="shared" si="17"/>
        <v>10</v>
      </c>
      <c r="G56" s="68">
        <f>+F56/$F$63</f>
        <v>1.2463854821019045E-4</v>
      </c>
      <c r="I56" s="68">
        <f t="shared" si="14"/>
        <v>21.2</v>
      </c>
      <c r="J56" s="68">
        <f t="shared" si="15"/>
        <v>196</v>
      </c>
    </row>
    <row r="57" spans="1:10" s="53" customFormat="1" x14ac:dyDescent="0.2">
      <c r="A57" s="31" t="s">
        <v>18</v>
      </c>
      <c r="B57" s="56">
        <f>SUM(B53:B56)</f>
        <v>30112</v>
      </c>
      <c r="C57" s="68">
        <f>+B57/$B$63</f>
        <v>0.2484775469113594</v>
      </c>
      <c r="D57" s="56">
        <f t="shared" ref="D57:F57" si="18">SUM(D53:D56)</f>
        <v>29488</v>
      </c>
      <c r="E57" s="68">
        <f>+D57/$D$63</f>
        <v>0.40202320413366233</v>
      </c>
      <c r="F57" s="56">
        <f t="shared" si="18"/>
        <v>29771</v>
      </c>
      <c r="G57" s="68">
        <f>+F57/$F$63</f>
        <v>0.371061421876558</v>
      </c>
      <c r="I57" s="68">
        <f t="shared" si="14"/>
        <v>1.1454099627153935E-2</v>
      </c>
      <c r="J57" s="68">
        <f t="shared" si="15"/>
        <v>-9.5058949984884178E-3</v>
      </c>
    </row>
    <row r="58" spans="1:10" s="53" customFormat="1" x14ac:dyDescent="0.2">
      <c r="A58" s="53" t="s">
        <v>19</v>
      </c>
      <c r="C58" s="68"/>
      <c r="E58" s="68"/>
      <c r="G58" s="68"/>
      <c r="I58" s="68"/>
      <c r="J58" s="68"/>
    </row>
    <row r="59" spans="1:10" x14ac:dyDescent="0.2">
      <c r="A59" s="33" t="s">
        <v>168</v>
      </c>
      <c r="B59" s="55">
        <f>+B23</f>
        <v>87836</v>
      </c>
      <c r="C59" s="68">
        <f>+B59/$B$63</f>
        <v>0.72480319508854163</v>
      </c>
      <c r="D59" s="55">
        <f>+D23</f>
        <v>34058</v>
      </c>
      <c r="E59" s="68">
        <f>+D59/$D$63</f>
        <v>0.4643280753657173</v>
      </c>
      <c r="F59" s="55">
        <f>+F23</f>
        <v>42993</v>
      </c>
      <c r="G59" s="68">
        <f>+F59/$F$63</f>
        <v>0.53585851032007181</v>
      </c>
      <c r="I59" s="68">
        <f t="shared" si="14"/>
        <v>1.0430302607401205</v>
      </c>
      <c r="J59" s="68">
        <f t="shared" si="15"/>
        <v>-0.20782452957458186</v>
      </c>
    </row>
    <row r="60" spans="1:10" x14ac:dyDescent="0.2">
      <c r="A60" s="33" t="s">
        <v>21</v>
      </c>
      <c r="B60" s="55">
        <f>+B24</f>
        <v>2727</v>
      </c>
      <c r="C60" s="68">
        <f>+B60/$B$63</f>
        <v>2.2502599310151337E-2</v>
      </c>
      <c r="D60" s="55">
        <f>+D24</f>
        <v>5641</v>
      </c>
      <c r="E60" s="68">
        <f>+D60/$D$63</f>
        <v>7.6906297291033279E-2</v>
      </c>
      <c r="F60" s="55">
        <f>+F24</f>
        <v>1865</v>
      </c>
      <c r="G60" s="68">
        <f>+F60/$F$63</f>
        <v>2.3245089241200518E-2</v>
      </c>
      <c r="I60" s="68">
        <f t="shared" si="14"/>
        <v>0.46219839142091157</v>
      </c>
      <c r="J60" s="68">
        <f t="shared" si="15"/>
        <v>2.0246648793565685</v>
      </c>
    </row>
    <row r="61" spans="1:10" x14ac:dyDescent="0.2">
      <c r="A61" s="33" t="s">
        <v>22</v>
      </c>
      <c r="B61" s="58">
        <f>+B25</f>
        <v>511</v>
      </c>
      <c r="C61" s="68">
        <f>+B61/$B$63</f>
        <v>4.2166586899476839E-3</v>
      </c>
      <c r="D61" s="58">
        <f>+D25</f>
        <v>4162</v>
      </c>
      <c r="E61" s="68">
        <f>+D61/$D$63</f>
        <v>5.6742423209587042E-2</v>
      </c>
      <c r="F61" s="58">
        <f>+F25</f>
        <v>5603</v>
      </c>
      <c r="G61" s="68">
        <f>+F61/$F$63</f>
        <v>6.9834978562169706E-2</v>
      </c>
      <c r="I61" s="68">
        <f t="shared" si="14"/>
        <v>-0.9087988577547742</v>
      </c>
      <c r="J61" s="68">
        <f t="shared" si="15"/>
        <v>-0.25718365161520618</v>
      </c>
    </row>
    <row r="62" spans="1:10" s="53" customFormat="1" x14ac:dyDescent="0.2">
      <c r="A62" s="31" t="s">
        <v>23</v>
      </c>
      <c r="B62" s="59">
        <f>SUM(B59:B61)</f>
        <v>91074</v>
      </c>
      <c r="C62" s="68">
        <f>+B62/$B$63</f>
        <v>0.75152245308864063</v>
      </c>
      <c r="D62" s="59">
        <f t="shared" ref="D62:F62" si="19">SUM(D59:D61)</f>
        <v>43861</v>
      </c>
      <c r="E62" s="68">
        <f>+D62/$D$63</f>
        <v>0.59797679586633767</v>
      </c>
      <c r="F62" s="59">
        <f t="shared" si="19"/>
        <v>50461</v>
      </c>
      <c r="G62" s="68">
        <f>+F62/$F$63</f>
        <v>0.628938578123442</v>
      </c>
      <c r="I62" s="68">
        <f t="shared" si="14"/>
        <v>0.80483938090802809</v>
      </c>
      <c r="J62" s="68">
        <f t="shared" si="15"/>
        <v>-0.13079407859535086</v>
      </c>
    </row>
    <row r="63" spans="1:10" s="53" customFormat="1" ht="17" thickBot="1" x14ac:dyDescent="0.25">
      <c r="A63" s="54" t="s">
        <v>24</v>
      </c>
      <c r="B63" s="60">
        <f>+B57+B62</f>
        <v>121186</v>
      </c>
      <c r="C63" s="68">
        <f>+B63/$B$63</f>
        <v>1</v>
      </c>
      <c r="D63" s="60">
        <f>+D57+D62</f>
        <v>73349</v>
      </c>
      <c r="E63" s="68">
        <f>+D63/$D$63</f>
        <v>1</v>
      </c>
      <c r="F63" s="60">
        <f>+F57+F62</f>
        <v>80232</v>
      </c>
      <c r="G63" s="68">
        <f>+F63/$F$63</f>
        <v>1</v>
      </c>
      <c r="I63" s="68">
        <f>+(B63/F63)-1</f>
        <v>0.51044471034001404</v>
      </c>
      <c r="J63" s="68">
        <f t="shared" si="15"/>
        <v>-8.5788712733074091E-2</v>
      </c>
    </row>
    <row r="64" spans="1:10" ht="17" thickTop="1" x14ac:dyDescent="0.2"/>
    <row r="65" spans="1:10" s="54" customFormat="1" x14ac:dyDescent="0.2">
      <c r="A65" s="61" t="s">
        <v>132</v>
      </c>
      <c r="C65" s="68"/>
      <c r="E65" s="68"/>
      <c r="G65" s="68"/>
      <c r="I65" s="68"/>
      <c r="J65" s="68"/>
    </row>
    <row r="66" spans="1:10" s="53" customFormat="1" x14ac:dyDescent="0.2">
      <c r="A66" s="53" t="s">
        <v>25</v>
      </c>
      <c r="C66" s="68"/>
      <c r="E66" s="68"/>
      <c r="G66" s="68"/>
      <c r="I66" s="68"/>
      <c r="J66" s="68"/>
    </row>
    <row r="67" spans="1:10" s="53" customFormat="1" x14ac:dyDescent="0.2">
      <c r="A67" s="53" t="s">
        <v>26</v>
      </c>
      <c r="C67" s="68"/>
      <c r="E67" s="68"/>
      <c r="G67" s="68"/>
      <c r="I67" s="68"/>
      <c r="J67" s="68"/>
    </row>
    <row r="68" spans="1:10" x14ac:dyDescent="0.2">
      <c r="A68" s="33" t="s">
        <v>27</v>
      </c>
      <c r="B68" s="55">
        <f>+B31</f>
        <v>3682</v>
      </c>
      <c r="C68" s="68">
        <f>+B68/$B$63</f>
        <v>3.0383047546746325E-2</v>
      </c>
      <c r="D68" s="55">
        <f>+D31</f>
        <v>1935</v>
      </c>
      <c r="E68" s="68">
        <f>+D68/$D$63</f>
        <v>2.6380727753616273E-2</v>
      </c>
      <c r="F68" s="55">
        <f>+F31</f>
        <v>3401</v>
      </c>
      <c r="G68" s="68">
        <f>+F68/$F$63</f>
        <v>4.2389570246285771E-2</v>
      </c>
      <c r="I68" s="68">
        <f t="shared" si="14"/>
        <v>8.2622758012349307E-2</v>
      </c>
      <c r="J68" s="68">
        <f t="shared" si="15"/>
        <v>-0.43104969126727433</v>
      </c>
    </row>
    <row r="69" spans="1:10" x14ac:dyDescent="0.2">
      <c r="A69" s="33" t="s">
        <v>28</v>
      </c>
      <c r="B69" s="55">
        <f>+B32</f>
        <v>12271</v>
      </c>
      <c r="C69" s="68">
        <f>+B69/$B$63</f>
        <v>0.10125757100655192</v>
      </c>
      <c r="D69" s="55">
        <f>+D32</f>
        <v>5129</v>
      </c>
      <c r="E69" s="68">
        <f>+D69/$D$63</f>
        <v>6.9925970360877443E-2</v>
      </c>
      <c r="F69" s="55">
        <f>+F32</f>
        <v>6410</v>
      </c>
      <c r="G69" s="68">
        <f>+F69/$F$63</f>
        <v>7.9893309402732079E-2</v>
      </c>
      <c r="I69" s="68">
        <f t="shared" si="14"/>
        <v>0.91435257410296411</v>
      </c>
      <c r="J69" s="68">
        <f t="shared" si="15"/>
        <v>-0.19984399375975037</v>
      </c>
    </row>
    <row r="70" spans="1:10" x14ac:dyDescent="0.2">
      <c r="A70" s="33" t="s">
        <v>29</v>
      </c>
      <c r="B70" s="58">
        <f>+B33</f>
        <v>6049</v>
      </c>
      <c r="C70" s="68">
        <f>+B70/$B$63</f>
        <v>4.9915006683940388E-2</v>
      </c>
      <c r="D70" s="58">
        <f>+D33</f>
        <v>5944</v>
      </c>
      <c r="E70" s="68">
        <f>+D70/$D$63</f>
        <v>8.1037232954777841E-2</v>
      </c>
      <c r="F70" s="58">
        <f>+F33</f>
        <v>8050</v>
      </c>
      <c r="G70" s="68">
        <f>+F70/$F$63</f>
        <v>0.10033403130920331</v>
      </c>
      <c r="I70" s="68">
        <f t="shared" si="14"/>
        <v>-0.24857142857142855</v>
      </c>
      <c r="J70" s="68">
        <f t="shared" si="15"/>
        <v>-0.26161490683229816</v>
      </c>
    </row>
    <row r="71" spans="1:10" s="53" customFormat="1" x14ac:dyDescent="0.2">
      <c r="A71" s="31" t="s">
        <v>30</v>
      </c>
      <c r="B71" s="56">
        <f>SUM(B68:B70)</f>
        <v>22002</v>
      </c>
      <c r="C71" s="68">
        <f>+B71/$B$63</f>
        <v>0.18155562523723862</v>
      </c>
      <c r="D71" s="56">
        <f t="shared" ref="D71:F71" si="20">SUM(D68:D70)</f>
        <v>13008</v>
      </c>
      <c r="E71" s="68">
        <f>+D71/$D$63</f>
        <v>0.17734393106927157</v>
      </c>
      <c r="F71" s="56">
        <f t="shared" si="20"/>
        <v>17861</v>
      </c>
      <c r="G71" s="68">
        <f>+F71/$F$63</f>
        <v>0.22261691095822117</v>
      </c>
      <c r="I71" s="68">
        <f t="shared" si="14"/>
        <v>0.23184592128100334</v>
      </c>
      <c r="J71" s="68">
        <f t="shared" si="15"/>
        <v>-0.27170931078886962</v>
      </c>
    </row>
    <row r="72" spans="1:10" s="53" customFormat="1" x14ac:dyDescent="0.2">
      <c r="A72" s="53" t="s">
        <v>31</v>
      </c>
      <c r="C72" s="68"/>
      <c r="E72" s="68"/>
      <c r="G72" s="68"/>
      <c r="I72" s="68"/>
      <c r="J72" s="68"/>
    </row>
    <row r="73" spans="1:10" x14ac:dyDescent="0.2">
      <c r="A73" s="33" t="s">
        <v>27</v>
      </c>
      <c r="B73" s="55">
        <f>+B36</f>
        <v>37712</v>
      </c>
      <c r="C73" s="68">
        <f>+B73/$B$63</f>
        <v>0.31119106167379068</v>
      </c>
      <c r="D73" s="55">
        <f>+D36</f>
        <v>12483</v>
      </c>
      <c r="E73" s="68">
        <f>+D73/$D$63</f>
        <v>0.17018636927565475</v>
      </c>
      <c r="F73" s="55">
        <f>+F36</f>
        <v>16180</v>
      </c>
      <c r="G73" s="68">
        <f>+F73/$F$63</f>
        <v>0.20166517100408815</v>
      </c>
      <c r="I73" s="68">
        <f t="shared" si="14"/>
        <v>1.3307787391841779</v>
      </c>
      <c r="J73" s="68">
        <f t="shared" si="15"/>
        <v>-0.22849196538936956</v>
      </c>
    </row>
    <row r="74" spans="1:10" x14ac:dyDescent="0.2">
      <c r="A74" s="33" t="s">
        <v>28</v>
      </c>
      <c r="B74" s="63">
        <f>+B37</f>
        <v>1153</v>
      </c>
      <c r="C74" s="68">
        <f>+B74/$B$63</f>
        <v>9.5143003317214852E-3</v>
      </c>
      <c r="D74" s="63">
        <f>+D37</f>
        <v>0</v>
      </c>
      <c r="E74" s="68">
        <f>+D74/$D$63</f>
        <v>0</v>
      </c>
      <c r="F74" s="63">
        <f>+F37</f>
        <v>0</v>
      </c>
      <c r="G74" s="68">
        <f>+F74/$F$63</f>
        <v>0</v>
      </c>
      <c r="I74" s="68" t="e">
        <f t="shared" si="14"/>
        <v>#DIV/0!</v>
      </c>
      <c r="J74" s="68" t="e">
        <f t="shared" si="15"/>
        <v>#DIV/0!</v>
      </c>
    </row>
    <row r="75" spans="1:10" x14ac:dyDescent="0.2">
      <c r="A75" s="33" t="s">
        <v>29</v>
      </c>
      <c r="B75" s="58">
        <f>+B38</f>
        <v>14171</v>
      </c>
      <c r="C75" s="68">
        <f>+B75/$B$63</f>
        <v>0.11693594969715974</v>
      </c>
      <c r="D75" s="58">
        <f>+D38</f>
        <v>10997</v>
      </c>
      <c r="E75" s="68">
        <f>+D75/$D$63</f>
        <v>0.1499270610369603</v>
      </c>
      <c r="F75" s="58">
        <f>+F38</f>
        <v>14294</v>
      </c>
      <c r="G75" s="68">
        <f>+F75/$F$63</f>
        <v>0.17815834081164622</v>
      </c>
      <c r="I75" s="68">
        <f t="shared" si="14"/>
        <v>-8.6050090947250579E-3</v>
      </c>
      <c r="J75" s="68">
        <f t="shared" si="15"/>
        <v>-0.23065621939275216</v>
      </c>
    </row>
    <row r="76" spans="1:10" s="53" customFormat="1" x14ac:dyDescent="0.2">
      <c r="A76" s="31" t="s">
        <v>30</v>
      </c>
      <c r="B76" s="59">
        <f>SUM(B73:B75)</f>
        <v>53036</v>
      </c>
      <c r="C76" s="68">
        <f>+B76/$B$63</f>
        <v>0.43764131170267195</v>
      </c>
      <c r="D76" s="59">
        <f t="shared" ref="D76:F76" si="21">SUM(D73:D75)</f>
        <v>23480</v>
      </c>
      <c r="E76" s="68">
        <f>+D76/$D$63</f>
        <v>0.32011343031261502</v>
      </c>
      <c r="F76" s="59">
        <f t="shared" si="21"/>
        <v>30474</v>
      </c>
      <c r="G76" s="68">
        <f>+F76/$F$63</f>
        <v>0.37982351181573437</v>
      </c>
      <c r="I76" s="68">
        <f t="shared" si="14"/>
        <v>0.74036883901030381</v>
      </c>
      <c r="J76" s="68">
        <f t="shared" si="15"/>
        <v>-0.22950712082430924</v>
      </c>
    </row>
    <row r="77" spans="1:10" s="53" customFormat="1" x14ac:dyDescent="0.2">
      <c r="A77" s="54" t="s">
        <v>33</v>
      </c>
      <c r="B77" s="57">
        <f>+B71+B76</f>
        <v>75038</v>
      </c>
      <c r="C77" s="68">
        <f>+B77/$B$63</f>
        <v>0.61919693693991051</v>
      </c>
      <c r="D77" s="57">
        <f>+D71+D76</f>
        <v>36488</v>
      </c>
      <c r="E77" s="68">
        <f>+D77/$D$63</f>
        <v>0.49745736138188662</v>
      </c>
      <c r="F77" s="57">
        <f>+F71+F76</f>
        <v>48335</v>
      </c>
      <c r="G77" s="68">
        <f>+F77/$F$63</f>
        <v>0.60244042277395549</v>
      </c>
      <c r="I77" s="68">
        <f t="shared" si="14"/>
        <v>0.55245681183407469</v>
      </c>
      <c r="J77" s="68">
        <f t="shared" si="15"/>
        <v>-0.24510189303817109</v>
      </c>
    </row>
    <row r="79" spans="1:10" s="53" customFormat="1" x14ac:dyDescent="0.2">
      <c r="A79" s="53" t="s">
        <v>34</v>
      </c>
      <c r="C79" s="68"/>
      <c r="E79" s="68"/>
      <c r="G79" s="68"/>
      <c r="I79" s="68"/>
      <c r="J79" s="68"/>
    </row>
    <row r="80" spans="1:10" x14ac:dyDescent="0.2">
      <c r="A80" s="33" t="s">
        <v>133</v>
      </c>
      <c r="B80" s="55">
        <f>+B43</f>
        <v>2558</v>
      </c>
      <c r="C80" s="68">
        <f>+B80/$B$63</f>
        <v>2.1108048784513063E-2</v>
      </c>
      <c r="D80" s="55">
        <f>+D43</f>
        <v>2177</v>
      </c>
      <c r="E80" s="68">
        <f>+D80/$D$63</f>
        <v>2.9680022904197738E-2</v>
      </c>
      <c r="F80" s="55">
        <f>+F43</f>
        <v>3681</v>
      </c>
      <c r="G80" s="68">
        <f>+F80/$F$63</f>
        <v>4.5879449596171101E-2</v>
      </c>
      <c r="I80" s="68">
        <f t="shared" si="14"/>
        <v>-0.30508014126596039</v>
      </c>
      <c r="J80" s="68">
        <f t="shared" si="15"/>
        <v>-0.40858462374354798</v>
      </c>
    </row>
    <row r="81" spans="1:10" x14ac:dyDescent="0.2">
      <c r="A81" s="33" t="s">
        <v>36</v>
      </c>
      <c r="B81" s="55">
        <f>+B44</f>
        <v>18388</v>
      </c>
      <c r="C81" s="68">
        <f>+B81/$B$63</f>
        <v>0.15173369861205091</v>
      </c>
      <c r="D81" s="55">
        <f>+D44</f>
        <v>9658</v>
      </c>
      <c r="E81" s="68">
        <f>+D81/$D$63</f>
        <v>0.13167187010047854</v>
      </c>
      <c r="F81" s="55">
        <f>+F44</f>
        <v>9658</v>
      </c>
      <c r="G81" s="68">
        <f>+F81/$F$63</f>
        <v>0.12037590986140194</v>
      </c>
      <c r="I81" s="68">
        <f t="shared" si="14"/>
        <v>0.90391385379995848</v>
      </c>
      <c r="J81" s="68">
        <f t="shared" si="15"/>
        <v>0</v>
      </c>
    </row>
    <row r="82" spans="1:10" x14ac:dyDescent="0.2">
      <c r="A82" s="33" t="s">
        <v>135</v>
      </c>
      <c r="B82" s="55">
        <f>+B45-B83</f>
        <v>23491</v>
      </c>
      <c r="C82" s="68">
        <f>+B82/$B$63</f>
        <v>0.19384252306372024</v>
      </c>
      <c r="D82" s="55">
        <f>+D45-D83</f>
        <v>16932</v>
      </c>
      <c r="E82" s="68">
        <f>+D82/$D$63</f>
        <v>0.23084159293241899</v>
      </c>
      <c r="F82" s="55">
        <f>+F45-F83</f>
        <v>13732</v>
      </c>
      <c r="G82" s="68">
        <f>+F82/$F$63</f>
        <v>0.17115365440223351</v>
      </c>
      <c r="I82" s="68">
        <f t="shared" si="14"/>
        <v>0.71067579376638501</v>
      </c>
      <c r="J82" s="68">
        <f t="shared" si="15"/>
        <v>0.23303233323623651</v>
      </c>
    </row>
    <row r="83" spans="1:10" x14ac:dyDescent="0.2">
      <c r="A83" s="33" t="s">
        <v>134</v>
      </c>
      <c r="B83" s="58">
        <f>+B101</f>
        <v>1711</v>
      </c>
      <c r="C83" s="68">
        <f>+B83/$B$63</f>
        <v>1.4118792599805257E-2</v>
      </c>
      <c r="D83" s="58">
        <f t="shared" ref="D83:F83" si="22">+D101</f>
        <v>8094</v>
      </c>
      <c r="E83" s="68">
        <f>+D83/$D$63</f>
        <v>0.11034915268101815</v>
      </c>
      <c r="F83" s="58">
        <f t="shared" si="22"/>
        <v>4826</v>
      </c>
      <c r="G83" s="68">
        <f>+F83/$F$63</f>
        <v>6.0150563366237912E-2</v>
      </c>
      <c r="I83" s="68">
        <f t="shared" si="14"/>
        <v>-0.64546208039784503</v>
      </c>
      <c r="J83" s="68">
        <f t="shared" si="15"/>
        <v>0.67716535433070857</v>
      </c>
    </row>
    <row r="84" spans="1:10" s="53" customFormat="1" x14ac:dyDescent="0.2">
      <c r="A84" s="31" t="s">
        <v>39</v>
      </c>
      <c r="B84" s="59">
        <f>SUM(B80:B83)</f>
        <v>46148</v>
      </c>
      <c r="C84" s="68">
        <f>+B84/$B$63</f>
        <v>0.38080306306008943</v>
      </c>
      <c r="D84" s="59">
        <f>SUM(D80:D83)</f>
        <v>36861</v>
      </c>
      <c r="E84" s="68">
        <f>+D84/$D$63</f>
        <v>0.50254263861811344</v>
      </c>
      <c r="F84" s="59">
        <f>SUM(F80:F83)</f>
        <v>31897</v>
      </c>
      <c r="G84" s="68">
        <f>+F84/$F$63</f>
        <v>0.39755957722604446</v>
      </c>
      <c r="I84" s="68">
        <f t="shared" si="14"/>
        <v>0.44678182901213281</v>
      </c>
      <c r="J84" s="68">
        <f t="shared" si="15"/>
        <v>0.15562592093300309</v>
      </c>
    </row>
    <row r="86" spans="1:10" s="53" customFormat="1" x14ac:dyDescent="0.2">
      <c r="A86" s="54" t="s">
        <v>166</v>
      </c>
      <c r="B86" s="57">
        <f>+B77+B84</f>
        <v>121186</v>
      </c>
      <c r="C86" s="68">
        <f>+B86/$B$63</f>
        <v>1</v>
      </c>
      <c r="D86" s="57">
        <f t="shared" ref="D86:F86" si="23">+D77+D84</f>
        <v>73349</v>
      </c>
      <c r="E86" s="68">
        <f>+D86/$D$63</f>
        <v>1</v>
      </c>
      <c r="F86" s="57">
        <f t="shared" si="23"/>
        <v>80232</v>
      </c>
      <c r="G86" s="68">
        <f>+F86/$F$63</f>
        <v>1</v>
      </c>
      <c r="I86" s="68">
        <f t="shared" si="14"/>
        <v>0.51044471034001404</v>
      </c>
      <c r="J86" s="68">
        <f t="shared" si="15"/>
        <v>-8.5788712733074091E-2</v>
      </c>
    </row>
    <row r="87" spans="1:10" s="64" customFormat="1" x14ac:dyDescent="0.2">
      <c r="A87" s="64" t="s">
        <v>167</v>
      </c>
      <c r="B87" s="66">
        <f>+B86-B63</f>
        <v>0</v>
      </c>
      <c r="C87" s="68"/>
      <c r="D87" s="66">
        <f>+D86-D63</f>
        <v>0</v>
      </c>
      <c r="E87" s="68"/>
      <c r="F87" s="66">
        <f>+F86-F63</f>
        <v>0</v>
      </c>
      <c r="G87" s="68"/>
      <c r="I87" s="68"/>
      <c r="J87" s="68"/>
    </row>
    <row r="90" spans="1:10" s="54" customFormat="1" x14ac:dyDescent="0.2">
      <c r="A90" s="54" t="s">
        <v>0</v>
      </c>
      <c r="C90" s="68"/>
      <c r="E90" s="68"/>
      <c r="G90" s="68"/>
      <c r="I90" s="68"/>
      <c r="J90" s="68"/>
    </row>
    <row r="91" spans="1:10" x14ac:dyDescent="0.2">
      <c r="A91" s="33" t="s">
        <v>1</v>
      </c>
      <c r="B91" s="55">
        <f>+B3</f>
        <v>39586</v>
      </c>
      <c r="C91" s="68">
        <f>+B91/$B$91</f>
        <v>1</v>
      </c>
      <c r="D91" s="55">
        <f>+D3</f>
        <v>35015</v>
      </c>
      <c r="E91" s="68">
        <f>+D91/$D$91</f>
        <v>1</v>
      </c>
      <c r="F91" s="55">
        <f>+F3</f>
        <v>34943</v>
      </c>
      <c r="G91" s="68">
        <f>+F91/$F$91</f>
        <v>1</v>
      </c>
      <c r="I91" s="68">
        <f t="shared" si="14"/>
        <v>0.13287353690295634</v>
      </c>
      <c r="J91" s="68">
        <f t="shared" si="15"/>
        <v>2.0604985261711839E-3</v>
      </c>
    </row>
    <row r="92" spans="1:10" x14ac:dyDescent="0.2">
      <c r="A92" s="33" t="s">
        <v>2</v>
      </c>
      <c r="B92" s="58">
        <f>+B4</f>
        <v>-17010</v>
      </c>
      <c r="C92" s="68">
        <f t="shared" ref="C92:C101" si="24">+B92/$B$91</f>
        <v>-0.42969736775627748</v>
      </c>
      <c r="D92" s="58">
        <f>+D4</f>
        <v>-11382</v>
      </c>
      <c r="E92" s="68">
        <f t="shared" ref="E92:E101" si="25">+D92/$D$91</f>
        <v>-0.32506068827645296</v>
      </c>
      <c r="F92" s="58">
        <f>+F4</f>
        <v>-11756</v>
      </c>
      <c r="G92" s="68">
        <f t="shared" ref="G92:G101" si="26">+F92/$F$91</f>
        <v>-0.33643362046761871</v>
      </c>
      <c r="I92" s="68">
        <f t="shared" si="14"/>
        <v>0.44692072133378691</v>
      </c>
      <c r="J92" s="68">
        <f t="shared" si="15"/>
        <v>-3.1813542021095653E-2</v>
      </c>
    </row>
    <row r="93" spans="1:10" s="53" customFormat="1" x14ac:dyDescent="0.2">
      <c r="A93" s="31" t="s">
        <v>3</v>
      </c>
      <c r="B93" s="56">
        <f>SUM(B91:B92)</f>
        <v>22576</v>
      </c>
      <c r="C93" s="68">
        <f t="shared" si="24"/>
        <v>0.57030263224372257</v>
      </c>
      <c r="D93" s="56">
        <f t="shared" ref="D93:F93" si="27">SUM(D91:D92)</f>
        <v>23633</v>
      </c>
      <c r="E93" s="68">
        <f t="shared" si="25"/>
        <v>0.67493931172354704</v>
      </c>
      <c r="F93" s="56">
        <f t="shared" si="27"/>
        <v>23187</v>
      </c>
      <c r="G93" s="68">
        <f t="shared" si="26"/>
        <v>0.66356637953238129</v>
      </c>
      <c r="I93" s="68">
        <f t="shared" si="14"/>
        <v>-2.635097252770946E-2</v>
      </c>
      <c r="J93" s="68">
        <f t="shared" si="15"/>
        <v>1.9234916116789513E-2</v>
      </c>
    </row>
    <row r="94" spans="1:10" x14ac:dyDescent="0.2">
      <c r="A94" s="33" t="s">
        <v>139</v>
      </c>
      <c r="B94" s="58">
        <f>+B6</f>
        <v>-12310</v>
      </c>
      <c r="C94" s="68">
        <f t="shared" si="24"/>
        <v>-0.3109685242257364</v>
      </c>
      <c r="D94" s="58">
        <f>+D6</f>
        <v>-15070</v>
      </c>
      <c r="E94" s="68">
        <f t="shared" si="25"/>
        <v>-0.4303869770098529</v>
      </c>
      <c r="F94" s="58">
        <f>+F6</f>
        <v>-14386</v>
      </c>
      <c r="G94" s="68">
        <f t="shared" si="26"/>
        <v>-0.41169905274303864</v>
      </c>
      <c r="I94" s="68">
        <f t="shared" si="14"/>
        <v>-0.14430696510496321</v>
      </c>
      <c r="J94" s="68">
        <f t="shared" si="15"/>
        <v>4.754622549701093E-2</v>
      </c>
    </row>
    <row r="95" spans="1:10" s="53" customFormat="1" x14ac:dyDescent="0.2">
      <c r="A95" s="31" t="s">
        <v>140</v>
      </c>
      <c r="B95" s="56">
        <f>SUM(B93:B94)</f>
        <v>10266</v>
      </c>
      <c r="C95" s="68">
        <f t="shared" si="24"/>
        <v>0.25933410801798618</v>
      </c>
      <c r="D95" s="56">
        <f t="shared" ref="D95:F95" si="28">SUM(D93:D94)</f>
        <v>8563</v>
      </c>
      <c r="E95" s="68">
        <f t="shared" si="25"/>
        <v>0.24455233471369414</v>
      </c>
      <c r="F95" s="56">
        <f t="shared" si="28"/>
        <v>8801</v>
      </c>
      <c r="G95" s="68">
        <f t="shared" si="26"/>
        <v>0.25186732678934265</v>
      </c>
      <c r="I95" s="68">
        <f t="shared" si="14"/>
        <v>0.16645835700488587</v>
      </c>
      <c r="J95" s="68">
        <f t="shared" si="15"/>
        <v>-2.7042381547551453E-2</v>
      </c>
    </row>
    <row r="96" spans="1:10" x14ac:dyDescent="0.2">
      <c r="A96" s="33" t="s">
        <v>138</v>
      </c>
      <c r="B96" s="58">
        <f>+B7</f>
        <v>-6352</v>
      </c>
      <c r="C96" s="68">
        <f t="shared" si="24"/>
        <v>-0.16046076895872277</v>
      </c>
      <c r="D96" s="58">
        <f>+D7</f>
        <v>-2660</v>
      </c>
      <c r="E96" s="68">
        <f t="shared" si="25"/>
        <v>-7.5967442524632306E-2</v>
      </c>
      <c r="F96" s="58">
        <f>+F7</f>
        <v>-3063</v>
      </c>
      <c r="G96" s="68">
        <f t="shared" si="26"/>
        <v>-8.7657041467532837E-2</v>
      </c>
      <c r="I96" s="68">
        <f t="shared" si="14"/>
        <v>1.0737838720208948</v>
      </c>
      <c r="J96" s="68">
        <f t="shared" si="15"/>
        <v>-0.13157035586026766</v>
      </c>
    </row>
    <row r="97" spans="1:10" s="53" customFormat="1" x14ac:dyDescent="0.2">
      <c r="A97" s="31" t="s">
        <v>141</v>
      </c>
      <c r="B97" s="56">
        <f>SUM(B95:B96)</f>
        <v>3914</v>
      </c>
      <c r="C97" s="68">
        <f t="shared" si="24"/>
        <v>9.8873339059263377E-2</v>
      </c>
      <c r="D97" s="56">
        <f t="shared" ref="D97:F97" si="29">SUM(D95:D96)</f>
        <v>5903</v>
      </c>
      <c r="E97" s="68">
        <f t="shared" si="25"/>
        <v>0.16858489218906184</v>
      </c>
      <c r="F97" s="56">
        <f t="shared" si="29"/>
        <v>5738</v>
      </c>
      <c r="G97" s="68">
        <f t="shared" si="26"/>
        <v>0.16421028532180981</v>
      </c>
      <c r="I97" s="68">
        <f t="shared" si="14"/>
        <v>-0.31788079470198671</v>
      </c>
      <c r="J97" s="68">
        <f t="shared" si="15"/>
        <v>2.8755663994423086E-2</v>
      </c>
    </row>
    <row r="98" spans="1:10" x14ac:dyDescent="0.2">
      <c r="A98" s="33" t="s">
        <v>7</v>
      </c>
      <c r="B98" s="58">
        <f>+B9</f>
        <v>-1596</v>
      </c>
      <c r="C98" s="68">
        <f t="shared" si="24"/>
        <v>-4.0317283888243322E-2</v>
      </c>
      <c r="D98" s="58">
        <f>+D9</f>
        <v>3520</v>
      </c>
      <c r="E98" s="68">
        <f t="shared" si="25"/>
        <v>0.10052834499500214</v>
      </c>
      <c r="F98" s="58">
        <f>+F9</f>
        <v>105</v>
      </c>
      <c r="G98" s="68">
        <f t="shared" si="26"/>
        <v>3.0048936839996566E-3</v>
      </c>
      <c r="I98" s="68">
        <f t="shared" si="14"/>
        <v>-16.2</v>
      </c>
      <c r="J98" s="68">
        <f t="shared" si="15"/>
        <v>32.523809523809526</v>
      </c>
    </row>
    <row r="99" spans="1:10" s="53" customFormat="1" x14ac:dyDescent="0.2">
      <c r="A99" s="31" t="s">
        <v>142</v>
      </c>
      <c r="B99" s="56">
        <f>SUM(B97:B98)</f>
        <v>2318</v>
      </c>
      <c r="C99" s="68">
        <f t="shared" si="24"/>
        <v>5.8556055171020055E-2</v>
      </c>
      <c r="D99" s="56">
        <f t="shared" ref="D99:F99" si="30">SUM(D97:D98)</f>
        <v>9423</v>
      </c>
      <c r="E99" s="68">
        <f t="shared" si="25"/>
        <v>0.26911323718406399</v>
      </c>
      <c r="F99" s="56">
        <f t="shared" si="30"/>
        <v>5843</v>
      </c>
      <c r="G99" s="68">
        <f t="shared" si="26"/>
        <v>0.16721517900580946</v>
      </c>
      <c r="I99" s="68">
        <f t="shared" si="14"/>
        <v>-0.60328598322779392</v>
      </c>
      <c r="J99" s="68">
        <f t="shared" si="15"/>
        <v>0.61269895601574542</v>
      </c>
    </row>
    <row r="100" spans="1:10" x14ac:dyDescent="0.2">
      <c r="A100" s="33" t="s">
        <v>143</v>
      </c>
      <c r="B100" s="58">
        <f>+B11</f>
        <v>-607</v>
      </c>
      <c r="C100" s="68">
        <f t="shared" si="24"/>
        <v>-1.5333703834689032E-2</v>
      </c>
      <c r="D100" s="58">
        <f>+D11</f>
        <v>-1329</v>
      </c>
      <c r="E100" s="68">
        <f t="shared" si="25"/>
        <v>-3.7955162073397115E-2</v>
      </c>
      <c r="F100" s="58">
        <f>+F11</f>
        <v>-1017</v>
      </c>
      <c r="G100" s="68">
        <f t="shared" si="26"/>
        <v>-2.9104541682168101E-2</v>
      </c>
      <c r="I100" s="68">
        <f t="shared" si="14"/>
        <v>-0.40314650934119955</v>
      </c>
      <c r="J100" s="68">
        <f t="shared" si="15"/>
        <v>0.30678466076696176</v>
      </c>
    </row>
    <row r="101" spans="1:10" s="53" customFormat="1" ht="17" thickBot="1" x14ac:dyDescent="0.25">
      <c r="A101" s="31" t="s">
        <v>144</v>
      </c>
      <c r="B101" s="65">
        <f>SUM(B99:B100)</f>
        <v>1711</v>
      </c>
      <c r="C101" s="68">
        <f t="shared" si="24"/>
        <v>4.3222351336331025E-2</v>
      </c>
      <c r="D101" s="65">
        <f t="shared" ref="D101:F101" si="31">SUM(D99:D100)</f>
        <v>8094</v>
      </c>
      <c r="E101" s="68">
        <f t="shared" si="25"/>
        <v>0.23115807511066686</v>
      </c>
      <c r="F101" s="65">
        <f t="shared" si="31"/>
        <v>4826</v>
      </c>
      <c r="G101" s="68">
        <f t="shared" si="26"/>
        <v>0.13811063732364137</v>
      </c>
      <c r="I101" s="68">
        <f t="shared" si="14"/>
        <v>-0.64546208039784503</v>
      </c>
      <c r="J101" s="68">
        <f t="shared" si="15"/>
        <v>0.67716535433070857</v>
      </c>
    </row>
    <row r="102" spans="1:10" s="53" customFormat="1" ht="17" thickTop="1" x14ac:dyDescent="0.2">
      <c r="A102" s="31"/>
      <c r="B102" s="93"/>
      <c r="C102" s="68"/>
      <c r="D102" s="93"/>
      <c r="E102" s="68"/>
      <c r="F102" s="93"/>
      <c r="G102" s="68"/>
      <c r="I102" s="68"/>
      <c r="J102" s="68"/>
    </row>
    <row r="103" spans="1:10" s="53" customFormat="1" x14ac:dyDescent="0.2">
      <c r="A103" s="31"/>
      <c r="B103" s="93"/>
      <c r="C103" s="68"/>
      <c r="D103" s="93"/>
      <c r="E103" s="68"/>
      <c r="F103" s="93"/>
      <c r="G103" s="68"/>
      <c r="I103" s="68"/>
      <c r="J103" s="68"/>
    </row>
    <row r="104" spans="1:10" s="53" customFormat="1" x14ac:dyDescent="0.2">
      <c r="A104" s="31"/>
      <c r="B104" s="93"/>
      <c r="C104" s="68"/>
      <c r="D104" s="93"/>
      <c r="E104" s="68"/>
      <c r="F104" s="93"/>
      <c r="G104" s="68"/>
      <c r="I104" s="68"/>
      <c r="J104" s="68"/>
    </row>
    <row r="106" spans="1:10" x14ac:dyDescent="0.2">
      <c r="A106" s="74" t="s">
        <v>187</v>
      </c>
      <c r="B106" s="95"/>
    </row>
    <row r="107" spans="1:10" s="67" customFormat="1" x14ac:dyDescent="0.2">
      <c r="A107" s="3" t="s">
        <v>178</v>
      </c>
      <c r="B107" s="97">
        <f>+B57/B71</f>
        <v>1.3686028542859741</v>
      </c>
      <c r="C107" s="68"/>
      <c r="D107" s="97">
        <f>+D57/D71</f>
        <v>2.2669126691266914</v>
      </c>
      <c r="E107" s="68"/>
      <c r="F107" s="97">
        <f>+F57/F71</f>
        <v>1.6668159677509657</v>
      </c>
      <c r="G107" s="68"/>
      <c r="I107" s="119">
        <v>1.6</v>
      </c>
      <c r="J107" s="120" t="s">
        <v>200</v>
      </c>
    </row>
    <row r="108" spans="1:10" customFormat="1" x14ac:dyDescent="0.2">
      <c r="A108" s="3" t="s">
        <v>179</v>
      </c>
      <c r="B108" s="97">
        <f>+(B54+B53)/B76</f>
        <v>0.3569085149709631</v>
      </c>
      <c r="C108" s="68"/>
      <c r="D108" s="97">
        <f>+(D54+D53)/D76</f>
        <v>0.89301533219761497</v>
      </c>
      <c r="E108" s="68"/>
      <c r="F108" s="97">
        <f>+(F54+F53)/F76</f>
        <v>0.70069567500164076</v>
      </c>
      <c r="G108" s="68"/>
      <c r="I108" s="119">
        <v>1.2</v>
      </c>
      <c r="J108" s="68"/>
    </row>
    <row r="109" spans="1:10" x14ac:dyDescent="0.2">
      <c r="A109" s="3" t="s">
        <v>180</v>
      </c>
      <c r="B109" s="97">
        <f>+B53/B71</f>
        <v>0.23716025815834924</v>
      </c>
      <c r="D109" s="97">
        <f>+D53/D71</f>
        <v>0.85408979089790893</v>
      </c>
      <c r="F109" s="97">
        <f>+F53/F71</f>
        <v>0.45764514864789207</v>
      </c>
      <c r="I109" s="119"/>
      <c r="J109" s="120" t="s">
        <v>201</v>
      </c>
    </row>
    <row r="110" spans="1:10" x14ac:dyDescent="0.2">
      <c r="A110" s="3"/>
      <c r="B110" s="97"/>
      <c r="D110" s="97"/>
      <c r="F110" s="97"/>
      <c r="I110" s="119"/>
    </row>
    <row r="111" spans="1:10" x14ac:dyDescent="0.2">
      <c r="A111" s="3" t="s">
        <v>181</v>
      </c>
      <c r="B111" s="97">
        <f>+(B54/B91)*360</f>
        <v>124.68953670489566</v>
      </c>
      <c r="D111" s="97">
        <f>+(D54/D91)*360</f>
        <v>101.35313437098385</v>
      </c>
      <c r="F111" s="97">
        <f>+(F54/F91)*360</f>
        <v>135.77655038205077</v>
      </c>
      <c r="I111" s="119">
        <v>83.9</v>
      </c>
      <c r="J111" s="120" t="s">
        <v>202</v>
      </c>
    </row>
    <row r="112" spans="1:10" x14ac:dyDescent="0.2">
      <c r="A112" s="3" t="s">
        <v>182</v>
      </c>
      <c r="B112" s="97">
        <f>-(B55/B92)*360</f>
        <v>231.97883597883597</v>
      </c>
      <c r="D112" s="97">
        <f>-(D55/D92)*360</f>
        <v>207.16921454928834</v>
      </c>
      <c r="F112" s="97">
        <f>-(F55/F92)*360</f>
        <v>257.4753317454917</v>
      </c>
      <c r="I112" s="119">
        <v>153.80000000000001</v>
      </c>
      <c r="J112" s="120" t="s">
        <v>203</v>
      </c>
    </row>
    <row r="113" spans="1:10" x14ac:dyDescent="0.2">
      <c r="A113" s="7" t="s">
        <v>183</v>
      </c>
      <c r="B113" s="97">
        <f>+B111+B112</f>
        <v>356.6683726837316</v>
      </c>
      <c r="D113" s="97">
        <f>+D111+D112</f>
        <v>308.52234892027218</v>
      </c>
      <c r="F113" s="97">
        <f>+F111+F112</f>
        <v>393.25188212754244</v>
      </c>
      <c r="I113" s="119">
        <v>237.8</v>
      </c>
      <c r="J113" s="120" t="s">
        <v>204</v>
      </c>
    </row>
    <row r="114" spans="1:10" x14ac:dyDescent="0.2">
      <c r="A114" s="3" t="s">
        <v>184</v>
      </c>
      <c r="B114" s="97">
        <f>+(B69/(-B92-B94))*360</f>
        <v>150.66712141882672</v>
      </c>
      <c r="D114" s="97">
        <f>+(D69/(-D92-D94))*360</f>
        <v>69.803417510963257</v>
      </c>
      <c r="F114" s="97">
        <f>+(F69/(-F92-F94))*360</f>
        <v>88.271746614643106</v>
      </c>
      <c r="I114" s="119"/>
    </row>
    <row r="115" spans="1:10" s="53" customFormat="1" x14ac:dyDescent="0.2">
      <c r="A115" s="7" t="s">
        <v>185</v>
      </c>
      <c r="B115" s="98">
        <f>-B113+B114</f>
        <v>-206.00125126490488</v>
      </c>
      <c r="C115" s="68"/>
      <c r="D115" s="98">
        <f>-D113+D114</f>
        <v>-238.71893140930894</v>
      </c>
      <c r="E115" s="68"/>
      <c r="F115" s="98">
        <f>-F113+F114</f>
        <v>-304.98013551289932</v>
      </c>
      <c r="G115" s="68"/>
      <c r="I115" s="119"/>
      <c r="J115" s="68"/>
    </row>
    <row r="116" spans="1:10" x14ac:dyDescent="0.2">
      <c r="A116" s="7"/>
      <c r="B116" s="97"/>
      <c r="D116" s="97"/>
      <c r="F116" s="97"/>
      <c r="I116" s="119"/>
    </row>
    <row r="117" spans="1:10" x14ac:dyDescent="0.2">
      <c r="A117" s="7" t="s">
        <v>186</v>
      </c>
      <c r="B117" s="97">
        <f>+B91/B63</f>
        <v>0.32665489412968496</v>
      </c>
      <c r="D117" s="97">
        <f>+D91/D63</f>
        <v>0.47737528800665313</v>
      </c>
      <c r="F117" s="97">
        <f>+F91/F63</f>
        <v>0.43552447901086849</v>
      </c>
      <c r="I117" s="119">
        <v>0.6</v>
      </c>
      <c r="J117" s="120" t="s">
        <v>205</v>
      </c>
    </row>
    <row r="118" spans="1:10" x14ac:dyDescent="0.2">
      <c r="A118" s="7"/>
      <c r="B118" s="97"/>
      <c r="I118" s="119"/>
    </row>
    <row r="119" spans="1:10" x14ac:dyDescent="0.2">
      <c r="A119" s="74" t="s">
        <v>188</v>
      </c>
      <c r="B119" s="97"/>
      <c r="I119" s="119"/>
    </row>
    <row r="120" spans="1:10" x14ac:dyDescent="0.2">
      <c r="A120" s="76" t="s">
        <v>189</v>
      </c>
      <c r="B120" s="97">
        <f>+B77/B84</f>
        <v>1.6260292970442922</v>
      </c>
      <c r="D120" s="97">
        <f>+D77/D84</f>
        <v>0.98988090393640971</v>
      </c>
      <c r="F120" s="97">
        <f>+F77/F84</f>
        <v>1.515346270809167</v>
      </c>
      <c r="I120" s="119">
        <v>0.9</v>
      </c>
      <c r="J120" s="120" t="s">
        <v>206</v>
      </c>
    </row>
    <row r="121" spans="1:10" x14ac:dyDescent="0.2">
      <c r="A121" s="76" t="s">
        <v>190</v>
      </c>
      <c r="B121" s="97">
        <f>+B77/B63</f>
        <v>0.61919693693991051</v>
      </c>
      <c r="D121" s="97">
        <f>+D77/D63</f>
        <v>0.49745736138188662</v>
      </c>
      <c r="F121" s="97">
        <f>+F77/F63</f>
        <v>0.60244042277395549</v>
      </c>
      <c r="I121" s="119">
        <v>0.5</v>
      </c>
      <c r="J121" s="120" t="s">
        <v>207</v>
      </c>
    </row>
    <row r="122" spans="1:10" x14ac:dyDescent="0.2">
      <c r="A122" s="76" t="s">
        <v>191</v>
      </c>
      <c r="B122" s="97">
        <f>-(B101-B98)/B98</f>
        <v>2.0720551378446115</v>
      </c>
      <c r="D122" s="98">
        <f>-(D101-D98)/D98</f>
        <v>-1.2994318181818181</v>
      </c>
      <c r="F122" s="98">
        <f>-(F101-F98)/F98</f>
        <v>-44.961904761904762</v>
      </c>
      <c r="I122" s="119"/>
      <c r="J122" s="120" t="s">
        <v>208</v>
      </c>
    </row>
    <row r="123" spans="1:10" x14ac:dyDescent="0.2">
      <c r="A123" s="76"/>
      <c r="I123" s="119"/>
    </row>
    <row r="124" spans="1:10" s="53" customFormat="1" x14ac:dyDescent="0.2">
      <c r="A124" s="74" t="s">
        <v>199</v>
      </c>
      <c r="C124" s="68"/>
      <c r="E124" s="68"/>
      <c r="G124" s="68"/>
      <c r="I124" s="119"/>
      <c r="J124" s="68"/>
    </row>
    <row r="125" spans="1:10" ht="16" customHeight="1" x14ac:dyDescent="0.2">
      <c r="A125" s="76" t="s">
        <v>192</v>
      </c>
      <c r="B125" s="100">
        <f>+B93/B91</f>
        <v>0.57030263224372257</v>
      </c>
      <c r="C125" s="96"/>
      <c r="D125" s="100">
        <f>+D93/D91</f>
        <v>0.67493931172354704</v>
      </c>
      <c r="E125" s="96"/>
      <c r="F125" s="100">
        <f>+F93/F91</f>
        <v>0.66356637953238129</v>
      </c>
      <c r="I125" s="121">
        <v>0.58199999999999996</v>
      </c>
    </row>
    <row r="126" spans="1:10" x14ac:dyDescent="0.2">
      <c r="A126" s="76" t="s">
        <v>193</v>
      </c>
      <c r="B126" s="100">
        <f>+B97/B91</f>
        <v>9.8873339059263377E-2</v>
      </c>
      <c r="C126" s="96"/>
      <c r="D126" s="100">
        <f>+D97/D91</f>
        <v>0.16858489218906184</v>
      </c>
      <c r="E126" s="96"/>
      <c r="F126" s="100">
        <f>+F97/F91</f>
        <v>0.16421028532180981</v>
      </c>
      <c r="I126" s="121">
        <v>0.14699999999999999</v>
      </c>
      <c r="J126" s="120" t="s">
        <v>209</v>
      </c>
    </row>
    <row r="127" spans="1:10" x14ac:dyDescent="0.2">
      <c r="A127" s="76" t="s">
        <v>194</v>
      </c>
      <c r="B127" s="100">
        <f>+B101/B91</f>
        <v>4.3222351336331025E-2</v>
      </c>
      <c r="C127" s="96"/>
      <c r="D127" s="100">
        <f>+D101/D91</f>
        <v>0.23115807511066686</v>
      </c>
      <c r="E127" s="96"/>
      <c r="F127" s="100">
        <f>+F101/F91</f>
        <v>0.13811063732364137</v>
      </c>
      <c r="I127" s="121">
        <v>9.5000000000000001E-2</v>
      </c>
      <c r="J127" s="120" t="s">
        <v>210</v>
      </c>
    </row>
    <row r="128" spans="1:10" s="106" customFormat="1" x14ac:dyDescent="0.2">
      <c r="A128" s="81" t="s">
        <v>195</v>
      </c>
      <c r="B128" s="103">
        <f>+B101/B84</f>
        <v>3.7076363005980759E-2</v>
      </c>
      <c r="C128" s="104"/>
      <c r="D128" s="103">
        <f>+D101/D84</f>
        <v>0.21958167168552128</v>
      </c>
      <c r="E128" s="104"/>
      <c r="F128" s="103">
        <f>+F101/F84</f>
        <v>0.15129949525033703</v>
      </c>
      <c r="G128" s="105"/>
      <c r="I128" s="121">
        <v>0.16700000000000001</v>
      </c>
      <c r="J128" s="122" t="s">
        <v>211</v>
      </c>
    </row>
    <row r="129" spans="1:10" s="110" customFormat="1" x14ac:dyDescent="0.2">
      <c r="A129" s="87" t="s">
        <v>196</v>
      </c>
      <c r="B129" s="108">
        <f>+B101/B63</f>
        <v>1.4118792599805257E-2</v>
      </c>
      <c r="C129" s="109"/>
      <c r="D129" s="108">
        <f>+D101/D63</f>
        <v>0.11034915268101815</v>
      </c>
      <c r="E129" s="109"/>
      <c r="F129" s="108">
        <f>+F101/F63</f>
        <v>6.0150563366237912E-2</v>
      </c>
      <c r="G129" s="109"/>
      <c r="I129" s="121">
        <v>5.2999999999999999E-2</v>
      </c>
      <c r="J129" s="123" t="s">
        <v>212</v>
      </c>
    </row>
    <row r="130" spans="1:10" x14ac:dyDescent="0.2">
      <c r="A130" s="76"/>
      <c r="B130" s="99"/>
      <c r="I130" s="119"/>
    </row>
    <row r="131" spans="1:10" x14ac:dyDescent="0.2">
      <c r="A131" s="74" t="s">
        <v>197</v>
      </c>
      <c r="B131" s="99"/>
      <c r="I131" s="119"/>
    </row>
    <row r="132" spans="1:10" x14ac:dyDescent="0.2">
      <c r="A132" s="76" t="s">
        <v>194</v>
      </c>
      <c r="B132" s="101">
        <f>+B127</f>
        <v>4.3222351336331025E-2</v>
      </c>
      <c r="D132" s="101">
        <f>+D127</f>
        <v>0.23115807511066686</v>
      </c>
      <c r="F132" s="101">
        <f>+F127</f>
        <v>0.13811063732364137</v>
      </c>
      <c r="I132" s="119"/>
    </row>
    <row r="133" spans="1:10" x14ac:dyDescent="0.2">
      <c r="A133" s="76" t="s">
        <v>186</v>
      </c>
      <c r="B133" s="102">
        <f>+B117</f>
        <v>0.32665489412968496</v>
      </c>
      <c r="D133" s="102">
        <f>+D117</f>
        <v>0.47737528800665313</v>
      </c>
      <c r="F133" s="102">
        <f>+F117</f>
        <v>0.43552447901086849</v>
      </c>
      <c r="I133" s="119"/>
    </row>
    <row r="134" spans="1:10" s="110" customFormat="1" x14ac:dyDescent="0.2">
      <c r="A134" s="87" t="s">
        <v>196</v>
      </c>
      <c r="B134" s="111">
        <f>+B132*B133</f>
        <v>1.4118792599805257E-2</v>
      </c>
      <c r="C134" s="109"/>
      <c r="D134" s="111">
        <f>+D132*D133</f>
        <v>0.11034915268101815</v>
      </c>
      <c r="E134" s="109"/>
      <c r="F134" s="111">
        <f>+F132*F133</f>
        <v>6.0150563366237919E-2</v>
      </c>
      <c r="G134" s="109"/>
      <c r="I134" s="119"/>
      <c r="J134" s="109"/>
    </row>
    <row r="135" spans="1:10" x14ac:dyDescent="0.2">
      <c r="A135" s="76" t="s">
        <v>198</v>
      </c>
      <c r="B135" s="102">
        <f>+B63/B84</f>
        <v>2.6260292970442922</v>
      </c>
      <c r="D135" s="102">
        <f>+D63/D84</f>
        <v>1.9898809039364098</v>
      </c>
      <c r="F135" s="102">
        <f>+F63/F84</f>
        <v>2.5153462708091672</v>
      </c>
      <c r="I135" s="119"/>
    </row>
    <row r="136" spans="1:10" s="106" customFormat="1" x14ac:dyDescent="0.2">
      <c r="A136" s="81" t="s">
        <v>195</v>
      </c>
      <c r="B136" s="107">
        <f>+B134*B135</f>
        <v>3.7076363005980752E-2</v>
      </c>
      <c r="C136" s="105"/>
      <c r="D136" s="107">
        <f>+D134*D135</f>
        <v>0.21958167168552128</v>
      </c>
      <c r="E136" s="105"/>
      <c r="F136" s="107">
        <f>+F134*F135</f>
        <v>0.15129949525033706</v>
      </c>
      <c r="G136" s="105"/>
      <c r="I136" s="119"/>
      <c r="J136" s="105"/>
    </row>
    <row r="137" spans="1:10" x14ac:dyDescent="0.2">
      <c r="A137" s="94"/>
    </row>
    <row r="138" spans="1:10" ht="64" customHeight="1" x14ac:dyDescent="0.2">
      <c r="A138" s="124" t="s">
        <v>213</v>
      </c>
      <c r="B138" s="124"/>
      <c r="C138" s="124"/>
      <c r="D138" s="124"/>
      <c r="E138" s="124"/>
    </row>
    <row r="139" spans="1:10" x14ac:dyDescent="0.2">
      <c r="A139" s="124"/>
      <c r="B139" s="124"/>
      <c r="C139" s="124"/>
      <c r="D139" s="124"/>
      <c r="E139" s="124"/>
    </row>
    <row r="140" spans="1:10" x14ac:dyDescent="0.2">
      <c r="A140" s="94"/>
    </row>
    <row r="141" spans="1:10" x14ac:dyDescent="0.2">
      <c r="A141" s="94"/>
    </row>
    <row r="143" spans="1:10" x14ac:dyDescent="0.2">
      <c r="A143" s="67" t="s">
        <v>169</v>
      </c>
    </row>
    <row r="144" spans="1:10" x14ac:dyDescent="0.2">
      <c r="A144" t="s">
        <v>170</v>
      </c>
    </row>
    <row r="146" spans="1:1" x14ac:dyDescent="0.2">
      <c r="A146" s="52" t="s">
        <v>160</v>
      </c>
    </row>
    <row r="147" spans="1:1" x14ac:dyDescent="0.2">
      <c r="A147" s="27" t="s">
        <v>171</v>
      </c>
    </row>
    <row r="148" spans="1:1" x14ac:dyDescent="0.2">
      <c r="A148" s="27" t="s">
        <v>172</v>
      </c>
    </row>
    <row r="149" spans="1:1" x14ac:dyDescent="0.2">
      <c r="A149" s="27" t="s">
        <v>173</v>
      </c>
    </row>
    <row r="151" spans="1:1" x14ac:dyDescent="0.2">
      <c r="A151" s="53" t="s">
        <v>145</v>
      </c>
    </row>
    <row r="152" spans="1:1" x14ac:dyDescent="0.2">
      <c r="A152" s="27" t="s">
        <v>174</v>
      </c>
    </row>
    <row r="154" spans="1:1" x14ac:dyDescent="0.2">
      <c r="A154" s="53" t="s">
        <v>148</v>
      </c>
    </row>
    <row r="155" spans="1:1" x14ac:dyDescent="0.2">
      <c r="A155" s="27" t="s">
        <v>176</v>
      </c>
    </row>
    <row r="157" spans="1:1" x14ac:dyDescent="0.2">
      <c r="A157" s="53" t="s">
        <v>154</v>
      </c>
    </row>
    <row r="158" spans="1:1" x14ac:dyDescent="0.2">
      <c r="A158" s="27" t="s">
        <v>175</v>
      </c>
    </row>
    <row r="160" spans="1:1" x14ac:dyDescent="0.2">
      <c r="A160" s="53" t="s">
        <v>161</v>
      </c>
    </row>
    <row r="161" spans="1:1" ht="119" x14ac:dyDescent="0.2">
      <c r="A161" s="69" t="s">
        <v>177</v>
      </c>
    </row>
    <row r="162" spans="1:1" x14ac:dyDescent="0.2">
      <c r="A162" s="69"/>
    </row>
    <row r="163" spans="1:1" x14ac:dyDescent="0.2">
      <c r="A163" s="69"/>
    </row>
    <row r="164" spans="1:1" x14ac:dyDescent="0.2">
      <c r="A164" s="69"/>
    </row>
  </sheetData>
  <mergeCells count="1">
    <mergeCell ref="A138:E13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3"/>
  <sheetViews>
    <sheetView zoomScale="110" zoomScaleNormal="110" workbookViewId="0">
      <pane ySplit="1" topLeftCell="A119" activePane="bottomLeft" state="frozen"/>
      <selection pane="bottomLeft" activeCell="A154" sqref="A154"/>
    </sheetView>
  </sheetViews>
  <sheetFormatPr baseColWidth="10" defaultColWidth="11.5" defaultRowHeight="15" x14ac:dyDescent="0.2"/>
  <cols>
    <col min="1" max="1" width="58.5" style="33" customWidth="1"/>
    <col min="2" max="3" width="11.83203125" style="33" customWidth="1"/>
    <col min="4" max="7" width="11.5" style="33"/>
    <col min="8" max="8" width="2.1640625" style="33" customWidth="1"/>
    <col min="9" max="16384" width="11.5" style="33"/>
  </cols>
  <sheetData>
    <row r="1" spans="1:10" s="28" customFormat="1" x14ac:dyDescent="0.2">
      <c r="B1" s="28">
        <v>2018</v>
      </c>
      <c r="D1" s="28">
        <v>2017</v>
      </c>
      <c r="F1" s="28">
        <v>2016</v>
      </c>
      <c r="I1" s="28" t="s">
        <v>152</v>
      </c>
      <c r="J1" s="28" t="s">
        <v>153</v>
      </c>
    </row>
    <row r="2" spans="1:10" s="30" customFormat="1" ht="16" x14ac:dyDescent="0.2">
      <c r="A2" s="29" t="s">
        <v>82</v>
      </c>
    </row>
    <row r="3" spans="1:10" s="31" customFormat="1" x14ac:dyDescent="0.2">
      <c r="A3" s="31" t="s">
        <v>83</v>
      </c>
      <c r="B3" s="32"/>
      <c r="C3" s="32"/>
      <c r="D3" s="32"/>
      <c r="E3" s="32"/>
      <c r="F3" s="32"/>
    </row>
    <row r="4" spans="1:10" s="31" customFormat="1" x14ac:dyDescent="0.2">
      <c r="A4" s="31" t="s">
        <v>84</v>
      </c>
      <c r="B4" s="32"/>
      <c r="C4" s="32"/>
      <c r="D4" s="32"/>
      <c r="E4" s="32"/>
      <c r="F4" s="32"/>
    </row>
    <row r="5" spans="1:10" x14ac:dyDescent="0.2">
      <c r="A5" s="33" t="s">
        <v>85</v>
      </c>
      <c r="B5" s="37">
        <v>4866</v>
      </c>
      <c r="C5" s="37"/>
      <c r="D5" s="37">
        <v>3006</v>
      </c>
      <c r="E5" s="37"/>
      <c r="F5" s="37">
        <v>2308.66</v>
      </c>
    </row>
    <row r="6" spans="1:10" x14ac:dyDescent="0.2">
      <c r="A6" s="33" t="s">
        <v>86</v>
      </c>
      <c r="B6" s="37">
        <v>1949</v>
      </c>
      <c r="C6" s="37"/>
      <c r="D6" s="37">
        <v>3409</v>
      </c>
      <c r="E6" s="37"/>
      <c r="F6" s="37">
        <v>3930.8</v>
      </c>
    </row>
    <row r="7" spans="1:10" x14ac:dyDescent="0.2">
      <c r="A7" s="33" t="s">
        <v>87</v>
      </c>
      <c r="B7" s="37">
        <v>820</v>
      </c>
      <c r="C7" s="37"/>
      <c r="D7" s="37">
        <v>888</v>
      </c>
      <c r="E7" s="37"/>
      <c r="F7" s="37">
        <v>968.5</v>
      </c>
    </row>
    <row r="8" spans="1:10" x14ac:dyDescent="0.2">
      <c r="A8" s="33" t="s">
        <v>88</v>
      </c>
      <c r="B8" s="37">
        <v>2716</v>
      </c>
      <c r="C8" s="37"/>
      <c r="D8" s="37">
        <v>2685</v>
      </c>
      <c r="E8" s="37"/>
      <c r="F8" s="37">
        <v>2549.1999999999998</v>
      </c>
    </row>
    <row r="9" spans="1:10" x14ac:dyDescent="0.2">
      <c r="A9" s="33" t="s">
        <v>17</v>
      </c>
      <c r="B9" s="37">
        <v>270</v>
      </c>
      <c r="C9" s="37"/>
      <c r="D9" s="37">
        <v>159</v>
      </c>
      <c r="E9" s="37"/>
      <c r="F9" s="37">
        <v>141.19</v>
      </c>
    </row>
    <row r="10" spans="1:10" s="31" customFormat="1" x14ac:dyDescent="0.2">
      <c r="A10" s="31" t="s">
        <v>89</v>
      </c>
      <c r="B10" s="38">
        <f>SUM(B5:B9)</f>
        <v>10621</v>
      </c>
      <c r="C10" s="38"/>
      <c r="D10" s="38">
        <f>SUM(D5:D9)</f>
        <v>10147</v>
      </c>
      <c r="E10" s="38"/>
      <c r="F10" s="38">
        <f>SUM(F5:F9)</f>
        <v>9898.35</v>
      </c>
    </row>
    <row r="11" spans="1:10" s="31" customFormat="1" x14ac:dyDescent="0.2">
      <c r="A11" s="31" t="s">
        <v>90</v>
      </c>
      <c r="B11" s="32"/>
      <c r="C11" s="32"/>
      <c r="D11" s="32"/>
      <c r="E11" s="32"/>
      <c r="F11" s="32"/>
    </row>
    <row r="12" spans="1:10" x14ac:dyDescent="0.2">
      <c r="A12" s="33" t="s">
        <v>123</v>
      </c>
      <c r="B12" s="37">
        <v>8339</v>
      </c>
      <c r="C12" s="37"/>
      <c r="D12" s="37">
        <v>7644</v>
      </c>
      <c r="E12" s="37"/>
      <c r="F12" s="37">
        <v>7283.4300000000012</v>
      </c>
      <c r="G12" s="34"/>
    </row>
    <row r="13" spans="1:10" x14ac:dyDescent="0.2">
      <c r="A13" s="33" t="s">
        <v>91</v>
      </c>
      <c r="B13" s="37">
        <v>206</v>
      </c>
      <c r="C13" s="37"/>
      <c r="D13" s="37">
        <v>207</v>
      </c>
      <c r="E13" s="37"/>
      <c r="F13" s="37">
        <v>195.7</v>
      </c>
    </row>
    <row r="14" spans="1:10" x14ac:dyDescent="0.2">
      <c r="A14" s="33" t="s">
        <v>92</v>
      </c>
      <c r="B14" s="37">
        <v>810</v>
      </c>
      <c r="C14" s="37"/>
      <c r="D14" s="37">
        <v>712</v>
      </c>
      <c r="E14" s="37"/>
      <c r="F14" s="37">
        <v>715.55</v>
      </c>
    </row>
    <row r="15" spans="1:10" x14ac:dyDescent="0.2">
      <c r="A15" s="33" t="s">
        <v>93</v>
      </c>
      <c r="B15" s="37">
        <v>287</v>
      </c>
      <c r="C15" s="37"/>
      <c r="D15" s="37">
        <v>237</v>
      </c>
      <c r="E15" s="37"/>
      <c r="F15" s="37">
        <v>221.85</v>
      </c>
    </row>
    <row r="16" spans="1:10" x14ac:dyDescent="0.2">
      <c r="A16" s="33" t="s">
        <v>22</v>
      </c>
      <c r="B16" s="37">
        <v>564</v>
      </c>
      <c r="C16" s="37"/>
      <c r="D16" s="37">
        <v>21</v>
      </c>
      <c r="E16" s="37"/>
      <c r="F16" s="37">
        <v>30.79</v>
      </c>
    </row>
    <row r="17" spans="1:6" x14ac:dyDescent="0.2">
      <c r="A17" s="33" t="s">
        <v>94</v>
      </c>
      <c r="B17" s="37">
        <v>858</v>
      </c>
      <c r="C17" s="37"/>
      <c r="D17" s="37">
        <v>1263</v>
      </c>
      <c r="E17" s="37"/>
      <c r="F17" s="37">
        <v>1275.76</v>
      </c>
    </row>
    <row r="18" spans="1:6" s="31" customFormat="1" x14ac:dyDescent="0.2">
      <c r="A18" s="31" t="s">
        <v>95</v>
      </c>
      <c r="B18" s="38">
        <f>SUM(B12:B17)</f>
        <v>11064</v>
      </c>
      <c r="C18" s="38"/>
      <c r="D18" s="38">
        <f>SUM(D12:D17)</f>
        <v>10084</v>
      </c>
      <c r="E18" s="38"/>
      <c r="F18" s="38">
        <f>SUM(F12:F17)</f>
        <v>9723.0800000000017</v>
      </c>
    </row>
    <row r="19" spans="1:6" s="31" customFormat="1" x14ac:dyDescent="0.2">
      <c r="A19" s="31" t="s">
        <v>96</v>
      </c>
      <c r="B19" s="38">
        <f>SUM(B18,B10)</f>
        <v>21685</v>
      </c>
      <c r="C19" s="38"/>
      <c r="D19" s="38">
        <f>SUM(D18,D10)</f>
        <v>20231</v>
      </c>
      <c r="E19" s="38"/>
      <c r="F19" s="38">
        <f>SUM(F18,F10)</f>
        <v>19621.43</v>
      </c>
    </row>
    <row r="20" spans="1:6" s="31" customFormat="1" x14ac:dyDescent="0.2">
      <c r="B20" s="32"/>
      <c r="C20" s="32"/>
      <c r="D20" s="32"/>
      <c r="E20" s="32"/>
      <c r="F20" s="32"/>
    </row>
    <row r="21" spans="1:6" s="31" customFormat="1" x14ac:dyDescent="0.2">
      <c r="A21" s="31" t="s">
        <v>25</v>
      </c>
      <c r="B21" s="32"/>
      <c r="C21" s="32"/>
      <c r="D21" s="32"/>
      <c r="E21" s="32"/>
      <c r="F21" s="32"/>
    </row>
    <row r="22" spans="1:6" s="31" customFormat="1" x14ac:dyDescent="0.2">
      <c r="A22" s="31" t="s">
        <v>26</v>
      </c>
      <c r="B22" s="32"/>
      <c r="C22" s="32"/>
      <c r="D22" s="32"/>
      <c r="E22" s="32"/>
      <c r="F22" s="32"/>
    </row>
    <row r="23" spans="1:6" x14ac:dyDescent="0.2">
      <c r="A23" s="33" t="s">
        <v>97</v>
      </c>
      <c r="B23" s="37">
        <v>5099</v>
      </c>
      <c r="C23" s="37"/>
      <c r="D23" s="37">
        <v>4807</v>
      </c>
      <c r="E23" s="37"/>
      <c r="F23" s="37">
        <v>4948.43</v>
      </c>
    </row>
    <row r="24" spans="1:6" x14ac:dyDescent="0.2">
      <c r="A24" s="33" t="s">
        <v>98</v>
      </c>
      <c r="B24" s="37">
        <v>153</v>
      </c>
      <c r="C24" s="37"/>
      <c r="D24" s="37">
        <v>354</v>
      </c>
      <c r="E24" s="37"/>
      <c r="F24" s="37">
        <v>376.76</v>
      </c>
    </row>
    <row r="25" spans="1:6" x14ac:dyDescent="0.2">
      <c r="A25" s="33" t="s">
        <v>99</v>
      </c>
      <c r="B25" s="37">
        <v>131</v>
      </c>
      <c r="C25" s="37"/>
      <c r="D25" s="37">
        <v>12</v>
      </c>
      <c r="E25" s="37"/>
      <c r="F25" s="37">
        <v>125.38</v>
      </c>
    </row>
    <row r="26" spans="1:6" s="31" customFormat="1" x14ac:dyDescent="0.2">
      <c r="A26" s="31" t="s">
        <v>30</v>
      </c>
      <c r="B26" s="38">
        <f>SUM(B23:B25)</f>
        <v>5383</v>
      </c>
      <c r="C26" s="38"/>
      <c r="D26" s="38">
        <f>SUM(D23:D25)</f>
        <v>5173</v>
      </c>
      <c r="E26" s="38"/>
      <c r="F26" s="38">
        <f>SUM(F23:F25)</f>
        <v>5450.5700000000006</v>
      </c>
    </row>
    <row r="27" spans="1:6" s="31" customFormat="1" x14ac:dyDescent="0.2">
      <c r="A27" s="31" t="s">
        <v>31</v>
      </c>
      <c r="B27" s="32"/>
      <c r="C27" s="32"/>
      <c r="D27" s="32"/>
      <c r="E27" s="32"/>
      <c r="F27" s="32"/>
    </row>
    <row r="28" spans="1:6" x14ac:dyDescent="0.2">
      <c r="A28" s="33" t="s">
        <v>100</v>
      </c>
      <c r="B28" s="37">
        <v>5</v>
      </c>
      <c r="C28" s="37"/>
      <c r="D28" s="37">
        <v>4</v>
      </c>
      <c r="E28" s="37"/>
      <c r="F28" s="37">
        <v>0.5</v>
      </c>
    </row>
    <row r="29" spans="1:6" x14ac:dyDescent="0.2">
      <c r="A29" s="33" t="s">
        <v>101</v>
      </c>
      <c r="B29" s="37">
        <v>312</v>
      </c>
      <c r="C29" s="37"/>
      <c r="D29" s="37">
        <v>268</v>
      </c>
      <c r="E29" s="37"/>
      <c r="F29" s="37">
        <v>257.14</v>
      </c>
    </row>
    <row r="30" spans="1:6" x14ac:dyDescent="0.2">
      <c r="A30" s="33" t="s">
        <v>102</v>
      </c>
      <c r="B30" s="37">
        <v>31</v>
      </c>
      <c r="C30" s="37"/>
      <c r="D30" s="37">
        <v>25</v>
      </c>
      <c r="E30" s="37"/>
      <c r="F30" s="37">
        <v>38.17</v>
      </c>
    </row>
    <row r="31" spans="1:6" x14ac:dyDescent="0.2">
      <c r="A31" s="33" t="s">
        <v>103</v>
      </c>
      <c r="B31" s="37">
        <v>1301</v>
      </c>
      <c r="C31" s="37"/>
      <c r="D31" s="37">
        <v>1264</v>
      </c>
      <c r="E31" s="37"/>
      <c r="F31" s="37">
        <v>1161.67</v>
      </c>
    </row>
    <row r="32" spans="1:6" s="31" customFormat="1" x14ac:dyDescent="0.2">
      <c r="A32" s="31" t="s">
        <v>32</v>
      </c>
      <c r="B32" s="38">
        <f>SUM(B28:B31)</f>
        <v>1649</v>
      </c>
      <c r="C32" s="38"/>
      <c r="D32" s="38">
        <f>SUM(D28:D31)</f>
        <v>1561</v>
      </c>
      <c r="E32" s="38"/>
      <c r="F32" s="38">
        <f>SUM(F28:F31)</f>
        <v>1457.48</v>
      </c>
    </row>
    <row r="33" spans="1:6" s="31" customFormat="1" x14ac:dyDescent="0.2">
      <c r="A33" s="31" t="s">
        <v>33</v>
      </c>
      <c r="B33" s="38">
        <f>SUM(B32,B26)</f>
        <v>7032</v>
      </c>
      <c r="C33" s="38"/>
      <c r="D33" s="38">
        <f>SUM(D32,D26)</f>
        <v>6734</v>
      </c>
      <c r="E33" s="38"/>
      <c r="F33" s="38">
        <f>SUM(F32,F26)</f>
        <v>6908.0500000000011</v>
      </c>
    </row>
    <row r="34" spans="1:6" s="31" customFormat="1" x14ac:dyDescent="0.2">
      <c r="B34" s="32"/>
      <c r="C34" s="32"/>
      <c r="D34" s="32"/>
      <c r="E34" s="32"/>
      <c r="F34" s="32"/>
    </row>
    <row r="35" spans="1:6" s="31" customFormat="1" x14ac:dyDescent="0.2">
      <c r="A35" s="31" t="s">
        <v>34</v>
      </c>
      <c r="B35" s="32"/>
      <c r="C35" s="32"/>
      <c r="D35" s="32"/>
      <c r="E35" s="32"/>
      <c r="F35" s="32"/>
    </row>
    <row r="36" spans="1:6" x14ac:dyDescent="0.2">
      <c r="A36" s="33" t="s">
        <v>35</v>
      </c>
      <c r="B36" s="37">
        <v>94</v>
      </c>
      <c r="C36" s="37"/>
      <c r="D36" s="37">
        <v>94</v>
      </c>
      <c r="E36" s="37"/>
      <c r="F36" s="37">
        <v>93.5</v>
      </c>
    </row>
    <row r="37" spans="1:6" x14ac:dyDescent="0.2">
      <c r="A37" s="33" t="s">
        <v>104</v>
      </c>
      <c r="B37" s="37">
        <v>20</v>
      </c>
      <c r="C37" s="37"/>
      <c r="D37" s="37">
        <v>20</v>
      </c>
      <c r="E37" s="37"/>
      <c r="F37" s="37">
        <v>20.38</v>
      </c>
    </row>
    <row r="38" spans="1:6" x14ac:dyDescent="0.2">
      <c r="A38" s="33" t="s">
        <v>105</v>
      </c>
      <c r="B38" s="37">
        <v>15036</v>
      </c>
      <c r="C38" s="37"/>
      <c r="D38" s="37">
        <v>13837</v>
      </c>
      <c r="E38" s="37"/>
      <c r="F38" s="37">
        <v>12751.01</v>
      </c>
    </row>
    <row r="39" spans="1:6" x14ac:dyDescent="0.2">
      <c r="A39" s="33" t="s">
        <v>106</v>
      </c>
      <c r="B39" s="37">
        <v>-77</v>
      </c>
      <c r="C39" s="37"/>
      <c r="D39" s="37">
        <v>-77</v>
      </c>
      <c r="E39" s="37"/>
      <c r="F39" s="37">
        <v>-87.11</v>
      </c>
    </row>
    <row r="40" spans="1:6" x14ac:dyDescent="0.2">
      <c r="A40" s="33" t="s">
        <v>107</v>
      </c>
      <c r="B40" s="37">
        <v>-420</v>
      </c>
      <c r="C40" s="37"/>
      <c r="D40" s="37">
        <v>-377</v>
      </c>
      <c r="E40" s="37"/>
      <c r="F40" s="37">
        <v>-64.400000000000006</v>
      </c>
    </row>
    <row r="41" spans="1:6" s="31" customFormat="1" x14ac:dyDescent="0.2">
      <c r="A41" s="31" t="s">
        <v>39</v>
      </c>
      <c r="B41" s="38">
        <f>SUM(B36:B40)</f>
        <v>14653</v>
      </c>
      <c r="C41" s="38"/>
      <c r="D41" s="38">
        <f>SUM(D36:D40)</f>
        <v>13497</v>
      </c>
      <c r="E41" s="38"/>
      <c r="F41" s="38">
        <f>SUM(F36:F40)</f>
        <v>12713.38</v>
      </c>
    </row>
    <row r="42" spans="1:6" s="31" customFormat="1" x14ac:dyDescent="0.2">
      <c r="A42" s="31" t="s">
        <v>108</v>
      </c>
      <c r="B42" s="38">
        <f>SUM(B41,B33)</f>
        <v>21685</v>
      </c>
      <c r="C42" s="38"/>
      <c r="D42" s="38">
        <f>SUM(D41,D33)</f>
        <v>20231</v>
      </c>
      <c r="E42" s="38"/>
      <c r="F42" s="38">
        <f t="shared" ref="F42" si="0">SUM(F41,F33)</f>
        <v>19621.43</v>
      </c>
    </row>
    <row r="43" spans="1:6" x14ac:dyDescent="0.2">
      <c r="B43" s="35"/>
      <c r="C43" s="35"/>
      <c r="D43" s="35"/>
      <c r="E43" s="35"/>
      <c r="F43" s="35"/>
    </row>
    <row r="44" spans="1:6" s="30" customFormat="1" ht="16" x14ac:dyDescent="0.2">
      <c r="A44" s="29" t="s">
        <v>109</v>
      </c>
    </row>
    <row r="45" spans="1:6" x14ac:dyDescent="0.2">
      <c r="A45" s="33" t="s">
        <v>1</v>
      </c>
      <c r="B45" s="37">
        <v>26145</v>
      </c>
      <c r="C45" s="37"/>
      <c r="D45" s="37">
        <v>25336</v>
      </c>
      <c r="E45" s="37"/>
      <c r="F45" s="37">
        <v>23310.53</v>
      </c>
    </row>
    <row r="46" spans="1:6" x14ac:dyDescent="0.2">
      <c r="A46" s="33" t="s">
        <v>110</v>
      </c>
      <c r="B46" s="37">
        <v>-11329</v>
      </c>
      <c r="C46" s="37"/>
      <c r="D46" s="37">
        <v>-11076</v>
      </c>
      <c r="E46" s="37"/>
      <c r="F46" s="37">
        <v>-10031.98</v>
      </c>
    </row>
    <row r="47" spans="1:6" s="31" customFormat="1" x14ac:dyDescent="0.2">
      <c r="A47" s="31" t="s">
        <v>111</v>
      </c>
      <c r="B47" s="38">
        <f>SUM(B45:B46)</f>
        <v>14816</v>
      </c>
      <c r="C47" s="38"/>
      <c r="D47" s="38">
        <f>SUM(D45:D46)</f>
        <v>14260</v>
      </c>
      <c r="E47" s="38"/>
      <c r="F47" s="38">
        <f>SUM(F45:F46)</f>
        <v>13278.55</v>
      </c>
    </row>
    <row r="48" spans="1:6" x14ac:dyDescent="0.2">
      <c r="A48" s="33" t="s">
        <v>112</v>
      </c>
      <c r="B48" s="37">
        <f>-9329-B51</f>
        <v>-6528</v>
      </c>
      <c r="C48" s="37"/>
      <c r="D48" s="37">
        <v>-6433</v>
      </c>
      <c r="E48" s="37"/>
      <c r="F48" s="37">
        <v>-5900.01</v>
      </c>
    </row>
    <row r="49" spans="1:6" x14ac:dyDescent="0.2">
      <c r="A49" s="33" t="s">
        <v>113</v>
      </c>
      <c r="B49" s="37">
        <v>-1100</v>
      </c>
      <c r="C49" s="37"/>
      <c r="D49" s="37">
        <v>-1108</v>
      </c>
      <c r="E49" s="37"/>
      <c r="F49" s="37">
        <v>-967.74</v>
      </c>
    </row>
    <row r="50" spans="1:6" x14ac:dyDescent="0.2">
      <c r="A50" s="33" t="s">
        <v>114</v>
      </c>
      <c r="B50" s="37">
        <v>-30</v>
      </c>
      <c r="C50" s="37"/>
      <c r="D50" s="37">
        <v>257</v>
      </c>
      <c r="E50" s="37"/>
      <c r="F50" s="37">
        <v>-70.34</v>
      </c>
    </row>
    <row r="51" spans="1:6" x14ac:dyDescent="0.2">
      <c r="A51" s="33" t="s">
        <v>115</v>
      </c>
      <c r="B51" s="37">
        <v>-2801</v>
      </c>
      <c r="C51" s="37"/>
      <c r="D51" s="37">
        <v>-2660</v>
      </c>
      <c r="E51" s="37"/>
      <c r="F51" s="37">
        <v>-2319.4899999999998</v>
      </c>
    </row>
    <row r="52" spans="1:6" s="31" customFormat="1" x14ac:dyDescent="0.2">
      <c r="A52" s="31" t="s">
        <v>116</v>
      </c>
      <c r="B52" s="38">
        <f>SUM(B47:B51)</f>
        <v>4357</v>
      </c>
      <c r="C52" s="38"/>
      <c r="D52" s="38">
        <f>SUM(D47:D51)</f>
        <v>4316</v>
      </c>
      <c r="E52" s="38"/>
      <c r="F52" s="38">
        <f>SUM(F47:F51)</f>
        <v>4020.9699999999993</v>
      </c>
    </row>
    <row r="53" spans="1:6" x14ac:dyDescent="0.2">
      <c r="A53" s="33" t="s">
        <v>117</v>
      </c>
      <c r="B53" s="37">
        <f>17+54</f>
        <v>71</v>
      </c>
      <c r="C53" s="37"/>
      <c r="D53" s="37">
        <v>36</v>
      </c>
      <c r="E53" s="37"/>
      <c r="F53" s="37">
        <v>57.59</v>
      </c>
    </row>
    <row r="54" spans="1:6" x14ac:dyDescent="0.2">
      <c r="A54" s="33" t="s">
        <v>118</v>
      </c>
      <c r="B54" s="37"/>
      <c r="C54" s="37"/>
      <c r="D54" s="37"/>
      <c r="E54" s="37"/>
      <c r="F54" s="37">
        <v>-0.25</v>
      </c>
    </row>
    <row r="55" spans="1:6" s="31" customFormat="1" x14ac:dyDescent="0.2">
      <c r="A55" s="31" t="s">
        <v>119</v>
      </c>
      <c r="B55" s="38">
        <f>SUM(B52:B54)</f>
        <v>4428</v>
      </c>
      <c r="C55" s="38"/>
      <c r="D55" s="38">
        <f>SUM(D52:D54)</f>
        <v>4352</v>
      </c>
      <c r="E55" s="38"/>
      <c r="F55" s="38">
        <f>SUM(F52:F54)</f>
        <v>4078.3099999999995</v>
      </c>
    </row>
    <row r="56" spans="1:6" x14ac:dyDescent="0.2">
      <c r="A56" s="33" t="s">
        <v>120</v>
      </c>
      <c r="B56" s="37">
        <v>-980</v>
      </c>
      <c r="C56" s="37"/>
      <c r="D56" s="37">
        <v>-979</v>
      </c>
      <c r="E56" s="37"/>
      <c r="F56" s="37">
        <v>-917.21</v>
      </c>
    </row>
    <row r="57" spans="1:6" s="31" customFormat="1" x14ac:dyDescent="0.2">
      <c r="A57" s="31" t="s">
        <v>121</v>
      </c>
      <c r="B57" s="38">
        <f>SUM(B55:B56)</f>
        <v>3448</v>
      </c>
      <c r="C57" s="38"/>
      <c r="D57" s="38">
        <f>SUM(D55:D56)</f>
        <v>3373</v>
      </c>
      <c r="E57" s="38"/>
      <c r="F57" s="38">
        <f>SUM(F55:F56)</f>
        <v>3161.0999999999995</v>
      </c>
    </row>
    <row r="58" spans="1:6" x14ac:dyDescent="0.2">
      <c r="A58" s="33" t="s">
        <v>102</v>
      </c>
      <c r="B58" s="37">
        <v>-4</v>
      </c>
      <c r="C58" s="37"/>
      <c r="D58" s="37">
        <v>-5</v>
      </c>
      <c r="E58" s="37"/>
      <c r="F58" s="37">
        <v>-4.1500000000000004</v>
      </c>
    </row>
    <row r="59" spans="1:6" s="31" customFormat="1" x14ac:dyDescent="0.2">
      <c r="A59" s="31" t="s">
        <v>122</v>
      </c>
      <c r="B59" s="38">
        <f>SUM(B57:B58)</f>
        <v>3444</v>
      </c>
      <c r="C59" s="38"/>
      <c r="D59" s="38">
        <f>SUM(D57:D58)</f>
        <v>3368</v>
      </c>
      <c r="E59" s="38"/>
      <c r="F59" s="38">
        <f>SUM(F57:F58)</f>
        <v>3156.9499999999994</v>
      </c>
    </row>
    <row r="60" spans="1:6" x14ac:dyDescent="0.2">
      <c r="F60" s="36"/>
    </row>
    <row r="62" spans="1:6" x14ac:dyDescent="0.2">
      <c r="A62" s="40" t="s">
        <v>128</v>
      </c>
    </row>
    <row r="63" spans="1:6" x14ac:dyDescent="0.2">
      <c r="A63" s="40" t="s">
        <v>12</v>
      </c>
    </row>
    <row r="64" spans="1:6" x14ac:dyDescent="0.2">
      <c r="A64" s="40" t="s">
        <v>13</v>
      </c>
    </row>
    <row r="65" spans="1:10" x14ac:dyDescent="0.2">
      <c r="A65" s="33" t="s">
        <v>85</v>
      </c>
      <c r="B65" s="37">
        <f>+B6+B5</f>
        <v>6815</v>
      </c>
      <c r="C65" s="47">
        <f>+B65/$B$76</f>
        <v>0.31427253862116672</v>
      </c>
      <c r="D65" s="37">
        <f t="shared" ref="D65:F65" si="1">+D6+D5</f>
        <v>6415</v>
      </c>
      <c r="E65" s="47">
        <f>+D65/$D$76</f>
        <v>0.31708763778359944</v>
      </c>
      <c r="F65" s="37">
        <f t="shared" si="1"/>
        <v>6239.46</v>
      </c>
      <c r="G65" s="47">
        <f>+F65/$F$76</f>
        <v>0.31799211372463676</v>
      </c>
      <c r="I65" s="47">
        <f>+(B65/F65)-1</f>
        <v>9.2241956836008221E-2</v>
      </c>
      <c r="J65" s="47">
        <f>+(D65/F65)-1</f>
        <v>2.8133844916066408E-2</v>
      </c>
    </row>
    <row r="66" spans="1:10" x14ac:dyDescent="0.2">
      <c r="A66" s="33" t="s">
        <v>129</v>
      </c>
      <c r="B66" s="37">
        <f>+B7</f>
        <v>820</v>
      </c>
      <c r="C66" s="47">
        <f>+B66/$B$76</f>
        <v>3.7814157251556374E-2</v>
      </c>
      <c r="D66" s="37">
        <f t="shared" ref="D66:F66" si="2">+D7</f>
        <v>888</v>
      </c>
      <c r="E66" s="47">
        <f>+D66/$D$76</f>
        <v>4.3893035440660373E-2</v>
      </c>
      <c r="F66" s="37">
        <f t="shared" si="2"/>
        <v>968.5</v>
      </c>
      <c r="G66" s="47">
        <f>+F66/$F$76</f>
        <v>4.9359297462009649E-2</v>
      </c>
      <c r="I66" s="47">
        <f t="shared" ref="I66:I113" si="3">+(B66/F66)-1</f>
        <v>-0.15332989158492516</v>
      </c>
      <c r="J66" s="47">
        <f t="shared" ref="J66:J113" si="4">+(D66/F66)-1</f>
        <v>-8.3118224057821322E-2</v>
      </c>
    </row>
    <row r="67" spans="1:10" x14ac:dyDescent="0.2">
      <c r="A67" s="33" t="s">
        <v>16</v>
      </c>
      <c r="B67" s="37">
        <f>+B8</f>
        <v>2716</v>
      </c>
      <c r="C67" s="47">
        <f>+B67/$B$76</f>
        <v>0.12524786718930137</v>
      </c>
      <c r="D67" s="37">
        <f t="shared" ref="D67:F67" si="5">+D8</f>
        <v>2685</v>
      </c>
      <c r="E67" s="47">
        <f>+D67/$D$76</f>
        <v>0.13271711729523997</v>
      </c>
      <c r="F67" s="37">
        <f t="shared" si="5"/>
        <v>2549.1999999999998</v>
      </c>
      <c r="G67" s="47">
        <f>+F67/$F$76</f>
        <v>0.12991917510599379</v>
      </c>
      <c r="I67" s="47">
        <f t="shared" si="3"/>
        <v>6.5432292483916576E-2</v>
      </c>
      <c r="J67" s="47">
        <f t="shared" si="4"/>
        <v>5.3271614624195829E-2</v>
      </c>
    </row>
    <row r="68" spans="1:10" x14ac:dyDescent="0.2">
      <c r="A68" s="33" t="s">
        <v>17</v>
      </c>
      <c r="B68" s="41">
        <f>+B9</f>
        <v>270</v>
      </c>
      <c r="C68" s="47">
        <f>+B68/$B$76</f>
        <v>1.2451002997463684E-2</v>
      </c>
      <c r="D68" s="41">
        <f t="shared" ref="D68:F68" si="6">+D9</f>
        <v>159</v>
      </c>
      <c r="E68" s="47">
        <f>+D68/$D$76</f>
        <v>7.8592259403885128E-3</v>
      </c>
      <c r="F68" s="41">
        <f t="shared" si="6"/>
        <v>141.19</v>
      </c>
      <c r="G68" s="47">
        <f>+F68/$F$76</f>
        <v>7.1957038809098012E-3</v>
      </c>
      <c r="I68" s="47">
        <f t="shared" si="3"/>
        <v>0.91231673631276999</v>
      </c>
      <c r="J68" s="47">
        <f t="shared" si="4"/>
        <v>0.12614207805085353</v>
      </c>
    </row>
    <row r="69" spans="1:10" s="31" customFormat="1" x14ac:dyDescent="0.2">
      <c r="A69" s="31" t="s">
        <v>18</v>
      </c>
      <c r="B69" s="38">
        <f>SUM(B65:B68)</f>
        <v>10621</v>
      </c>
      <c r="C69" s="47">
        <f>+B69/$B$76</f>
        <v>0.48978556605948814</v>
      </c>
      <c r="D69" s="38">
        <f t="shared" ref="D69:F69" si="7">SUM(D65:D68)</f>
        <v>10147</v>
      </c>
      <c r="E69" s="47">
        <f>+D69/$D$76</f>
        <v>0.50155701645988826</v>
      </c>
      <c r="F69" s="38">
        <f t="shared" si="7"/>
        <v>9898.35</v>
      </c>
      <c r="G69" s="47">
        <f>+F69/$F$76</f>
        <v>0.50446629017355005</v>
      </c>
      <c r="I69" s="47">
        <f t="shared" si="3"/>
        <v>7.3007117347840822E-2</v>
      </c>
      <c r="J69" s="47">
        <f t="shared" si="4"/>
        <v>2.5120348340885057E-2</v>
      </c>
    </row>
    <row r="70" spans="1:10" x14ac:dyDescent="0.2">
      <c r="A70" s="40" t="s">
        <v>19</v>
      </c>
      <c r="C70" s="47"/>
      <c r="E70" s="47"/>
      <c r="G70" s="47"/>
      <c r="I70" s="47"/>
      <c r="J70" s="47"/>
    </row>
    <row r="71" spans="1:10" x14ac:dyDescent="0.2">
      <c r="A71" s="33" t="s">
        <v>130</v>
      </c>
      <c r="B71" s="37">
        <f>+B12</f>
        <v>8339</v>
      </c>
      <c r="C71" s="47">
        <f t="shared" ref="C71:C76" si="8">+B71/$B$76</f>
        <v>0.38455153331796171</v>
      </c>
      <c r="D71" s="37">
        <f>+D12</f>
        <v>7644</v>
      </c>
      <c r="E71" s="47">
        <f t="shared" ref="E71:E76" si="9">+D71/$D$76</f>
        <v>0.37783599426622511</v>
      </c>
      <c r="F71" s="37">
        <f>+F12</f>
        <v>7283.4300000000012</v>
      </c>
      <c r="G71" s="47">
        <f t="shared" ref="G71:G76" si="10">+F71/$F$76</f>
        <v>0.37119771596667528</v>
      </c>
      <c r="I71" s="47">
        <f t="shared" si="3"/>
        <v>0.14492759592664428</v>
      </c>
      <c r="J71" s="47">
        <f t="shared" si="4"/>
        <v>4.9505521437015032E-2</v>
      </c>
    </row>
    <row r="72" spans="1:10" x14ac:dyDescent="0.2">
      <c r="A72" s="33" t="s">
        <v>131</v>
      </c>
      <c r="B72" s="37">
        <f>+B13+B14</f>
        <v>1016</v>
      </c>
      <c r="C72" s="47">
        <f t="shared" si="8"/>
        <v>4.6852663131196681E-2</v>
      </c>
      <c r="D72" s="37">
        <f>+D13+D14</f>
        <v>919</v>
      </c>
      <c r="E72" s="47">
        <f t="shared" si="9"/>
        <v>4.5425337353566311E-2</v>
      </c>
      <c r="F72" s="37">
        <f>+F13+F14</f>
        <v>911.25</v>
      </c>
      <c r="G72" s="47">
        <f t="shared" si="10"/>
        <v>4.6441569243424151E-2</v>
      </c>
      <c r="I72" s="47">
        <f t="shared" si="3"/>
        <v>0.11495198902606307</v>
      </c>
      <c r="J72" s="47">
        <f t="shared" si="4"/>
        <v>8.5048010973935995E-3</v>
      </c>
    </row>
    <row r="73" spans="1:10" x14ac:dyDescent="0.2">
      <c r="A73" s="33" t="s">
        <v>21</v>
      </c>
      <c r="B73" s="37">
        <f>+B15</f>
        <v>287</v>
      </c>
      <c r="C73" s="47">
        <f t="shared" si="8"/>
        <v>1.3234955038044732E-2</v>
      </c>
      <c r="D73" s="37">
        <f>+D15</f>
        <v>237</v>
      </c>
      <c r="E73" s="47">
        <f t="shared" si="9"/>
        <v>1.1714695269635707E-2</v>
      </c>
      <c r="F73" s="37">
        <f>+F15</f>
        <v>221.85</v>
      </c>
      <c r="G73" s="47">
        <f t="shared" si="10"/>
        <v>1.13065153763003E-2</v>
      </c>
      <c r="I73" s="47">
        <f t="shared" si="3"/>
        <v>0.29366689204417407</v>
      </c>
      <c r="J73" s="47">
        <f t="shared" si="4"/>
        <v>6.8289384719405044E-2</v>
      </c>
    </row>
    <row r="74" spans="1:10" x14ac:dyDescent="0.2">
      <c r="A74" s="33" t="s">
        <v>22</v>
      </c>
      <c r="B74" s="41">
        <f>+B16+B17</f>
        <v>1422</v>
      </c>
      <c r="C74" s="47">
        <f t="shared" si="8"/>
        <v>6.5575282453308736E-2</v>
      </c>
      <c r="D74" s="41">
        <f>+D16+D17</f>
        <v>1284</v>
      </c>
      <c r="E74" s="47">
        <f t="shared" si="9"/>
        <v>6.3466956650684594E-2</v>
      </c>
      <c r="F74" s="41">
        <f>+F16+F17</f>
        <v>1306.55</v>
      </c>
      <c r="G74" s="47">
        <f t="shared" si="10"/>
        <v>6.6587909240050286E-2</v>
      </c>
      <c r="I74" s="47">
        <f t="shared" si="3"/>
        <v>8.8362481343997601E-2</v>
      </c>
      <c r="J74" s="47">
        <f t="shared" si="4"/>
        <v>-1.7259194060694205E-2</v>
      </c>
    </row>
    <row r="75" spans="1:10" s="31" customFormat="1" x14ac:dyDescent="0.2">
      <c r="A75" s="31" t="s">
        <v>23</v>
      </c>
      <c r="B75" s="42">
        <f>SUM(B71:B74)</f>
        <v>11064</v>
      </c>
      <c r="C75" s="47">
        <f t="shared" si="8"/>
        <v>0.51021443394051191</v>
      </c>
      <c r="D75" s="42">
        <f t="shared" ref="D75:F75" si="11">SUM(D71:D74)</f>
        <v>10084</v>
      </c>
      <c r="E75" s="47">
        <f t="shared" si="9"/>
        <v>0.49844298354011168</v>
      </c>
      <c r="F75" s="42">
        <f t="shared" si="11"/>
        <v>9723.08</v>
      </c>
      <c r="G75" s="47">
        <f t="shared" si="10"/>
        <v>0.49553370982644995</v>
      </c>
      <c r="I75" s="47">
        <f t="shared" si="3"/>
        <v>0.13791103230663526</v>
      </c>
      <c r="J75" s="47">
        <f t="shared" si="4"/>
        <v>3.7119924962049078E-2</v>
      </c>
    </row>
    <row r="76" spans="1:10" s="31" customFormat="1" x14ac:dyDescent="0.2">
      <c r="A76" s="31" t="s">
        <v>24</v>
      </c>
      <c r="B76" s="44">
        <f>SUM(B69,B75)</f>
        <v>21685</v>
      </c>
      <c r="C76" s="47">
        <f t="shared" si="8"/>
        <v>1</v>
      </c>
      <c r="D76" s="44">
        <f>SUM(D69,D75)</f>
        <v>20231</v>
      </c>
      <c r="E76" s="47">
        <f t="shared" si="9"/>
        <v>1</v>
      </c>
      <c r="F76" s="44">
        <f>SUM(F69,F75)</f>
        <v>19621.43</v>
      </c>
      <c r="G76" s="47">
        <f t="shared" si="10"/>
        <v>1</v>
      </c>
      <c r="I76" s="47">
        <f t="shared" si="3"/>
        <v>0.10516919510963274</v>
      </c>
      <c r="J76" s="47">
        <f t="shared" si="4"/>
        <v>3.1066543060317198E-2</v>
      </c>
    </row>
    <row r="77" spans="1:10" x14ac:dyDescent="0.2">
      <c r="C77" s="47"/>
      <c r="E77" s="47"/>
      <c r="G77" s="47"/>
      <c r="I77" s="47"/>
      <c r="J77" s="47"/>
    </row>
    <row r="78" spans="1:10" x14ac:dyDescent="0.2">
      <c r="A78" s="40" t="s">
        <v>132</v>
      </c>
      <c r="C78" s="47"/>
      <c r="E78" s="47"/>
      <c r="G78" s="47"/>
      <c r="I78" s="47"/>
      <c r="J78" s="47"/>
    </row>
    <row r="79" spans="1:10" x14ac:dyDescent="0.2">
      <c r="A79" s="40" t="s">
        <v>25</v>
      </c>
      <c r="C79" s="47"/>
      <c r="E79" s="47"/>
      <c r="G79" s="47"/>
      <c r="I79" s="47"/>
      <c r="J79" s="47"/>
    </row>
    <row r="80" spans="1:10" x14ac:dyDescent="0.2">
      <c r="A80" s="40" t="s">
        <v>26</v>
      </c>
      <c r="C80" s="47"/>
      <c r="E80" s="47"/>
      <c r="G80" s="47"/>
      <c r="I80" s="47"/>
      <c r="J80" s="47"/>
    </row>
    <row r="81" spans="1:10" x14ac:dyDescent="0.2">
      <c r="A81" s="33" t="s">
        <v>27</v>
      </c>
      <c r="B81" s="37">
        <f>+B25</f>
        <v>131</v>
      </c>
      <c r="C81" s="47">
        <f>+B81/$B$76</f>
        <v>6.0410421950657135E-3</v>
      </c>
      <c r="D81" s="37">
        <f>+D25</f>
        <v>12</v>
      </c>
      <c r="E81" s="47">
        <f>+D81/$D$76</f>
        <v>5.9314912757649154E-4</v>
      </c>
      <c r="F81" s="37">
        <f>+F25</f>
        <v>125.38</v>
      </c>
      <c r="G81" s="47">
        <f>+F81/$F$76</f>
        <v>6.3899522104148366E-3</v>
      </c>
      <c r="I81" s="47">
        <f t="shared" si="3"/>
        <v>4.4823735843037227E-2</v>
      </c>
      <c r="J81" s="47">
        <f t="shared" si="4"/>
        <v>-0.90429095549529426</v>
      </c>
    </row>
    <row r="82" spans="1:10" x14ac:dyDescent="0.2">
      <c r="A82" s="33" t="s">
        <v>28</v>
      </c>
      <c r="B82" s="37">
        <f>+B23</f>
        <v>5099</v>
      </c>
      <c r="C82" s="47">
        <f>+B82/$B$76</f>
        <v>0.23513949734839751</v>
      </c>
      <c r="D82" s="37">
        <f>+D23</f>
        <v>4807</v>
      </c>
      <c r="E82" s="47">
        <f>+D82/$D$76</f>
        <v>0.23760565468834957</v>
      </c>
      <c r="F82" s="37">
        <f>+F23</f>
        <v>4948.43</v>
      </c>
      <c r="G82" s="47">
        <f>+F82/$F$76</f>
        <v>0.25219517639641964</v>
      </c>
      <c r="I82" s="47">
        <f t="shared" si="3"/>
        <v>3.042783266611826E-2</v>
      </c>
      <c r="J82" s="47">
        <f t="shared" si="4"/>
        <v>-2.8580782187481724E-2</v>
      </c>
    </row>
    <row r="83" spans="1:10" x14ac:dyDescent="0.2">
      <c r="A83" s="33" t="s">
        <v>29</v>
      </c>
      <c r="B83" s="41">
        <f>+B24</f>
        <v>153</v>
      </c>
      <c r="C83" s="47">
        <f>+B83/$B$76</f>
        <v>7.0555683652294213E-3</v>
      </c>
      <c r="D83" s="41">
        <f>+D24</f>
        <v>354</v>
      </c>
      <c r="E83" s="47">
        <f>+D83/$D$76</f>
        <v>1.7497899263506499E-2</v>
      </c>
      <c r="F83" s="41">
        <f>+F24</f>
        <v>376.76</v>
      </c>
      <c r="G83" s="47">
        <f>+F83/$F$76</f>
        <v>1.9201454735969802E-2</v>
      </c>
      <c r="I83" s="47">
        <f t="shared" si="3"/>
        <v>-0.59390593481261278</v>
      </c>
      <c r="J83" s="47">
        <f t="shared" si="4"/>
        <v>-6.0409809958594352E-2</v>
      </c>
    </row>
    <row r="84" spans="1:10" s="31" customFormat="1" x14ac:dyDescent="0.2">
      <c r="A84" s="31" t="s">
        <v>30</v>
      </c>
      <c r="B84" s="38">
        <f>SUM(B81:B83)</f>
        <v>5383</v>
      </c>
      <c r="C84" s="47">
        <f>+B84/$B$76</f>
        <v>0.24823610790869263</v>
      </c>
      <c r="D84" s="38">
        <f t="shared" ref="D84:F84" si="12">SUM(D81:D83)</f>
        <v>5173</v>
      </c>
      <c r="E84" s="47">
        <f>+D84/$D$76</f>
        <v>0.25569670307943254</v>
      </c>
      <c r="F84" s="38">
        <f t="shared" si="12"/>
        <v>5450.5700000000006</v>
      </c>
      <c r="G84" s="47">
        <f>+F84/$F$76</f>
        <v>0.27778658334280432</v>
      </c>
      <c r="I84" s="47">
        <f t="shared" si="3"/>
        <v>-1.2396868584386711E-2</v>
      </c>
      <c r="J84" s="47">
        <f t="shared" si="4"/>
        <v>-5.0924949133760444E-2</v>
      </c>
    </row>
    <row r="85" spans="1:10" x14ac:dyDescent="0.2">
      <c r="A85" s="40" t="s">
        <v>31</v>
      </c>
      <c r="C85" s="47"/>
      <c r="E85" s="47"/>
      <c r="G85" s="47"/>
      <c r="I85" s="47"/>
      <c r="J85" s="47"/>
    </row>
    <row r="86" spans="1:10" x14ac:dyDescent="0.2">
      <c r="A86" s="33" t="s">
        <v>27</v>
      </c>
      <c r="B86" s="37">
        <f>+B28+B30</f>
        <v>36</v>
      </c>
      <c r="C86" s="47">
        <f>+B86/$B$76</f>
        <v>1.6601337329951579E-3</v>
      </c>
      <c r="D86" s="37">
        <f>+D28+D30</f>
        <v>29</v>
      </c>
      <c r="E86" s="47">
        <f>+D86/$D$76</f>
        <v>1.4334437249765213E-3</v>
      </c>
      <c r="F86" s="37">
        <f>+F28+F30</f>
        <v>38.67</v>
      </c>
      <c r="G86" s="47">
        <f>+F86/$F$76</f>
        <v>1.9708043705275306E-3</v>
      </c>
      <c r="I86" s="47">
        <f t="shared" si="3"/>
        <v>-6.9045771916214194E-2</v>
      </c>
      <c r="J86" s="47">
        <f t="shared" si="4"/>
        <v>-0.25006464959917252</v>
      </c>
    </row>
    <row r="87" spans="1:10" x14ac:dyDescent="0.2">
      <c r="A87" s="33" t="s">
        <v>28</v>
      </c>
      <c r="B87" s="33">
        <v>0</v>
      </c>
      <c r="C87" s="47">
        <f>+B87/$B$76</f>
        <v>0</v>
      </c>
      <c r="D87" s="33">
        <v>0</v>
      </c>
      <c r="E87" s="47">
        <f>+D87/$D$76</f>
        <v>0</v>
      </c>
      <c r="F87" s="33">
        <v>0</v>
      </c>
      <c r="G87" s="47">
        <f>+F87/$F$76</f>
        <v>0</v>
      </c>
      <c r="I87" s="47" t="e">
        <f t="shared" si="3"/>
        <v>#DIV/0!</v>
      </c>
      <c r="J87" s="47" t="e">
        <f t="shared" si="4"/>
        <v>#DIV/0!</v>
      </c>
    </row>
    <row r="88" spans="1:10" x14ac:dyDescent="0.2">
      <c r="A88" s="33" t="s">
        <v>29</v>
      </c>
      <c r="B88" s="41">
        <f>+B29+B31</f>
        <v>1613</v>
      </c>
      <c r="C88" s="47">
        <f>+B88/$B$76</f>
        <v>7.4383214203366382E-2</v>
      </c>
      <c r="D88" s="41">
        <f>+D29+D31</f>
        <v>1532</v>
      </c>
      <c r="E88" s="47">
        <f>+D88/$D$76</f>
        <v>7.5725371953932086E-2</v>
      </c>
      <c r="F88" s="41">
        <f>+F29+F31</f>
        <v>1418.81</v>
      </c>
      <c r="G88" s="47">
        <f>+F88/$F$76</f>
        <v>7.2309204782729897E-2</v>
      </c>
      <c r="I88" s="47">
        <f t="shared" si="3"/>
        <v>0.13686822055102521</v>
      </c>
      <c r="J88" s="47">
        <f t="shared" si="4"/>
        <v>7.9778123920750454E-2</v>
      </c>
    </row>
    <row r="89" spans="1:10" s="31" customFormat="1" x14ac:dyDescent="0.2">
      <c r="A89" s="31" t="s">
        <v>30</v>
      </c>
      <c r="B89" s="42">
        <f>SUM(B86:B88)</f>
        <v>1649</v>
      </c>
      <c r="C89" s="47">
        <f>+B89/$B$76</f>
        <v>7.6043347936361541E-2</v>
      </c>
      <c r="D89" s="42">
        <f t="shared" ref="D89:F89" si="13">SUM(D86:D88)</f>
        <v>1561</v>
      </c>
      <c r="E89" s="47">
        <f>+D89/$D$76</f>
        <v>7.7158815678908602E-2</v>
      </c>
      <c r="F89" s="42">
        <f t="shared" si="13"/>
        <v>1457.48</v>
      </c>
      <c r="G89" s="47">
        <f>+F89/$F$76</f>
        <v>7.4280009153257429E-2</v>
      </c>
      <c r="I89" s="47">
        <f t="shared" si="3"/>
        <v>0.13140489063314753</v>
      </c>
      <c r="J89" s="47">
        <f t="shared" si="4"/>
        <v>7.1026703625435728E-2</v>
      </c>
    </row>
    <row r="90" spans="1:10" s="31" customFormat="1" x14ac:dyDescent="0.2">
      <c r="A90" s="31" t="s">
        <v>33</v>
      </c>
      <c r="B90" s="38">
        <f>+B84+B89</f>
        <v>7032</v>
      </c>
      <c r="C90" s="47">
        <f>+B90/$B$76</f>
        <v>0.32427945584505419</v>
      </c>
      <c r="D90" s="38">
        <f>+D84+D89</f>
        <v>6734</v>
      </c>
      <c r="E90" s="47">
        <f>+D90/$D$76</f>
        <v>0.33285551875834118</v>
      </c>
      <c r="F90" s="38">
        <f>+F84+F89</f>
        <v>6908.0500000000011</v>
      </c>
      <c r="G90" s="47">
        <f>+F90/$F$76</f>
        <v>0.35206659249606176</v>
      </c>
      <c r="I90" s="47">
        <f t="shared" si="3"/>
        <v>1.7942834808664987E-2</v>
      </c>
      <c r="J90" s="47">
        <f t="shared" si="4"/>
        <v>-2.5195243230723752E-2</v>
      </c>
    </row>
    <row r="91" spans="1:10" x14ac:dyDescent="0.2">
      <c r="C91" s="47"/>
      <c r="E91" s="47"/>
      <c r="G91" s="47"/>
      <c r="I91" s="47"/>
      <c r="J91" s="47"/>
    </row>
    <row r="92" spans="1:10" x14ac:dyDescent="0.2">
      <c r="A92" s="40" t="s">
        <v>34</v>
      </c>
      <c r="C92" s="48"/>
      <c r="E92" s="47"/>
      <c r="G92" s="47"/>
      <c r="I92" s="47"/>
      <c r="J92" s="47"/>
    </row>
    <row r="93" spans="1:10" x14ac:dyDescent="0.2">
      <c r="A93" s="33" t="s">
        <v>133</v>
      </c>
      <c r="B93" s="37">
        <f>+B36+B37+B39</f>
        <v>37</v>
      </c>
      <c r="C93" s="47">
        <f>+B93/$B$76</f>
        <v>1.7062485589116902E-3</v>
      </c>
      <c r="D93" s="37">
        <f>+D36+D37+D39</f>
        <v>37</v>
      </c>
      <c r="E93" s="47">
        <f>+D93/$D$76</f>
        <v>1.8288764766941823E-3</v>
      </c>
      <c r="F93" s="37">
        <f>+F36+F37+F39</f>
        <v>26.769999999999996</v>
      </c>
      <c r="G93" s="47">
        <f>+F93/$F$76</f>
        <v>1.3643246185420733E-3</v>
      </c>
      <c r="I93" s="47">
        <f t="shared" si="3"/>
        <v>0.38214419125887211</v>
      </c>
      <c r="J93" s="47">
        <f t="shared" si="4"/>
        <v>0.38214419125887211</v>
      </c>
    </row>
    <row r="94" spans="1:10" x14ac:dyDescent="0.2">
      <c r="A94" s="33" t="s">
        <v>36</v>
      </c>
      <c r="B94" s="37">
        <f>+B40</f>
        <v>-420</v>
      </c>
      <c r="C94" s="47">
        <f>+B94/$B$76</f>
        <v>-1.936822688494351E-2</v>
      </c>
      <c r="D94" s="37">
        <f>+D40</f>
        <v>-377</v>
      </c>
      <c r="E94" s="47">
        <f>+D94/$D$76</f>
        <v>-1.8634768424694775E-2</v>
      </c>
      <c r="F94" s="37">
        <f>+F40</f>
        <v>-64.400000000000006</v>
      </c>
      <c r="G94" s="47">
        <f>+F94/$F$76</f>
        <v>-3.2821257166271776E-3</v>
      </c>
      <c r="I94" s="47">
        <f t="shared" si="3"/>
        <v>5.5217391304347823</v>
      </c>
      <c r="J94" s="47">
        <f t="shared" si="4"/>
        <v>4.854037267080745</v>
      </c>
    </row>
    <row r="95" spans="1:10" x14ac:dyDescent="0.2">
      <c r="A95" s="33" t="s">
        <v>135</v>
      </c>
      <c r="B95" s="37">
        <f>+B38-B96</f>
        <v>11592</v>
      </c>
      <c r="C95" s="47">
        <f>+B95/$B$76</f>
        <v>0.53456306202444082</v>
      </c>
      <c r="D95" s="37">
        <f>+D38-D96</f>
        <v>10469</v>
      </c>
      <c r="E95" s="47">
        <f>+D95/$D$76</f>
        <v>0.51747318471652415</v>
      </c>
      <c r="F95" s="37">
        <f>+F38-F96</f>
        <v>9594.0600000000013</v>
      </c>
      <c r="G95" s="47">
        <f>+F95/$F$76</f>
        <v>0.48895824616248668</v>
      </c>
      <c r="I95" s="47">
        <f t="shared" si="3"/>
        <v>0.20824760320448266</v>
      </c>
      <c r="J95" s="47">
        <f t="shared" si="4"/>
        <v>9.1196010865056021E-2</v>
      </c>
    </row>
    <row r="96" spans="1:10" x14ac:dyDescent="0.2">
      <c r="A96" s="33" t="s">
        <v>134</v>
      </c>
      <c r="B96" s="37">
        <f t="shared" ref="B96:F96" si="14">B113</f>
        <v>3444</v>
      </c>
      <c r="C96" s="47">
        <f>+B96/$B$76</f>
        <v>0.15881946045653678</v>
      </c>
      <c r="D96" s="37">
        <f t="shared" si="14"/>
        <v>3368</v>
      </c>
      <c r="E96" s="47">
        <f>+D96/$D$76</f>
        <v>0.16647718847313528</v>
      </c>
      <c r="F96" s="37">
        <f t="shared" si="14"/>
        <v>3156.9499999999994</v>
      </c>
      <c r="G96" s="47">
        <f>+F96/$F$76</f>
        <v>0.16089296243953674</v>
      </c>
      <c r="I96" s="47">
        <f t="shared" si="3"/>
        <v>9.0926368805334556E-2</v>
      </c>
      <c r="J96" s="47">
        <f t="shared" si="4"/>
        <v>6.6852500039595419E-2</v>
      </c>
    </row>
    <row r="97" spans="1:10" s="31" customFormat="1" x14ac:dyDescent="0.2">
      <c r="A97" s="31" t="s">
        <v>39</v>
      </c>
      <c r="B97" s="42">
        <f>SUM(B93:B96)</f>
        <v>14653</v>
      </c>
      <c r="C97" s="47">
        <f>+B97/$B$76</f>
        <v>0.67572054415494587</v>
      </c>
      <c r="D97" s="42">
        <f t="shared" ref="D97:F97" si="15">SUM(D93:D96)</f>
        <v>13497</v>
      </c>
      <c r="E97" s="47">
        <f>+D97/$D$76</f>
        <v>0.66714448124165882</v>
      </c>
      <c r="F97" s="42">
        <f t="shared" si="15"/>
        <v>12713.380000000001</v>
      </c>
      <c r="G97" s="47">
        <f>+F97/$F$76</f>
        <v>0.64793340750393835</v>
      </c>
      <c r="I97" s="47">
        <f t="shared" si="3"/>
        <v>0.15256525015377487</v>
      </c>
      <c r="J97" s="47">
        <f t="shared" si="4"/>
        <v>6.1637424508667271E-2</v>
      </c>
    </row>
    <row r="98" spans="1:10" x14ac:dyDescent="0.2">
      <c r="C98" s="47"/>
      <c r="E98" s="47"/>
      <c r="G98" s="47"/>
      <c r="I98" s="47"/>
      <c r="J98" s="47"/>
    </row>
    <row r="99" spans="1:10" s="31" customFormat="1" ht="16" thickBot="1" x14ac:dyDescent="0.25">
      <c r="A99" s="31" t="s">
        <v>40</v>
      </c>
      <c r="B99" s="43">
        <f>+B90+B97</f>
        <v>21685</v>
      </c>
      <c r="C99" s="47">
        <f>+B99/$B$76</f>
        <v>1</v>
      </c>
      <c r="D99" s="43">
        <f t="shared" ref="D99:F99" si="16">+D90+D97</f>
        <v>20231</v>
      </c>
      <c r="E99" s="47">
        <f>+D99/$D$76</f>
        <v>1</v>
      </c>
      <c r="F99" s="43">
        <f t="shared" si="16"/>
        <v>19621.43</v>
      </c>
      <c r="G99" s="47">
        <f>+F99/$F$76</f>
        <v>1</v>
      </c>
      <c r="I99" s="47">
        <f t="shared" si="3"/>
        <v>0.10516919510963274</v>
      </c>
      <c r="J99" s="47">
        <f t="shared" si="4"/>
        <v>3.1066543060317198E-2</v>
      </c>
    </row>
    <row r="100" spans="1:10" s="45" customFormat="1" ht="16" thickTop="1" x14ac:dyDescent="0.2">
      <c r="A100" s="45" t="s">
        <v>136</v>
      </c>
      <c r="B100" s="46">
        <f>+B99-B76</f>
        <v>0</v>
      </c>
      <c r="C100" s="46"/>
      <c r="D100" s="46">
        <f>+D99-D76</f>
        <v>0</v>
      </c>
      <c r="E100" s="46"/>
      <c r="F100" s="46">
        <f>+F99-F76</f>
        <v>0</v>
      </c>
      <c r="I100" s="47"/>
      <c r="J100" s="47"/>
    </row>
    <row r="101" spans="1:10" x14ac:dyDescent="0.2">
      <c r="I101" s="47"/>
      <c r="J101" s="47"/>
    </row>
    <row r="102" spans="1:10" x14ac:dyDescent="0.2">
      <c r="A102" s="40" t="s">
        <v>137</v>
      </c>
      <c r="I102" s="47"/>
      <c r="J102" s="47"/>
    </row>
    <row r="103" spans="1:10" x14ac:dyDescent="0.2">
      <c r="A103" s="33" t="s">
        <v>1</v>
      </c>
      <c r="B103" s="37">
        <f>SUM(B45)</f>
        <v>26145</v>
      </c>
      <c r="C103" s="47">
        <f>+B103/$B$103</f>
        <v>1</v>
      </c>
      <c r="D103" s="37">
        <f>SUM(D45)</f>
        <v>25336</v>
      </c>
      <c r="E103" s="47">
        <f>+D103/$D$103</f>
        <v>1</v>
      </c>
      <c r="F103" s="37">
        <f>SUM(F45)</f>
        <v>23310.53</v>
      </c>
      <c r="G103" s="47">
        <f>+F103/$F$103</f>
        <v>1</v>
      </c>
      <c r="I103" s="47">
        <f t="shared" si="3"/>
        <v>0.12159611986514252</v>
      </c>
      <c r="J103" s="47">
        <f t="shared" si="4"/>
        <v>8.6890774255240055E-2</v>
      </c>
    </row>
    <row r="104" spans="1:10" x14ac:dyDescent="0.2">
      <c r="A104" s="33" t="s">
        <v>2</v>
      </c>
      <c r="B104" s="41">
        <f>SUM(B46)</f>
        <v>-11329</v>
      </c>
      <c r="C104" s="47">
        <f t="shared" ref="C104:C113" si="17">+B104/$B$103</f>
        <v>-0.43331420921782365</v>
      </c>
      <c r="D104" s="41">
        <f>SUM(D46)</f>
        <v>-11076</v>
      </c>
      <c r="E104" s="47">
        <f t="shared" ref="E104:E113" si="18">+D104/$D$103</f>
        <v>-0.43716450899905274</v>
      </c>
      <c r="F104" s="41">
        <f>SUM(F46)</f>
        <v>-10031.98</v>
      </c>
      <c r="G104" s="47">
        <f t="shared" ref="G104:G113" si="19">+F104/$F$103</f>
        <v>-0.43036258720844184</v>
      </c>
      <c r="I104" s="47">
        <f t="shared" si="3"/>
        <v>0.12928853526422501</v>
      </c>
      <c r="J104" s="47">
        <f t="shared" si="4"/>
        <v>0.10406918674080301</v>
      </c>
    </row>
    <row r="105" spans="1:10" s="31" customFormat="1" x14ac:dyDescent="0.2">
      <c r="A105" s="31" t="s">
        <v>3</v>
      </c>
      <c r="B105" s="38">
        <f>SUM(B103:B104)</f>
        <v>14816</v>
      </c>
      <c r="C105" s="47">
        <f t="shared" si="17"/>
        <v>0.56668579078217629</v>
      </c>
      <c r="D105" s="38">
        <f t="shared" ref="D105:F105" si="20">SUM(D103:D104)</f>
        <v>14260</v>
      </c>
      <c r="E105" s="47">
        <f t="shared" si="18"/>
        <v>0.56283549100094732</v>
      </c>
      <c r="F105" s="38">
        <f t="shared" si="20"/>
        <v>13278.55</v>
      </c>
      <c r="G105" s="47">
        <f t="shared" si="19"/>
        <v>0.56963741279155811</v>
      </c>
      <c r="I105" s="47">
        <f t="shared" si="3"/>
        <v>0.11578447948006376</v>
      </c>
      <c r="J105" s="47">
        <f t="shared" si="4"/>
        <v>7.3912437728517189E-2</v>
      </c>
    </row>
    <row r="106" spans="1:10" x14ac:dyDescent="0.2">
      <c r="A106" s="33" t="s">
        <v>139</v>
      </c>
      <c r="B106" s="41">
        <f>SUM(B48,B50:B51)</f>
        <v>-9359</v>
      </c>
      <c r="C106" s="47">
        <f t="shared" si="17"/>
        <v>-0.3579651941097724</v>
      </c>
      <c r="D106" s="41">
        <f>SUM(D48,D50:D51)</f>
        <v>-8836</v>
      </c>
      <c r="E106" s="47">
        <f t="shared" si="18"/>
        <v>-0.34875276286706663</v>
      </c>
      <c r="F106" s="41">
        <f>SUM(F48,F50:F51)</f>
        <v>-8289.84</v>
      </c>
      <c r="G106" s="47">
        <f t="shared" si="19"/>
        <v>-0.35562640574881826</v>
      </c>
      <c r="I106" s="47">
        <f t="shared" si="3"/>
        <v>0.12897233239724759</v>
      </c>
      <c r="J106" s="47">
        <f t="shared" si="4"/>
        <v>6.5883056850313038E-2</v>
      </c>
    </row>
    <row r="107" spans="1:10" s="31" customFormat="1" x14ac:dyDescent="0.2">
      <c r="A107" s="31" t="s">
        <v>140</v>
      </c>
      <c r="B107" s="38">
        <f>SUM(B105:B106)</f>
        <v>5457</v>
      </c>
      <c r="C107" s="47">
        <f t="shared" si="17"/>
        <v>0.20872059667240389</v>
      </c>
      <c r="D107" s="38">
        <f t="shared" ref="D107:F107" si="21">SUM(D105:D106)</f>
        <v>5424</v>
      </c>
      <c r="E107" s="47">
        <f t="shared" si="18"/>
        <v>0.21408272813388066</v>
      </c>
      <c r="F107" s="38">
        <f t="shared" si="21"/>
        <v>4988.7099999999991</v>
      </c>
      <c r="G107" s="47">
        <f t="shared" si="19"/>
        <v>0.2140110070427399</v>
      </c>
      <c r="I107" s="47">
        <f t="shared" si="3"/>
        <v>9.3869958365990547E-2</v>
      </c>
      <c r="J107" s="47">
        <f t="shared" si="4"/>
        <v>8.7255021839313329E-2</v>
      </c>
    </row>
    <row r="108" spans="1:10" x14ac:dyDescent="0.2">
      <c r="A108" s="33" t="s">
        <v>138</v>
      </c>
      <c r="B108" s="41">
        <f>SUM(B49)</f>
        <v>-1100</v>
      </c>
      <c r="C108" s="47">
        <f t="shared" si="17"/>
        <v>-4.2073054121246893E-2</v>
      </c>
      <c r="D108" s="41">
        <f>SUM(D49)</f>
        <v>-1108</v>
      </c>
      <c r="E108" s="47">
        <f t="shared" si="18"/>
        <v>-4.3732238711714555E-2</v>
      </c>
      <c r="F108" s="41">
        <f>SUM(F49)</f>
        <v>-967.74</v>
      </c>
      <c r="G108" s="47">
        <f t="shared" si="19"/>
        <v>-4.1515143585323891E-2</v>
      </c>
      <c r="I108" s="47">
        <f t="shared" si="3"/>
        <v>0.13666894000454666</v>
      </c>
      <c r="J108" s="47">
        <f t="shared" si="4"/>
        <v>0.14493562320457976</v>
      </c>
    </row>
    <row r="109" spans="1:10" s="31" customFormat="1" x14ac:dyDescent="0.2">
      <c r="A109" s="31" t="s">
        <v>141</v>
      </c>
      <c r="B109" s="38">
        <f>SUM(B107:B108)</f>
        <v>4357</v>
      </c>
      <c r="C109" s="47">
        <f t="shared" si="17"/>
        <v>0.16664754255115702</v>
      </c>
      <c r="D109" s="38">
        <f t="shared" ref="D109:F109" si="22">SUM(D107:D108)</f>
        <v>4316</v>
      </c>
      <c r="E109" s="47">
        <f t="shared" si="18"/>
        <v>0.1703504894221661</v>
      </c>
      <c r="F109" s="38">
        <f t="shared" si="22"/>
        <v>4020.9699999999993</v>
      </c>
      <c r="G109" s="47">
        <f t="shared" si="19"/>
        <v>0.17249586345741599</v>
      </c>
      <c r="I109" s="47">
        <f t="shared" si="3"/>
        <v>8.3569387486104318E-2</v>
      </c>
      <c r="J109" s="47">
        <f t="shared" si="4"/>
        <v>7.3372842871247679E-2</v>
      </c>
    </row>
    <row r="110" spans="1:10" x14ac:dyDescent="0.2">
      <c r="A110" s="33" t="s">
        <v>7</v>
      </c>
      <c r="B110" s="41">
        <f>SUM(B53,B54,B58)</f>
        <v>67</v>
      </c>
      <c r="C110" s="47">
        <f t="shared" si="17"/>
        <v>2.5626314782941288E-3</v>
      </c>
      <c r="D110" s="41">
        <f>SUM(D53,D54,D58)</f>
        <v>31</v>
      </c>
      <c r="E110" s="47">
        <f t="shared" si="18"/>
        <v>1.2235554152194505E-3</v>
      </c>
      <c r="F110" s="41">
        <f>SUM(F53,F54,F58)</f>
        <v>53.190000000000005</v>
      </c>
      <c r="G110" s="47">
        <f t="shared" si="19"/>
        <v>2.281801400482958E-3</v>
      </c>
      <c r="I110" s="47">
        <f t="shared" si="3"/>
        <v>0.25963526978755391</v>
      </c>
      <c r="J110" s="47">
        <f t="shared" si="4"/>
        <v>-0.41718368114307203</v>
      </c>
    </row>
    <row r="111" spans="1:10" s="31" customFormat="1" x14ac:dyDescent="0.2">
      <c r="A111" s="31" t="s">
        <v>142</v>
      </c>
      <c r="B111" s="38">
        <f>SUM(B109:B110)</f>
        <v>4424</v>
      </c>
      <c r="C111" s="47">
        <f t="shared" si="17"/>
        <v>0.16921017402945113</v>
      </c>
      <c r="D111" s="38">
        <f t="shared" ref="D111:F111" si="23">SUM(D109:D110)</f>
        <v>4347</v>
      </c>
      <c r="E111" s="47">
        <f t="shared" si="18"/>
        <v>0.17157404483738553</v>
      </c>
      <c r="F111" s="38">
        <f t="shared" si="23"/>
        <v>4074.1599999999994</v>
      </c>
      <c r="G111" s="47">
        <f t="shared" si="19"/>
        <v>0.17477766485789897</v>
      </c>
      <c r="I111" s="47">
        <f t="shared" si="3"/>
        <v>8.586800714748577E-2</v>
      </c>
      <c r="J111" s="47">
        <f t="shared" si="4"/>
        <v>6.6968405757260596E-2</v>
      </c>
    </row>
    <row r="112" spans="1:10" x14ac:dyDescent="0.2">
      <c r="A112" s="33" t="s">
        <v>143</v>
      </c>
      <c r="B112" s="41">
        <f>SUM(B56)</f>
        <v>-980</v>
      </c>
      <c r="C112" s="47">
        <f t="shared" si="17"/>
        <v>-3.7483266398929051E-2</v>
      </c>
      <c r="D112" s="41">
        <f>SUM(D56)</f>
        <v>-979</v>
      </c>
      <c r="E112" s="47">
        <f t="shared" si="18"/>
        <v>-3.8640669403220716E-2</v>
      </c>
      <c r="F112" s="41">
        <f>SUM(F56)</f>
        <v>-917.21</v>
      </c>
      <c r="G112" s="47">
        <f t="shared" si="19"/>
        <v>-3.9347453704398828E-2</v>
      </c>
      <c r="I112" s="47">
        <f t="shared" si="3"/>
        <v>6.8457605128596555E-2</v>
      </c>
      <c r="J112" s="47">
        <f t="shared" si="4"/>
        <v>6.7367342266220431E-2</v>
      </c>
    </row>
    <row r="113" spans="1:10" s="31" customFormat="1" x14ac:dyDescent="0.2">
      <c r="A113" s="31" t="s">
        <v>144</v>
      </c>
      <c r="B113" s="38">
        <f>SUM(B111:B112)</f>
        <v>3444</v>
      </c>
      <c r="C113" s="47">
        <f t="shared" si="17"/>
        <v>0.13172690763052208</v>
      </c>
      <c r="D113" s="38">
        <f t="shared" ref="D113:F113" si="24">SUM(D111:D112)</f>
        <v>3368</v>
      </c>
      <c r="E113" s="47">
        <f t="shared" si="18"/>
        <v>0.13293337543416484</v>
      </c>
      <c r="F113" s="38">
        <f t="shared" si="24"/>
        <v>3156.9499999999994</v>
      </c>
      <c r="G113" s="47">
        <f t="shared" si="19"/>
        <v>0.13543021115350012</v>
      </c>
      <c r="I113" s="47">
        <f t="shared" si="3"/>
        <v>9.0926368805334556E-2</v>
      </c>
      <c r="J113" s="47">
        <f t="shared" si="4"/>
        <v>6.6852500039595419E-2</v>
      </c>
    </row>
    <row r="118" spans="1:10" x14ac:dyDescent="0.2">
      <c r="A118" s="74" t="s">
        <v>187</v>
      </c>
      <c r="I118" s="125"/>
    </row>
    <row r="119" spans="1:10" x14ac:dyDescent="0.2">
      <c r="A119" s="3" t="s">
        <v>178</v>
      </c>
      <c r="B119" s="112">
        <f>+B69/B84</f>
        <v>1.9730633475757013</v>
      </c>
      <c r="D119" s="112">
        <f>+D69/D84</f>
        <v>1.9615310264836652</v>
      </c>
      <c r="F119" s="112">
        <f>+F69/F84</f>
        <v>1.8160210766947309</v>
      </c>
      <c r="I119" s="126">
        <v>1.7</v>
      </c>
      <c r="J119" s="33" t="s">
        <v>214</v>
      </c>
    </row>
    <row r="120" spans="1:10" x14ac:dyDescent="0.2">
      <c r="A120" s="3" t="s">
        <v>179</v>
      </c>
      <c r="B120" s="112">
        <f>+(B65+B66)/B84</f>
        <v>1.4183540776518671</v>
      </c>
      <c r="D120" s="112">
        <f>+(D65+D66)/D84</f>
        <v>1.4117533346220761</v>
      </c>
      <c r="F120" s="112">
        <f>+(F65+F66)/F84</f>
        <v>1.3224231594126852</v>
      </c>
      <c r="I120" s="126">
        <v>1.3</v>
      </c>
      <c r="J120" s="33" t="s">
        <v>215</v>
      </c>
    </row>
    <row r="121" spans="1:10" x14ac:dyDescent="0.2">
      <c r="A121" s="3" t="s">
        <v>180</v>
      </c>
      <c r="B121" s="112">
        <f>+B65/B84</f>
        <v>1.2660226639420398</v>
      </c>
      <c r="D121" s="112">
        <f>+D65/D84</f>
        <v>1.2400927894838585</v>
      </c>
      <c r="F121" s="112">
        <f>+F65/F84</f>
        <v>1.1447353212599782</v>
      </c>
      <c r="I121" s="126"/>
    </row>
    <row r="122" spans="1:10" x14ac:dyDescent="0.2">
      <c r="A122" s="3"/>
      <c r="B122" s="112"/>
      <c r="D122" s="112"/>
      <c r="F122" s="112"/>
      <c r="I122" s="126"/>
    </row>
    <row r="123" spans="1:10" x14ac:dyDescent="0.2">
      <c r="A123" s="3" t="s">
        <v>181</v>
      </c>
      <c r="B123" s="112">
        <f>+(B66/B103)*360</f>
        <v>11.290877796901894</v>
      </c>
      <c r="D123" s="112">
        <f>+(D66/D103)*360</f>
        <v>12.61761919797916</v>
      </c>
      <c r="F123" s="112">
        <f>+(F66/F103)*360</f>
        <v>14.957188875585411</v>
      </c>
      <c r="I123" s="126">
        <v>11.5</v>
      </c>
    </row>
    <row r="124" spans="1:10" x14ac:dyDescent="0.2">
      <c r="A124" s="3" t="s">
        <v>182</v>
      </c>
      <c r="B124" s="112">
        <f>-(B67/B104)*360</f>
        <v>86.305940506664314</v>
      </c>
      <c r="D124" s="112">
        <f>-(D67/D104)*360</f>
        <v>87.269772481040093</v>
      </c>
      <c r="F124" s="112">
        <f>-(F67/F104)*360</f>
        <v>91.478651273228223</v>
      </c>
      <c r="I124" s="126">
        <v>87.2</v>
      </c>
    </row>
    <row r="125" spans="1:10" x14ac:dyDescent="0.2">
      <c r="A125" s="7" t="s">
        <v>183</v>
      </c>
      <c r="B125" s="112">
        <f>+B123+B124</f>
        <v>97.596818303566209</v>
      </c>
      <c r="D125" s="112">
        <f>+D123+D124</f>
        <v>99.88739167901926</v>
      </c>
      <c r="F125" s="112">
        <f>+F123+F124</f>
        <v>106.43584014881364</v>
      </c>
      <c r="I125" s="126">
        <v>98.7</v>
      </c>
      <c r="J125" s="33" t="s">
        <v>218</v>
      </c>
    </row>
    <row r="126" spans="1:10" x14ac:dyDescent="0.2">
      <c r="A126" s="3" t="s">
        <v>184</v>
      </c>
      <c r="B126" s="112">
        <f>-(B82/(B104+B106))*360</f>
        <v>88.729698375870072</v>
      </c>
      <c r="D126" s="112">
        <f>-(D82/(D104+D106))*360</f>
        <v>86.908396946564892</v>
      </c>
      <c r="F126" s="112">
        <f>-(F82/(F104+F106))*360</f>
        <v>97.230231494469436</v>
      </c>
      <c r="I126" s="126"/>
    </row>
    <row r="127" spans="1:10" x14ac:dyDescent="0.2">
      <c r="A127" s="7" t="s">
        <v>185</v>
      </c>
      <c r="B127" s="117">
        <f>+B126-B125</f>
        <v>-8.8671199276961374</v>
      </c>
      <c r="D127" s="117">
        <f>+D126-D125</f>
        <v>-12.978994732454368</v>
      </c>
      <c r="F127" s="117">
        <f>+F126-F125</f>
        <v>-9.2056086543442035</v>
      </c>
      <c r="I127" s="126"/>
    </row>
    <row r="128" spans="1:10" x14ac:dyDescent="0.2">
      <c r="A128" s="7"/>
      <c r="B128" s="112"/>
      <c r="D128" s="112"/>
      <c r="F128" s="112"/>
      <c r="I128" s="126"/>
    </row>
    <row r="129" spans="1:10" x14ac:dyDescent="0.2">
      <c r="A129" s="7" t="s">
        <v>186</v>
      </c>
      <c r="B129" s="112">
        <f>+B103/B76</f>
        <v>1.2056721235877335</v>
      </c>
      <c r="D129" s="112">
        <f>+D103/D76</f>
        <v>1.2523355246898324</v>
      </c>
      <c r="F129" s="112">
        <f>+F103/F76</f>
        <v>1.1880138195839955</v>
      </c>
      <c r="I129" s="126">
        <v>1.7</v>
      </c>
    </row>
    <row r="130" spans="1:10" x14ac:dyDescent="0.2">
      <c r="A130" s="7"/>
      <c r="B130" s="112"/>
      <c r="I130" s="126"/>
    </row>
    <row r="131" spans="1:10" x14ac:dyDescent="0.2">
      <c r="A131" s="74" t="s">
        <v>188</v>
      </c>
      <c r="I131" s="126"/>
    </row>
    <row r="132" spans="1:10" x14ac:dyDescent="0.2">
      <c r="A132" s="76" t="s">
        <v>189</v>
      </c>
      <c r="B132" s="112">
        <f>+B90/B97</f>
        <v>0.47990172660888553</v>
      </c>
      <c r="D132" s="112">
        <f>+D90/D97</f>
        <v>0.49892568718974589</v>
      </c>
      <c r="F132" s="112">
        <f>+F90/F97</f>
        <v>0.54336848265370818</v>
      </c>
      <c r="I132" s="126">
        <v>0</v>
      </c>
      <c r="J132" s="33" t="s">
        <v>216</v>
      </c>
    </row>
    <row r="133" spans="1:10" x14ac:dyDescent="0.2">
      <c r="A133" s="76" t="s">
        <v>190</v>
      </c>
      <c r="B133" s="112">
        <f>+B90/B76</f>
        <v>0.32427945584505419</v>
      </c>
      <c r="D133" s="112">
        <f>+D90/D76</f>
        <v>0.33285551875834118</v>
      </c>
      <c r="F133" s="112">
        <f>+F90/F76</f>
        <v>0.35206659249606176</v>
      </c>
      <c r="I133" s="126">
        <v>0</v>
      </c>
    </row>
    <row r="134" spans="1:10" x14ac:dyDescent="0.2">
      <c r="A134" s="76" t="s">
        <v>191</v>
      </c>
      <c r="B134" s="117">
        <f>-(B113-B110)/B110</f>
        <v>-50.402985074626862</v>
      </c>
      <c r="C134" s="112"/>
      <c r="D134" s="117">
        <f t="shared" ref="C134:F134" si="25">-(D113-D110)/D110</f>
        <v>-107.64516129032258</v>
      </c>
      <c r="E134" s="112"/>
      <c r="F134" s="117">
        <f t="shared" si="25"/>
        <v>-58.3523218650122</v>
      </c>
      <c r="I134" s="126"/>
    </row>
    <row r="135" spans="1:10" x14ac:dyDescent="0.2">
      <c r="A135" s="76"/>
      <c r="I135" s="125"/>
    </row>
    <row r="136" spans="1:10" x14ac:dyDescent="0.2">
      <c r="A136" s="74" t="s">
        <v>199</v>
      </c>
      <c r="I136" s="125"/>
    </row>
    <row r="137" spans="1:10" x14ac:dyDescent="0.2">
      <c r="A137" s="76" t="s">
        <v>192</v>
      </c>
      <c r="B137" s="47">
        <f>+B105/B103</f>
        <v>0.56668579078217629</v>
      </c>
      <c r="D137" s="47">
        <f>+D105/D103</f>
        <v>0.56283549100094732</v>
      </c>
      <c r="F137" s="47">
        <f>+F105/F103</f>
        <v>0.56963741279155811</v>
      </c>
      <c r="I137" s="127">
        <v>0.58899999999999997</v>
      </c>
    </row>
    <row r="138" spans="1:10" x14ac:dyDescent="0.2">
      <c r="A138" s="76" t="s">
        <v>193</v>
      </c>
      <c r="B138" s="47">
        <f>+B109/B103</f>
        <v>0.16664754255115702</v>
      </c>
      <c r="D138" s="47">
        <f>+D109/D103</f>
        <v>0.1703504894221661</v>
      </c>
      <c r="F138" s="47">
        <f>+F109/F103</f>
        <v>0.17249586345741599</v>
      </c>
      <c r="I138" s="127">
        <v>0.17699999999999999</v>
      </c>
    </row>
    <row r="139" spans="1:10" x14ac:dyDescent="0.2">
      <c r="A139" s="76" t="s">
        <v>194</v>
      </c>
      <c r="B139" s="47">
        <f>+B113/B103</f>
        <v>0.13172690763052208</v>
      </c>
      <c r="D139" s="47">
        <f>+D113/D103</f>
        <v>0.13293337543416484</v>
      </c>
      <c r="F139" s="47">
        <f>+F113/F103</f>
        <v>0.13543021115350012</v>
      </c>
      <c r="I139" s="127">
        <v>0.13900000000000001</v>
      </c>
    </row>
    <row r="140" spans="1:10" s="116" customFormat="1" x14ac:dyDescent="0.2">
      <c r="A140" s="81" t="s">
        <v>195</v>
      </c>
      <c r="B140" s="115">
        <f>+B113/B97</f>
        <v>0.2350371937487204</v>
      </c>
      <c r="D140" s="115">
        <f>+D113/D97</f>
        <v>0.24953693413351116</v>
      </c>
      <c r="F140" s="115">
        <f>+F113/F97</f>
        <v>0.24831712730996786</v>
      </c>
      <c r="I140" s="127">
        <v>0.26900000000000002</v>
      </c>
      <c r="J140" s="116" t="s">
        <v>217</v>
      </c>
    </row>
    <row r="141" spans="1:10" s="114" customFormat="1" x14ac:dyDescent="0.2">
      <c r="A141" s="87" t="s">
        <v>196</v>
      </c>
      <c r="B141" s="113">
        <f>+B113/B76</f>
        <v>0.15881946045653678</v>
      </c>
      <c r="D141" s="113">
        <f>+D113/D76</f>
        <v>0.16647718847313528</v>
      </c>
      <c r="F141" s="113">
        <f>+F113/F76</f>
        <v>0.16089296243953674</v>
      </c>
      <c r="I141" s="127">
        <v>0.17599999999999999</v>
      </c>
    </row>
    <row r="142" spans="1:10" x14ac:dyDescent="0.2">
      <c r="A142" s="76"/>
      <c r="B142" s="47"/>
      <c r="I142" s="127"/>
    </row>
    <row r="143" spans="1:10" x14ac:dyDescent="0.2">
      <c r="A143" s="74" t="s">
        <v>197</v>
      </c>
      <c r="B143" s="47"/>
      <c r="I143" s="127"/>
    </row>
    <row r="144" spans="1:10" x14ac:dyDescent="0.2">
      <c r="A144" s="76" t="s">
        <v>194</v>
      </c>
      <c r="B144" s="47">
        <f>+B139</f>
        <v>0.13172690763052208</v>
      </c>
      <c r="D144" s="47">
        <f>+D139</f>
        <v>0.13293337543416484</v>
      </c>
      <c r="F144" s="47">
        <f>+F139</f>
        <v>0.13543021115350012</v>
      </c>
      <c r="I144" s="127"/>
    </row>
    <row r="145" spans="1:9" x14ac:dyDescent="0.2">
      <c r="A145" s="76" t="s">
        <v>186</v>
      </c>
      <c r="B145" s="112">
        <f>+B129</f>
        <v>1.2056721235877335</v>
      </c>
      <c r="D145" s="112">
        <f>+D129</f>
        <v>1.2523355246898324</v>
      </c>
      <c r="F145" s="112">
        <f>+F129</f>
        <v>1.1880138195839955</v>
      </c>
      <c r="I145" s="127"/>
    </row>
    <row r="146" spans="1:9" s="114" customFormat="1" x14ac:dyDescent="0.2">
      <c r="A146" s="87" t="s">
        <v>196</v>
      </c>
      <c r="B146" s="113">
        <f>+B144*B145</f>
        <v>0.15881946045653678</v>
      </c>
      <c r="D146" s="113">
        <f>+D144*D145</f>
        <v>0.16647718847313531</v>
      </c>
      <c r="F146" s="113">
        <f>+F144*F145</f>
        <v>0.16089296243953671</v>
      </c>
      <c r="I146" s="127"/>
    </row>
    <row r="147" spans="1:9" x14ac:dyDescent="0.2">
      <c r="A147" s="76" t="s">
        <v>198</v>
      </c>
      <c r="B147" s="112">
        <f>+B76/B97</f>
        <v>1.4799017266088856</v>
      </c>
      <c r="D147" s="112">
        <f>+D76/D97</f>
        <v>1.4989256871897458</v>
      </c>
      <c r="F147" s="112">
        <f>+F76/F97</f>
        <v>1.543368482653708</v>
      </c>
      <c r="I147" s="127"/>
    </row>
    <row r="148" spans="1:9" s="116" customFormat="1" x14ac:dyDescent="0.2">
      <c r="A148" s="81" t="s">
        <v>195</v>
      </c>
      <c r="B148" s="115">
        <f>+B146*B147</f>
        <v>0.23503719374872042</v>
      </c>
      <c r="D148" s="115">
        <f>+D146*D147</f>
        <v>0.24953693413351116</v>
      </c>
      <c r="F148" s="115">
        <f>+F146*F147</f>
        <v>0.2483171273099678</v>
      </c>
      <c r="I148" s="127"/>
    </row>
    <row r="151" spans="1:9" x14ac:dyDescent="0.2">
      <c r="A151" s="128" t="s">
        <v>219</v>
      </c>
      <c r="B151" s="128"/>
      <c r="C151" s="128"/>
      <c r="D151" s="128"/>
    </row>
    <row r="152" spans="1:9" x14ac:dyDescent="0.2">
      <c r="A152" s="128"/>
      <c r="B152" s="128"/>
      <c r="C152" s="128"/>
      <c r="D152" s="128"/>
    </row>
    <row r="153" spans="1:9" x14ac:dyDescent="0.2">
      <c r="A153" s="128"/>
      <c r="B153" s="128"/>
      <c r="C153" s="128"/>
      <c r="D153" s="128"/>
    </row>
  </sheetData>
  <mergeCells count="1">
    <mergeCell ref="A151:D153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>
      <selection activeCell="A15" sqref="A15"/>
    </sheetView>
  </sheetViews>
  <sheetFormatPr baseColWidth="10" defaultRowHeight="15" x14ac:dyDescent="0.2"/>
  <cols>
    <col min="1" max="1" width="11.83203125" customWidth="1"/>
  </cols>
  <sheetData>
    <row r="1" spans="1:1" x14ac:dyDescent="0.2">
      <c r="A1" s="49" t="s">
        <v>124</v>
      </c>
    </row>
    <row r="2" spans="1:1" x14ac:dyDescent="0.2">
      <c r="A2" t="s">
        <v>125</v>
      </c>
    </row>
    <row r="3" spans="1:1" x14ac:dyDescent="0.2">
      <c r="A3" t="s">
        <v>126</v>
      </c>
    </row>
    <row r="4" spans="1:1" x14ac:dyDescent="0.2">
      <c r="A4" t="s">
        <v>127</v>
      </c>
    </row>
    <row r="6" spans="1:1" x14ac:dyDescent="0.2">
      <c r="A6" s="23" t="s">
        <v>145</v>
      </c>
    </row>
    <row r="7" spans="1:1" x14ac:dyDescent="0.2">
      <c r="A7" t="s">
        <v>146</v>
      </c>
    </row>
    <row r="8" spans="1:1" x14ac:dyDescent="0.2">
      <c r="A8" t="s">
        <v>147</v>
      </c>
    </row>
    <row r="10" spans="1:1" x14ac:dyDescent="0.2">
      <c r="A10" s="23" t="s">
        <v>148</v>
      </c>
    </row>
    <row r="11" spans="1:1" x14ac:dyDescent="0.2">
      <c r="A11" t="s">
        <v>149</v>
      </c>
    </row>
    <row r="12" spans="1:1" x14ac:dyDescent="0.2">
      <c r="A12" t="s">
        <v>150</v>
      </c>
    </row>
    <row r="13" spans="1:1" x14ac:dyDescent="0.2">
      <c r="A13" t="s">
        <v>151</v>
      </c>
    </row>
    <row r="15" spans="1:1" x14ac:dyDescent="0.2">
      <c r="A15" s="23" t="s">
        <v>154</v>
      </c>
    </row>
    <row r="16" spans="1:1" x14ac:dyDescent="0.2">
      <c r="A16" t="s">
        <v>155</v>
      </c>
    </row>
    <row r="17" spans="1:16" x14ac:dyDescent="0.2">
      <c r="A17" t="s">
        <v>156</v>
      </c>
    </row>
    <row r="19" spans="1:16" ht="15" customHeight="1" x14ac:dyDescent="0.2">
      <c r="A19" s="118" t="s">
        <v>157</v>
      </c>
      <c r="B19" s="118"/>
      <c r="C19" s="118"/>
      <c r="D19" s="118"/>
      <c r="E19" s="118"/>
      <c r="F19" s="118"/>
      <c r="G19" s="118"/>
      <c r="H19" s="118"/>
      <c r="I19" s="118"/>
      <c r="J19" s="39"/>
      <c r="K19" s="39"/>
      <c r="L19" s="39"/>
      <c r="M19" s="39"/>
      <c r="N19" s="39"/>
      <c r="O19" s="39"/>
      <c r="P19" s="39"/>
    </row>
    <row r="20" spans="1:16" x14ac:dyDescent="0.2">
      <c r="A20" s="118"/>
      <c r="B20" s="118"/>
      <c r="C20" s="118"/>
      <c r="D20" s="118"/>
      <c r="E20" s="118"/>
      <c r="F20" s="118"/>
      <c r="G20" s="118"/>
      <c r="H20" s="118"/>
      <c r="I20" s="118"/>
    </row>
    <row r="21" spans="1:16" x14ac:dyDescent="0.2">
      <c r="A21" s="118"/>
      <c r="B21" s="118"/>
      <c r="C21" s="118"/>
      <c r="D21" s="118"/>
      <c r="E21" s="118"/>
      <c r="F21" s="118"/>
      <c r="G21" s="118"/>
      <c r="H21" s="118"/>
      <c r="I21" s="118"/>
    </row>
    <row r="22" spans="1:16" x14ac:dyDescent="0.2">
      <c r="A22" s="50"/>
      <c r="B22" s="50"/>
      <c r="C22" s="50"/>
      <c r="D22" s="50"/>
      <c r="E22" s="50"/>
      <c r="F22" s="50"/>
      <c r="G22" s="50"/>
      <c r="H22" s="50"/>
      <c r="I22" s="50"/>
    </row>
  </sheetData>
  <mergeCells count="1">
    <mergeCell ref="A19:I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TPL</vt:lpstr>
      <vt:lpstr>BAY</vt:lpstr>
      <vt:lpstr>ITX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</dc:creator>
  <cp:lastModifiedBy>Microsoft Office User</cp:lastModifiedBy>
  <dcterms:created xsi:type="dcterms:W3CDTF">2020-02-29T15:10:51Z</dcterms:created>
  <dcterms:modified xsi:type="dcterms:W3CDTF">2020-03-18T22:03:07Z</dcterms:modified>
</cp:coreProperties>
</file>