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ogar/Desktop/"/>
    </mc:Choice>
  </mc:AlternateContent>
  <xr:revisionPtr revIDLastSave="0" documentId="8_{D6B4CE95-63BC-EE4E-9DDE-BD965196056B}" xr6:coauthVersionLast="36" xr6:coauthVersionMax="36" xr10:uidLastSave="{00000000-0000-0000-0000-000000000000}"/>
  <bookViews>
    <workbookView xWindow="0" yWindow="460" windowWidth="20640" windowHeight="11160" firstSheet="4" activeTab="4" xr2:uid="{00000000-000D-0000-FFFF-FFFF00000000}"/>
  </bookViews>
  <sheets>
    <sheet name="CASO 1" sheetId="14" r:id="rId1"/>
    <sheet name="CASO 2" sheetId="3" r:id="rId2"/>
    <sheet name="CASO 3" sheetId="4" r:id="rId3"/>
    <sheet name="CASO 3-1" sheetId="15" r:id="rId4"/>
    <sheet name="CASO 5" sheetId="13" r:id="rId5"/>
    <sheet name="CASO 4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0" i="13" l="1"/>
  <c r="D71" i="13" s="1"/>
  <c r="D66" i="13"/>
  <c r="D65" i="13"/>
  <c r="D67" i="13" s="1"/>
  <c r="D77" i="13" s="1"/>
  <c r="B56" i="13"/>
  <c r="D107" i="13"/>
  <c r="D112" i="13" s="1"/>
  <c r="D46" i="13"/>
  <c r="E101" i="13"/>
  <c r="D101" i="13"/>
  <c r="B95" i="13"/>
  <c r="E92" i="13"/>
  <c r="E93" i="13" s="1"/>
  <c r="E87" i="13"/>
  <c r="E88" i="13" s="1"/>
  <c r="B90" i="13"/>
  <c r="H65" i="13" s="1"/>
  <c r="F34" i="13"/>
  <c r="G34" i="13" s="1"/>
  <c r="H34" i="13" s="1"/>
  <c r="I34" i="13" s="1"/>
  <c r="F33" i="13"/>
  <c r="G33" i="13" s="1"/>
  <c r="H33" i="13" s="1"/>
  <c r="I33" i="13" s="1"/>
  <c r="E32" i="13"/>
  <c r="E30" i="13"/>
  <c r="F29" i="13"/>
  <c r="F59" i="13" l="1"/>
  <c r="F32" i="13"/>
  <c r="G29" i="13"/>
  <c r="E31" i="13"/>
  <c r="H69" i="13"/>
  <c r="H70" i="13" s="1"/>
  <c r="H66" i="13"/>
  <c r="E89" i="13"/>
  <c r="F87" i="13" s="1"/>
  <c r="D47" i="13"/>
  <c r="D60" i="13"/>
  <c r="E59" i="13"/>
  <c r="B55" i="13"/>
  <c r="I35" i="13"/>
  <c r="I45" i="13" s="1"/>
  <c r="G35" i="13"/>
  <c r="G45" i="13" s="1"/>
  <c r="F30" i="13"/>
  <c r="E35" i="13"/>
  <c r="E45" i="13" s="1"/>
  <c r="F35" i="13"/>
  <c r="F45" i="13" s="1"/>
  <c r="H35" i="13"/>
  <c r="H45" i="13" s="1"/>
  <c r="G30" i="13"/>
  <c r="E37" i="13"/>
  <c r="E94" i="13"/>
  <c r="F92" i="13" s="1"/>
  <c r="F88" i="13"/>
  <c r="E32" i="5"/>
  <c r="F32" i="5"/>
  <c r="G32" i="5"/>
  <c r="H32" i="5"/>
  <c r="H37" i="5" s="1"/>
  <c r="H38" i="5" s="1"/>
  <c r="D32" i="5"/>
  <c r="E37" i="5"/>
  <c r="E38" i="5" s="1"/>
  <c r="F37" i="5"/>
  <c r="F38" i="5" s="1"/>
  <c r="D37" i="5"/>
  <c r="D38" i="5" s="1"/>
  <c r="C27" i="5"/>
  <c r="C24" i="5" s="1"/>
  <c r="C19" i="5" s="1"/>
  <c r="C34" i="5" s="1"/>
  <c r="E33" i="5" l="1"/>
  <c r="D33" i="5"/>
  <c r="G33" i="5"/>
  <c r="C33" i="5"/>
  <c r="G31" i="13"/>
  <c r="F31" i="13"/>
  <c r="F36" i="13" s="1"/>
  <c r="D50" i="13"/>
  <c r="D51" i="13" s="1"/>
  <c r="D48" i="13"/>
  <c r="H72" i="13"/>
  <c r="H77" i="13" s="1"/>
  <c r="G32" i="13"/>
  <c r="G59" i="13"/>
  <c r="H29" i="13"/>
  <c r="G36" i="13"/>
  <c r="E36" i="13"/>
  <c r="E38" i="13" s="1"/>
  <c r="F89" i="13"/>
  <c r="G87" i="13" s="1"/>
  <c r="G88" i="13" s="1"/>
  <c r="F93" i="13"/>
  <c r="F94" i="13" s="1"/>
  <c r="G92" i="13"/>
  <c r="H33" i="5"/>
  <c r="F33" i="5"/>
  <c r="I33" i="5" s="1"/>
  <c r="G37" i="5"/>
  <c r="G38" i="5" s="1"/>
  <c r="C37" i="5"/>
  <c r="C38" i="5" s="1"/>
  <c r="I29" i="13" l="1"/>
  <c r="H59" i="13"/>
  <c r="H30" i="13"/>
  <c r="H32" i="13"/>
  <c r="H31" i="13"/>
  <c r="H36" i="13" s="1"/>
  <c r="E39" i="13"/>
  <c r="F37" i="13"/>
  <c r="G89" i="13"/>
  <c r="H87" i="13" s="1"/>
  <c r="G93" i="13"/>
  <c r="G94" i="13" s="1"/>
  <c r="H92" i="13" s="1"/>
  <c r="H88" i="13"/>
  <c r="I38" i="5"/>
  <c r="C41" i="5" s="1"/>
  <c r="F38" i="13" l="1"/>
  <c r="E40" i="13"/>
  <c r="E44" i="13" s="1"/>
  <c r="E47" i="13" s="1"/>
  <c r="E60" i="13"/>
  <c r="I59" i="13"/>
  <c r="J59" i="13" s="1"/>
  <c r="I30" i="13"/>
  <c r="I32" i="13"/>
  <c r="I31" i="13"/>
  <c r="I36" i="13" s="1"/>
  <c r="F39" i="13"/>
  <c r="G37" i="13"/>
  <c r="H89" i="13"/>
  <c r="I87" i="13" s="1"/>
  <c r="I88" i="13" s="1"/>
  <c r="H93" i="13"/>
  <c r="H94" i="13" s="1"/>
  <c r="I92" i="13" s="1"/>
  <c r="I93" i="13" s="1"/>
  <c r="I94" i="13" s="1"/>
  <c r="D11" i="15"/>
  <c r="C21" i="15" s="1"/>
  <c r="C26" i="15" s="1"/>
  <c r="F7" i="15"/>
  <c r="G7" i="15"/>
  <c r="H7" i="15"/>
  <c r="I7" i="15"/>
  <c r="I9" i="15" s="1"/>
  <c r="I10" i="15" s="1"/>
  <c r="E7" i="15"/>
  <c r="E9" i="15" s="1"/>
  <c r="G9" i="15"/>
  <c r="F9" i="15"/>
  <c r="H9" i="15"/>
  <c r="H8" i="15"/>
  <c r="H11" i="15" s="1"/>
  <c r="G21" i="15" s="1"/>
  <c r="G26" i="15" s="1"/>
  <c r="G27" i="15"/>
  <c r="C27" i="15"/>
  <c r="G22" i="15"/>
  <c r="C22" i="15"/>
  <c r="H21" i="4"/>
  <c r="G21" i="4"/>
  <c r="F21" i="4"/>
  <c r="E21" i="4"/>
  <c r="D21" i="4"/>
  <c r="C21" i="4"/>
  <c r="H16" i="4"/>
  <c r="G16" i="4"/>
  <c r="F16" i="4"/>
  <c r="E16" i="4"/>
  <c r="D16" i="4"/>
  <c r="C16" i="4"/>
  <c r="I16" i="4" l="1"/>
  <c r="G38" i="13"/>
  <c r="F40" i="13"/>
  <c r="F44" i="13" s="1"/>
  <c r="F47" i="13" s="1"/>
  <c r="F60" i="13"/>
  <c r="E50" i="13"/>
  <c r="E51" i="13" s="1"/>
  <c r="E48" i="13"/>
  <c r="G39" i="13"/>
  <c r="G60" i="13" s="1"/>
  <c r="G40" i="13"/>
  <c r="G44" i="13" s="1"/>
  <c r="G47" i="13" s="1"/>
  <c r="H37" i="13"/>
  <c r="I89" i="13"/>
  <c r="I37" i="13"/>
  <c r="I8" i="15"/>
  <c r="I11" i="15" s="1"/>
  <c r="H21" i="15" s="1"/>
  <c r="G8" i="15"/>
  <c r="G11" i="15" s="1"/>
  <c r="F21" i="15" s="1"/>
  <c r="E8" i="15"/>
  <c r="E11" i="15" s="1"/>
  <c r="D21" i="15" s="1"/>
  <c r="F8" i="15"/>
  <c r="F11" i="15" s="1"/>
  <c r="E21" i="15" s="1"/>
  <c r="I21" i="4"/>
  <c r="C24" i="4" s="1"/>
  <c r="D57" i="3"/>
  <c r="E56" i="3"/>
  <c r="F56" i="3"/>
  <c r="G56" i="3"/>
  <c r="H56" i="3"/>
  <c r="I56" i="3"/>
  <c r="F50" i="3"/>
  <c r="C50" i="3"/>
  <c r="D42" i="3"/>
  <c r="F40" i="3"/>
  <c r="G40" i="3"/>
  <c r="H40" i="3"/>
  <c r="I40" i="3"/>
  <c r="E40" i="3"/>
  <c r="F26" i="3"/>
  <c r="F29" i="3" s="1"/>
  <c r="F31" i="3" s="1"/>
  <c r="G26" i="3"/>
  <c r="G29" i="3" s="1"/>
  <c r="G31" i="3" s="1"/>
  <c r="H26" i="3"/>
  <c r="H29" i="3" s="1"/>
  <c r="H31" i="3" s="1"/>
  <c r="I26" i="3"/>
  <c r="I29" i="3" s="1"/>
  <c r="I31" i="3" s="1"/>
  <c r="E26" i="3"/>
  <c r="E29" i="3" s="1"/>
  <c r="E31" i="3" s="1"/>
  <c r="D46" i="3" l="1"/>
  <c r="D43" i="3"/>
  <c r="J56" i="3"/>
  <c r="E22" i="15"/>
  <c r="E26" i="15"/>
  <c r="E27" i="15" s="1"/>
  <c r="D26" i="15"/>
  <c r="D27" i="15" s="1"/>
  <c r="D22" i="15"/>
  <c r="F22" i="15"/>
  <c r="F26" i="15"/>
  <c r="F27" i="15" s="1"/>
  <c r="I38" i="13"/>
  <c r="H38" i="13"/>
  <c r="G50" i="13"/>
  <c r="G51" i="13" s="1"/>
  <c r="G48" i="13"/>
  <c r="F50" i="13"/>
  <c r="F51" i="13" s="1"/>
  <c r="F48" i="13"/>
  <c r="H39" i="13"/>
  <c r="H60" i="13" s="1"/>
  <c r="H40" i="13"/>
  <c r="H44" i="13" s="1"/>
  <c r="H47" i="13" s="1"/>
  <c r="I39" i="13"/>
  <c r="H26" i="15"/>
  <c r="H27" i="15" s="1"/>
  <c r="I27" i="15" s="1"/>
  <c r="H22" i="15"/>
  <c r="I22" i="15" s="1"/>
  <c r="C30" i="15" s="1"/>
  <c r="I32" i="3"/>
  <c r="I57" i="3" s="1"/>
  <c r="I33" i="3"/>
  <c r="I39" i="3" s="1"/>
  <c r="I42" i="3" s="1"/>
  <c r="G32" i="3"/>
  <c r="G57" i="3" s="1"/>
  <c r="G33" i="3"/>
  <c r="G39" i="3" s="1"/>
  <c r="G42" i="3" s="1"/>
  <c r="E32" i="3"/>
  <c r="H32" i="3"/>
  <c r="H57" i="3" s="1"/>
  <c r="H33" i="3"/>
  <c r="H39" i="3" s="1"/>
  <c r="H42" i="3" s="1"/>
  <c r="F32" i="3"/>
  <c r="F33" i="3" l="1"/>
  <c r="F39" i="3" s="1"/>
  <c r="F42" i="3" s="1"/>
  <c r="F57" i="3"/>
  <c r="H46" i="3"/>
  <c r="H43" i="3"/>
  <c r="E33" i="3"/>
  <c r="E39" i="3" s="1"/>
  <c r="E42" i="3" s="1"/>
  <c r="E57" i="3"/>
  <c r="J57" i="3" s="1"/>
  <c r="J58" i="3" s="1"/>
  <c r="G46" i="3"/>
  <c r="G43" i="3"/>
  <c r="I46" i="3"/>
  <c r="I43" i="3"/>
  <c r="I40" i="13"/>
  <c r="I44" i="13" s="1"/>
  <c r="I47" i="13" s="1"/>
  <c r="I60" i="13"/>
  <c r="H50" i="13"/>
  <c r="H51" i="13" s="1"/>
  <c r="H48" i="13"/>
  <c r="J60" i="13"/>
  <c r="J61" i="13" s="1"/>
  <c r="C64" i="14"/>
  <c r="C48" i="14" s="1"/>
  <c r="F57" i="14"/>
  <c r="F32" i="14" s="1"/>
  <c r="C56" i="14"/>
  <c r="C59" i="14" s="1"/>
  <c r="E41" i="14"/>
  <c r="E42" i="14" s="1"/>
  <c r="J30" i="14"/>
  <c r="J40" i="14" s="1"/>
  <c r="I30" i="14"/>
  <c r="I40" i="14" s="1"/>
  <c r="H30" i="14"/>
  <c r="H40" i="14" s="1"/>
  <c r="G30" i="14"/>
  <c r="G40" i="14" s="1"/>
  <c r="F30" i="14"/>
  <c r="F40" i="14" s="1"/>
  <c r="J29" i="14"/>
  <c r="I29" i="14"/>
  <c r="H29" i="14"/>
  <c r="G29" i="14"/>
  <c r="F29" i="14"/>
  <c r="K28" i="14"/>
  <c r="F26" i="14"/>
  <c r="K25" i="14"/>
  <c r="J24" i="14"/>
  <c r="I24" i="14"/>
  <c r="H24" i="14"/>
  <c r="G24" i="14"/>
  <c r="F24" i="14"/>
  <c r="J21" i="14"/>
  <c r="J26" i="14" s="1"/>
  <c r="I21" i="14"/>
  <c r="I26" i="14" s="1"/>
  <c r="H21" i="14"/>
  <c r="H26" i="14" s="1"/>
  <c r="G21" i="14"/>
  <c r="G26" i="14" s="1"/>
  <c r="J8" i="14"/>
  <c r="G8" i="14"/>
  <c r="J7" i="14"/>
  <c r="G7" i="14"/>
  <c r="J6" i="14"/>
  <c r="G6" i="14"/>
  <c r="J5" i="14"/>
  <c r="G5" i="14"/>
  <c r="J4" i="14"/>
  <c r="I50" i="13" l="1"/>
  <c r="I51" i="13" s="1"/>
  <c r="J51" i="13" s="1"/>
  <c r="D56" i="13" s="1"/>
  <c r="I48" i="13"/>
  <c r="J48" i="13" s="1"/>
  <c r="D55" i="13" s="1"/>
  <c r="E46" i="3"/>
  <c r="E43" i="3"/>
  <c r="F46" i="3"/>
  <c r="F43" i="3"/>
  <c r="E43" i="14"/>
  <c r="E45" i="14"/>
  <c r="G27" i="14"/>
  <c r="G31" i="14" s="1"/>
  <c r="F27" i="14"/>
  <c r="F31" i="14" s="1"/>
  <c r="F33" i="14" s="1"/>
  <c r="F34" i="14" s="1"/>
  <c r="F35" i="14" s="1"/>
  <c r="F39" i="14" s="1"/>
  <c r="K29" i="14"/>
  <c r="K40" i="14"/>
  <c r="H27" i="14"/>
  <c r="H31" i="14" s="1"/>
  <c r="K26" i="14"/>
  <c r="F58" i="14"/>
  <c r="I27" i="14"/>
  <c r="I31" i="14" s="1"/>
  <c r="J27" i="14"/>
  <c r="J31" i="14" s="1"/>
  <c r="K30" i="14"/>
  <c r="K41" i="14"/>
  <c r="K24" i="14"/>
  <c r="D44" i="3" l="1"/>
  <c r="C51" i="3" s="1"/>
  <c r="D47" i="3"/>
  <c r="F51" i="3" s="1"/>
  <c r="B54" i="13"/>
  <c r="K27" i="14"/>
  <c r="K31" i="14" s="1"/>
  <c r="F42" i="14"/>
  <c r="F45" i="14" s="1"/>
  <c r="G56" i="14"/>
  <c r="C52" i="3" l="1"/>
  <c r="F43" i="14"/>
  <c r="G57" i="14"/>
  <c r="G32" i="14" l="1"/>
  <c r="G58" i="14"/>
  <c r="H56" i="14" l="1"/>
  <c r="G33" i="14"/>
  <c r="G34" i="14" l="1"/>
  <c r="H57" i="14"/>
  <c r="H32" i="14" l="1"/>
  <c r="H58" i="14"/>
  <c r="G35" i="14"/>
  <c r="G39" i="14" s="1"/>
  <c r="I56" i="14" l="1"/>
  <c r="G42" i="14"/>
  <c r="H33" i="14"/>
  <c r="G43" i="14" l="1"/>
  <c r="G45" i="14"/>
  <c r="I57" i="14"/>
  <c r="H34" i="14"/>
  <c r="H35" i="14" l="1"/>
  <c r="H39" i="14" s="1"/>
  <c r="I32" i="14"/>
  <c r="I58" i="14"/>
  <c r="J56" i="14" l="1"/>
  <c r="I33" i="14"/>
  <c r="H42" i="14"/>
  <c r="H43" i="14" l="1"/>
  <c r="H45" i="14"/>
  <c r="I34" i="14"/>
  <c r="I35" i="14" s="1"/>
  <c r="I39" i="14" s="1"/>
  <c r="J57" i="14"/>
  <c r="K56" i="14"/>
  <c r="I42" i="14" l="1"/>
  <c r="J32" i="14"/>
  <c r="J58" i="14"/>
  <c r="K58" i="14" s="1"/>
  <c r="K57" i="14"/>
  <c r="I43" i="14" l="1"/>
  <c r="I45" i="14"/>
  <c r="J33" i="14"/>
  <c r="K32" i="14"/>
  <c r="K33" i="14" s="1"/>
  <c r="J34" i="14" l="1"/>
  <c r="K34" i="14" s="1"/>
  <c r="K35" i="14" s="1"/>
  <c r="J35" i="14" l="1"/>
  <c r="J39" i="14" s="1"/>
  <c r="J42" i="14" l="1"/>
  <c r="J45" i="14" s="1"/>
  <c r="K39" i="14"/>
  <c r="K42" i="14" s="1"/>
  <c r="J43" i="14" l="1"/>
  <c r="K43" i="14" s="1"/>
  <c r="C49" i="14" s="1"/>
  <c r="K45" i="14"/>
  <c r="C51" i="14" s="1"/>
  <c r="C52" i="14" s="1"/>
</calcChain>
</file>

<file path=xl/sharedStrings.xml><?xml version="1.0" encoding="utf-8"?>
<sst xmlns="http://schemas.openxmlformats.org/spreadsheetml/2006/main" count="307" uniqueCount="201">
  <si>
    <t>HORIZONTE DEL PROYECTO</t>
  </si>
  <si>
    <t>5 AÑOS</t>
  </si>
  <si>
    <t>VENTAS PROYECTADAS</t>
  </si>
  <si>
    <t>EGRESOS VARIABLES</t>
  </si>
  <si>
    <t>EGRESOS FIJOS</t>
  </si>
  <si>
    <t>PERIODO</t>
  </si>
  <si>
    <t>UNIDADES</t>
  </si>
  <si>
    <t>MATERIAL</t>
  </si>
  <si>
    <t>GASTOS</t>
  </si>
  <si>
    <t>COSTOS</t>
  </si>
  <si>
    <t>DEPREC</t>
  </si>
  <si>
    <t>PRECIO</t>
  </si>
  <si>
    <t>INVERSION - ACTIVOS FIJOS</t>
  </si>
  <si>
    <t>INVERSION - CAPITAL DE TRABAJO</t>
  </si>
  <si>
    <t>VIDA UTIL DE LOS ACTIVOS</t>
  </si>
  <si>
    <t>TASA DE IMPUESTOS</t>
  </si>
  <si>
    <t>FINANCIAMIENTO BANCARIO</t>
  </si>
  <si>
    <t>CINCO (5) PAGOS IGUALES, ANUALES Y CONSECUTIVOS</t>
  </si>
  <si>
    <t>COSTO DEL CAPITAL</t>
  </si>
  <si>
    <t>TASA DE INTERES ACTIVA</t>
  </si>
  <si>
    <t>PROYECTAR LOS ESTADOS DE RESULTADOS</t>
  </si>
  <si>
    <t>TOTAL</t>
  </si>
  <si>
    <t>COSTO UNITARIO</t>
  </si>
  <si>
    <t>GASTO UNITARIO</t>
  </si>
  <si>
    <t>INGRESOS</t>
  </si>
  <si>
    <t>COSTOS FIJOS</t>
  </si>
  <si>
    <t>COSTOS VARIABLES</t>
  </si>
  <si>
    <t>UTILIDAD BRUTA</t>
  </si>
  <si>
    <t>GASTOS FIJOS</t>
  </si>
  <si>
    <t>GASTOS VARIABLES</t>
  </si>
  <si>
    <t>DEPRECIACION</t>
  </si>
  <si>
    <t>UTILIDAD (PERDIDA) OPERATIVA</t>
  </si>
  <si>
    <t>GASTOS FINANCIEROS</t>
  </si>
  <si>
    <t>UTILIDAD (PERDIDA) ANTES DE IMPUESTOS</t>
  </si>
  <si>
    <t>IMPUESTOS</t>
  </si>
  <si>
    <t>UTILIDAD (PERDIDA) NETA</t>
  </si>
  <si>
    <t>CALCULO DE LOS FLUJOS DE CAJA</t>
  </si>
  <si>
    <t>MAS: DEPRECIACION</t>
  </si>
  <si>
    <t>MENOS: INVERSION</t>
  </si>
  <si>
    <t>FLUJO DE CAJA LIBRE (N)</t>
  </si>
  <si>
    <t>FLUJO DE CAJA LIBRE (D)</t>
  </si>
  <si>
    <t>VPN</t>
  </si>
  <si>
    <t>TASA INTERNA DE RETORNO (TIR)</t>
  </si>
  <si>
    <t>TASA 1:</t>
  </si>
  <si>
    <t>VPN 1:</t>
  </si>
  <si>
    <t>TASA 2:</t>
  </si>
  <si>
    <t>VPN 2:</t>
  </si>
  <si>
    <t>TIR:</t>
  </si>
  <si>
    <t>CALCULO DE LOS INTERESES</t>
  </si>
  <si>
    <t>VALOR PRESENTE</t>
  </si>
  <si>
    <t>SALDO</t>
  </si>
  <si>
    <t>TASA</t>
  </si>
  <si>
    <t>INTERESES</t>
  </si>
  <si>
    <t>PLAZO</t>
  </si>
  <si>
    <t>A CAPITAL</t>
  </si>
  <si>
    <t>CUOTA</t>
  </si>
  <si>
    <t>CALCULO DE LA WACC</t>
  </si>
  <si>
    <t>WACC = (e x Ke) + (d x Kd x (1 - tx))</t>
  </si>
  <si>
    <t>WACC = (40% x 8%) + (60% x 24% x (1 - 33%))</t>
  </si>
  <si>
    <t>WACC =</t>
  </si>
  <si>
    <t xml:space="preserve">UNA COMPAÑÍA DECIDE INVERTIR EN UN PROYECTO DE TECNOLOGÍA, PARA LO CUAL ES NECESARIO REALIZAR UNA INVERSIÓN CON RECURSOS PROPIOS DE 142.000.000. </t>
  </si>
  <si>
    <t>DE ESTA INVERSIÓN, EL 60% SE UTILIZARÁ PARA ADQUIRIR ACTIVOS DEPRECIABLES CON UNA VIDA ÚTIL DE 5 AÑOS, SIN VALOR DE SALVAMENTO, Y EL 40% SE UTILIZARÁ EN CAPITAL DE TRABAJO. EL PROYECTO DEBE EVALUARSE A 5 AÑOS.</t>
  </si>
  <si>
    <t>PARA LA EVALUACIÓN DEL PROYECTO, SE CUENTA CON LA SIGUIENTE INFORMACIÓN, PREPARADA EN BASE A ESTUDIOS DE MERCADO:</t>
  </si>
  <si>
    <t>TASA DE IMPUESTOS: 33%</t>
  </si>
  <si>
    <t>TASA DE INTERÉS DE OPORTUNIDAD (TIO) O TASA DE DESCUENTO: 15%</t>
  </si>
  <si>
    <t xml:space="preserve">a.- </t>
  </si>
  <si>
    <t>CALCULA EL VPN</t>
  </si>
  <si>
    <t xml:space="preserve">b.- </t>
  </si>
  <si>
    <t>HALLA LA TIR</t>
  </si>
  <si>
    <t xml:space="preserve">c.- </t>
  </si>
  <si>
    <t>CALCULA LA RELACIÓN BENEFICIO-COSTO</t>
  </si>
  <si>
    <t xml:space="preserve">d.- </t>
  </si>
  <si>
    <t>DETERMINA SI EL PROYECTO ES VIABLE O NO, Y ARGUMENTA TU DECISIÓN</t>
  </si>
  <si>
    <t>PROYECCION DEL ESTADO DE RESULTADOS:</t>
  </si>
  <si>
    <t>UTILIDAD (PERDIDA) DEL EJERCICIO</t>
  </si>
  <si>
    <t>DEPRECIACION: 142.000.000 x 60% =&gt;  (85.200.000 - 0) / 5 =&gt; 17.040.000</t>
  </si>
  <si>
    <t>CALCULO DE LA TIR</t>
  </si>
  <si>
    <t>VAN 1:</t>
  </si>
  <si>
    <t>VAN 2:</t>
  </si>
  <si>
    <t>RELACION BENEFICIO-COSTO (RBC)</t>
  </si>
  <si>
    <t>EGRESOS</t>
  </si>
  <si>
    <t>RBC</t>
  </si>
  <si>
    <t>LOS SIGUIENTES SON LOS FLUJOS LIBRES NOMINALES QUE SE ESPERA GENERARÁ UN CAMBIO EN EL PATRON DE PRODUCCIÓN QUE EVALUA CALZAPALMA, S. A.:</t>
  </si>
  <si>
    <t>LA INVERSION EN EQUIPOS, ESPECIFICOS PARA EL CAMBIO, HA SIDO ESTIMADA EN $180.000.000, PARA SER AMORTIZADA EN SEIS AÑOS SIN VALOR DE SALVAMENTO.</t>
  </si>
  <si>
    <t>SE TE PIDE TU RECOMENDACIÓN SOBRE SI ACEPTAR O NO EL PROYECTO, CONSIDERANDO QUE LA RENTABILIDAD MINIMA PARA APROBAR LA INVERSION ES DEL 18%.</t>
  </si>
  <si>
    <t>VAN</t>
  </si>
  <si>
    <t>FCL (N)</t>
  </si>
  <si>
    <t>FCL (D)</t>
  </si>
  <si>
    <t>TD</t>
  </si>
  <si>
    <t>VAN 2</t>
  </si>
  <si>
    <t>TIR</t>
  </si>
  <si>
    <t>OPCION 1</t>
  </si>
  <si>
    <t>LOS EQUIPOS SE USEN PARA UN PROYECTO POSTERIOR (EQUIVALE A UNA VENTA)</t>
  </si>
  <si>
    <t>OPCION 2</t>
  </si>
  <si>
    <t>LOS EQUIPOS SE VENDEN</t>
  </si>
  <si>
    <t>OPCION 3</t>
  </si>
  <si>
    <t>LOS EQUIPOS SE DESTRUYEN O NO SE PUEDEN USAR</t>
  </si>
  <si>
    <r>
      <t xml:space="preserve">LOS SIGUIENTES SON LOS FLUJOS LIBRES NOMINALES, </t>
    </r>
    <r>
      <rPr>
        <b/>
        <sz val="12"/>
        <color rgb="FFFF0000"/>
        <rFont val="Calibri"/>
        <family val="2"/>
        <scheme val="minor"/>
      </rPr>
      <t xml:space="preserve">SIN INCLUIR EL EFECTO DE LA DEPRECIACIÓN, </t>
    </r>
    <r>
      <rPr>
        <sz val="12"/>
        <color theme="1"/>
        <rFont val="Calibri"/>
        <family val="2"/>
        <scheme val="minor"/>
      </rPr>
      <t>QUE SE ESPERA GENERARÁ UN CAMBIO EN EL PATRON DE PRODUCCIÓN QUE EVALUA CALZAPALMA, S. A.:</t>
    </r>
  </si>
  <si>
    <t>FLUJO NOMINAL (O)</t>
  </si>
  <si>
    <t>DEPR. GASTO</t>
  </si>
  <si>
    <t>ESCUDO FISCAL</t>
  </si>
  <si>
    <t>DEPR. ELIMINACION</t>
  </si>
  <si>
    <t>INVERSION</t>
  </si>
  <si>
    <t>NUEVO FLUJO NOMINAL</t>
  </si>
  <si>
    <r>
      <t>LA INVERSION EN EQUIPOS HA SIDO ESTIMADA EN $180.000.000, PARA SER AMORTIZADA EN SEIS AÑOS SIN VALOR DE SALVAMENTO.</t>
    </r>
    <r>
      <rPr>
        <b/>
        <sz val="12"/>
        <color rgb="FFFF0000"/>
        <rFont val="Calibri"/>
        <family val="2"/>
        <scheme val="minor"/>
      </rPr>
      <t xml:space="preserve"> LOS EQUIPOS PODRAN VENDERSE AL FINAL DEL PROYECTO EN SU VALOR EN LIBROS.</t>
    </r>
  </si>
  <si>
    <r>
      <t xml:space="preserve">SE TE PIDE TU RECOMENDACIÓN SOBRE SI ACEPTAR O NO EL PROYECTO, CONSIDERANDO QUE LA RENTABILIDAD MINIMA PARA APROBAR LA INVERSION ES DEL 18%. </t>
    </r>
    <r>
      <rPr>
        <b/>
        <sz val="12"/>
        <color rgb="FFFF0000"/>
        <rFont val="Calibri"/>
        <family val="2"/>
        <scheme val="minor"/>
      </rPr>
      <t>LA TASA DE IMPUESTOS ES DE 30%.</t>
    </r>
  </si>
  <si>
    <t>VALOR EN LIBROS = COSTO - DEPRECIACION ACUMULADA = 180.000.000 - 150.000.000 = 30.000.000</t>
  </si>
  <si>
    <t>DESCRIPCIÓN DE LA INVERSIÓN:</t>
  </si>
  <si>
    <t>FINANCIAMIENTO DE LA INVERSIÓN:</t>
  </si>
  <si>
    <t>EQUIPOS</t>
  </si>
  <si>
    <t>INVERSIÓN PROPIA</t>
  </si>
  <si>
    <t>VEHÍCULOS</t>
  </si>
  <si>
    <t>PRESTAMO 1 (12% E. A.)</t>
  </si>
  <si>
    <t>INVENTARIOS</t>
  </si>
  <si>
    <t>PRESTAMO 2 (10% E. A.)</t>
  </si>
  <si>
    <t>CAJA</t>
  </si>
  <si>
    <t>VIDA UTIL SEGÚN DECRETO DIAN</t>
  </si>
  <si>
    <t>CONDICIONES DE LOS PRESTAMOS:</t>
  </si>
  <si>
    <t>CINCO (5) CUOTAS ANUALES, IGUALES</t>
  </si>
  <si>
    <t>HORIZONTE DE INVERSIÓN</t>
  </si>
  <si>
    <t>INGRESOS:</t>
  </si>
  <si>
    <t>PRIMER AÑO</t>
  </si>
  <si>
    <t>AUMENTO ANUAL</t>
  </si>
  <si>
    <t>TASA DE IMPUESTOS:</t>
  </si>
  <si>
    <t>INFLACIÓN ESPERADA:</t>
  </si>
  <si>
    <t>COSTOS:</t>
  </si>
  <si>
    <t>40% DE LOS INGRESOS</t>
  </si>
  <si>
    <t>AÑO 2</t>
  </si>
  <si>
    <t>PUBLICIDAD:</t>
  </si>
  <si>
    <t>4% DE LOS INGRESOS</t>
  </si>
  <si>
    <t>AÑO 3</t>
  </si>
  <si>
    <t>SALARIOS (*):</t>
  </si>
  <si>
    <t>38.000 PARA EL AÑO 1</t>
  </si>
  <si>
    <t>AÑO 4</t>
  </si>
  <si>
    <t>ARRIENDO (*):</t>
  </si>
  <si>
    <t>30.000 PARA EL AÑO 1</t>
  </si>
  <si>
    <t>AÑO 5</t>
  </si>
  <si>
    <t>(*) AUMENTO ANUAL SEGÚN INFLACIÓN</t>
  </si>
  <si>
    <t>DETERMINA LA VIABILIDAD DEL PROYECTO, ARGUMENTANDO TU DECISIÓN CON EL VAN, LA TIR Y LA RBC CORRESPONDIENTES.</t>
  </si>
  <si>
    <t>PREPARA EL BALANCE DE SITUACIÓN INICIAL.</t>
  </si>
  <si>
    <t>ESTADO DE RESULTADOS PROYECTADO:</t>
  </si>
  <si>
    <t>PUBLICIDAD</t>
  </si>
  <si>
    <t>SALARIOS</t>
  </si>
  <si>
    <t>ARRIENDO</t>
  </si>
  <si>
    <t>IMPUESTO DE RENTA</t>
  </si>
  <si>
    <t>UTILIDAD (PÉRDIDA) NETA</t>
  </si>
  <si>
    <t>FLUJO DE CAJA LIBRE Y CALCULO DE VAN</t>
  </si>
  <si>
    <t>MAS: DEPRECIACIONES</t>
  </si>
  <si>
    <t>TASA 1</t>
  </si>
  <si>
    <t>VAN 1</t>
  </si>
  <si>
    <t>TASA 2</t>
  </si>
  <si>
    <t>CALCULO DE RBC</t>
  </si>
  <si>
    <t>ACTIVO</t>
  </si>
  <si>
    <t>PASIVO Y PATRIMONIO</t>
  </si>
  <si>
    <t>ACTIVO CORRIENTE</t>
  </si>
  <si>
    <t>PASIVO CORRIENTE</t>
  </si>
  <si>
    <t>OBLIGACIONES FINANCIERAS</t>
  </si>
  <si>
    <t>INVENTARIO</t>
  </si>
  <si>
    <t>TOTAL PASIVO CORRIENTE</t>
  </si>
  <si>
    <t>TOTAL ACTIVO CORRIENTE</t>
  </si>
  <si>
    <t>PASIVO NO CORRIENTE</t>
  </si>
  <si>
    <t>ACTIVO NO CORRIENTE</t>
  </si>
  <si>
    <t>INMOVILIZADO MATERIAL</t>
  </si>
  <si>
    <t>TOTAL PASIVO NO CORRIENTE</t>
  </si>
  <si>
    <t>TOTAL ACTIVO NO CORRIENTE</t>
  </si>
  <si>
    <t>TOTAL PASIVO</t>
  </si>
  <si>
    <t>PATRIMONIO</t>
  </si>
  <si>
    <t>CAPITAL</t>
  </si>
  <si>
    <t>TOTAL ACTIVO</t>
  </si>
  <si>
    <t>TOTAL PASIVO Y PATRIMONIO</t>
  </si>
  <si>
    <t>PREMISAS:</t>
  </si>
  <si>
    <t>AUMENTO DE INGRESOS:</t>
  </si>
  <si>
    <t>COSTOS (SOBRE INGRESOS):</t>
  </si>
  <si>
    <t>PUBLICIDAD (SOBRE INGRESOS):</t>
  </si>
  <si>
    <t>INFLACION:</t>
  </si>
  <si>
    <t>CALCULO DE INTERESES:</t>
  </si>
  <si>
    <t>CALCULO DE DEPRECIACION:</t>
  </si>
  <si>
    <t>COSTO</t>
  </si>
  <si>
    <t>VALOR DE SALVAMENTO</t>
  </si>
  <si>
    <t>VIDA UTIL</t>
  </si>
  <si>
    <t>DEPRECIACION PERIODICA</t>
  </si>
  <si>
    <t>CALCULO DE LA TASA DE DESCUENTO:</t>
  </si>
  <si>
    <t>PRESTAMO 1</t>
  </si>
  <si>
    <t>PRESTAMO 2</t>
  </si>
  <si>
    <t>Kd:</t>
  </si>
  <si>
    <t>Ke:</t>
  </si>
  <si>
    <t>tx:</t>
  </si>
  <si>
    <t>d:</t>
  </si>
  <si>
    <t>e:</t>
  </si>
  <si>
    <t>WACC:</t>
  </si>
  <si>
    <t>LOS SIGUIENTES SON LOS FLUJOS LIBRES NOMINALES QUE SE ESPERA GENERARÁ UN CAMBIO EN EL PATRON DE PRODUCCIÓN QUE EVALUA VESTIPALMA, S. A.:</t>
  </si>
  <si>
    <t>EL 80% DEL PROYECTO SERA FINANCIADO MEDIANTE PRESTAMO A CUATRO AÑOS, CON PAGOS ANUALES A LA TASA DEL 18%.</t>
  </si>
  <si>
    <t>PARA LA FECHA DE LA EVALUACIÓN, SE MANEJA UNA TASA LIBRE DE RIESGO DE 6%, UN BETA DESAPALANCADO DE 0,9 Y UN RIESGO DE MERCADO DE 14%. LA TASA DE IMPUESTO ES DE 40%.</t>
  </si>
  <si>
    <t>(e x Ke) + (d x Kd x (1 - tx))</t>
  </si>
  <si>
    <t>(20% x Ke) + (80% x 18% x (1 - 40%))</t>
  </si>
  <si>
    <t>Rf + BETA x Pm</t>
  </si>
  <si>
    <t>Rf + BETA x (Rm - Rf)</t>
  </si>
  <si>
    <t>6% + BETA x (14% - 6%)</t>
  </si>
  <si>
    <t>BETA:</t>
  </si>
  <si>
    <t>0,9 x (1 + (80%/20%))*(1-40%))</t>
  </si>
  <si>
    <t>BLev = BUnlev * (1 + ((D/E)*(1-t)))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</si>
</sst>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#,##0\ ;\(#,##0\)"/>
    <numFmt numFmtId="168" formatCode="_-* #,##0_-;\-* #,##0_-;_-* &quot;-&quot;??_-;_-@_-"/>
    <numFmt numFmtId="169" formatCode="0.0000%"/>
    <numFmt numFmtId="170" formatCode="#,##0.0000\ ;\(#,##0.0000\)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0" fillId="0" borderId="0"/>
  </cellStyleXfs>
  <cellXfs count="143">
    <xf numFmtId="0" fontId="0" fillId="0" borderId="0" xfId="0"/>
    <xf numFmtId="0" fontId="3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5" fontId="3" fillId="0" borderId="0" xfId="0" applyNumberFormat="1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165" fontId="3" fillId="0" borderId="0" xfId="0" applyNumberFormat="1" applyFont="1" applyFill="1" applyAlignment="1">
      <alignment vertical="center"/>
    </xf>
    <xf numFmtId="9" fontId="3" fillId="0" borderId="0" xfId="0" applyNumberFormat="1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65" fontId="7" fillId="0" borderId="1" xfId="1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65" fontId="6" fillId="0" borderId="0" xfId="1" applyNumberFormat="1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165" fontId="7" fillId="0" borderId="1" xfId="1" applyNumberFormat="1" applyFont="1" applyFill="1" applyBorder="1" applyAlignment="1">
      <alignment vertical="center"/>
    </xf>
    <xf numFmtId="164" fontId="7" fillId="0" borderId="1" xfId="1" applyNumberFormat="1" applyFont="1" applyFill="1" applyBorder="1" applyAlignment="1">
      <alignment vertical="center"/>
    </xf>
    <xf numFmtId="164" fontId="3" fillId="0" borderId="0" xfId="0" applyNumberFormat="1" applyFont="1" applyFill="1" applyAlignment="1">
      <alignment vertical="center"/>
    </xf>
    <xf numFmtId="43" fontId="3" fillId="0" borderId="0" xfId="0" applyNumberFormat="1" applyFont="1" applyFill="1" applyAlignment="1">
      <alignment vertical="center"/>
    </xf>
    <xf numFmtId="43" fontId="3" fillId="0" borderId="0" xfId="1" applyFont="1" applyFill="1" applyAlignment="1">
      <alignment vertical="center"/>
    </xf>
    <xf numFmtId="9" fontId="7" fillId="0" borderId="1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166" fontId="3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top"/>
    </xf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>
      <alignment vertical="center"/>
    </xf>
    <xf numFmtId="167" fontId="3" fillId="0" borderId="0" xfId="0" applyNumberFormat="1" applyFont="1" applyFill="1" applyAlignment="1" applyProtection="1">
      <alignment vertical="center"/>
      <protection locked="0"/>
    </xf>
    <xf numFmtId="0" fontId="0" fillId="0" borderId="0" xfId="0" applyNumberFormat="1" applyAlignment="1">
      <alignment horizontal="left" vertical="center"/>
    </xf>
    <xf numFmtId="0" fontId="0" fillId="0" borderId="0" xfId="3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3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3" applyNumberFormat="1" applyFont="1" applyAlignment="1">
      <alignment horizontal="center" vertical="center"/>
    </xf>
    <xf numFmtId="165" fontId="6" fillId="0" borderId="1" xfId="1" applyNumberFormat="1" applyFont="1" applyFill="1" applyBorder="1" applyAlignment="1">
      <alignment vertical="center"/>
    </xf>
    <xf numFmtId="0" fontId="2" fillId="0" borderId="0" xfId="0" applyNumberFormat="1" applyFont="1" applyAlignment="1">
      <alignment horizontal="right" vertical="center"/>
    </xf>
    <xf numFmtId="0" fontId="4" fillId="0" borderId="0" xfId="0" applyFont="1" applyFill="1" applyAlignment="1" applyProtection="1">
      <alignment vertical="center"/>
      <protection locked="0"/>
    </xf>
    <xf numFmtId="0" fontId="12" fillId="0" borderId="0" xfId="0" applyFont="1" applyFill="1" applyAlignment="1">
      <alignment vertical="center"/>
    </xf>
    <xf numFmtId="166" fontId="12" fillId="0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64" fontId="7" fillId="2" borderId="1" xfId="1" applyNumberFormat="1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165" fontId="7" fillId="3" borderId="1" xfId="1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68" fontId="3" fillId="0" borderId="0" xfId="0" applyNumberFormat="1" applyFont="1" applyFill="1" applyAlignment="1">
      <alignment vertical="center"/>
    </xf>
    <xf numFmtId="168" fontId="4" fillId="0" borderId="0" xfId="0" applyNumberFormat="1" applyFont="1" applyFill="1" applyAlignment="1">
      <alignment vertical="center"/>
    </xf>
    <xf numFmtId="166" fontId="0" fillId="0" borderId="0" xfId="0" applyNumberFormat="1" applyFont="1" applyFill="1" applyAlignment="1">
      <alignment vertical="center"/>
    </xf>
    <xf numFmtId="9" fontId="2" fillId="0" borderId="0" xfId="0" applyNumberFormat="1" applyFont="1" applyFill="1" applyAlignment="1">
      <alignment horizontal="center" vertical="center"/>
    </xf>
    <xf numFmtId="164" fontId="6" fillId="0" borderId="0" xfId="1" applyNumberFormat="1" applyFont="1" applyFill="1" applyBorder="1" applyAlignment="1">
      <alignment vertical="center"/>
    </xf>
    <xf numFmtId="165" fontId="4" fillId="0" borderId="0" xfId="0" applyNumberFormat="1" applyFont="1" applyFill="1" applyAlignment="1">
      <alignment vertical="center"/>
    </xf>
    <xf numFmtId="0" fontId="3" fillId="2" borderId="3" xfId="0" applyFont="1" applyFill="1" applyBorder="1" applyAlignment="1">
      <alignment vertical="center"/>
    </xf>
    <xf numFmtId="165" fontId="3" fillId="2" borderId="4" xfId="0" applyNumberFormat="1" applyFont="1" applyFill="1" applyBorder="1" applyAlignment="1">
      <alignment vertical="center"/>
    </xf>
    <xf numFmtId="165" fontId="4" fillId="2" borderId="5" xfId="0" applyNumberFormat="1" applyFont="1" applyFill="1" applyBorder="1" applyAlignment="1">
      <alignment vertical="center"/>
    </xf>
    <xf numFmtId="164" fontId="4" fillId="2" borderId="6" xfId="0" applyNumberFormat="1" applyFont="1" applyFill="1" applyBorder="1" applyAlignment="1">
      <alignment vertical="center"/>
    </xf>
    <xf numFmtId="168" fontId="3" fillId="0" borderId="2" xfId="0" applyNumberFormat="1" applyFont="1" applyFill="1" applyBorder="1" applyAlignment="1">
      <alignment vertical="center"/>
    </xf>
    <xf numFmtId="168" fontId="4" fillId="0" borderId="2" xfId="0" applyNumberFormat="1" applyFont="1" applyFill="1" applyBorder="1" applyAlignment="1">
      <alignment vertical="center"/>
    </xf>
    <xf numFmtId="168" fontId="4" fillId="0" borderId="7" xfId="0" applyNumberFormat="1" applyFont="1" applyFill="1" applyBorder="1" applyAlignment="1">
      <alignment vertical="center"/>
    </xf>
    <xf numFmtId="165" fontId="3" fillId="0" borderId="2" xfId="0" applyNumberFormat="1" applyFont="1" applyFill="1" applyBorder="1" applyAlignment="1">
      <alignment vertical="center"/>
    </xf>
    <xf numFmtId="165" fontId="4" fillId="0" borderId="2" xfId="0" applyNumberFormat="1" applyFont="1" applyFill="1" applyBorder="1" applyAlignment="1">
      <alignment vertical="center"/>
    </xf>
    <xf numFmtId="10" fontId="4" fillId="2" borderId="6" xfId="0" applyNumberFormat="1" applyFont="1" applyFill="1" applyBorder="1" applyAlignment="1">
      <alignment vertical="center"/>
    </xf>
    <xf numFmtId="0" fontId="4" fillId="0" borderId="0" xfId="0" applyFont="1" applyFill="1" applyAlignment="1">
      <alignment horizontal="right" vertical="center"/>
    </xf>
    <xf numFmtId="165" fontId="4" fillId="2" borderId="6" xfId="0" applyNumberFormat="1" applyFont="1" applyFill="1" applyBorder="1" applyAlignment="1">
      <alignment vertical="center"/>
    </xf>
    <xf numFmtId="0" fontId="8" fillId="0" borderId="0" xfId="0" applyNumberFormat="1" applyFont="1" applyAlignment="1">
      <alignment horizontal="left" vertical="center"/>
    </xf>
    <xf numFmtId="165" fontId="14" fillId="0" borderId="0" xfId="1" applyNumberFormat="1" applyFont="1" applyFill="1" applyBorder="1" applyAlignment="1">
      <alignment vertical="center"/>
    </xf>
    <xf numFmtId="165" fontId="0" fillId="0" borderId="0" xfId="0" applyNumberFormat="1" applyAlignment="1">
      <alignment vertical="center"/>
    </xf>
    <xf numFmtId="165" fontId="2" fillId="0" borderId="0" xfId="0" applyNumberFormat="1" applyFont="1" applyAlignment="1">
      <alignment vertical="center"/>
    </xf>
    <xf numFmtId="165" fontId="6" fillId="0" borderId="2" xfId="1" applyNumberFormat="1" applyFont="1" applyFill="1" applyBorder="1" applyAlignment="1">
      <alignment vertical="center"/>
    </xf>
    <xf numFmtId="165" fontId="2" fillId="0" borderId="7" xfId="0" applyNumberFormat="1" applyFont="1" applyBorder="1" applyAlignment="1">
      <alignment vertical="center"/>
    </xf>
    <xf numFmtId="165" fontId="2" fillId="2" borderId="6" xfId="0" applyNumberFormat="1" applyFont="1" applyFill="1" applyBorder="1" applyAlignment="1">
      <alignment vertical="center"/>
    </xf>
    <xf numFmtId="0" fontId="0" fillId="4" borderId="0" xfId="0" applyNumberFormat="1" applyFill="1" applyAlignment="1">
      <alignment horizontal="left" vertical="center"/>
    </xf>
    <xf numFmtId="0" fontId="0" fillId="4" borderId="0" xfId="0" applyNumberFormat="1" applyFill="1" applyAlignment="1">
      <alignment vertical="center"/>
    </xf>
    <xf numFmtId="165" fontId="6" fillId="4" borderId="2" xfId="1" applyNumberFormat="1" applyFont="1" applyFill="1" applyBorder="1" applyAlignment="1">
      <alignment vertical="center"/>
    </xf>
    <xf numFmtId="165" fontId="6" fillId="4" borderId="0" xfId="1" applyNumberFormat="1" applyFont="1" applyFill="1" applyBorder="1" applyAlignment="1">
      <alignment vertical="center"/>
    </xf>
    <xf numFmtId="9" fontId="0" fillId="4" borderId="0" xfId="0" applyNumberFormat="1" applyFill="1" applyAlignment="1">
      <alignment horizontal="center" vertical="center"/>
    </xf>
    <xf numFmtId="164" fontId="2" fillId="2" borderId="6" xfId="0" applyNumberFormat="1" applyFont="1" applyFill="1" applyBorder="1" applyAlignment="1">
      <alignment vertical="center"/>
    </xf>
    <xf numFmtId="10" fontId="3" fillId="0" borderId="0" xfId="0" applyNumberFormat="1" applyFont="1" applyFill="1" applyAlignment="1">
      <alignment vertical="center"/>
    </xf>
    <xf numFmtId="169" fontId="4" fillId="2" borderId="6" xfId="0" applyNumberFormat="1" applyFont="1" applyFill="1" applyBorder="1" applyAlignment="1">
      <alignment vertical="center"/>
    </xf>
    <xf numFmtId="10" fontId="3" fillId="0" borderId="6" xfId="0" applyNumberFormat="1" applyFont="1" applyFill="1" applyBorder="1" applyAlignment="1">
      <alignment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Border="1" applyAlignme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10" fontId="0" fillId="0" borderId="0" xfId="0" applyNumberFormat="1" applyAlignment="1">
      <alignment vertical="center"/>
    </xf>
    <xf numFmtId="10" fontId="0" fillId="0" borderId="1" xfId="0" applyNumberFormat="1" applyBorder="1" applyAlignment="1">
      <alignment horizontal="center" vertical="center"/>
    </xf>
    <xf numFmtId="10" fontId="2" fillId="2" borderId="6" xfId="0" applyNumberFormat="1" applyFont="1" applyFill="1" applyBorder="1" applyAlignment="1">
      <alignment vertical="center"/>
    </xf>
    <xf numFmtId="165" fontId="2" fillId="0" borderId="6" xfId="0" applyNumberFormat="1" applyFont="1" applyFill="1" applyBorder="1" applyAlignment="1">
      <alignment vertical="center"/>
    </xf>
    <xf numFmtId="0" fontId="0" fillId="4" borderId="0" xfId="0" applyNumberFormat="1" applyFill="1" applyBorder="1" applyAlignment="1">
      <alignment horizontal="left" vertical="center"/>
    </xf>
    <xf numFmtId="0" fontId="0" fillId="4" borderId="0" xfId="0" applyNumberFormat="1" applyFill="1" applyBorder="1" applyAlignment="1">
      <alignment vertical="center"/>
    </xf>
    <xf numFmtId="165" fontId="0" fillId="4" borderId="2" xfId="0" applyNumberFormat="1" applyFill="1" applyBorder="1" applyAlignment="1">
      <alignment vertical="center"/>
    </xf>
    <xf numFmtId="0" fontId="0" fillId="4" borderId="2" xfId="0" applyNumberFormat="1" applyFill="1" applyBorder="1" applyAlignment="1">
      <alignment vertical="center"/>
    </xf>
    <xf numFmtId="165" fontId="4" fillId="0" borderId="0" xfId="0" applyNumberFormat="1" applyFont="1" applyBorder="1" applyAlignment="1">
      <alignment vertical="center"/>
    </xf>
    <xf numFmtId="10" fontId="3" fillId="0" borderId="0" xfId="0" applyNumberFormat="1" applyFont="1" applyBorder="1" applyAlignment="1">
      <alignment horizontal="center" vertical="center"/>
    </xf>
    <xf numFmtId="169" fontId="4" fillId="2" borderId="6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10" fontId="3" fillId="0" borderId="0" xfId="0" applyNumberFormat="1" applyFont="1" applyBorder="1" applyAlignment="1">
      <alignment horizontal="left" vertical="center"/>
    </xf>
    <xf numFmtId="10" fontId="4" fillId="2" borderId="6" xfId="0" applyNumberFormat="1" applyFont="1" applyFill="1" applyBorder="1" applyAlignment="1">
      <alignment horizontal="center" vertical="center"/>
    </xf>
    <xf numFmtId="169" fontId="16" fillId="2" borderId="6" xfId="0" applyNumberFormat="1" applyFont="1" applyFill="1" applyBorder="1" applyAlignment="1">
      <alignment vertical="center"/>
    </xf>
    <xf numFmtId="167" fontId="3" fillId="0" borderId="0" xfId="0" applyNumberFormat="1" applyFont="1" applyFill="1" applyAlignment="1">
      <alignment vertical="center"/>
    </xf>
    <xf numFmtId="167" fontId="4" fillId="0" borderId="0" xfId="0" applyNumberFormat="1" applyFont="1" applyFill="1" applyAlignment="1">
      <alignment vertical="center"/>
    </xf>
    <xf numFmtId="166" fontId="3" fillId="0" borderId="0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Alignment="1" applyProtection="1">
      <alignment horizontal="center" vertical="center"/>
      <protection locked="0"/>
    </xf>
    <xf numFmtId="166" fontId="3" fillId="0" borderId="1" xfId="0" applyNumberFormat="1" applyFont="1" applyFill="1" applyBorder="1" applyAlignment="1">
      <alignment vertical="center"/>
    </xf>
    <xf numFmtId="169" fontId="4" fillId="0" borderId="6" xfId="0" applyNumberFormat="1" applyFont="1" applyFill="1" applyBorder="1" applyAlignment="1">
      <alignment vertical="center"/>
    </xf>
    <xf numFmtId="167" fontId="4" fillId="5" borderId="6" xfId="0" applyNumberFormat="1" applyFont="1" applyFill="1" applyBorder="1" applyAlignment="1">
      <alignment vertical="center"/>
    </xf>
    <xf numFmtId="10" fontId="3" fillId="0" borderId="1" xfId="0" applyNumberFormat="1" applyFont="1" applyFill="1" applyBorder="1" applyAlignment="1">
      <alignment horizontal="center" vertical="center"/>
    </xf>
    <xf numFmtId="169" fontId="3" fillId="0" borderId="0" xfId="0" applyNumberFormat="1" applyFont="1" applyFill="1" applyAlignment="1">
      <alignment vertical="center"/>
    </xf>
    <xf numFmtId="167" fontId="1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left" vertical="center" indent="1"/>
    </xf>
    <xf numFmtId="169" fontId="4" fillId="5" borderId="6" xfId="0" applyNumberFormat="1" applyFont="1" applyFill="1" applyBorder="1" applyAlignment="1">
      <alignment vertical="center"/>
    </xf>
    <xf numFmtId="170" fontId="4" fillId="5" borderId="6" xfId="0" applyNumberFormat="1" applyFont="1" applyFill="1" applyBorder="1" applyAlignment="1">
      <alignment vertical="center"/>
    </xf>
    <xf numFmtId="167" fontId="3" fillId="0" borderId="2" xfId="0" applyNumberFormat="1" applyFont="1" applyFill="1" applyBorder="1" applyAlignment="1">
      <alignment vertical="center"/>
    </xf>
    <xf numFmtId="167" fontId="3" fillId="0" borderId="4" xfId="0" applyNumberFormat="1" applyFont="1" applyFill="1" applyBorder="1" applyAlignment="1">
      <alignment vertical="center"/>
    </xf>
    <xf numFmtId="167" fontId="4" fillId="0" borderId="11" xfId="0" applyNumberFormat="1" applyFont="1" applyFill="1" applyBorder="1" applyAlignment="1">
      <alignment vertical="center"/>
    </xf>
    <xf numFmtId="0" fontId="12" fillId="0" borderId="0" xfId="0" applyFont="1" applyFill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9" fontId="3" fillId="0" borderId="0" xfId="0" applyNumberFormat="1" applyFont="1" applyFill="1" applyAlignment="1" applyProtection="1">
      <alignment vertical="center"/>
      <protection locked="0"/>
    </xf>
    <xf numFmtId="0" fontId="0" fillId="0" borderId="0" xfId="0" applyFont="1" applyFill="1" applyAlignment="1" applyProtection="1">
      <alignment vertical="center"/>
      <protection locked="0"/>
    </xf>
    <xf numFmtId="0" fontId="13" fillId="0" borderId="0" xfId="0" applyFont="1" applyFill="1" applyAlignment="1" applyProtection="1">
      <alignment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12" fillId="0" borderId="0" xfId="0" applyFont="1" applyFill="1" applyBorder="1" applyAlignment="1" applyProtection="1">
      <alignment vertical="center"/>
      <protection locked="0"/>
    </xf>
    <xf numFmtId="167" fontId="3" fillId="0" borderId="0" xfId="0" applyNumberFormat="1" applyFont="1" applyFill="1" applyBorder="1" applyAlignment="1" applyProtection="1">
      <alignment vertical="center"/>
      <protection locked="0"/>
    </xf>
    <xf numFmtId="9" fontId="3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  <protection locked="0"/>
    </xf>
    <xf numFmtId="166" fontId="3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8" fillId="0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NumberFormat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15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4" fillId="0" borderId="0" xfId="0" applyFont="1" applyFill="1" applyAlignment="1" applyProtection="1">
      <alignment horizontal="justify" vertical="center" wrapText="1"/>
      <protection locked="0"/>
    </xf>
    <xf numFmtId="0" fontId="17" fillId="2" borderId="8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</cellXfs>
  <cellStyles count="5">
    <cellStyle name="Millares" xfId="1" builtinId="3"/>
    <cellStyle name="Millares [0]" xfId="3" builtinId="6"/>
    <cellStyle name="Normal" xfId="0" builtinId="0"/>
    <cellStyle name="Normal 2" xfId="4" xr:uid="{00000000-0005-0000-0000-000003000000}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68036</xdr:colOff>
      <xdr:row>46</xdr:row>
      <xdr:rowOff>108858</xdr:rowOff>
    </xdr:from>
    <xdr:to>
      <xdr:col>9</xdr:col>
      <xdr:colOff>835705</xdr:colOff>
      <xdr:row>48</xdr:row>
      <xdr:rowOff>78239</xdr:rowOff>
    </xdr:to>
    <xdr:sp macro="" textlink="">
      <xdr:nvSpPr>
        <xdr:cNvPr id="2" name="4 Marcador de contenido">
          <a:extLst>
            <a:ext uri="{FF2B5EF4-FFF2-40B4-BE49-F238E27FC236}">
              <a16:creationId xmlns:a16="http://schemas.microsoft.com/office/drawing/2014/main" id="{404B6190-6946-4518-A08C-FD94A8E28A99}"/>
            </a:ext>
          </a:extLst>
        </xdr:cNvPr>
        <xdr:cNvSpPr txBox="1">
          <a:spLocks/>
        </xdr:cNvSpPr>
      </xdr:nvSpPr>
      <xdr:spPr>
        <a:xfrm>
          <a:off x="3571875" y="8790215"/>
          <a:ext cx="5326062" cy="357185"/>
        </a:xfrm>
        <a:prstGeom prst="rect">
          <a:avLst/>
        </a:prstGeom>
        <a:ln w="38100">
          <a:solidFill>
            <a:schemeClr val="tx1"/>
          </a:solidFill>
        </a:ln>
      </xdr:spPr>
      <xdr:txBody>
        <a:bodyPr vert="horz" wrap="square" lIns="91440" tIns="45720" rIns="91440" bIns="45720" rtlCol="0" anchor="ctr" anchorCtr="0">
          <a:no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1800">
              <a:solidFill>
                <a:schemeClr val="tx1"/>
              </a:solidFill>
            </a:rPr>
            <a:t>TIR = </a:t>
          </a:r>
          <a:r>
            <a:rPr lang="es-ES" sz="1800"/>
            <a:t>TASA</a:t>
          </a:r>
          <a:r>
            <a:rPr lang="es-ES" sz="1800" baseline="-25000"/>
            <a:t>1</a:t>
          </a:r>
          <a:r>
            <a:rPr lang="es-ES" sz="1800">
              <a:solidFill>
                <a:schemeClr val="tx1"/>
              </a:solidFill>
            </a:rPr>
            <a:t> + [</a:t>
          </a:r>
          <a:r>
            <a:rPr lang="es-ES" sz="1800"/>
            <a:t> VPN</a:t>
          </a:r>
          <a:r>
            <a:rPr lang="es-ES" sz="1800" baseline="-25000"/>
            <a:t>1</a:t>
          </a:r>
          <a:r>
            <a:rPr lang="es-ES" sz="1800"/>
            <a:t> </a:t>
          </a:r>
          <a:r>
            <a:rPr lang="es-ES" sz="1800">
              <a:solidFill>
                <a:schemeClr val="tx1"/>
              </a:solidFill>
            </a:rPr>
            <a:t>x</a:t>
          </a:r>
          <a:r>
            <a:rPr lang="es-ES" sz="1800"/>
            <a:t> </a:t>
          </a:r>
          <a:r>
            <a:rPr lang="es-ES" sz="1800">
              <a:solidFill>
                <a:schemeClr val="tx1"/>
              </a:solidFill>
            </a:rPr>
            <a:t>(</a:t>
          </a:r>
          <a:r>
            <a:rPr lang="es-ES" sz="1800"/>
            <a:t>TASA</a:t>
          </a:r>
          <a:r>
            <a:rPr lang="es-ES" sz="1800" baseline="-25000"/>
            <a:t>2 </a:t>
          </a:r>
          <a:r>
            <a:rPr lang="es-ES" sz="1800"/>
            <a:t>- </a:t>
          </a:r>
          <a:r>
            <a:rPr lang="es-ES" sz="1800">
              <a:solidFill>
                <a:srgbClr val="FF0000"/>
              </a:solidFill>
            </a:rPr>
            <a:t>TASA</a:t>
          </a:r>
          <a:r>
            <a:rPr lang="es-ES" sz="1800" baseline="-25000">
              <a:solidFill>
                <a:srgbClr val="FF0000"/>
              </a:solidFill>
            </a:rPr>
            <a:t>1</a:t>
          </a:r>
          <a:r>
            <a:rPr lang="es-ES" sz="1800">
              <a:solidFill>
                <a:schemeClr val="tx1"/>
              </a:solidFill>
            </a:rPr>
            <a:t>) / (</a:t>
          </a:r>
          <a:r>
            <a:rPr lang="es-ES" sz="1800"/>
            <a:t>VPN</a:t>
          </a:r>
          <a:r>
            <a:rPr lang="es-ES" sz="1800" baseline="-25000"/>
            <a:t>1 </a:t>
          </a:r>
          <a:r>
            <a:rPr lang="es-ES" sz="1800"/>
            <a:t>- </a:t>
          </a:r>
          <a:r>
            <a:rPr lang="es-ES" sz="1800">
              <a:solidFill>
                <a:srgbClr val="FF0000"/>
              </a:solidFill>
            </a:rPr>
            <a:t>VPN</a:t>
          </a:r>
          <a:r>
            <a:rPr lang="es-ES" sz="1800" baseline="-25000">
              <a:solidFill>
                <a:srgbClr val="FF0000"/>
              </a:solidFill>
            </a:rPr>
            <a:t>2</a:t>
          </a:r>
          <a:r>
            <a:rPr lang="es-ES" sz="1800">
              <a:solidFill>
                <a:schemeClr val="tx1"/>
              </a:solidFill>
            </a:rPr>
            <a:t>)]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48FC-3C89-4285-8564-D3871700EC29}">
  <dimension ref="B2:M64"/>
  <sheetViews>
    <sheetView showGridLines="0" topLeftCell="A7" zoomScale="120" zoomScaleNormal="120" workbookViewId="0">
      <selection activeCell="B45" sqref="B45:L45"/>
    </sheetView>
  </sheetViews>
  <sheetFormatPr baseColWidth="10" defaultColWidth="11.5" defaultRowHeight="16" x14ac:dyDescent="0.2"/>
  <cols>
    <col min="1" max="1" width="1.5" style="6" customWidth="1"/>
    <col min="2" max="2" width="34.6640625" style="6" bestFit="1" customWidth="1"/>
    <col min="3" max="3" width="12" style="6" bestFit="1" customWidth="1"/>
    <col min="4" max="4" width="1.5" style="6" customWidth="1"/>
    <col min="5" max="5" width="11.5" style="6"/>
    <col min="6" max="6" width="11.5" style="6" customWidth="1"/>
    <col min="7" max="16384" width="11.5" style="6"/>
  </cols>
  <sheetData>
    <row r="2" spans="2:13" x14ac:dyDescent="0.2">
      <c r="B2" s="10" t="s">
        <v>0</v>
      </c>
      <c r="C2" s="11" t="s">
        <v>1</v>
      </c>
      <c r="E2" s="132" t="s">
        <v>2</v>
      </c>
      <c r="F2" s="132"/>
      <c r="G2" s="133" t="s">
        <v>3</v>
      </c>
      <c r="H2" s="133"/>
      <c r="I2" s="134" t="s">
        <v>4</v>
      </c>
      <c r="J2" s="134"/>
      <c r="K2" s="134"/>
    </row>
    <row r="3" spans="2:13" s="12" customFormat="1" ht="15" x14ac:dyDescent="0.2">
      <c r="B3" s="13"/>
      <c r="C3" s="14"/>
      <c r="E3" s="15" t="s">
        <v>5</v>
      </c>
      <c r="F3" s="15" t="s">
        <v>6</v>
      </c>
      <c r="G3" s="42" t="s">
        <v>7</v>
      </c>
      <c r="H3" s="42" t="s">
        <v>8</v>
      </c>
      <c r="I3" s="44" t="s">
        <v>9</v>
      </c>
      <c r="J3" s="44" t="s">
        <v>10</v>
      </c>
      <c r="K3" s="44" t="s">
        <v>8</v>
      </c>
      <c r="L3" s="15" t="s">
        <v>11</v>
      </c>
    </row>
    <row r="4" spans="2:13" x14ac:dyDescent="0.2">
      <c r="B4" s="10" t="s">
        <v>12</v>
      </c>
      <c r="C4" s="16">
        <v>100000</v>
      </c>
      <c r="E4" s="9">
        <v>1</v>
      </c>
      <c r="F4" s="16">
        <v>1000</v>
      </c>
      <c r="G4" s="43">
        <v>29</v>
      </c>
      <c r="H4" s="43">
        <v>1</v>
      </c>
      <c r="I4" s="45">
        <v>12000</v>
      </c>
      <c r="J4" s="45">
        <f>+$C$4/5</f>
        <v>20000</v>
      </c>
      <c r="K4" s="45">
        <v>8000</v>
      </c>
      <c r="L4" s="17">
        <v>117</v>
      </c>
      <c r="M4" s="18"/>
    </row>
    <row r="5" spans="2:13" x14ac:dyDescent="0.2">
      <c r="B5" s="10" t="s">
        <v>13</v>
      </c>
      <c r="C5" s="16">
        <v>20000</v>
      </c>
      <c r="E5" s="9">
        <v>2</v>
      </c>
      <c r="F5" s="16">
        <v>1100</v>
      </c>
      <c r="G5" s="43">
        <f>+G4*1.05</f>
        <v>30.450000000000003</v>
      </c>
      <c r="H5" s="43">
        <v>1.05</v>
      </c>
      <c r="I5" s="45">
        <v>13860</v>
      </c>
      <c r="J5" s="45">
        <f>+$C$4/5</f>
        <v>20000</v>
      </c>
      <c r="K5" s="45">
        <v>9240</v>
      </c>
      <c r="L5" s="17">
        <v>118</v>
      </c>
      <c r="M5" s="19"/>
    </row>
    <row r="6" spans="2:13" x14ac:dyDescent="0.2">
      <c r="B6" s="10" t="s">
        <v>14</v>
      </c>
      <c r="C6" s="9" t="s">
        <v>1</v>
      </c>
      <c r="E6" s="9">
        <v>3</v>
      </c>
      <c r="F6" s="16">
        <v>1200</v>
      </c>
      <c r="G6" s="43">
        <f>+G4*1.1</f>
        <v>31.900000000000002</v>
      </c>
      <c r="H6" s="43">
        <v>1.1000000000000001</v>
      </c>
      <c r="I6" s="45">
        <v>15840</v>
      </c>
      <c r="J6" s="45">
        <f t="shared" ref="J6:J8" si="0">+$C$4/5</f>
        <v>20000</v>
      </c>
      <c r="K6" s="45">
        <v>10560</v>
      </c>
      <c r="L6" s="17">
        <v>119</v>
      </c>
    </row>
    <row r="7" spans="2:13" x14ac:dyDescent="0.2">
      <c r="E7" s="9">
        <v>4</v>
      </c>
      <c r="F7" s="16">
        <v>1400</v>
      </c>
      <c r="G7" s="43">
        <f>+G4*1.15</f>
        <v>33.349999999999994</v>
      </c>
      <c r="H7" s="43">
        <v>1.1499999999999999</v>
      </c>
      <c r="I7" s="45">
        <v>19320</v>
      </c>
      <c r="J7" s="45">
        <f t="shared" si="0"/>
        <v>20000</v>
      </c>
      <c r="K7" s="45">
        <v>12880</v>
      </c>
      <c r="L7" s="17">
        <v>120</v>
      </c>
    </row>
    <row r="8" spans="2:13" x14ac:dyDescent="0.2">
      <c r="E8" s="9">
        <v>5</v>
      </c>
      <c r="F8" s="16">
        <v>1600</v>
      </c>
      <c r="G8" s="43">
        <f>+G4*1.2</f>
        <v>34.799999999999997</v>
      </c>
      <c r="H8" s="43">
        <v>1.2</v>
      </c>
      <c r="I8" s="45">
        <v>23040</v>
      </c>
      <c r="J8" s="45">
        <f t="shared" si="0"/>
        <v>20000</v>
      </c>
      <c r="K8" s="45">
        <v>15360</v>
      </c>
      <c r="L8" s="17">
        <v>121</v>
      </c>
    </row>
    <row r="9" spans="2:13" ht="6" customHeight="1" x14ac:dyDescent="0.2">
      <c r="B9" s="10"/>
      <c r="C9" s="10"/>
      <c r="I9" s="20"/>
      <c r="J9" s="20"/>
      <c r="K9" s="20"/>
      <c r="L9" s="20"/>
    </row>
    <row r="10" spans="2:13" x14ac:dyDescent="0.2">
      <c r="B10" s="10" t="s">
        <v>15</v>
      </c>
      <c r="C10" s="21">
        <v>0.33</v>
      </c>
      <c r="D10" s="10"/>
      <c r="I10" s="20"/>
      <c r="J10" s="20"/>
      <c r="K10" s="20"/>
      <c r="L10" s="20"/>
    </row>
    <row r="11" spans="2:13" ht="6" customHeight="1" x14ac:dyDescent="0.2">
      <c r="B11" s="10"/>
      <c r="C11" s="10"/>
      <c r="I11" s="20"/>
      <c r="J11" s="20"/>
      <c r="K11" s="20"/>
      <c r="L11" s="20"/>
    </row>
    <row r="12" spans="2:13" x14ac:dyDescent="0.2">
      <c r="B12" s="22" t="s">
        <v>16</v>
      </c>
      <c r="C12" s="21">
        <v>0.6</v>
      </c>
      <c r="G12" s="7"/>
      <c r="H12" s="7"/>
      <c r="I12" s="20"/>
      <c r="J12" s="20"/>
      <c r="K12" s="20"/>
      <c r="L12" s="20"/>
    </row>
    <row r="13" spans="2:13" x14ac:dyDescent="0.2">
      <c r="B13" s="24" t="s">
        <v>17</v>
      </c>
      <c r="G13" s="7"/>
      <c r="H13" s="7"/>
      <c r="I13" s="20"/>
      <c r="J13" s="20"/>
      <c r="K13" s="20"/>
      <c r="L13" s="20"/>
    </row>
    <row r="14" spans="2:13" x14ac:dyDescent="0.2">
      <c r="B14" s="10" t="s">
        <v>18</v>
      </c>
      <c r="C14" s="21">
        <v>0.08</v>
      </c>
      <c r="G14" s="7"/>
      <c r="H14" s="7"/>
      <c r="I14" s="20"/>
      <c r="J14" s="20"/>
      <c r="K14" s="20"/>
      <c r="L14" s="20"/>
    </row>
    <row r="15" spans="2:13" x14ac:dyDescent="0.2">
      <c r="B15" s="10" t="s">
        <v>19</v>
      </c>
      <c r="C15" s="21">
        <v>0.24</v>
      </c>
      <c r="E15" s="23"/>
      <c r="G15" s="7"/>
      <c r="H15" s="7"/>
      <c r="I15" s="20"/>
      <c r="J15" s="20"/>
      <c r="K15" s="20"/>
      <c r="L15" s="20"/>
    </row>
    <row r="16" spans="2:13" s="5" customFormat="1" x14ac:dyDescent="0.2">
      <c r="B16" s="10"/>
      <c r="C16" s="6"/>
      <c r="D16" s="6"/>
      <c r="E16" s="23"/>
      <c r="F16" s="6"/>
    </row>
    <row r="17" spans="2:11" s="40" customFormat="1" x14ac:dyDescent="0.2">
      <c r="B17" s="40" t="s">
        <v>20</v>
      </c>
      <c r="E17" s="41"/>
    </row>
    <row r="18" spans="2:11" s="47" customFormat="1" x14ac:dyDescent="0.2">
      <c r="E18" s="48">
        <v>0</v>
      </c>
      <c r="F18" s="48">
        <v>1</v>
      </c>
      <c r="G18" s="48">
        <v>2</v>
      </c>
      <c r="H18" s="48">
        <v>3</v>
      </c>
      <c r="I18" s="48">
        <v>4</v>
      </c>
      <c r="J18" s="48">
        <v>5</v>
      </c>
      <c r="K18" s="48" t="s">
        <v>21</v>
      </c>
    </row>
    <row r="19" spans="2:11" s="12" customFormat="1" ht="15" x14ac:dyDescent="0.2">
      <c r="B19" s="12" t="s">
        <v>6</v>
      </c>
      <c r="E19" s="51"/>
      <c r="F19" s="14">
        <v>1000</v>
      </c>
      <c r="G19" s="14">
        <v>1100</v>
      </c>
      <c r="H19" s="14">
        <v>1200</v>
      </c>
      <c r="I19" s="14">
        <v>1400</v>
      </c>
      <c r="J19" s="14">
        <v>1600</v>
      </c>
    </row>
    <row r="20" spans="2:11" s="12" customFormat="1" ht="15" x14ac:dyDescent="0.2">
      <c r="B20" s="12" t="s">
        <v>11</v>
      </c>
      <c r="C20" s="52"/>
      <c r="E20" s="51"/>
      <c r="F20" s="53">
        <v>117</v>
      </c>
      <c r="G20" s="53">
        <v>118</v>
      </c>
      <c r="H20" s="53">
        <v>119</v>
      </c>
      <c r="I20" s="53">
        <v>120</v>
      </c>
      <c r="J20" s="53">
        <v>121</v>
      </c>
    </row>
    <row r="21" spans="2:11" s="12" customFormat="1" ht="15" x14ac:dyDescent="0.2">
      <c r="B21" s="12" t="s">
        <v>22</v>
      </c>
      <c r="C21" s="52"/>
      <c r="E21" s="51"/>
      <c r="F21" s="53">
        <v>29</v>
      </c>
      <c r="G21" s="53">
        <f>+F21*1.05</f>
        <v>30.450000000000003</v>
      </c>
      <c r="H21" s="53">
        <f>+F21*1.1</f>
        <v>31.900000000000002</v>
      </c>
      <c r="I21" s="53">
        <f>+F21*1.15</f>
        <v>33.349999999999994</v>
      </c>
      <c r="J21" s="53">
        <f>+F21*1.2</f>
        <v>34.799999999999997</v>
      </c>
    </row>
    <row r="22" spans="2:11" s="12" customFormat="1" ht="15" x14ac:dyDescent="0.2">
      <c r="B22" s="12" t="s">
        <v>23</v>
      </c>
      <c r="C22" s="52"/>
      <c r="E22" s="51"/>
      <c r="F22" s="53">
        <v>1</v>
      </c>
      <c r="G22" s="53">
        <v>1.05</v>
      </c>
      <c r="H22" s="53">
        <v>1.1000000000000001</v>
      </c>
      <c r="I22" s="53">
        <v>1.1499999999999999</v>
      </c>
      <c r="J22" s="53">
        <v>1.2</v>
      </c>
    </row>
    <row r="23" spans="2:11" x14ac:dyDescent="0.2">
      <c r="C23" s="5"/>
    </row>
    <row r="24" spans="2:11" x14ac:dyDescent="0.2">
      <c r="B24" s="6" t="s">
        <v>24</v>
      </c>
      <c r="F24" s="49">
        <f>+F19*F20</f>
        <v>117000</v>
      </c>
      <c r="G24" s="49">
        <f t="shared" ref="G24:J24" si="1">+G19*G20</f>
        <v>129800</v>
      </c>
      <c r="H24" s="49">
        <f t="shared" si="1"/>
        <v>142800</v>
      </c>
      <c r="I24" s="49">
        <f t="shared" si="1"/>
        <v>168000</v>
      </c>
      <c r="J24" s="49">
        <f t="shared" si="1"/>
        <v>193600</v>
      </c>
      <c r="K24" s="50">
        <f>SUM(F24:J24)</f>
        <v>751200</v>
      </c>
    </row>
    <row r="25" spans="2:11" x14ac:dyDescent="0.2">
      <c r="B25" s="6" t="s">
        <v>25</v>
      </c>
      <c r="F25" s="49">
        <v>12000</v>
      </c>
      <c r="G25" s="49">
        <v>13860</v>
      </c>
      <c r="H25" s="49">
        <v>15840</v>
      </c>
      <c r="I25" s="49">
        <v>19320</v>
      </c>
      <c r="J25" s="49">
        <v>23040</v>
      </c>
      <c r="K25" s="50">
        <f>SUM(F25:J25)</f>
        <v>84060</v>
      </c>
    </row>
    <row r="26" spans="2:11" x14ac:dyDescent="0.2">
      <c r="B26" s="6" t="s">
        <v>26</v>
      </c>
      <c r="F26" s="59">
        <f>+F19*F21</f>
        <v>29000</v>
      </c>
      <c r="G26" s="59">
        <f t="shared" ref="G26:J26" si="2">+G19*G21</f>
        <v>33495</v>
      </c>
      <c r="H26" s="59">
        <f t="shared" si="2"/>
        <v>38280</v>
      </c>
      <c r="I26" s="59">
        <f t="shared" si="2"/>
        <v>46689.999999999993</v>
      </c>
      <c r="J26" s="59">
        <f t="shared" si="2"/>
        <v>55679.999999999993</v>
      </c>
      <c r="K26" s="60">
        <f>SUM(F26:J26)</f>
        <v>203145</v>
      </c>
    </row>
    <row r="27" spans="2:11" s="10" customFormat="1" x14ac:dyDescent="0.2">
      <c r="B27" s="10" t="s">
        <v>27</v>
      </c>
      <c r="F27" s="50">
        <f>+F24-F25-F26</f>
        <v>76000</v>
      </c>
      <c r="G27" s="50">
        <f t="shared" ref="G27:K27" si="3">+G24-G25-G26</f>
        <v>82445</v>
      </c>
      <c r="H27" s="50">
        <f t="shared" si="3"/>
        <v>88680</v>
      </c>
      <c r="I27" s="50">
        <f t="shared" si="3"/>
        <v>101990</v>
      </c>
      <c r="J27" s="50">
        <f t="shared" si="3"/>
        <v>114880</v>
      </c>
      <c r="K27" s="50">
        <f t="shared" si="3"/>
        <v>463995</v>
      </c>
    </row>
    <row r="28" spans="2:11" x14ac:dyDescent="0.2">
      <c r="B28" s="6" t="s">
        <v>28</v>
      </c>
      <c r="F28" s="49">
        <v>8000</v>
      </c>
      <c r="G28" s="49">
        <v>9240</v>
      </c>
      <c r="H28" s="49">
        <v>10560</v>
      </c>
      <c r="I28" s="49">
        <v>12880</v>
      </c>
      <c r="J28" s="49">
        <v>15360</v>
      </c>
      <c r="K28" s="50">
        <f>SUM(F28:J28)</f>
        <v>56040</v>
      </c>
    </row>
    <row r="29" spans="2:11" x14ac:dyDescent="0.2">
      <c r="B29" s="6" t="s">
        <v>29</v>
      </c>
      <c r="F29" s="49">
        <f>+F19*F22</f>
        <v>1000</v>
      </c>
      <c r="G29" s="49">
        <f t="shared" ref="G29:J29" si="4">+G19*G22</f>
        <v>1155</v>
      </c>
      <c r="H29" s="49">
        <f t="shared" si="4"/>
        <v>1320</v>
      </c>
      <c r="I29" s="49">
        <f t="shared" si="4"/>
        <v>1609.9999999999998</v>
      </c>
      <c r="J29" s="49">
        <f t="shared" si="4"/>
        <v>1920</v>
      </c>
      <c r="K29" s="50">
        <f>SUM(F29:J29)</f>
        <v>7005</v>
      </c>
    </row>
    <row r="30" spans="2:11" x14ac:dyDescent="0.2">
      <c r="B30" s="6" t="s">
        <v>30</v>
      </c>
      <c r="F30" s="59">
        <f>+$C$4/5</f>
        <v>20000</v>
      </c>
      <c r="G30" s="59">
        <f>+$C$4/5</f>
        <v>20000</v>
      </c>
      <c r="H30" s="59">
        <f>+$C$4/5</f>
        <v>20000</v>
      </c>
      <c r="I30" s="59">
        <f>+$C$4/5</f>
        <v>20000</v>
      </c>
      <c r="J30" s="59">
        <f>+$C$4/5</f>
        <v>20000</v>
      </c>
      <c r="K30" s="60">
        <f>SUM(F30:J30)</f>
        <v>100000</v>
      </c>
    </row>
    <row r="31" spans="2:11" s="10" customFormat="1" x14ac:dyDescent="0.2">
      <c r="B31" s="10" t="s">
        <v>31</v>
      </c>
      <c r="F31" s="50">
        <f>+F27-F28-F29-F30</f>
        <v>47000</v>
      </c>
      <c r="G31" s="50">
        <f t="shared" ref="G31:K31" si="5">+G27-G28-G29-G30</f>
        <v>52050</v>
      </c>
      <c r="H31" s="50">
        <f t="shared" si="5"/>
        <v>56800</v>
      </c>
      <c r="I31" s="50">
        <f t="shared" si="5"/>
        <v>67500</v>
      </c>
      <c r="J31" s="50">
        <f t="shared" si="5"/>
        <v>77600</v>
      </c>
      <c r="K31" s="50">
        <f t="shared" si="5"/>
        <v>300950</v>
      </c>
    </row>
    <row r="32" spans="2:11" x14ac:dyDescent="0.2">
      <c r="B32" s="6" t="s">
        <v>32</v>
      </c>
      <c r="F32" s="59">
        <f t="shared" ref="F32:J32" si="6">F57</f>
        <v>17280</v>
      </c>
      <c r="G32" s="59">
        <f t="shared" si="6"/>
        <v>15132.999486946395</v>
      </c>
      <c r="H32" s="59">
        <f t="shared" si="6"/>
        <v>12470.718850759926</v>
      </c>
      <c r="I32" s="59">
        <f t="shared" si="6"/>
        <v>9169.4908618887039</v>
      </c>
      <c r="J32" s="59">
        <f t="shared" si="6"/>
        <v>5075.9681556883897</v>
      </c>
      <c r="K32" s="60">
        <f>SUM(F32:J32)</f>
        <v>59129.177355283413</v>
      </c>
    </row>
    <row r="33" spans="2:12" s="10" customFormat="1" x14ac:dyDescent="0.2">
      <c r="B33" s="10" t="s">
        <v>33</v>
      </c>
      <c r="F33" s="50">
        <f>+F31-F32</f>
        <v>29720</v>
      </c>
      <c r="G33" s="50">
        <f t="shared" ref="G33:K33" si="7">+G31-G32</f>
        <v>36917.000513053601</v>
      </c>
      <c r="H33" s="50">
        <f t="shared" si="7"/>
        <v>44329.281149240072</v>
      </c>
      <c r="I33" s="50">
        <f t="shared" si="7"/>
        <v>58330.509138111294</v>
      </c>
      <c r="J33" s="50">
        <f t="shared" si="7"/>
        <v>72524.031844311612</v>
      </c>
      <c r="K33" s="50">
        <f t="shared" si="7"/>
        <v>241820.82264471659</v>
      </c>
    </row>
    <row r="34" spans="2:12" x14ac:dyDescent="0.2">
      <c r="B34" s="6" t="s">
        <v>34</v>
      </c>
      <c r="F34" s="59">
        <f>+ROUND(F33*$C$10,0)</f>
        <v>9808</v>
      </c>
      <c r="G34" s="59">
        <f t="shared" ref="G34:J34" si="8">+ROUND(G33*$C$10,0)</f>
        <v>12183</v>
      </c>
      <c r="H34" s="59">
        <f t="shared" si="8"/>
        <v>14629</v>
      </c>
      <c r="I34" s="59">
        <f t="shared" si="8"/>
        <v>19249</v>
      </c>
      <c r="J34" s="59">
        <f t="shared" si="8"/>
        <v>23933</v>
      </c>
      <c r="K34" s="60">
        <f>SUM(F34:J34)</f>
        <v>79802</v>
      </c>
    </row>
    <row r="35" spans="2:12" s="10" customFormat="1" ht="17" thickBot="1" x14ac:dyDescent="0.25">
      <c r="B35" s="10" t="s">
        <v>35</v>
      </c>
      <c r="F35" s="61">
        <f>+F33-F34</f>
        <v>19912</v>
      </c>
      <c r="G35" s="61">
        <f t="shared" ref="G35:K35" si="9">+G33-G34</f>
        <v>24734.000513053601</v>
      </c>
      <c r="H35" s="61">
        <f t="shared" si="9"/>
        <v>29700.281149240072</v>
      </c>
      <c r="I35" s="61">
        <f t="shared" si="9"/>
        <v>39081.509138111294</v>
      </c>
      <c r="J35" s="61">
        <f t="shared" si="9"/>
        <v>48591.031844311612</v>
      </c>
      <c r="K35" s="61">
        <f t="shared" si="9"/>
        <v>162018.82264471659</v>
      </c>
    </row>
    <row r="36" spans="2:12" ht="17" thickTop="1" x14ac:dyDescent="0.2"/>
    <row r="37" spans="2:12" s="40" customFormat="1" x14ac:dyDescent="0.2">
      <c r="B37" s="40" t="s">
        <v>36</v>
      </c>
    </row>
    <row r="38" spans="2:12" s="47" customFormat="1" x14ac:dyDescent="0.2">
      <c r="E38" s="48">
        <v>0</v>
      </c>
      <c r="F38" s="48">
        <v>1</v>
      </c>
      <c r="G38" s="48">
        <v>2</v>
      </c>
      <c r="H38" s="48">
        <v>3</v>
      </c>
      <c r="I38" s="48">
        <v>4</v>
      </c>
      <c r="J38" s="48">
        <v>5</v>
      </c>
      <c r="K38" s="48" t="s">
        <v>21</v>
      </c>
    </row>
    <row r="39" spans="2:12" s="10" customFormat="1" x14ac:dyDescent="0.2">
      <c r="B39" s="10" t="s">
        <v>35</v>
      </c>
      <c r="F39" s="50">
        <f t="shared" ref="F39:J39" si="10">F35</f>
        <v>19912</v>
      </c>
      <c r="G39" s="50">
        <f t="shared" si="10"/>
        <v>24734.000513053601</v>
      </c>
      <c r="H39" s="50">
        <f t="shared" si="10"/>
        <v>29700.281149240072</v>
      </c>
      <c r="I39" s="50">
        <f t="shared" si="10"/>
        <v>39081.509138111294</v>
      </c>
      <c r="J39" s="50">
        <f t="shared" si="10"/>
        <v>48591.031844311612</v>
      </c>
      <c r="K39" s="50">
        <f>SUM(E39:J39)</f>
        <v>162018.82264471659</v>
      </c>
    </row>
    <row r="40" spans="2:12" x14ac:dyDescent="0.2">
      <c r="B40" s="6" t="s">
        <v>37</v>
      </c>
      <c r="F40" s="49">
        <f>+F30</f>
        <v>20000</v>
      </c>
      <c r="G40" s="49">
        <f t="shared" ref="G40:J40" si="11">+G30</f>
        <v>20000</v>
      </c>
      <c r="H40" s="49">
        <f t="shared" si="11"/>
        <v>20000</v>
      </c>
      <c r="I40" s="49">
        <f t="shared" si="11"/>
        <v>20000</v>
      </c>
      <c r="J40" s="49">
        <f t="shared" si="11"/>
        <v>20000</v>
      </c>
      <c r="K40" s="50">
        <f t="shared" ref="K40:K41" si="12">SUM(E40:J40)</f>
        <v>100000</v>
      </c>
    </row>
    <row r="41" spans="2:12" x14ac:dyDescent="0.2">
      <c r="B41" s="6" t="s">
        <v>38</v>
      </c>
      <c r="E41" s="62">
        <f>-SUM(C4:C5)</f>
        <v>-120000</v>
      </c>
      <c r="F41" s="46"/>
      <c r="G41" s="46"/>
      <c r="H41" s="46"/>
      <c r="I41" s="46"/>
      <c r="J41" s="46"/>
      <c r="K41" s="63">
        <f t="shared" si="12"/>
        <v>-120000</v>
      </c>
    </row>
    <row r="42" spans="2:12" s="10" customFormat="1" ht="17" thickBot="1" x14ac:dyDescent="0.25">
      <c r="B42" s="10" t="s">
        <v>39</v>
      </c>
      <c r="E42" s="54">
        <f>SUM(E39:E41)</f>
        <v>-120000</v>
      </c>
      <c r="F42" s="54">
        <f t="shared" ref="F42:K42" si="13">SUM(F39:F41)</f>
        <v>39912</v>
      </c>
      <c r="G42" s="54">
        <f t="shared" si="13"/>
        <v>44734.000513053601</v>
      </c>
      <c r="H42" s="54">
        <f t="shared" si="13"/>
        <v>49700.281149240072</v>
      </c>
      <c r="I42" s="54">
        <f t="shared" si="13"/>
        <v>59081.509138111294</v>
      </c>
      <c r="J42" s="54">
        <f t="shared" si="13"/>
        <v>68591.031844311612</v>
      </c>
      <c r="K42" s="54">
        <f t="shared" si="13"/>
        <v>142018.82264471659</v>
      </c>
    </row>
    <row r="43" spans="2:12" s="10" customFormat="1" ht="17" thickBot="1" x14ac:dyDescent="0.25">
      <c r="B43" s="10" t="s">
        <v>40</v>
      </c>
      <c r="E43" s="54">
        <f>+E42</f>
        <v>-120000</v>
      </c>
      <c r="F43" s="54">
        <f>+F42/((1+$C$64)^F38)</f>
        <v>35367.928541046364</v>
      </c>
      <c r="G43" s="54">
        <f>+G42/((1+$C$64)^G38)</f>
        <v>35127.723478467</v>
      </c>
      <c r="H43" s="54">
        <f>+H42/((1+$C$64)^H38)</f>
        <v>34584.161134646733</v>
      </c>
      <c r="I43" s="54">
        <f>+I42/((1+$C$64)^I38)</f>
        <v>36431.421248788036</v>
      </c>
      <c r="J43" s="54">
        <f>+J42/((1+$C$64)^J38)</f>
        <v>37479.863771482254</v>
      </c>
      <c r="K43" s="66">
        <f>SUM(E43:J43)</f>
        <v>58991.098174430386</v>
      </c>
      <c r="L43" s="5" t="s">
        <v>41</v>
      </c>
    </row>
    <row r="44" spans="2:12" ht="17" thickBot="1" x14ac:dyDescent="0.25"/>
    <row r="45" spans="2:12" s="10" customFormat="1" ht="17" thickBot="1" x14ac:dyDescent="0.25">
      <c r="B45" s="10" t="s">
        <v>40</v>
      </c>
      <c r="E45" s="54">
        <f>+E42</f>
        <v>-120000</v>
      </c>
      <c r="F45" s="54">
        <f>+F42/((1+$C$50)^F38)</f>
        <v>30701.538461538461</v>
      </c>
      <c r="G45" s="54">
        <f>+G42/((1+$C$50)^G38)</f>
        <v>26469.822788789112</v>
      </c>
      <c r="H45" s="54">
        <f>+H42/((1+$C$50)^H38)</f>
        <v>22621.884910896704</v>
      </c>
      <c r="I45" s="54">
        <f>+I42/((1+$C$50)^I38)</f>
        <v>20686.078617034167</v>
      </c>
      <c r="J45" s="54">
        <f>+J42/((1+$C$50)^J38)</f>
        <v>18473.55911485312</v>
      </c>
      <c r="K45" s="66">
        <f>SUM(E45:J45)</f>
        <v>-1047.1161068884285</v>
      </c>
      <c r="L45" s="5" t="s">
        <v>41</v>
      </c>
    </row>
    <row r="47" spans="2:12" ht="17" thickBot="1" x14ac:dyDescent="0.25">
      <c r="B47" s="40" t="s">
        <v>42</v>
      </c>
    </row>
    <row r="48" spans="2:12" ht="17" thickBot="1" x14ac:dyDescent="0.25">
      <c r="B48" s="6" t="s">
        <v>43</v>
      </c>
      <c r="C48" s="82">
        <f>+C64</f>
        <v>0.12847999999999998</v>
      </c>
    </row>
    <row r="49" spans="2:11" x14ac:dyDescent="0.2">
      <c r="B49" s="6" t="s">
        <v>44</v>
      </c>
      <c r="C49" s="7">
        <f>+K43</f>
        <v>58991.098174430386</v>
      </c>
    </row>
    <row r="50" spans="2:11" x14ac:dyDescent="0.2">
      <c r="B50" s="6" t="s">
        <v>45</v>
      </c>
      <c r="C50" s="80">
        <v>0.3</v>
      </c>
    </row>
    <row r="51" spans="2:11" ht="17" thickBot="1" x14ac:dyDescent="0.25">
      <c r="B51" s="6" t="s">
        <v>46</v>
      </c>
      <c r="C51" s="7">
        <f>+K45</f>
        <v>-1047.1161068884285</v>
      </c>
    </row>
    <row r="52" spans="2:11" ht="17" thickBot="1" x14ac:dyDescent="0.25">
      <c r="B52" s="10" t="s">
        <v>47</v>
      </c>
      <c r="C52" s="81">
        <f>+C48+(C49*(C50-C48)/(C49-C51))</f>
        <v>0.29700854935804799</v>
      </c>
    </row>
    <row r="54" spans="2:11" s="40" customFormat="1" x14ac:dyDescent="0.2">
      <c r="B54" s="40" t="s">
        <v>48</v>
      </c>
    </row>
    <row r="55" spans="2:11" s="47" customFormat="1" x14ac:dyDescent="0.2">
      <c r="E55" s="48"/>
      <c r="F55" s="48">
        <v>1</v>
      </c>
      <c r="G55" s="48">
        <v>2</v>
      </c>
      <c r="H55" s="48">
        <v>3</v>
      </c>
      <c r="I55" s="48">
        <v>4</v>
      </c>
      <c r="J55" s="48">
        <v>5</v>
      </c>
      <c r="K55" s="48" t="s">
        <v>21</v>
      </c>
    </row>
    <row r="56" spans="2:11" x14ac:dyDescent="0.2">
      <c r="B56" s="6" t="s">
        <v>49</v>
      </c>
      <c r="C56" s="7">
        <f>SUM(C4:C5)*C12</f>
        <v>72000</v>
      </c>
      <c r="E56" s="6" t="s">
        <v>50</v>
      </c>
      <c r="F56" s="7">
        <v>72000</v>
      </c>
      <c r="G56" s="7">
        <f>+F56-F58</f>
        <v>63054.164528943315</v>
      </c>
      <c r="H56" s="7">
        <f t="shared" ref="H56:J56" si="14">+G56-G58</f>
        <v>51961.328544833028</v>
      </c>
      <c r="I56" s="7">
        <f t="shared" si="14"/>
        <v>38206.21192453627</v>
      </c>
      <c r="J56" s="7">
        <f t="shared" si="14"/>
        <v>21149.86731536829</v>
      </c>
      <c r="K56" s="54">
        <f>SUM(F56:J56)</f>
        <v>246371.5723136809</v>
      </c>
    </row>
    <row r="57" spans="2:11" x14ac:dyDescent="0.2">
      <c r="B57" s="6" t="s">
        <v>51</v>
      </c>
      <c r="C57" s="8">
        <v>0.24</v>
      </c>
      <c r="E57" s="55" t="s">
        <v>52</v>
      </c>
      <c r="F57" s="56">
        <f>+F56*$C$57</f>
        <v>17280</v>
      </c>
      <c r="G57" s="56">
        <f>+G56*$C$57</f>
        <v>15132.999486946395</v>
      </c>
      <c r="H57" s="56">
        <f t="shared" ref="H57:J57" si="15">+H56*$C$57</f>
        <v>12470.718850759926</v>
      </c>
      <c r="I57" s="56">
        <f t="shared" si="15"/>
        <v>9169.4908618887039</v>
      </c>
      <c r="J57" s="56">
        <f t="shared" si="15"/>
        <v>5075.9681556883897</v>
      </c>
      <c r="K57" s="57">
        <f t="shared" ref="K57:K58" si="16">SUM(F57:J57)</f>
        <v>59129.177355283413</v>
      </c>
    </row>
    <row r="58" spans="2:11" ht="17" thickBot="1" x14ac:dyDescent="0.25">
      <c r="B58" s="6" t="s">
        <v>53</v>
      </c>
      <c r="C58" s="7">
        <v>5</v>
      </c>
      <c r="E58" s="6" t="s">
        <v>54</v>
      </c>
      <c r="F58" s="7">
        <f>+$C$59-F57</f>
        <v>8945.8354710566855</v>
      </c>
      <c r="G58" s="7">
        <f>+$C$59-G57</f>
        <v>11092.83598411029</v>
      </c>
      <c r="H58" s="7">
        <f t="shared" ref="H58:J58" si="17">+$C$59-H57</f>
        <v>13755.11662029676</v>
      </c>
      <c r="I58" s="7">
        <f t="shared" si="17"/>
        <v>17056.34460916798</v>
      </c>
      <c r="J58" s="7">
        <f t="shared" si="17"/>
        <v>21149.867315368298</v>
      </c>
      <c r="K58" s="54">
        <f t="shared" si="16"/>
        <v>72000.000000000015</v>
      </c>
    </row>
    <row r="59" spans="2:11" ht="17" thickBot="1" x14ac:dyDescent="0.25">
      <c r="B59" s="10" t="s">
        <v>55</v>
      </c>
      <c r="C59" s="58">
        <f>-PMT(C57,C58,C56)</f>
        <v>26225.835471056685</v>
      </c>
    </row>
    <row r="61" spans="2:11" s="40" customFormat="1" x14ac:dyDescent="0.2">
      <c r="B61" s="40" t="s">
        <v>56</v>
      </c>
    </row>
    <row r="62" spans="2:11" s="10" customFormat="1" x14ac:dyDescent="0.2">
      <c r="B62" s="10" t="s">
        <v>57</v>
      </c>
    </row>
    <row r="63" spans="2:11" ht="17" thickBot="1" x14ac:dyDescent="0.25">
      <c r="B63" s="6" t="s">
        <v>58</v>
      </c>
    </row>
    <row r="64" spans="2:11" ht="17" thickBot="1" x14ac:dyDescent="0.25">
      <c r="B64" s="65" t="s">
        <v>59</v>
      </c>
      <c r="C64" s="64">
        <f>(40%*8%)+(60%*24%*(1-33%))</f>
        <v>0.12847999999999998</v>
      </c>
    </row>
  </sheetData>
  <mergeCells count="3">
    <mergeCell ref="E2:F2"/>
    <mergeCell ref="G2:H2"/>
    <mergeCell ref="I2:K2"/>
  </mergeCells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showGridLines="0" topLeftCell="A82" zoomScale="130" zoomScaleNormal="130" workbookViewId="0">
      <selection activeCell="A9" sqref="A9:G12"/>
    </sheetView>
  </sheetViews>
  <sheetFormatPr baseColWidth="10" defaultColWidth="11.5" defaultRowHeight="15" x14ac:dyDescent="0.2"/>
  <cols>
    <col min="1" max="1" width="11.5" style="28"/>
    <col min="2" max="2" width="13.5" style="28" bestFit="1" customWidth="1"/>
    <col min="3" max="3" width="13.33203125" style="30" bestFit="1" customWidth="1"/>
    <col min="4" max="4" width="14.5" style="30" bestFit="1" customWidth="1"/>
    <col min="5" max="10" width="13.6640625" style="30" bestFit="1" customWidth="1"/>
    <col min="11" max="16384" width="11.5" style="30"/>
  </cols>
  <sheetData>
    <row r="1" spans="1:8" x14ac:dyDescent="0.2">
      <c r="A1" s="135" t="s">
        <v>60</v>
      </c>
      <c r="B1" s="135"/>
      <c r="C1" s="135"/>
      <c r="D1" s="135"/>
      <c r="E1" s="135"/>
      <c r="F1" s="135"/>
      <c r="G1" s="135"/>
      <c r="H1" s="135"/>
    </row>
    <row r="2" spans="1:8" x14ac:dyDescent="0.2">
      <c r="A2" s="135"/>
      <c r="B2" s="135"/>
      <c r="C2" s="135"/>
      <c r="D2" s="135"/>
      <c r="E2" s="135"/>
      <c r="F2" s="135"/>
      <c r="G2" s="135"/>
      <c r="H2" s="135"/>
    </row>
    <row r="3" spans="1:8" x14ac:dyDescent="0.2">
      <c r="A3" s="135" t="s">
        <v>61</v>
      </c>
      <c r="B3" s="135"/>
      <c r="C3" s="135"/>
      <c r="D3" s="135"/>
      <c r="E3" s="135"/>
      <c r="F3" s="135"/>
      <c r="G3" s="135"/>
      <c r="H3" s="135"/>
    </row>
    <row r="4" spans="1:8" x14ac:dyDescent="0.2">
      <c r="A4" s="135"/>
      <c r="B4" s="135"/>
      <c r="C4" s="135"/>
      <c r="D4" s="135"/>
      <c r="E4" s="135"/>
      <c r="F4" s="135"/>
      <c r="G4" s="135"/>
      <c r="H4" s="135"/>
    </row>
    <row r="5" spans="1:8" x14ac:dyDescent="0.2">
      <c r="A5" s="135"/>
      <c r="B5" s="135"/>
      <c r="C5" s="135"/>
      <c r="D5" s="135"/>
      <c r="E5" s="135"/>
      <c r="F5" s="135"/>
      <c r="G5" s="135"/>
      <c r="H5" s="135"/>
    </row>
    <row r="6" spans="1:8" ht="6" customHeight="1" x14ac:dyDescent="0.2">
      <c r="C6" s="29"/>
    </row>
    <row r="7" spans="1:8" x14ac:dyDescent="0.2">
      <c r="A7" s="135" t="s">
        <v>62</v>
      </c>
      <c r="B7" s="135"/>
      <c r="C7" s="135"/>
      <c r="D7" s="135"/>
      <c r="E7" s="135"/>
      <c r="F7" s="135"/>
      <c r="G7" s="135"/>
      <c r="H7" s="135"/>
    </row>
    <row r="8" spans="1:8" x14ac:dyDescent="0.2">
      <c r="A8" s="135"/>
      <c r="B8" s="135"/>
      <c r="C8" s="135"/>
      <c r="D8" s="135"/>
      <c r="E8" s="135"/>
      <c r="F8" s="135"/>
      <c r="G8" s="135"/>
      <c r="H8" s="135"/>
    </row>
    <row r="9" spans="1:8" s="35" customFormat="1" x14ac:dyDescent="0.2">
      <c r="C9" s="36">
        <v>1</v>
      </c>
      <c r="D9" s="35">
        <v>2</v>
      </c>
      <c r="E9" s="35">
        <v>3</v>
      </c>
      <c r="F9" s="35">
        <v>4</v>
      </c>
      <c r="G9" s="35">
        <v>5</v>
      </c>
    </row>
    <row r="10" spans="1:8" x14ac:dyDescent="0.2">
      <c r="A10" s="28" t="s">
        <v>24</v>
      </c>
      <c r="C10" s="37">
        <v>169000000</v>
      </c>
      <c r="D10" s="37">
        <v>172000000</v>
      </c>
      <c r="E10" s="37">
        <v>175000000</v>
      </c>
      <c r="F10" s="37">
        <v>189000000</v>
      </c>
      <c r="G10" s="37">
        <v>195000000</v>
      </c>
    </row>
    <row r="11" spans="1:8" x14ac:dyDescent="0.2">
      <c r="A11" s="28" t="s">
        <v>9</v>
      </c>
      <c r="C11" s="37">
        <v>51000000</v>
      </c>
      <c r="D11" s="37">
        <v>57000000</v>
      </c>
      <c r="E11" s="37">
        <v>60000000</v>
      </c>
      <c r="F11" s="37">
        <v>68000000</v>
      </c>
      <c r="G11" s="37">
        <v>72000000</v>
      </c>
    </row>
    <row r="12" spans="1:8" x14ac:dyDescent="0.2">
      <c r="A12" s="28" t="s">
        <v>8</v>
      </c>
      <c r="C12" s="37">
        <v>53000000</v>
      </c>
      <c r="D12" s="37">
        <v>54500000</v>
      </c>
      <c r="E12" s="37">
        <v>61500000</v>
      </c>
      <c r="F12" s="37">
        <v>63800000</v>
      </c>
      <c r="G12" s="37">
        <v>76000000</v>
      </c>
    </row>
    <row r="13" spans="1:8" x14ac:dyDescent="0.2">
      <c r="C13" s="29"/>
    </row>
    <row r="14" spans="1:8" x14ac:dyDescent="0.2">
      <c r="A14" s="28" t="s">
        <v>63</v>
      </c>
      <c r="C14" s="29"/>
    </row>
    <row r="15" spans="1:8" x14ac:dyDescent="0.2">
      <c r="A15" s="28" t="s">
        <v>64</v>
      </c>
      <c r="C15" s="29"/>
    </row>
    <row r="16" spans="1:8" x14ac:dyDescent="0.2">
      <c r="C16" s="29"/>
    </row>
    <row r="17" spans="1:9" s="34" customFormat="1" x14ac:dyDescent="0.2">
      <c r="A17" s="38" t="s">
        <v>65</v>
      </c>
      <c r="B17" s="32" t="s">
        <v>66</v>
      </c>
    </row>
    <row r="18" spans="1:9" s="34" customFormat="1" x14ac:dyDescent="0.2">
      <c r="A18" s="38" t="s">
        <v>67</v>
      </c>
      <c r="B18" s="33" t="s">
        <v>68</v>
      </c>
    </row>
    <row r="19" spans="1:9" s="34" customFormat="1" x14ac:dyDescent="0.2">
      <c r="A19" s="38" t="s">
        <v>69</v>
      </c>
      <c r="B19" s="34" t="s">
        <v>70</v>
      </c>
    </row>
    <row r="20" spans="1:9" s="34" customFormat="1" x14ac:dyDescent="0.2">
      <c r="A20" s="38" t="s">
        <v>71</v>
      </c>
      <c r="B20" s="34" t="s">
        <v>72</v>
      </c>
    </row>
    <row r="21" spans="1:9" x14ac:dyDescent="0.2">
      <c r="C21" s="31"/>
    </row>
    <row r="22" spans="1:9" x14ac:dyDescent="0.2">
      <c r="A22" s="67" t="s">
        <v>73</v>
      </c>
    </row>
    <row r="23" spans="1:9" s="35" customFormat="1" x14ac:dyDescent="0.2">
      <c r="D23" s="36">
        <v>0</v>
      </c>
      <c r="E23" s="36">
        <v>1</v>
      </c>
      <c r="F23" s="35">
        <v>2</v>
      </c>
      <c r="G23" s="35">
        <v>3</v>
      </c>
      <c r="H23" s="35">
        <v>4</v>
      </c>
      <c r="I23" s="35">
        <v>5</v>
      </c>
    </row>
    <row r="24" spans="1:9" s="84" customFormat="1" x14ac:dyDescent="0.2">
      <c r="A24" s="83" t="s">
        <v>24</v>
      </c>
      <c r="B24" s="83"/>
      <c r="D24" s="14"/>
      <c r="E24" s="14">
        <v>169000000</v>
      </c>
      <c r="F24" s="14">
        <v>172000000</v>
      </c>
      <c r="G24" s="14">
        <v>175000000</v>
      </c>
      <c r="H24" s="14">
        <v>189000000</v>
      </c>
      <c r="I24" s="14">
        <v>195000000</v>
      </c>
    </row>
    <row r="25" spans="1:9" s="92" customFormat="1" x14ac:dyDescent="0.2">
      <c r="A25" s="91" t="s">
        <v>9</v>
      </c>
      <c r="B25" s="91"/>
      <c r="D25" s="77"/>
      <c r="E25" s="76">
        <v>51000000</v>
      </c>
      <c r="F25" s="76">
        <v>57000000</v>
      </c>
      <c r="G25" s="76">
        <v>60000000</v>
      </c>
      <c r="H25" s="76">
        <v>68000000</v>
      </c>
      <c r="I25" s="76">
        <v>72000000</v>
      </c>
    </row>
    <row r="26" spans="1:9" s="86" customFormat="1" x14ac:dyDescent="0.2">
      <c r="A26" s="85" t="s">
        <v>27</v>
      </c>
      <c r="B26" s="85"/>
      <c r="D26" s="68"/>
      <c r="E26" s="68">
        <f>+E24-E25</f>
        <v>118000000</v>
      </c>
      <c r="F26" s="68">
        <f t="shared" ref="F26:I26" si="0">+F24-F25</f>
        <v>115000000</v>
      </c>
      <c r="G26" s="68">
        <f t="shared" si="0"/>
        <v>115000000</v>
      </c>
      <c r="H26" s="68">
        <f t="shared" si="0"/>
        <v>121000000</v>
      </c>
      <c r="I26" s="68">
        <f t="shared" si="0"/>
        <v>123000000</v>
      </c>
    </row>
    <row r="27" spans="1:9" s="92" customFormat="1" x14ac:dyDescent="0.2">
      <c r="A27" s="91" t="s">
        <v>8</v>
      </c>
      <c r="B27" s="91"/>
      <c r="D27" s="77"/>
      <c r="E27" s="77">
        <v>53000000</v>
      </c>
      <c r="F27" s="77">
        <v>54500000</v>
      </c>
      <c r="G27" s="77">
        <v>61500000</v>
      </c>
      <c r="H27" s="77">
        <v>63800000</v>
      </c>
      <c r="I27" s="77">
        <v>76000000</v>
      </c>
    </row>
    <row r="28" spans="1:9" x14ac:dyDescent="0.2">
      <c r="A28" s="28" t="s">
        <v>30</v>
      </c>
      <c r="E28" s="71">
        <v>17040000</v>
      </c>
      <c r="F28" s="71">
        <v>17040000</v>
      </c>
      <c r="G28" s="71">
        <v>17040000</v>
      </c>
      <c r="H28" s="71">
        <v>17040000</v>
      </c>
      <c r="I28" s="71">
        <v>17040000</v>
      </c>
    </row>
    <row r="29" spans="1:9" s="34" customFormat="1" x14ac:dyDescent="0.2">
      <c r="A29" s="32" t="s">
        <v>31</v>
      </c>
      <c r="B29" s="32"/>
      <c r="E29" s="70">
        <f>+E26-E27-E28</f>
        <v>47960000</v>
      </c>
      <c r="F29" s="70">
        <f t="shared" ref="F29:I29" si="1">+F26-F27-F28</f>
        <v>43460000</v>
      </c>
      <c r="G29" s="70">
        <f t="shared" si="1"/>
        <v>36460000</v>
      </c>
      <c r="H29" s="70">
        <f t="shared" si="1"/>
        <v>40160000</v>
      </c>
      <c r="I29" s="70">
        <f t="shared" si="1"/>
        <v>29960000</v>
      </c>
    </row>
    <row r="30" spans="1:9" s="75" customFormat="1" x14ac:dyDescent="0.2">
      <c r="A30" s="74" t="s">
        <v>32</v>
      </c>
      <c r="B30" s="74"/>
      <c r="E30" s="76">
        <v>0</v>
      </c>
      <c r="F30" s="76">
        <v>0</v>
      </c>
      <c r="G30" s="76">
        <v>0</v>
      </c>
      <c r="H30" s="76">
        <v>0</v>
      </c>
      <c r="I30" s="76">
        <v>0</v>
      </c>
    </row>
    <row r="31" spans="1:9" s="34" customFormat="1" x14ac:dyDescent="0.2">
      <c r="A31" s="32" t="s">
        <v>33</v>
      </c>
      <c r="B31" s="32"/>
      <c r="E31" s="70">
        <f>+E29-E30</f>
        <v>47960000</v>
      </c>
      <c r="F31" s="70">
        <f t="shared" ref="F31:I31" si="2">+F29-F30</f>
        <v>43460000</v>
      </c>
      <c r="G31" s="70">
        <f t="shared" si="2"/>
        <v>36460000</v>
      </c>
      <c r="H31" s="70">
        <f t="shared" si="2"/>
        <v>40160000</v>
      </c>
      <c r="I31" s="70">
        <f t="shared" si="2"/>
        <v>29960000</v>
      </c>
    </row>
    <row r="32" spans="1:9" s="75" customFormat="1" x14ac:dyDescent="0.2">
      <c r="A32" s="74" t="s">
        <v>34</v>
      </c>
      <c r="B32" s="74"/>
      <c r="C32" s="78">
        <v>0.33</v>
      </c>
      <c r="E32" s="76">
        <f>ROUND(E31*$C$32,0)</f>
        <v>15826800</v>
      </c>
      <c r="F32" s="76">
        <f t="shared" ref="F32:I32" si="3">ROUND(F31*$C$32,0)</f>
        <v>14341800</v>
      </c>
      <c r="G32" s="76">
        <f t="shared" si="3"/>
        <v>12031800</v>
      </c>
      <c r="H32" s="76">
        <f t="shared" si="3"/>
        <v>13252800</v>
      </c>
      <c r="I32" s="76">
        <f t="shared" si="3"/>
        <v>9886800</v>
      </c>
    </row>
    <row r="33" spans="1:9" s="34" customFormat="1" ht="16" thickBot="1" x14ac:dyDescent="0.25">
      <c r="A33" s="32" t="s">
        <v>74</v>
      </c>
      <c r="B33" s="32"/>
      <c r="E33" s="72">
        <f>+E31-E32</f>
        <v>32133200</v>
      </c>
      <c r="F33" s="72">
        <f t="shared" ref="F33:I33" si="4">+F31-F32</f>
        <v>29118200</v>
      </c>
      <c r="G33" s="72">
        <f t="shared" si="4"/>
        <v>24428200</v>
      </c>
      <c r="H33" s="72">
        <f t="shared" si="4"/>
        <v>26907200</v>
      </c>
      <c r="I33" s="72">
        <f t="shared" si="4"/>
        <v>20073200</v>
      </c>
    </row>
    <row r="34" spans="1:9" ht="16" thickTop="1" x14ac:dyDescent="0.2"/>
    <row r="35" spans="1:9" x14ac:dyDescent="0.2">
      <c r="A35" s="28" t="s">
        <v>75</v>
      </c>
    </row>
    <row r="37" spans="1:9" x14ac:dyDescent="0.2">
      <c r="A37" s="67" t="s">
        <v>36</v>
      </c>
    </row>
    <row r="38" spans="1:9" s="35" customFormat="1" x14ac:dyDescent="0.2">
      <c r="D38" s="36">
        <v>0</v>
      </c>
      <c r="E38" s="36">
        <v>1</v>
      </c>
      <c r="F38" s="35">
        <v>2</v>
      </c>
      <c r="G38" s="35">
        <v>3</v>
      </c>
      <c r="H38" s="35">
        <v>4</v>
      </c>
      <c r="I38" s="35">
        <v>5</v>
      </c>
    </row>
    <row r="39" spans="1:9" x14ac:dyDescent="0.2">
      <c r="A39" s="28" t="s">
        <v>35</v>
      </c>
      <c r="E39" s="69">
        <f>+E33</f>
        <v>32133200</v>
      </c>
      <c r="F39" s="69">
        <f t="shared" ref="F39:I39" si="5">+F33</f>
        <v>29118200</v>
      </c>
      <c r="G39" s="69">
        <f t="shared" si="5"/>
        <v>24428200</v>
      </c>
      <c r="H39" s="69">
        <f t="shared" si="5"/>
        <v>26907200</v>
      </c>
      <c r="I39" s="69">
        <f t="shared" si="5"/>
        <v>20073200</v>
      </c>
    </row>
    <row r="40" spans="1:9" x14ac:dyDescent="0.2">
      <c r="A40" s="28" t="s">
        <v>37</v>
      </c>
      <c r="E40" s="69">
        <f>+E28</f>
        <v>17040000</v>
      </c>
      <c r="F40" s="69">
        <f t="shared" ref="F40:I40" si="6">+F28</f>
        <v>17040000</v>
      </c>
      <c r="G40" s="69">
        <f t="shared" si="6"/>
        <v>17040000</v>
      </c>
      <c r="H40" s="69">
        <f t="shared" si="6"/>
        <v>17040000</v>
      </c>
      <c r="I40" s="69">
        <f t="shared" si="6"/>
        <v>17040000</v>
      </c>
    </row>
    <row r="41" spans="1:9" s="75" customFormat="1" x14ac:dyDescent="0.2">
      <c r="A41" s="74" t="s">
        <v>38</v>
      </c>
      <c r="B41" s="74"/>
      <c r="D41" s="93">
        <v>-142000000</v>
      </c>
      <c r="E41" s="94"/>
      <c r="F41" s="94"/>
      <c r="G41" s="94"/>
      <c r="H41" s="94"/>
      <c r="I41" s="94"/>
    </row>
    <row r="42" spans="1:9" s="34" customFormat="1" x14ac:dyDescent="0.2">
      <c r="A42" s="32" t="s">
        <v>39</v>
      </c>
      <c r="B42" s="32"/>
      <c r="D42" s="70">
        <f>SUM(D39:D41)</f>
        <v>-142000000</v>
      </c>
      <c r="E42" s="70">
        <f t="shared" ref="E42:I42" si="7">SUM(E39:E41)</f>
        <v>49173200</v>
      </c>
      <c r="F42" s="70">
        <f t="shared" si="7"/>
        <v>46158200</v>
      </c>
      <c r="G42" s="70">
        <f t="shared" si="7"/>
        <v>41468200</v>
      </c>
      <c r="H42" s="70">
        <f t="shared" si="7"/>
        <v>43947200</v>
      </c>
      <c r="I42" s="70">
        <f t="shared" si="7"/>
        <v>37113200</v>
      </c>
    </row>
    <row r="43" spans="1:9" ht="16" thickBot="1" x14ac:dyDescent="0.25">
      <c r="A43" s="32" t="s">
        <v>40</v>
      </c>
      <c r="C43" s="88">
        <v>0.15</v>
      </c>
      <c r="D43" s="69">
        <f>+D42</f>
        <v>-142000000</v>
      </c>
      <c r="E43" s="69">
        <f>+E42/((1+$C$43)^E38)</f>
        <v>42759304.347826093</v>
      </c>
      <c r="F43" s="69">
        <f t="shared" ref="F43:I43" si="8">+F42/((1+$C$43)^F38)</f>
        <v>34902230.623818532</v>
      </c>
      <c r="G43" s="69">
        <f t="shared" si="8"/>
        <v>27266014.629736181</v>
      </c>
      <c r="H43" s="69">
        <f t="shared" si="8"/>
        <v>25126954.234726157</v>
      </c>
      <c r="I43" s="69">
        <f t="shared" si="8"/>
        <v>18451819.612472493</v>
      </c>
    </row>
    <row r="44" spans="1:9" ht="16" thickBot="1" x14ac:dyDescent="0.25">
      <c r="A44" s="32" t="s">
        <v>41</v>
      </c>
      <c r="C44" s="87"/>
      <c r="D44" s="73">
        <f>SUM(D43:I43)</f>
        <v>6506323.4485794604</v>
      </c>
    </row>
    <row r="45" spans="1:9" x14ac:dyDescent="0.2">
      <c r="C45" s="87"/>
    </row>
    <row r="46" spans="1:9" ht="16" thickBot="1" x14ac:dyDescent="0.25">
      <c r="A46" s="32" t="s">
        <v>40</v>
      </c>
      <c r="C46" s="88">
        <v>0.17499999999999999</v>
      </c>
      <c r="D46" s="69">
        <f>+D42</f>
        <v>-142000000</v>
      </c>
      <c r="E46" s="69">
        <f>+E42/((1+$C$46)^E38)</f>
        <v>41849531.914893612</v>
      </c>
      <c r="F46" s="69">
        <f t="shared" ref="F46:I46" si="9">+F42/((1+$C$46)^F38)</f>
        <v>33432829.334540512</v>
      </c>
      <c r="G46" s="69">
        <f t="shared" si="9"/>
        <v>25562397.541970465</v>
      </c>
      <c r="H46" s="69">
        <f t="shared" si="9"/>
        <v>23055775.982077509</v>
      </c>
      <c r="I46" s="69">
        <f t="shared" si="9"/>
        <v>16570631.860322116</v>
      </c>
    </row>
    <row r="47" spans="1:9" ht="16" thickBot="1" x14ac:dyDescent="0.25">
      <c r="A47" s="32" t="s">
        <v>41</v>
      </c>
      <c r="D47" s="90">
        <f>SUM(D46:I46)</f>
        <v>-1528833.3661957849</v>
      </c>
    </row>
    <row r="49" spans="1:10" x14ac:dyDescent="0.2">
      <c r="A49" s="67" t="s">
        <v>76</v>
      </c>
    </row>
    <row r="50" spans="1:10" x14ac:dyDescent="0.2">
      <c r="A50" s="28" t="s">
        <v>43</v>
      </c>
      <c r="C50" s="87">
        <f>+C43</f>
        <v>0.15</v>
      </c>
      <c r="E50" s="30" t="s">
        <v>45</v>
      </c>
      <c r="F50" s="87">
        <f>+C46</f>
        <v>0.17499999999999999</v>
      </c>
    </row>
    <row r="51" spans="1:10" ht="16" thickBot="1" x14ac:dyDescent="0.25">
      <c r="A51" s="28" t="s">
        <v>77</v>
      </c>
      <c r="C51" s="69">
        <f>+D44</f>
        <v>6506323.4485794604</v>
      </c>
      <c r="E51" s="30" t="s">
        <v>78</v>
      </c>
      <c r="F51" s="69">
        <f>+D47</f>
        <v>-1528833.3661957849</v>
      </c>
    </row>
    <row r="52" spans="1:10" ht="16" thickBot="1" x14ac:dyDescent="0.25">
      <c r="A52" s="32" t="s">
        <v>47</v>
      </c>
      <c r="C52" s="89">
        <f>+C50+(C51*(F50-C50)/(C51-F51))</f>
        <v>0.17024329953528558</v>
      </c>
    </row>
    <row r="53" spans="1:10" x14ac:dyDescent="0.2">
      <c r="C53" s="87"/>
    </row>
    <row r="54" spans="1:10" x14ac:dyDescent="0.2">
      <c r="A54" s="67" t="s">
        <v>79</v>
      </c>
    </row>
    <row r="55" spans="1:10" s="35" customFormat="1" x14ac:dyDescent="0.2">
      <c r="D55" s="36">
        <v>0</v>
      </c>
      <c r="E55" s="36">
        <v>1</v>
      </c>
      <c r="F55" s="35">
        <v>2</v>
      </c>
      <c r="G55" s="35">
        <v>3</v>
      </c>
      <c r="H55" s="35">
        <v>4</v>
      </c>
      <c r="I55" s="35">
        <v>5</v>
      </c>
    </row>
    <row r="56" spans="1:10" x14ac:dyDescent="0.2">
      <c r="A56" s="28" t="s">
        <v>24</v>
      </c>
      <c r="E56" s="69">
        <f>+E24/((1+$C$43)^E55)</f>
        <v>146956521.73913044</v>
      </c>
      <c r="F56" s="69">
        <f t="shared" ref="F56:I56" si="10">+F24/((1+$C$43)^F55)</f>
        <v>130056710.77504729</v>
      </c>
      <c r="G56" s="69">
        <f t="shared" si="10"/>
        <v>115065340.67559797</v>
      </c>
      <c r="H56" s="69">
        <f t="shared" si="10"/>
        <v>108061363.41708331</v>
      </c>
      <c r="I56" s="69">
        <f t="shared" si="10"/>
        <v>96949463.383166522</v>
      </c>
      <c r="J56" s="70">
        <f>SUM(E56:I56)</f>
        <v>597089399.99002552</v>
      </c>
    </row>
    <row r="57" spans="1:10" ht="16" thickBot="1" x14ac:dyDescent="0.25">
      <c r="A57" s="28" t="s">
        <v>80</v>
      </c>
      <c r="D57" s="69">
        <f>SUM(D25,D27,D30,D32,-D41)</f>
        <v>142000000</v>
      </c>
      <c r="E57" s="69">
        <f>SUM(E25,E27,E30,E32,E41)/((1+$C$43)^E55)</f>
        <v>104197217.39130436</v>
      </c>
      <c r="F57" s="69">
        <f t="shared" ref="F57:I57" si="11">SUM(F25,F27,F30,F32,F41)/((1+$C$43)^F55)</f>
        <v>95154480.151228756</v>
      </c>
      <c r="G57" s="69">
        <f t="shared" si="11"/>
        <v>87799326.045861781</v>
      </c>
      <c r="H57" s="69">
        <f t="shared" si="11"/>
        <v>82934409.182357147</v>
      </c>
      <c r="I57" s="69">
        <f t="shared" si="11"/>
        <v>78497643.770694032</v>
      </c>
      <c r="J57" s="70">
        <f>SUM(D57:I57)</f>
        <v>590583076.54144609</v>
      </c>
    </row>
    <row r="58" spans="1:10" ht="16" thickBot="1" x14ac:dyDescent="0.25">
      <c r="I58" s="35" t="s">
        <v>81</v>
      </c>
      <c r="J58" s="79">
        <f>+J56/J57</f>
        <v>1.011016779360969</v>
      </c>
    </row>
  </sheetData>
  <mergeCells count="3">
    <mergeCell ref="A1:H2"/>
    <mergeCell ref="A3:H5"/>
    <mergeCell ref="A7:H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8"/>
  <sheetViews>
    <sheetView showGridLines="0" topLeftCell="A19" zoomScale="120" zoomScaleNormal="120" workbookViewId="0"/>
  </sheetViews>
  <sheetFormatPr baseColWidth="10" defaultColWidth="11.5" defaultRowHeight="16" x14ac:dyDescent="0.2"/>
  <cols>
    <col min="1" max="1" width="1.5" style="1" customWidth="1"/>
    <col min="2" max="2" width="14.6640625" style="1" customWidth="1"/>
    <col min="3" max="3" width="15.1640625" style="1" bestFit="1" customWidth="1"/>
    <col min="4" max="9" width="14.1640625" style="1" customWidth="1"/>
    <col min="10" max="10" width="14.33203125" style="1" bestFit="1" customWidth="1"/>
    <col min="11" max="16384" width="11.5" style="1"/>
  </cols>
  <sheetData>
    <row r="2" spans="2:9" x14ac:dyDescent="0.2">
      <c r="B2" s="136" t="s">
        <v>82</v>
      </c>
      <c r="C2" s="136"/>
      <c r="D2" s="136"/>
      <c r="E2" s="136"/>
      <c r="F2" s="136"/>
      <c r="G2" s="136"/>
      <c r="H2" s="136"/>
    </row>
    <row r="3" spans="2:9" x14ac:dyDescent="0.2">
      <c r="B3" s="136"/>
      <c r="C3" s="136"/>
      <c r="D3" s="136"/>
      <c r="E3" s="136"/>
      <c r="F3" s="136"/>
      <c r="G3" s="136"/>
      <c r="H3" s="136"/>
    </row>
    <row r="5" spans="2:9" s="2" customFormat="1" ht="14" x14ac:dyDescent="0.2">
      <c r="C5" s="3">
        <v>1</v>
      </c>
      <c r="D5" s="3">
        <v>2</v>
      </c>
      <c r="E5" s="3">
        <v>3</v>
      </c>
      <c r="F5" s="3">
        <v>4</v>
      </c>
      <c r="G5" s="3">
        <v>5</v>
      </c>
    </row>
    <row r="6" spans="2:9" x14ac:dyDescent="0.2">
      <c r="C6" s="4">
        <v>57428000</v>
      </c>
      <c r="D6" s="4">
        <v>64942050</v>
      </c>
      <c r="E6" s="4">
        <v>72189775</v>
      </c>
      <c r="F6" s="4">
        <v>76651294.950000003</v>
      </c>
      <c r="G6" s="4">
        <v>86092140</v>
      </c>
    </row>
    <row r="8" spans="2:9" x14ac:dyDescent="0.2">
      <c r="B8" s="137" t="s">
        <v>83</v>
      </c>
      <c r="C8" s="137"/>
      <c r="D8" s="137"/>
      <c r="E8" s="137"/>
      <c r="F8" s="137"/>
      <c r="G8" s="137"/>
      <c r="H8" s="137"/>
    </row>
    <row r="9" spans="2:9" x14ac:dyDescent="0.2">
      <c r="B9" s="137"/>
      <c r="C9" s="137"/>
      <c r="D9" s="137"/>
      <c r="E9" s="137"/>
      <c r="F9" s="137"/>
      <c r="G9" s="137"/>
      <c r="H9" s="137"/>
    </row>
    <row r="11" spans="2:9" ht="15.75" customHeight="1" x14ac:dyDescent="0.2">
      <c r="B11" s="136" t="s">
        <v>84</v>
      </c>
      <c r="C11" s="136"/>
      <c r="D11" s="136"/>
      <c r="E11" s="136"/>
      <c r="F11" s="136"/>
      <c r="G11" s="136"/>
      <c r="H11" s="136"/>
    </row>
    <row r="12" spans="2:9" x14ac:dyDescent="0.2">
      <c r="B12" s="136"/>
      <c r="C12" s="136"/>
      <c r="D12" s="136"/>
      <c r="E12" s="136"/>
      <c r="F12" s="136"/>
      <c r="G12" s="136"/>
      <c r="H12" s="136"/>
    </row>
    <row r="14" spans="2:9" s="2" customFormat="1" ht="14" x14ac:dyDescent="0.2">
      <c r="C14" s="3">
        <v>0</v>
      </c>
      <c r="D14" s="3">
        <v>1</v>
      </c>
      <c r="E14" s="3">
        <v>2</v>
      </c>
      <c r="F14" s="3">
        <v>3</v>
      </c>
      <c r="G14" s="3">
        <v>4</v>
      </c>
      <c r="H14" s="3">
        <v>5</v>
      </c>
      <c r="I14" s="2" t="s">
        <v>85</v>
      </c>
    </row>
    <row r="15" spans="2:9" ht="17" thickBot="1" x14ac:dyDescent="0.25">
      <c r="B15" s="1" t="s">
        <v>86</v>
      </c>
      <c r="C15" s="4">
        <v>-180000000</v>
      </c>
      <c r="D15" s="4">
        <v>57428000</v>
      </c>
      <c r="E15" s="4">
        <v>64942050</v>
      </c>
      <c r="F15" s="4">
        <v>72189775</v>
      </c>
      <c r="G15" s="4">
        <v>76651294.950000003</v>
      </c>
      <c r="H15" s="4">
        <v>86092140</v>
      </c>
    </row>
    <row r="16" spans="2:9" ht="17" thickBot="1" x14ac:dyDescent="0.25">
      <c r="B16" s="1" t="s">
        <v>87</v>
      </c>
      <c r="C16" s="4">
        <f>+C15/((1+C17)^C14)</f>
        <v>-180000000</v>
      </c>
      <c r="D16" s="4">
        <f>+D15/((1+C17)^D14)</f>
        <v>48667796.610169493</v>
      </c>
      <c r="E16" s="4">
        <f>+E15/((1+C17)^E14)</f>
        <v>46640369.146796905</v>
      </c>
      <c r="F16" s="4">
        <f>+F15/((1+C17)^F14)</f>
        <v>43936925.756771632</v>
      </c>
      <c r="G16" s="4">
        <f>+G15/((1+C17)^G14)</f>
        <v>39535885.201200172</v>
      </c>
      <c r="H16" s="4">
        <f>+H15/((1+C17)^H14)</f>
        <v>37631667.839002922</v>
      </c>
      <c r="I16" s="66">
        <f>SUM(C16:H16)</f>
        <v>36412644.553941138</v>
      </c>
    </row>
    <row r="17" spans="2:9" x14ac:dyDescent="0.2">
      <c r="B17" s="1" t="s">
        <v>88</v>
      </c>
      <c r="C17" s="96">
        <v>0.18</v>
      </c>
    </row>
    <row r="19" spans="2:9" s="2" customFormat="1" ht="14" x14ac:dyDescent="0.2">
      <c r="C19" s="3">
        <v>0</v>
      </c>
      <c r="D19" s="3">
        <v>1</v>
      </c>
      <c r="E19" s="3">
        <v>2</v>
      </c>
      <c r="F19" s="3">
        <v>3</v>
      </c>
      <c r="G19" s="3">
        <v>4</v>
      </c>
      <c r="H19" s="3">
        <v>5</v>
      </c>
      <c r="I19" s="2" t="s">
        <v>89</v>
      </c>
    </row>
    <row r="20" spans="2:9" ht="17" thickBot="1" x14ac:dyDescent="0.25">
      <c r="B20" s="1" t="s">
        <v>86</v>
      </c>
      <c r="C20" s="4">
        <v>-180000000</v>
      </c>
      <c r="D20" s="4">
        <v>57428000</v>
      </c>
      <c r="E20" s="4">
        <v>64942050</v>
      </c>
      <c r="F20" s="4">
        <v>72189775</v>
      </c>
      <c r="G20" s="4">
        <v>76651294.950000003</v>
      </c>
      <c r="H20" s="4">
        <v>86092140</v>
      </c>
    </row>
    <row r="21" spans="2:9" ht="17" thickBot="1" x14ac:dyDescent="0.25">
      <c r="B21" s="1" t="s">
        <v>87</v>
      </c>
      <c r="C21" s="4">
        <f>+C20/((1+C22)^C19)</f>
        <v>-180000000</v>
      </c>
      <c r="D21" s="4">
        <f>+D20/((1+C22)^D19)</f>
        <v>45541633.624107845</v>
      </c>
      <c r="E21" s="4">
        <f>+E20/((1+C22)^E19)</f>
        <v>40840948.581900366</v>
      </c>
      <c r="F21" s="4">
        <f>+F20/((1+C22)^F19)</f>
        <v>36002315.089233033</v>
      </c>
      <c r="G21" s="4">
        <f>+G20/((1+C22)^G19)</f>
        <v>30315110.105648506</v>
      </c>
      <c r="H21" s="4">
        <f>+H20/((1+C22)^H19)</f>
        <v>27001511.155329689</v>
      </c>
      <c r="I21" s="66">
        <f>SUM(C21:H21)</f>
        <v>-298481.44378057495</v>
      </c>
    </row>
    <row r="22" spans="2:9" x14ac:dyDescent="0.2">
      <c r="B22" s="1" t="s">
        <v>88</v>
      </c>
      <c r="C22" s="96">
        <v>0.26100000000000001</v>
      </c>
    </row>
    <row r="23" spans="2:9" ht="17" thickBot="1" x14ac:dyDescent="0.25"/>
    <row r="24" spans="2:9" ht="17" thickBot="1" x14ac:dyDescent="0.25">
      <c r="B24" s="98" t="s">
        <v>90</v>
      </c>
      <c r="C24" s="103">
        <f>+C17+(I16*(C22-C17)/(I16-I21))</f>
        <v>0.26034142589503445</v>
      </c>
    </row>
    <row r="26" spans="2:9" x14ac:dyDescent="0.2">
      <c r="B26" s="1" t="s">
        <v>91</v>
      </c>
      <c r="C26" s="1" t="s">
        <v>92</v>
      </c>
    </row>
    <row r="27" spans="2:9" x14ac:dyDescent="0.2">
      <c r="B27" s="1" t="s">
        <v>93</v>
      </c>
      <c r="C27" s="1" t="s">
        <v>94</v>
      </c>
    </row>
    <row r="28" spans="2:9" x14ac:dyDescent="0.2">
      <c r="B28" s="1" t="s">
        <v>95</v>
      </c>
      <c r="C28" s="1" t="s">
        <v>96</v>
      </c>
    </row>
  </sheetData>
  <mergeCells count="3">
    <mergeCell ref="B2:H3"/>
    <mergeCell ref="B8:H9"/>
    <mergeCell ref="B11:H12"/>
  </mergeCells>
  <printOptions horizontalCentered="1"/>
  <pageMargins left="0.70866141732283472" right="0.70866141732283472" top="0.55118110236220474" bottom="0.15748031496062992" header="0.31496062992125984" footer="0.31496062992125984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8C74-40D7-48B5-8167-55A0C039F7B3}">
  <dimension ref="B2:I36"/>
  <sheetViews>
    <sheetView showGridLines="0" topLeftCell="A10" zoomScale="120" zoomScaleNormal="120" workbookViewId="0"/>
  </sheetViews>
  <sheetFormatPr baseColWidth="10" defaultColWidth="11.5" defaultRowHeight="16" x14ac:dyDescent="0.2"/>
  <cols>
    <col min="1" max="1" width="1.5" style="1" customWidth="1"/>
    <col min="2" max="2" width="16.33203125" style="1" customWidth="1"/>
    <col min="3" max="4" width="15.1640625" style="1" customWidth="1"/>
    <col min="5" max="9" width="14.1640625" style="1" customWidth="1"/>
    <col min="10" max="10" width="14.33203125" style="1" bestFit="1" customWidth="1"/>
    <col min="11" max="16384" width="11.5" style="1"/>
  </cols>
  <sheetData>
    <row r="2" spans="2:9" x14ac:dyDescent="0.2">
      <c r="B2" s="136" t="s">
        <v>97</v>
      </c>
      <c r="C2" s="136"/>
      <c r="D2" s="136"/>
      <c r="E2" s="136"/>
      <c r="F2" s="136"/>
      <c r="G2" s="136"/>
      <c r="H2" s="136"/>
    </row>
    <row r="3" spans="2:9" x14ac:dyDescent="0.2">
      <c r="B3" s="136"/>
      <c r="C3" s="136"/>
      <c r="D3" s="136"/>
      <c r="E3" s="136"/>
      <c r="F3" s="136"/>
      <c r="G3" s="136"/>
      <c r="H3" s="136"/>
    </row>
    <row r="5" spans="2:9" s="2" customFormat="1" ht="14" x14ac:dyDescent="0.2">
      <c r="D5" s="3">
        <v>0</v>
      </c>
      <c r="E5" s="3">
        <v>1</v>
      </c>
      <c r="F5" s="3">
        <v>2</v>
      </c>
      <c r="G5" s="3">
        <v>3</v>
      </c>
      <c r="H5" s="3">
        <v>4</v>
      </c>
      <c r="I5" s="3">
        <v>5</v>
      </c>
    </row>
    <row r="6" spans="2:9" s="98" customFormat="1" x14ac:dyDescent="0.2">
      <c r="B6" s="98" t="s">
        <v>98</v>
      </c>
      <c r="D6" s="95"/>
      <c r="E6" s="95">
        <v>57428000</v>
      </c>
      <c r="F6" s="95">
        <v>64942050</v>
      </c>
      <c r="G6" s="95">
        <v>72189775</v>
      </c>
      <c r="H6" s="95">
        <v>76651294.950000003</v>
      </c>
      <c r="I6" s="95">
        <v>86092140</v>
      </c>
    </row>
    <row r="7" spans="2:9" x14ac:dyDescent="0.2">
      <c r="B7" s="1" t="s">
        <v>99</v>
      </c>
      <c r="D7" s="4"/>
      <c r="E7" s="4">
        <f>-180000000/6</f>
        <v>-30000000</v>
      </c>
      <c r="F7" s="4">
        <f t="shared" ref="F7:I7" si="0">-180000000/6</f>
        <v>-30000000</v>
      </c>
      <c r="G7" s="4">
        <f t="shared" si="0"/>
        <v>-30000000</v>
      </c>
      <c r="H7" s="4">
        <f t="shared" si="0"/>
        <v>-30000000</v>
      </c>
      <c r="I7" s="4">
        <f t="shared" si="0"/>
        <v>-30000000</v>
      </c>
    </row>
    <row r="8" spans="2:9" x14ac:dyDescent="0.2">
      <c r="B8" s="1" t="s">
        <v>100</v>
      </c>
      <c r="D8" s="4"/>
      <c r="E8" s="4">
        <f>-E7*30%</f>
        <v>9000000</v>
      </c>
      <c r="F8" s="4">
        <f t="shared" ref="F8:I8" si="1">-F7*30%</f>
        <v>9000000</v>
      </c>
      <c r="G8" s="4">
        <f t="shared" si="1"/>
        <v>9000000</v>
      </c>
      <c r="H8" s="4">
        <f t="shared" si="1"/>
        <v>9000000</v>
      </c>
      <c r="I8" s="4">
        <f t="shared" si="1"/>
        <v>9000000</v>
      </c>
    </row>
    <row r="9" spans="2:9" x14ac:dyDescent="0.2">
      <c r="B9" s="1" t="s">
        <v>101</v>
      </c>
      <c r="D9" s="4"/>
      <c r="E9" s="4">
        <f>-E7</f>
        <v>30000000</v>
      </c>
      <c r="F9" s="4">
        <f t="shared" ref="F9:I9" si="2">-F7</f>
        <v>30000000</v>
      </c>
      <c r="G9" s="4">
        <f t="shared" si="2"/>
        <v>30000000</v>
      </c>
      <c r="H9" s="4">
        <f t="shared" si="2"/>
        <v>30000000</v>
      </c>
      <c r="I9" s="4">
        <f t="shared" si="2"/>
        <v>30000000</v>
      </c>
    </row>
    <row r="10" spans="2:9" x14ac:dyDescent="0.2">
      <c r="B10" s="1" t="s">
        <v>102</v>
      </c>
      <c r="D10" s="4">
        <v>-180000000</v>
      </c>
      <c r="E10" s="4"/>
      <c r="F10" s="4"/>
      <c r="G10" s="4"/>
      <c r="H10" s="4"/>
      <c r="I10" s="4">
        <f>+I9</f>
        <v>30000000</v>
      </c>
    </row>
    <row r="11" spans="2:9" s="98" customFormat="1" x14ac:dyDescent="0.2">
      <c r="B11" s="98" t="s">
        <v>103</v>
      </c>
      <c r="D11" s="95">
        <f>SUM(D6:D10)</f>
        <v>-180000000</v>
      </c>
      <c r="E11" s="95">
        <f t="shared" ref="E11:I11" si="3">SUM(E6:E10)</f>
        <v>66428000</v>
      </c>
      <c r="F11" s="95">
        <f t="shared" si="3"/>
        <v>73942050</v>
      </c>
      <c r="G11" s="95">
        <f t="shared" si="3"/>
        <v>81189775</v>
      </c>
      <c r="H11" s="95">
        <f t="shared" si="3"/>
        <v>85651294.950000003</v>
      </c>
      <c r="I11" s="95">
        <f t="shared" si="3"/>
        <v>125092140</v>
      </c>
    </row>
    <row r="13" spans="2:9" x14ac:dyDescent="0.2">
      <c r="B13" s="138" t="s">
        <v>104</v>
      </c>
      <c r="C13" s="138"/>
      <c r="D13" s="138"/>
      <c r="E13" s="138"/>
      <c r="F13" s="138"/>
      <c r="G13" s="138"/>
      <c r="H13" s="138"/>
    </row>
    <row r="14" spans="2:9" x14ac:dyDescent="0.2">
      <c r="B14" s="138"/>
      <c r="C14" s="138"/>
      <c r="D14" s="138"/>
      <c r="E14" s="138"/>
      <c r="F14" s="138"/>
      <c r="G14" s="138"/>
      <c r="H14" s="138"/>
    </row>
    <row r="15" spans="2:9" x14ac:dyDescent="0.2">
      <c r="B15" s="138"/>
      <c r="C15" s="138"/>
      <c r="D15" s="138"/>
      <c r="E15" s="138"/>
      <c r="F15" s="138"/>
      <c r="G15" s="138"/>
      <c r="H15" s="138"/>
    </row>
    <row r="17" spans="2:9" ht="15.75" customHeight="1" x14ac:dyDescent="0.2">
      <c r="B17" s="136" t="s">
        <v>105</v>
      </c>
      <c r="C17" s="136"/>
      <c r="D17" s="136"/>
      <c r="E17" s="136"/>
      <c r="F17" s="136"/>
      <c r="G17" s="136"/>
      <c r="H17" s="136"/>
    </row>
    <row r="18" spans="2:9" x14ac:dyDescent="0.2">
      <c r="B18" s="136"/>
      <c r="C18" s="136"/>
      <c r="D18" s="136"/>
      <c r="E18" s="136"/>
      <c r="F18" s="136"/>
      <c r="G18" s="136"/>
      <c r="H18" s="136"/>
    </row>
    <row r="20" spans="2:9" s="2" customFormat="1" ht="14" x14ac:dyDescent="0.2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2" t="s">
        <v>85</v>
      </c>
    </row>
    <row r="21" spans="2:9" ht="17" thickBot="1" x14ac:dyDescent="0.25">
      <c r="B21" s="1" t="s">
        <v>86</v>
      </c>
      <c r="C21" s="4">
        <f t="shared" ref="C21:H21" si="4">D11</f>
        <v>-180000000</v>
      </c>
      <c r="D21" s="4">
        <f t="shared" si="4"/>
        <v>66428000</v>
      </c>
      <c r="E21" s="4">
        <f t="shared" si="4"/>
        <v>73942050</v>
      </c>
      <c r="F21" s="4">
        <f t="shared" si="4"/>
        <v>81189775</v>
      </c>
      <c r="G21" s="4">
        <f t="shared" si="4"/>
        <v>85651294.950000003</v>
      </c>
      <c r="H21" s="4">
        <f t="shared" si="4"/>
        <v>125092140</v>
      </c>
    </row>
    <row r="22" spans="2:9" ht="17" thickBot="1" x14ac:dyDescent="0.25">
      <c r="B22" s="1" t="s">
        <v>87</v>
      </c>
      <c r="C22" s="4">
        <f>+C21/((1+C23)^C20)</f>
        <v>-180000000</v>
      </c>
      <c r="D22" s="4">
        <f>+D21/((1+C23)^D20)</f>
        <v>56294915.254237294</v>
      </c>
      <c r="E22" s="4">
        <f>+E21/((1+C23)^E20)</f>
        <v>53104029.014650971</v>
      </c>
      <c r="F22" s="4">
        <f>+F21/((1+C23)^F20)</f>
        <v>49414603.610885248</v>
      </c>
      <c r="G22" s="4">
        <f>+G21/((1+C23)^G20)</f>
        <v>44177985.077567644</v>
      </c>
      <c r="H22" s="4">
        <f>+H21/((1+C23)^H20)</f>
        <v>54678927.271990813</v>
      </c>
      <c r="I22" s="66">
        <f>SUM(C22:H22)</f>
        <v>77670460.22933197</v>
      </c>
    </row>
    <row r="23" spans="2:9" x14ac:dyDescent="0.2">
      <c r="B23" s="1" t="s">
        <v>88</v>
      </c>
      <c r="C23" s="96">
        <v>0.18</v>
      </c>
    </row>
    <row r="25" spans="2:9" s="2" customFormat="1" ht="14" x14ac:dyDescent="0.2">
      <c r="C25" s="3">
        <v>0</v>
      </c>
      <c r="D25" s="3">
        <v>1</v>
      </c>
      <c r="E25" s="3">
        <v>2</v>
      </c>
      <c r="F25" s="3">
        <v>3</v>
      </c>
      <c r="G25" s="3">
        <v>4</v>
      </c>
      <c r="H25" s="3">
        <v>5</v>
      </c>
      <c r="I25" s="2" t="s">
        <v>89</v>
      </c>
    </row>
    <row r="26" spans="2:9" ht="17" thickBot="1" x14ac:dyDescent="0.25">
      <c r="B26" s="1" t="s">
        <v>86</v>
      </c>
      <c r="C26" s="4">
        <f t="shared" ref="C26:H26" si="5">C21</f>
        <v>-180000000</v>
      </c>
      <c r="D26" s="4">
        <f t="shared" si="5"/>
        <v>66428000</v>
      </c>
      <c r="E26" s="4">
        <f t="shared" si="5"/>
        <v>73942050</v>
      </c>
      <c r="F26" s="4">
        <f t="shared" si="5"/>
        <v>81189775</v>
      </c>
      <c r="G26" s="4">
        <f t="shared" si="5"/>
        <v>85651294.950000003</v>
      </c>
      <c r="H26" s="4">
        <f t="shared" si="5"/>
        <v>125092140</v>
      </c>
    </row>
    <row r="27" spans="2:9" ht="17" thickBot="1" x14ac:dyDescent="0.25">
      <c r="B27" s="1" t="s">
        <v>87</v>
      </c>
      <c r="C27" s="4">
        <f>+C26/((1+C28)^C25)</f>
        <v>-180000000</v>
      </c>
      <c r="D27" s="4">
        <f>+D26/((1+C28)^D25)</f>
        <v>49388847.583643124</v>
      </c>
      <c r="E27" s="4">
        <f>+E26/((1+C28)^E25)</f>
        <v>40873979.077127181</v>
      </c>
      <c r="F27" s="4">
        <f>+F26/((1+C28)^F25)</f>
        <v>33368330.996759385</v>
      </c>
      <c r="G27" s="4">
        <f>+G26/((1+C28)^G25)</f>
        <v>26172475.144474603</v>
      </c>
      <c r="H27" s="4">
        <f>+H26/((1+C28)^H25)</f>
        <v>28419641.848438054</v>
      </c>
      <c r="I27" s="66">
        <f>SUM(C27:H27)</f>
        <v>-1776725.3495576605</v>
      </c>
    </row>
    <row r="28" spans="2:9" x14ac:dyDescent="0.2">
      <c r="B28" s="1" t="s">
        <v>88</v>
      </c>
      <c r="C28" s="96">
        <v>0.34499999999999997</v>
      </c>
    </row>
    <row r="29" spans="2:9" ht="17" thickBot="1" x14ac:dyDescent="0.25"/>
    <row r="30" spans="2:9" ht="17" thickBot="1" x14ac:dyDescent="0.25">
      <c r="B30" s="98" t="s">
        <v>90</v>
      </c>
      <c r="C30" s="97">
        <f>+C23+(I22*(C28-C23)/(I22-I27))</f>
        <v>0.34131000543894768</v>
      </c>
    </row>
    <row r="32" spans="2:9" x14ac:dyDescent="0.2">
      <c r="B32" s="98" t="s">
        <v>91</v>
      </c>
      <c r="C32" s="1" t="s">
        <v>92</v>
      </c>
    </row>
    <row r="33" spans="2:3" x14ac:dyDescent="0.2">
      <c r="B33" s="98" t="s">
        <v>93</v>
      </c>
      <c r="C33" s="1" t="s">
        <v>94</v>
      </c>
    </row>
    <row r="34" spans="2:3" x14ac:dyDescent="0.2">
      <c r="B34" s="98" t="s">
        <v>95</v>
      </c>
      <c r="C34" s="1" t="s">
        <v>96</v>
      </c>
    </row>
    <row r="36" spans="2:3" x14ac:dyDescent="0.2">
      <c r="B36" s="1" t="s">
        <v>106</v>
      </c>
    </row>
  </sheetData>
  <mergeCells count="3">
    <mergeCell ref="B2:H3"/>
    <mergeCell ref="B13:H15"/>
    <mergeCell ref="B17:H18"/>
  </mergeCells>
  <printOptions horizontalCentered="1"/>
  <pageMargins left="0.70866141732283472" right="0.70866141732283472" top="0.55118110236220474" bottom="0.15748031496062992" header="0.31496062992125984" footer="0.31496062992125984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112"/>
  <sheetViews>
    <sheetView showGridLines="0" tabSelected="1" topLeftCell="A25" zoomScale="115" zoomScaleNormal="115" workbookViewId="0"/>
  </sheetViews>
  <sheetFormatPr baseColWidth="10" defaultColWidth="11.5" defaultRowHeight="16" x14ac:dyDescent="0.2"/>
  <cols>
    <col min="1" max="1" width="11.5" style="6"/>
    <col min="2" max="2" width="12" style="6" bestFit="1" customWidth="1"/>
    <col min="3" max="3" width="13.33203125" style="6" bestFit="1" customWidth="1"/>
    <col min="4" max="4" width="11.6640625" style="6" bestFit="1" customWidth="1"/>
    <col min="5" max="16384" width="11.5" style="6"/>
  </cols>
  <sheetData>
    <row r="2" spans="1:9" x14ac:dyDescent="0.2">
      <c r="A2" s="120" t="s">
        <v>107</v>
      </c>
      <c r="B2" s="121"/>
      <c r="C2" s="121"/>
      <c r="D2" s="121"/>
      <c r="E2" s="121"/>
      <c r="F2" s="120" t="s">
        <v>108</v>
      </c>
      <c r="G2" s="121"/>
      <c r="H2" s="121"/>
      <c r="I2" s="121"/>
    </row>
    <row r="3" spans="1:9" x14ac:dyDescent="0.2">
      <c r="A3" s="121" t="s">
        <v>109</v>
      </c>
      <c r="B3" s="121"/>
      <c r="C3" s="121"/>
      <c r="D3" s="27">
        <v>900000</v>
      </c>
      <c r="E3" s="121"/>
      <c r="F3" s="121" t="s">
        <v>110</v>
      </c>
      <c r="G3" s="121"/>
      <c r="H3" s="121"/>
      <c r="I3" s="122">
        <v>0.5</v>
      </c>
    </row>
    <row r="4" spans="1:9" x14ac:dyDescent="0.2">
      <c r="A4" s="121" t="s">
        <v>111</v>
      </c>
      <c r="B4" s="121"/>
      <c r="C4" s="121"/>
      <c r="D4" s="27">
        <v>500000</v>
      </c>
      <c r="E4" s="121"/>
      <c r="F4" s="121" t="s">
        <v>112</v>
      </c>
      <c r="G4" s="121"/>
      <c r="H4" s="121"/>
      <c r="I4" s="122">
        <v>0.25</v>
      </c>
    </row>
    <row r="5" spans="1:9" x14ac:dyDescent="0.2">
      <c r="A5" s="121" t="s">
        <v>113</v>
      </c>
      <c r="B5" s="121"/>
      <c r="C5" s="121"/>
      <c r="D5" s="27">
        <v>200000</v>
      </c>
      <c r="E5" s="121"/>
      <c r="F5" s="121" t="s">
        <v>114</v>
      </c>
      <c r="G5" s="121"/>
      <c r="H5" s="121"/>
      <c r="I5" s="122">
        <v>0.25</v>
      </c>
    </row>
    <row r="6" spans="1:9" x14ac:dyDescent="0.2">
      <c r="A6" s="121" t="s">
        <v>115</v>
      </c>
      <c r="B6" s="121"/>
      <c r="C6" s="121"/>
      <c r="D6" s="27">
        <v>200000</v>
      </c>
      <c r="E6" s="121"/>
      <c r="F6" s="121"/>
      <c r="G6" s="121"/>
      <c r="H6" s="121"/>
      <c r="I6" s="122"/>
    </row>
    <row r="7" spans="1:9" x14ac:dyDescent="0.2">
      <c r="A7" s="123" t="s">
        <v>116</v>
      </c>
      <c r="B7" s="121"/>
      <c r="C7" s="27"/>
      <c r="D7" s="121"/>
      <c r="E7" s="121"/>
      <c r="F7" s="124" t="s">
        <v>117</v>
      </c>
      <c r="G7" s="121"/>
      <c r="H7" s="121"/>
      <c r="I7" s="121"/>
    </row>
    <row r="8" spans="1:9" x14ac:dyDescent="0.2">
      <c r="A8" s="121"/>
      <c r="B8" s="121"/>
      <c r="C8" s="27"/>
      <c r="D8" s="121"/>
      <c r="E8" s="121"/>
      <c r="F8" s="121" t="s">
        <v>118</v>
      </c>
      <c r="G8" s="121"/>
      <c r="H8" s="121"/>
      <c r="I8" s="121"/>
    </row>
    <row r="9" spans="1:9" x14ac:dyDescent="0.2">
      <c r="A9" s="121" t="s">
        <v>119</v>
      </c>
      <c r="B9" s="121"/>
      <c r="C9" s="121"/>
      <c r="D9" s="125" t="s">
        <v>1</v>
      </c>
      <c r="E9" s="121"/>
    </row>
    <row r="10" spans="1:9" x14ac:dyDescent="0.2">
      <c r="A10" s="121"/>
      <c r="B10" s="121"/>
      <c r="C10" s="121"/>
      <c r="D10" s="125"/>
      <c r="E10" s="121"/>
      <c r="F10" s="121" t="s">
        <v>18</v>
      </c>
      <c r="G10" s="121"/>
      <c r="H10" s="121"/>
      <c r="I10" s="122">
        <v>0.09</v>
      </c>
    </row>
    <row r="11" spans="1:9" x14ac:dyDescent="0.2">
      <c r="A11" s="126" t="s">
        <v>120</v>
      </c>
      <c r="B11" s="25" t="s">
        <v>121</v>
      </c>
      <c r="C11" s="25"/>
      <c r="D11" s="127">
        <v>900000</v>
      </c>
      <c r="E11" s="121"/>
    </row>
    <row r="12" spans="1:9" s="26" customFormat="1" x14ac:dyDescent="0.2">
      <c r="A12" s="25"/>
      <c r="B12" s="25" t="s">
        <v>122</v>
      </c>
      <c r="C12" s="25"/>
      <c r="D12" s="128">
        <v>0.2</v>
      </c>
      <c r="E12" s="25"/>
      <c r="F12" s="121" t="s">
        <v>123</v>
      </c>
      <c r="G12" s="121"/>
      <c r="H12" s="121"/>
      <c r="I12" s="122">
        <v>0.33</v>
      </c>
    </row>
    <row r="13" spans="1:9" s="26" customFormat="1" x14ac:dyDescent="0.2">
      <c r="E13" s="25"/>
    </row>
    <row r="14" spans="1:9" s="26" customFormat="1" x14ac:dyDescent="0.2">
      <c r="A14" s="126" t="s">
        <v>124</v>
      </c>
      <c r="B14" s="25"/>
      <c r="E14" s="25"/>
      <c r="F14" s="129" t="s">
        <v>125</v>
      </c>
      <c r="G14" s="25"/>
      <c r="H14" s="25" t="s">
        <v>126</v>
      </c>
      <c r="I14" s="25"/>
    </row>
    <row r="15" spans="1:9" s="26" customFormat="1" x14ac:dyDescent="0.2">
      <c r="A15" s="25" t="s">
        <v>127</v>
      </c>
      <c r="B15" s="130">
        <v>0.04</v>
      </c>
      <c r="C15" s="25"/>
      <c r="D15" s="25"/>
      <c r="E15" s="25"/>
      <c r="F15" s="129" t="s">
        <v>128</v>
      </c>
      <c r="G15" s="25"/>
      <c r="H15" s="25" t="s">
        <v>129</v>
      </c>
      <c r="I15" s="25"/>
    </row>
    <row r="16" spans="1:9" s="26" customFormat="1" x14ac:dyDescent="0.2">
      <c r="A16" s="25" t="s">
        <v>130</v>
      </c>
      <c r="B16" s="130">
        <v>4.4999999999999998E-2</v>
      </c>
      <c r="C16" s="25"/>
      <c r="D16" s="25"/>
      <c r="E16" s="25"/>
      <c r="F16" s="129" t="s">
        <v>131</v>
      </c>
      <c r="G16" s="25"/>
      <c r="H16" s="127" t="s">
        <v>132</v>
      </c>
      <c r="I16" s="25"/>
    </row>
    <row r="17" spans="1:9" s="26" customFormat="1" x14ac:dyDescent="0.2">
      <c r="A17" s="25" t="s">
        <v>133</v>
      </c>
      <c r="B17" s="130">
        <v>0.05</v>
      </c>
      <c r="C17" s="25"/>
      <c r="D17" s="25"/>
      <c r="E17" s="25"/>
      <c r="F17" s="129" t="s">
        <v>134</v>
      </c>
      <c r="G17" s="25"/>
      <c r="H17" s="25" t="s">
        <v>135</v>
      </c>
      <c r="I17" s="25"/>
    </row>
    <row r="18" spans="1:9" s="26" customFormat="1" x14ac:dyDescent="0.2">
      <c r="A18" s="25" t="s">
        <v>136</v>
      </c>
      <c r="B18" s="130">
        <v>0.06</v>
      </c>
      <c r="C18" s="25"/>
      <c r="D18" s="25"/>
      <c r="E18" s="25"/>
      <c r="F18" s="131" t="s">
        <v>137</v>
      </c>
      <c r="G18" s="25"/>
      <c r="H18" s="25"/>
      <c r="I18" s="25"/>
    </row>
    <row r="19" spans="1:9" s="26" customFormat="1" x14ac:dyDescent="0.2">
      <c r="C19" s="25"/>
      <c r="D19" s="25"/>
      <c r="E19" s="25"/>
      <c r="F19" s="25"/>
      <c r="G19" s="25"/>
      <c r="H19" s="25"/>
      <c r="I19" s="25"/>
    </row>
    <row r="20" spans="1:9" s="26" customFormat="1" x14ac:dyDescent="0.2">
      <c r="C20" s="25"/>
      <c r="D20" s="25"/>
      <c r="E20" s="25"/>
      <c r="F20" s="25"/>
      <c r="G20" s="25"/>
      <c r="H20" s="25"/>
      <c r="I20" s="25"/>
    </row>
    <row r="21" spans="1:9" s="26" customFormat="1" x14ac:dyDescent="0.2">
      <c r="A21" s="25"/>
      <c r="B21" s="25"/>
      <c r="C21" s="25"/>
      <c r="D21" s="25"/>
      <c r="E21" s="25"/>
      <c r="F21" s="25"/>
      <c r="G21" s="25"/>
      <c r="H21" s="25"/>
      <c r="I21" s="25"/>
    </row>
    <row r="22" spans="1:9" x14ac:dyDescent="0.2">
      <c r="A22" s="139" t="s">
        <v>138</v>
      </c>
      <c r="B22" s="139"/>
      <c r="C22" s="139"/>
      <c r="D22" s="139"/>
      <c r="E22" s="139"/>
      <c r="F22" s="139"/>
      <c r="G22" s="139"/>
      <c r="H22" s="139"/>
      <c r="I22" s="139"/>
    </row>
    <row r="23" spans="1:9" x14ac:dyDescent="0.2">
      <c r="A23" s="139"/>
      <c r="B23" s="139"/>
      <c r="C23" s="139"/>
      <c r="D23" s="139"/>
      <c r="E23" s="139"/>
      <c r="F23" s="139"/>
      <c r="G23" s="139"/>
      <c r="H23" s="139"/>
      <c r="I23" s="139"/>
    </row>
    <row r="24" spans="1:9" x14ac:dyDescent="0.2">
      <c r="A24" s="39" t="s">
        <v>139</v>
      </c>
      <c r="B24" s="39"/>
      <c r="C24" s="39"/>
      <c r="D24" s="39"/>
      <c r="E24" s="39"/>
      <c r="F24" s="39"/>
      <c r="G24" s="39"/>
      <c r="H24" s="39"/>
      <c r="I24" s="39"/>
    </row>
    <row r="26" spans="1:9" x14ac:dyDescent="0.2">
      <c r="A26" s="40" t="s">
        <v>140</v>
      </c>
    </row>
    <row r="28" spans="1:9" s="5" customFormat="1" x14ac:dyDescent="0.2">
      <c r="D28" s="5">
        <v>0</v>
      </c>
      <c r="E28" s="5">
        <v>1</v>
      </c>
      <c r="F28" s="5">
        <v>2</v>
      </c>
      <c r="G28" s="5">
        <v>3</v>
      </c>
      <c r="H28" s="5">
        <v>4</v>
      </c>
      <c r="I28" s="5">
        <v>5</v>
      </c>
    </row>
    <row r="29" spans="1:9" x14ac:dyDescent="0.2">
      <c r="A29" s="6" t="s">
        <v>24</v>
      </c>
      <c r="E29" s="27">
        <v>900000</v>
      </c>
      <c r="F29" s="27">
        <f>+E29*(1+$D$80)</f>
        <v>1080000</v>
      </c>
      <c r="G29" s="27">
        <f t="shared" ref="G29:I29" si="0">+F29*(1+$D$80)</f>
        <v>1296000</v>
      </c>
      <c r="H29" s="27">
        <f t="shared" si="0"/>
        <v>1555200</v>
      </c>
      <c r="I29" s="27">
        <f t="shared" si="0"/>
        <v>1866240</v>
      </c>
    </row>
    <row r="30" spans="1:9" x14ac:dyDescent="0.2">
      <c r="A30" s="6" t="s">
        <v>9</v>
      </c>
      <c r="E30" s="27">
        <f>-E29*$D$81</f>
        <v>-360000</v>
      </c>
      <c r="F30" s="27">
        <f t="shared" ref="F30:I30" si="1">-F29*$D$81</f>
        <v>-432000</v>
      </c>
      <c r="G30" s="27">
        <f t="shared" si="1"/>
        <v>-518400</v>
      </c>
      <c r="H30" s="27">
        <f t="shared" si="1"/>
        <v>-622080</v>
      </c>
      <c r="I30" s="27">
        <f t="shared" si="1"/>
        <v>-746496</v>
      </c>
    </row>
    <row r="31" spans="1:9" s="10" customFormat="1" x14ac:dyDescent="0.2">
      <c r="A31" s="10" t="s">
        <v>27</v>
      </c>
      <c r="E31" s="105">
        <f>SUM(E29:E30)</f>
        <v>540000</v>
      </c>
      <c r="F31" s="105">
        <f t="shared" ref="F31:I31" si="2">SUM(F29:F30)</f>
        <v>648000</v>
      </c>
      <c r="G31" s="105">
        <f t="shared" si="2"/>
        <v>777600</v>
      </c>
      <c r="H31" s="105">
        <f t="shared" si="2"/>
        <v>933120</v>
      </c>
      <c r="I31" s="105">
        <f t="shared" si="2"/>
        <v>1119744</v>
      </c>
    </row>
    <row r="32" spans="1:9" x14ac:dyDescent="0.2">
      <c r="A32" s="6" t="s">
        <v>141</v>
      </c>
      <c r="E32" s="27">
        <f>-E29*$D$82</f>
        <v>-36000</v>
      </c>
      <c r="F32" s="27">
        <f t="shared" ref="F32:I32" si="3">-F29*$D$82</f>
        <v>-43200</v>
      </c>
      <c r="G32" s="27">
        <f t="shared" si="3"/>
        <v>-51840</v>
      </c>
      <c r="H32" s="27">
        <f t="shared" si="3"/>
        <v>-62208</v>
      </c>
      <c r="I32" s="27">
        <f t="shared" si="3"/>
        <v>-74649.600000000006</v>
      </c>
    </row>
    <row r="33" spans="1:11" x14ac:dyDescent="0.2">
      <c r="A33" s="6" t="s">
        <v>142</v>
      </c>
      <c r="E33" s="27">
        <v>-38000</v>
      </c>
      <c r="F33" s="27">
        <f>ROUND(E33*(1+F83),0)</f>
        <v>-39520</v>
      </c>
      <c r="G33" s="27">
        <f t="shared" ref="G33:I33" si="4">ROUND(F33*(1+G83),0)</f>
        <v>-41298</v>
      </c>
      <c r="H33" s="27">
        <f t="shared" si="4"/>
        <v>-43363</v>
      </c>
      <c r="I33" s="27">
        <f t="shared" si="4"/>
        <v>-45965</v>
      </c>
    </row>
    <row r="34" spans="1:11" x14ac:dyDescent="0.2">
      <c r="A34" s="6" t="s">
        <v>143</v>
      </c>
      <c r="E34" s="27">
        <v>-30000</v>
      </c>
      <c r="F34" s="27">
        <f>ROUND(E34*(1+F83),0)</f>
        <v>-31200</v>
      </c>
      <c r="G34" s="27">
        <f t="shared" ref="G34:I34" si="5">ROUND(F34*(1+G83),0)</f>
        <v>-32604</v>
      </c>
      <c r="H34" s="27">
        <f t="shared" si="5"/>
        <v>-34234</v>
      </c>
      <c r="I34" s="27">
        <f t="shared" si="5"/>
        <v>-36288</v>
      </c>
    </row>
    <row r="35" spans="1:11" x14ac:dyDescent="0.2">
      <c r="A35" s="6" t="s">
        <v>30</v>
      </c>
      <c r="E35" s="27">
        <f>-SUM($D$101:$E$101)</f>
        <v>-190000</v>
      </c>
      <c r="F35" s="27">
        <f>-SUM($D$101:$E$101)</f>
        <v>-190000</v>
      </c>
      <c r="G35" s="27">
        <f>-SUM($D$101:$E$101)</f>
        <v>-190000</v>
      </c>
      <c r="H35" s="27">
        <f>-SUM($D$101:$E$101)</f>
        <v>-190000</v>
      </c>
      <c r="I35" s="27">
        <f>-SUM($D$101:$E$101)</f>
        <v>-190000</v>
      </c>
    </row>
    <row r="36" spans="1:11" s="10" customFormat="1" x14ac:dyDescent="0.2">
      <c r="A36" s="10" t="s">
        <v>31</v>
      </c>
      <c r="E36" s="105">
        <f>SUM(E31:E35)</f>
        <v>246000</v>
      </c>
      <c r="F36" s="105">
        <f t="shared" ref="F36:I36" si="6">SUM(F31:F35)</f>
        <v>344080</v>
      </c>
      <c r="G36" s="105">
        <f t="shared" si="6"/>
        <v>461858</v>
      </c>
      <c r="H36" s="105">
        <f t="shared" si="6"/>
        <v>603315</v>
      </c>
      <c r="I36" s="105">
        <f t="shared" si="6"/>
        <v>772841.4</v>
      </c>
    </row>
    <row r="37" spans="1:11" x14ac:dyDescent="0.2">
      <c r="A37" s="6" t="s">
        <v>32</v>
      </c>
      <c r="E37" s="104">
        <f>-ROUND(E88+E93,0)</f>
        <v>-99000</v>
      </c>
      <c r="F37" s="104">
        <f t="shared" ref="F37:I37" si="7">-ROUND(F88+F93,0)</f>
        <v>-83129</v>
      </c>
      <c r="G37" s="104">
        <f t="shared" si="7"/>
        <v>-65501</v>
      </c>
      <c r="H37" s="104">
        <f t="shared" si="7"/>
        <v>-45920</v>
      </c>
      <c r="I37" s="104">
        <f t="shared" si="7"/>
        <v>-24167</v>
      </c>
    </row>
    <row r="38" spans="1:11" s="10" customFormat="1" x14ac:dyDescent="0.2">
      <c r="A38" s="10" t="s">
        <v>33</v>
      </c>
      <c r="E38" s="105">
        <f>SUM(E36:E37)</f>
        <v>147000</v>
      </c>
      <c r="F38" s="105">
        <f t="shared" ref="F38:I38" si="8">SUM(F36:F37)</f>
        <v>260951</v>
      </c>
      <c r="G38" s="105">
        <f t="shared" si="8"/>
        <v>396357</v>
      </c>
      <c r="H38" s="105">
        <f t="shared" si="8"/>
        <v>557395</v>
      </c>
      <c r="I38" s="105">
        <f t="shared" si="8"/>
        <v>748674.4</v>
      </c>
    </row>
    <row r="39" spans="1:11" x14ac:dyDescent="0.2">
      <c r="A39" s="6" t="s">
        <v>144</v>
      </c>
      <c r="E39" s="104">
        <f>-ROUND(E38*$D$84,0)</f>
        <v>-48510</v>
      </c>
      <c r="F39" s="104">
        <f t="shared" ref="F39:I39" si="9">-ROUND(F38*$D$84,0)</f>
        <v>-86114</v>
      </c>
      <c r="G39" s="104">
        <f t="shared" si="9"/>
        <v>-130798</v>
      </c>
      <c r="H39" s="104">
        <f t="shared" si="9"/>
        <v>-183940</v>
      </c>
      <c r="I39" s="104">
        <f t="shared" si="9"/>
        <v>-247063</v>
      </c>
    </row>
    <row r="40" spans="1:11" s="10" customFormat="1" x14ac:dyDescent="0.2">
      <c r="A40" s="10" t="s">
        <v>145</v>
      </c>
      <c r="E40" s="105">
        <f>SUM(E38:E39)</f>
        <v>98490</v>
      </c>
      <c r="F40" s="105">
        <f t="shared" ref="F40:I40" si="10">SUM(F38:F39)</f>
        <v>174837</v>
      </c>
      <c r="G40" s="105">
        <f t="shared" si="10"/>
        <v>265559</v>
      </c>
      <c r="H40" s="105">
        <f t="shared" si="10"/>
        <v>373455</v>
      </c>
      <c r="I40" s="105">
        <f t="shared" si="10"/>
        <v>501611.4</v>
      </c>
    </row>
    <row r="41" spans="1:11" x14ac:dyDescent="0.2">
      <c r="E41" s="104"/>
      <c r="F41" s="104"/>
      <c r="G41" s="104"/>
      <c r="H41" s="104"/>
      <c r="I41" s="104"/>
    </row>
    <row r="42" spans="1:11" x14ac:dyDescent="0.2">
      <c r="A42" s="40" t="s">
        <v>146</v>
      </c>
      <c r="E42" s="104"/>
      <c r="F42" s="104"/>
      <c r="G42" s="104"/>
      <c r="H42" s="104"/>
      <c r="I42" s="104"/>
    </row>
    <row r="43" spans="1:11" s="5" customFormat="1" x14ac:dyDescent="0.2">
      <c r="D43" s="5">
        <v>0</v>
      </c>
      <c r="E43" s="5">
        <v>1</v>
      </c>
      <c r="F43" s="5">
        <v>2</v>
      </c>
      <c r="G43" s="5">
        <v>3</v>
      </c>
      <c r="H43" s="5">
        <v>4</v>
      </c>
      <c r="I43" s="5">
        <v>5</v>
      </c>
    </row>
    <row r="44" spans="1:11" x14ac:dyDescent="0.2">
      <c r="A44" s="10" t="s">
        <v>145</v>
      </c>
      <c r="E44" s="104">
        <f>+E40</f>
        <v>98490</v>
      </c>
      <c r="F44" s="104">
        <f t="shared" ref="F44:I44" si="11">+F40</f>
        <v>174837</v>
      </c>
      <c r="G44" s="104">
        <f t="shared" si="11"/>
        <v>265559</v>
      </c>
      <c r="H44" s="104">
        <f t="shared" si="11"/>
        <v>373455</v>
      </c>
      <c r="I44" s="104">
        <f t="shared" si="11"/>
        <v>501611.4</v>
      </c>
    </row>
    <row r="45" spans="1:11" x14ac:dyDescent="0.2">
      <c r="A45" s="6" t="s">
        <v>147</v>
      </c>
      <c r="E45" s="104">
        <f>-E35</f>
        <v>190000</v>
      </c>
      <c r="F45" s="104">
        <f t="shared" ref="F45:I45" si="12">-F35</f>
        <v>190000</v>
      </c>
      <c r="G45" s="104">
        <f t="shared" si="12"/>
        <v>190000</v>
      </c>
      <c r="H45" s="104">
        <f t="shared" si="12"/>
        <v>190000</v>
      </c>
      <c r="I45" s="104">
        <f t="shared" si="12"/>
        <v>190000</v>
      </c>
    </row>
    <row r="46" spans="1:11" x14ac:dyDescent="0.2">
      <c r="A46" s="6" t="s">
        <v>38</v>
      </c>
      <c r="D46" s="104">
        <f>-SUM(D3:D6)</f>
        <v>-1800000</v>
      </c>
      <c r="E46" s="104"/>
      <c r="F46" s="104"/>
      <c r="G46" s="104"/>
      <c r="H46" s="104"/>
      <c r="I46" s="104"/>
    </row>
    <row r="47" spans="1:11" s="10" customFormat="1" ht="17" thickBot="1" x14ac:dyDescent="0.25">
      <c r="A47" s="10" t="s">
        <v>39</v>
      </c>
      <c r="D47" s="105">
        <f>SUM(D44:D46)</f>
        <v>-1800000</v>
      </c>
      <c r="E47" s="105">
        <f t="shared" ref="E47:I47" si="13">SUM(E44:E46)</f>
        <v>288490</v>
      </c>
      <c r="F47" s="105">
        <f t="shared" si="13"/>
        <v>364837</v>
      </c>
      <c r="G47" s="105">
        <f t="shared" si="13"/>
        <v>455559</v>
      </c>
      <c r="H47" s="105">
        <f t="shared" si="13"/>
        <v>563455</v>
      </c>
      <c r="I47" s="105">
        <f t="shared" si="13"/>
        <v>691611.4</v>
      </c>
    </row>
    <row r="48" spans="1:11" s="10" customFormat="1" ht="17" thickBot="1" x14ac:dyDescent="0.25">
      <c r="A48" s="10" t="s">
        <v>40</v>
      </c>
      <c r="D48" s="105">
        <f>D47/((1+$D$112)^D43)</f>
        <v>-1800000</v>
      </c>
      <c r="E48" s="105">
        <f t="shared" ref="E48:I48" si="14">E47/((1+$D$112)^E43)</f>
        <v>266663.58552479552</v>
      </c>
      <c r="F48" s="105">
        <f t="shared" si="14"/>
        <v>311720.07862127939</v>
      </c>
      <c r="G48" s="105">
        <f t="shared" si="14"/>
        <v>359785.35601808154</v>
      </c>
      <c r="H48" s="105">
        <f t="shared" si="14"/>
        <v>411330.61930671323</v>
      </c>
      <c r="I48" s="105">
        <f t="shared" si="14"/>
        <v>466688.28176631167</v>
      </c>
      <c r="J48" s="110">
        <f>SUM(D48:I48)</f>
        <v>16187.921237181465</v>
      </c>
      <c r="K48" s="5" t="s">
        <v>85</v>
      </c>
    </row>
    <row r="49" spans="1:11" x14ac:dyDescent="0.2">
      <c r="E49" s="104"/>
      <c r="F49" s="104"/>
      <c r="G49" s="104"/>
      <c r="H49" s="104"/>
      <c r="I49" s="104"/>
    </row>
    <row r="50" spans="1:11" s="10" customFormat="1" ht="17" thickBot="1" x14ac:dyDescent="0.25">
      <c r="A50" s="10" t="s">
        <v>39</v>
      </c>
      <c r="D50" s="105">
        <f t="shared" ref="D50:I50" si="15">D47</f>
        <v>-1800000</v>
      </c>
      <c r="E50" s="105">
        <f t="shared" si="15"/>
        <v>288490</v>
      </c>
      <c r="F50" s="105">
        <f t="shared" si="15"/>
        <v>364837</v>
      </c>
      <c r="G50" s="105">
        <f t="shared" si="15"/>
        <v>455559</v>
      </c>
      <c r="H50" s="105">
        <f t="shared" si="15"/>
        <v>563455</v>
      </c>
      <c r="I50" s="105">
        <f t="shared" si="15"/>
        <v>691611.4</v>
      </c>
    </row>
    <row r="51" spans="1:11" s="10" customFormat="1" ht="17" thickBot="1" x14ac:dyDescent="0.25">
      <c r="A51" s="10" t="s">
        <v>40</v>
      </c>
      <c r="D51" s="105">
        <f>D50/((1+$B$52)^D43)</f>
        <v>-1800000</v>
      </c>
      <c r="E51" s="105">
        <f t="shared" ref="E51:I51" si="16">E50/((1+$B$52)^E43)</f>
        <v>265889.40092165902</v>
      </c>
      <c r="F51" s="105">
        <f t="shared" si="16"/>
        <v>309912.71846928156</v>
      </c>
      <c r="G51" s="105">
        <f t="shared" si="16"/>
        <v>356660.83041300456</v>
      </c>
      <c r="H51" s="105">
        <f t="shared" si="16"/>
        <v>406574.63834219961</v>
      </c>
      <c r="I51" s="105">
        <f t="shared" si="16"/>
        <v>459952.99626410799</v>
      </c>
      <c r="J51" s="110">
        <f>SUM(D51:I51)</f>
        <v>-1009.4155897470191</v>
      </c>
      <c r="K51" s="5" t="s">
        <v>89</v>
      </c>
    </row>
    <row r="52" spans="1:11" x14ac:dyDescent="0.2">
      <c r="A52" s="6" t="s">
        <v>45</v>
      </c>
      <c r="B52" s="111">
        <v>8.5000000000000006E-2</v>
      </c>
      <c r="E52" s="104"/>
      <c r="F52" s="104"/>
      <c r="G52" s="104"/>
      <c r="H52" s="104"/>
      <c r="I52" s="104"/>
    </row>
    <row r="53" spans="1:11" ht="17" thickBot="1" x14ac:dyDescent="0.25">
      <c r="E53" s="104"/>
      <c r="F53" s="104"/>
      <c r="G53" s="104"/>
      <c r="H53" s="104"/>
      <c r="I53" s="104"/>
    </row>
    <row r="54" spans="1:11" s="40" customFormat="1" ht="17" thickBot="1" x14ac:dyDescent="0.25">
      <c r="A54" s="10" t="s">
        <v>47</v>
      </c>
      <c r="B54" s="115">
        <f>B55+(D55*(B56-B55)/(D55-D56))</f>
        <v>8.4815107470435525E-2</v>
      </c>
      <c r="E54" s="113"/>
      <c r="F54" s="113"/>
      <c r="G54" s="113"/>
      <c r="H54" s="113"/>
      <c r="I54" s="113"/>
    </row>
    <row r="55" spans="1:11" x14ac:dyDescent="0.2">
      <c r="A55" s="6" t="s">
        <v>148</v>
      </c>
      <c r="B55" s="112">
        <f>+D112</f>
        <v>8.1849999999999992E-2</v>
      </c>
      <c r="C55" s="114" t="s">
        <v>149</v>
      </c>
      <c r="D55" s="104">
        <f>+J48</f>
        <v>16187.921237181465</v>
      </c>
      <c r="E55" s="104"/>
      <c r="F55" s="104"/>
      <c r="G55" s="104"/>
      <c r="H55" s="104"/>
      <c r="I55" s="104"/>
    </row>
    <row r="56" spans="1:11" x14ac:dyDescent="0.2">
      <c r="A56" s="6" t="s">
        <v>150</v>
      </c>
      <c r="B56" s="112">
        <f>+B52</f>
        <v>8.5000000000000006E-2</v>
      </c>
      <c r="C56" s="114" t="s">
        <v>89</v>
      </c>
      <c r="D56" s="104">
        <f>+J51</f>
        <v>-1009.4155897470191</v>
      </c>
      <c r="E56" s="104"/>
      <c r="F56" s="104"/>
      <c r="G56" s="104"/>
      <c r="H56" s="104"/>
      <c r="I56" s="104"/>
    </row>
    <row r="58" spans="1:11" x14ac:dyDescent="0.2">
      <c r="A58" s="40" t="s">
        <v>151</v>
      </c>
    </row>
    <row r="59" spans="1:11" x14ac:dyDescent="0.2">
      <c r="A59" s="6" t="s">
        <v>24</v>
      </c>
      <c r="E59" s="104">
        <f>SUM(E29)/((1+$D$112)^E43)</f>
        <v>831908.30521791382</v>
      </c>
      <c r="F59" s="104">
        <f t="shared" ref="F59:I59" si="17">SUM(F29)/((1+$D$112)^F43)</f>
        <v>922761.90438738873</v>
      </c>
      <c r="G59" s="104">
        <f t="shared" si="17"/>
        <v>1023537.7226647561</v>
      </c>
      <c r="H59" s="104">
        <f t="shared" si="17"/>
        <v>1135319.3762515204</v>
      </c>
      <c r="I59" s="104">
        <f t="shared" si="17"/>
        <v>1259308.8242379485</v>
      </c>
      <c r="J59" s="104">
        <f>SUM(D59:I59)</f>
        <v>5172836.1327595273</v>
      </c>
    </row>
    <row r="60" spans="1:11" ht="17" thickBot="1" x14ac:dyDescent="0.25">
      <c r="A60" s="6" t="s">
        <v>80</v>
      </c>
      <c r="D60" s="104">
        <f t="shared" ref="D60:I60" si="18">-SUM(D30,D32,D33,D34,D37,D39,D46)/((1+$D$112)^D43)</f>
        <v>1800000</v>
      </c>
      <c r="E60" s="104">
        <f t="shared" si="18"/>
        <v>565244.71969311824</v>
      </c>
      <c r="F60" s="104">
        <f t="shared" si="18"/>
        <v>611041.82576610928</v>
      </c>
      <c r="G60" s="104">
        <f t="shared" si="18"/>
        <v>663752.36664667458</v>
      </c>
      <c r="H60" s="104">
        <f t="shared" si="18"/>
        <v>723988.75694480713</v>
      </c>
      <c r="I60" s="104">
        <f t="shared" si="18"/>
        <v>792620.54247163679</v>
      </c>
      <c r="J60" s="104">
        <f>SUM(D60:I60)</f>
        <v>5156648.2115223464</v>
      </c>
    </row>
    <row r="61" spans="1:11" ht="17" thickBot="1" x14ac:dyDescent="0.25">
      <c r="I61" s="10" t="s">
        <v>81</v>
      </c>
      <c r="J61" s="116">
        <f>+J59/J60</f>
        <v>1.0031392331943469</v>
      </c>
    </row>
    <row r="63" spans="1:11" s="10" customFormat="1" x14ac:dyDescent="0.2">
      <c r="A63" s="10" t="s">
        <v>152</v>
      </c>
      <c r="E63" s="10" t="s">
        <v>153</v>
      </c>
    </row>
    <row r="64" spans="1:11" x14ac:dyDescent="0.2">
      <c r="A64" s="6" t="s">
        <v>154</v>
      </c>
      <c r="D64" s="104"/>
      <c r="E64" s="6" t="s">
        <v>155</v>
      </c>
    </row>
    <row r="65" spans="1:8" x14ac:dyDescent="0.2">
      <c r="A65" s="6" t="s">
        <v>115</v>
      </c>
      <c r="D65" s="104">
        <f>+D6</f>
        <v>200000</v>
      </c>
      <c r="E65" s="6" t="s">
        <v>156</v>
      </c>
      <c r="H65" s="117">
        <f>+B90+B95</f>
        <v>243543.24573110728</v>
      </c>
    </row>
    <row r="66" spans="1:8" x14ac:dyDescent="0.2">
      <c r="A66" s="6" t="s">
        <v>157</v>
      </c>
      <c r="D66" s="117">
        <f>+D5</f>
        <v>200000</v>
      </c>
      <c r="E66" s="6" t="s">
        <v>158</v>
      </c>
      <c r="H66" s="104">
        <f>SUM(H65)</f>
        <v>243543.24573110728</v>
      </c>
    </row>
    <row r="67" spans="1:8" x14ac:dyDescent="0.2">
      <c r="A67" s="6" t="s">
        <v>159</v>
      </c>
      <c r="D67" s="104">
        <f>SUM(D65:D66)</f>
        <v>400000</v>
      </c>
    </row>
    <row r="68" spans="1:8" x14ac:dyDescent="0.2">
      <c r="E68" s="6" t="s">
        <v>160</v>
      </c>
    </row>
    <row r="69" spans="1:8" x14ac:dyDescent="0.2">
      <c r="A69" s="6" t="s">
        <v>161</v>
      </c>
      <c r="E69" s="6" t="s">
        <v>156</v>
      </c>
      <c r="H69" s="117">
        <f>900000-H65</f>
        <v>656456.75426889269</v>
      </c>
    </row>
    <row r="70" spans="1:8" x14ac:dyDescent="0.2">
      <c r="A70" s="6" t="s">
        <v>162</v>
      </c>
      <c r="D70" s="104">
        <f>SUM(D3:D4)</f>
        <v>1400000</v>
      </c>
      <c r="E70" s="6" t="s">
        <v>163</v>
      </c>
      <c r="H70" s="118">
        <f>SUM(H69)</f>
        <v>656456.75426889269</v>
      </c>
    </row>
    <row r="71" spans="1:8" x14ac:dyDescent="0.2">
      <c r="A71" s="6" t="s">
        <v>164</v>
      </c>
      <c r="D71" s="118">
        <f>SUM(D70)</f>
        <v>1400000</v>
      </c>
    </row>
    <row r="72" spans="1:8" x14ac:dyDescent="0.2">
      <c r="E72" s="6" t="s">
        <v>165</v>
      </c>
      <c r="H72" s="104">
        <f>SUM(H70,H66)</f>
        <v>900000</v>
      </c>
    </row>
    <row r="73" spans="1:8" x14ac:dyDescent="0.2">
      <c r="H73" s="104"/>
    </row>
    <row r="74" spans="1:8" x14ac:dyDescent="0.2">
      <c r="E74" s="6" t="s">
        <v>166</v>
      </c>
      <c r="H74" s="104"/>
    </row>
    <row r="75" spans="1:8" x14ac:dyDescent="0.2">
      <c r="E75" s="6" t="s">
        <v>167</v>
      </c>
      <c r="H75" s="117">
        <v>900000</v>
      </c>
    </row>
    <row r="76" spans="1:8" x14ac:dyDescent="0.2">
      <c r="H76" s="104"/>
    </row>
    <row r="77" spans="1:8" s="10" customFormat="1" ht="17" thickBot="1" x14ac:dyDescent="0.25">
      <c r="A77" s="10" t="s">
        <v>168</v>
      </c>
      <c r="D77" s="119">
        <f>SUM(D67,D71)</f>
        <v>1800000</v>
      </c>
      <c r="E77" s="10" t="s">
        <v>169</v>
      </c>
      <c r="H77" s="119">
        <f>SUM(H72,H75)</f>
        <v>1800000</v>
      </c>
    </row>
    <row r="78" spans="1:8" ht="17" thickTop="1" x14ac:dyDescent="0.2"/>
    <row r="79" spans="1:8" s="40" customFormat="1" x14ac:dyDescent="0.2">
      <c r="A79" s="40" t="s">
        <v>170</v>
      </c>
    </row>
    <row r="80" spans="1:8" x14ac:dyDescent="0.2">
      <c r="A80" s="6" t="s">
        <v>171</v>
      </c>
      <c r="D80" s="8">
        <v>0.2</v>
      </c>
    </row>
    <row r="81" spans="1:9" x14ac:dyDescent="0.2">
      <c r="A81" s="6" t="s">
        <v>172</v>
      </c>
      <c r="D81" s="8">
        <v>0.4</v>
      </c>
    </row>
    <row r="82" spans="1:9" x14ac:dyDescent="0.2">
      <c r="A82" s="6" t="s">
        <v>173</v>
      </c>
      <c r="D82" s="8">
        <v>0.04</v>
      </c>
    </row>
    <row r="83" spans="1:9" x14ac:dyDescent="0.2">
      <c r="A83" s="6" t="s">
        <v>174</v>
      </c>
      <c r="F83" s="106">
        <v>0.04</v>
      </c>
      <c r="G83" s="106">
        <v>4.4999999999999998E-2</v>
      </c>
      <c r="H83" s="106">
        <v>0.05</v>
      </c>
      <c r="I83" s="106">
        <v>0.06</v>
      </c>
    </row>
    <row r="84" spans="1:9" x14ac:dyDescent="0.2">
      <c r="A84" s="6" t="s">
        <v>123</v>
      </c>
      <c r="D84" s="8">
        <v>0.33</v>
      </c>
      <c r="F84" s="106"/>
      <c r="G84" s="106"/>
      <c r="H84" s="106"/>
      <c r="I84" s="106"/>
    </row>
    <row r="86" spans="1:9" s="40" customFormat="1" x14ac:dyDescent="0.2">
      <c r="A86" s="40" t="s">
        <v>175</v>
      </c>
    </row>
    <row r="87" spans="1:9" x14ac:dyDescent="0.2">
      <c r="A87" s="6" t="s">
        <v>167</v>
      </c>
      <c r="B87" s="27">
        <v>450000</v>
      </c>
      <c r="D87" s="6" t="s">
        <v>50</v>
      </c>
      <c r="E87" s="104">
        <f>+B87</f>
        <v>450000</v>
      </c>
      <c r="F87" s="104">
        <f>+E87-E89</f>
        <v>379165.62062652805</v>
      </c>
      <c r="G87" s="104">
        <f t="shared" ref="G87:I87" si="19">+F87-F89</f>
        <v>299831.11572823953</v>
      </c>
      <c r="H87" s="104">
        <f t="shared" si="19"/>
        <v>210976.47024215636</v>
      </c>
      <c r="I87" s="104">
        <f t="shared" si="19"/>
        <v>111459.26729774319</v>
      </c>
    </row>
    <row r="88" spans="1:9" x14ac:dyDescent="0.2">
      <c r="A88" s="6" t="s">
        <v>51</v>
      </c>
      <c r="B88" s="8">
        <v>0.12</v>
      </c>
      <c r="D88" s="6" t="s">
        <v>52</v>
      </c>
      <c r="E88" s="104">
        <f>+E87*B88</f>
        <v>54000</v>
      </c>
      <c r="F88" s="104">
        <f>+F87*B88</f>
        <v>45499.874475183366</v>
      </c>
      <c r="G88" s="104">
        <f>+G87*B88</f>
        <v>35979.733887388742</v>
      </c>
      <c r="H88" s="104">
        <f>+H87*B88</f>
        <v>25317.176429058763</v>
      </c>
      <c r="I88" s="104">
        <f>+I87*B88</f>
        <v>13375.112075729183</v>
      </c>
    </row>
    <row r="89" spans="1:9" x14ac:dyDescent="0.2">
      <c r="A89" s="6" t="s">
        <v>53</v>
      </c>
      <c r="B89" s="27">
        <v>5</v>
      </c>
      <c r="D89" s="6" t="s">
        <v>54</v>
      </c>
      <c r="E89" s="104">
        <f>+B90-E88</f>
        <v>70834.379373471922</v>
      </c>
      <c r="F89" s="104">
        <f>+B90-F88</f>
        <v>79334.504898288549</v>
      </c>
      <c r="G89" s="104">
        <f>+B90-G88</f>
        <v>88854.645486083173</v>
      </c>
      <c r="H89" s="104">
        <f>+B90-H88</f>
        <v>99517.202944413162</v>
      </c>
      <c r="I89" s="104">
        <f>+B90-I88</f>
        <v>111459.26729774274</v>
      </c>
    </row>
    <row r="90" spans="1:9" x14ac:dyDescent="0.2">
      <c r="A90" s="6" t="s">
        <v>55</v>
      </c>
      <c r="B90" s="27">
        <f>+B87*(B88/(1-((1+B88)^-B89)))</f>
        <v>124834.37937347192</v>
      </c>
    </row>
    <row r="92" spans="1:9" x14ac:dyDescent="0.2">
      <c r="A92" s="6" t="s">
        <v>167</v>
      </c>
      <c r="B92" s="27">
        <v>450000</v>
      </c>
      <c r="D92" s="6" t="s">
        <v>50</v>
      </c>
      <c r="E92" s="104">
        <f>+B92</f>
        <v>450000</v>
      </c>
      <c r="F92" s="104">
        <f>+E92-E94</f>
        <v>376291.13364236464</v>
      </c>
      <c r="G92" s="104">
        <f t="shared" ref="G92:I92" si="20">+F92-F94</f>
        <v>295211.38064896571</v>
      </c>
      <c r="H92" s="104">
        <f t="shared" si="20"/>
        <v>206023.65235622693</v>
      </c>
      <c r="I92" s="104">
        <f t="shared" si="20"/>
        <v>107917.15123421427</v>
      </c>
    </row>
    <row r="93" spans="1:9" x14ac:dyDescent="0.2">
      <c r="A93" s="6" t="s">
        <v>51</v>
      </c>
      <c r="B93" s="8">
        <v>0.1</v>
      </c>
      <c r="D93" s="6" t="s">
        <v>52</v>
      </c>
      <c r="E93" s="104">
        <f>+E92*B93</f>
        <v>45000</v>
      </c>
      <c r="F93" s="104">
        <f>+F92*B93</f>
        <v>37629.113364236466</v>
      </c>
      <c r="G93" s="104">
        <f>+G92*B93</f>
        <v>29521.138064896571</v>
      </c>
      <c r="H93" s="104">
        <f>+H92*B93</f>
        <v>20602.365235622696</v>
      </c>
      <c r="I93" s="104">
        <f>+I92*B93</f>
        <v>10791.715123421427</v>
      </c>
    </row>
    <row r="94" spans="1:9" x14ac:dyDescent="0.2">
      <c r="A94" s="6" t="s">
        <v>53</v>
      </c>
      <c r="B94" s="27">
        <v>5</v>
      </c>
      <c r="D94" s="6" t="s">
        <v>54</v>
      </c>
      <c r="E94" s="104">
        <f>+B95-E93</f>
        <v>73708.866357635357</v>
      </c>
      <c r="F94" s="104">
        <f>+B95-F93</f>
        <v>81079.752993398899</v>
      </c>
      <c r="G94" s="104">
        <f>+B95-G93</f>
        <v>89187.728292738786</v>
      </c>
      <c r="H94" s="104">
        <f>+B95-H93</f>
        <v>98106.501122012662</v>
      </c>
      <c r="I94" s="104">
        <f>+B95-I93</f>
        <v>107917.15123421393</v>
      </c>
    </row>
    <row r="95" spans="1:9" x14ac:dyDescent="0.2">
      <c r="A95" s="6" t="s">
        <v>55</v>
      </c>
      <c r="B95" s="27">
        <f>+B92*(B93/(1-((1+B93)^-B94)))</f>
        <v>118708.86635763536</v>
      </c>
    </row>
    <row r="97" spans="1:5" s="40" customFormat="1" x14ac:dyDescent="0.2">
      <c r="A97" s="40" t="s">
        <v>176</v>
      </c>
      <c r="D97" s="107" t="s">
        <v>109</v>
      </c>
      <c r="E97" s="107" t="s">
        <v>111</v>
      </c>
    </row>
    <row r="98" spans="1:5" x14ac:dyDescent="0.2">
      <c r="A98" s="6" t="s">
        <v>177</v>
      </c>
      <c r="D98" s="27">
        <v>900000</v>
      </c>
      <c r="E98" s="27">
        <v>500000</v>
      </c>
    </row>
    <row r="99" spans="1:5" x14ac:dyDescent="0.2">
      <c r="A99" s="6" t="s">
        <v>178</v>
      </c>
      <c r="D99" s="27">
        <v>0</v>
      </c>
      <c r="E99" s="27">
        <v>0</v>
      </c>
    </row>
    <row r="100" spans="1:5" x14ac:dyDescent="0.2">
      <c r="A100" s="6" t="s">
        <v>179</v>
      </c>
      <c r="D100" s="27">
        <v>10</v>
      </c>
      <c r="E100" s="27">
        <v>5</v>
      </c>
    </row>
    <row r="101" spans="1:5" x14ac:dyDescent="0.2">
      <c r="A101" s="6" t="s">
        <v>180</v>
      </c>
      <c r="D101" s="27">
        <f>+(D98-D99)/D100</f>
        <v>90000</v>
      </c>
      <c r="E101" s="27">
        <f>+(E98-E99)/E100</f>
        <v>100000</v>
      </c>
    </row>
    <row r="102" spans="1:5" x14ac:dyDescent="0.2">
      <c r="D102" s="27"/>
      <c r="E102" s="27"/>
    </row>
    <row r="103" spans="1:5" x14ac:dyDescent="0.2">
      <c r="A103" s="40" t="s">
        <v>181</v>
      </c>
    </row>
    <row r="105" spans="1:5" x14ac:dyDescent="0.2">
      <c r="A105" s="6" t="s">
        <v>182</v>
      </c>
      <c r="C105" s="8">
        <v>0.5</v>
      </c>
      <c r="D105" s="23">
        <v>0.12</v>
      </c>
    </row>
    <row r="106" spans="1:5" x14ac:dyDescent="0.2">
      <c r="A106" s="6" t="s">
        <v>183</v>
      </c>
      <c r="C106" s="8">
        <v>0.5</v>
      </c>
      <c r="D106" s="23">
        <v>0.1</v>
      </c>
    </row>
    <row r="107" spans="1:5" x14ac:dyDescent="0.2">
      <c r="A107" s="6" t="s">
        <v>184</v>
      </c>
      <c r="D107" s="108">
        <f>+(C105*D105)+(C106*D106)</f>
        <v>0.11</v>
      </c>
    </row>
    <row r="108" spans="1:5" x14ac:dyDescent="0.2">
      <c r="A108" s="6" t="s">
        <v>185</v>
      </c>
      <c r="D108" s="8">
        <v>0.09</v>
      </c>
    </row>
    <row r="109" spans="1:5" x14ac:dyDescent="0.2">
      <c r="A109" s="6" t="s">
        <v>186</v>
      </c>
      <c r="D109" s="8">
        <v>0.33</v>
      </c>
    </row>
    <row r="110" spans="1:5" x14ac:dyDescent="0.2">
      <c r="A110" s="6" t="s">
        <v>187</v>
      </c>
      <c r="D110" s="8">
        <v>0.5</v>
      </c>
    </row>
    <row r="111" spans="1:5" ht="17" thickBot="1" x14ac:dyDescent="0.25">
      <c r="A111" s="6" t="s">
        <v>188</v>
      </c>
      <c r="D111" s="8">
        <v>0.5</v>
      </c>
    </row>
    <row r="112" spans="1:5" ht="17" thickBot="1" x14ac:dyDescent="0.25">
      <c r="A112" s="10" t="s">
        <v>189</v>
      </c>
      <c r="D112" s="109">
        <f>(D111*D108)+(D110*D107*(1-D109))</f>
        <v>8.1849999999999992E-2</v>
      </c>
    </row>
  </sheetData>
  <mergeCells count="1">
    <mergeCell ref="A22:I2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1"/>
  <sheetViews>
    <sheetView showGridLines="0" topLeftCell="A32" zoomScale="115" zoomScaleNormal="115" workbookViewId="0"/>
  </sheetViews>
  <sheetFormatPr baseColWidth="10" defaultColWidth="11.5" defaultRowHeight="16" x14ac:dyDescent="0.2"/>
  <cols>
    <col min="1" max="1" width="1.5" style="1" customWidth="1"/>
    <col min="2" max="2" width="14.6640625" style="1" customWidth="1"/>
    <col min="3" max="3" width="15.83203125" style="1" bestFit="1" customWidth="1"/>
    <col min="4" max="4" width="14.6640625" style="1" customWidth="1"/>
    <col min="5" max="5" width="13.83203125" style="1" bestFit="1" customWidth="1"/>
    <col min="6" max="6" width="15.5" style="1" bestFit="1" customWidth="1"/>
    <col min="7" max="7" width="13.5" style="1" bestFit="1" customWidth="1"/>
    <col min="8" max="9" width="15.5" style="1" customWidth="1"/>
    <col min="10" max="10" width="14.33203125" style="1" bestFit="1" customWidth="1"/>
    <col min="11" max="16384" width="11.5" style="1"/>
  </cols>
  <sheetData>
    <row r="2" spans="2:8" x14ac:dyDescent="0.2">
      <c r="B2" s="136" t="s">
        <v>190</v>
      </c>
      <c r="C2" s="136"/>
      <c r="D2" s="136"/>
      <c r="E2" s="136"/>
      <c r="F2" s="136"/>
      <c r="G2" s="136"/>
      <c r="H2" s="136"/>
    </row>
    <row r="3" spans="2:8" x14ac:dyDescent="0.2">
      <c r="B3" s="136"/>
      <c r="C3" s="136"/>
      <c r="D3" s="136"/>
      <c r="E3" s="136"/>
      <c r="F3" s="136"/>
      <c r="G3" s="136"/>
      <c r="H3" s="136"/>
    </row>
    <row r="5" spans="2:8" s="2" customFormat="1" ht="14" x14ac:dyDescent="0.2">
      <c r="C5" s="3">
        <v>1</v>
      </c>
      <c r="D5" s="3">
        <v>2</v>
      </c>
      <c r="E5" s="3">
        <v>3</v>
      </c>
      <c r="F5" s="3">
        <v>4</v>
      </c>
      <c r="G5" s="3">
        <v>5</v>
      </c>
    </row>
    <row r="6" spans="2:8" x14ac:dyDescent="0.2">
      <c r="C6" s="4">
        <v>57428000</v>
      </c>
      <c r="D6" s="4">
        <v>64942050</v>
      </c>
      <c r="E6" s="4">
        <v>72189775</v>
      </c>
      <c r="F6" s="4">
        <v>76651294.950000003</v>
      </c>
      <c r="G6" s="4">
        <v>86092140</v>
      </c>
    </row>
    <row r="8" spans="2:8" x14ac:dyDescent="0.2">
      <c r="B8" s="136" t="s">
        <v>83</v>
      </c>
      <c r="C8" s="136"/>
      <c r="D8" s="136"/>
      <c r="E8" s="136"/>
      <c r="F8" s="136"/>
      <c r="G8" s="136"/>
      <c r="H8" s="136"/>
    </row>
    <row r="9" spans="2:8" x14ac:dyDescent="0.2">
      <c r="B9" s="136"/>
      <c r="C9" s="136"/>
      <c r="D9" s="136"/>
      <c r="E9" s="136"/>
      <c r="F9" s="136"/>
      <c r="G9" s="136"/>
      <c r="H9" s="136"/>
    </row>
    <row r="11" spans="2:8" ht="15.75" customHeight="1" x14ac:dyDescent="0.2">
      <c r="B11" s="136" t="s">
        <v>191</v>
      </c>
      <c r="C11" s="136"/>
      <c r="D11" s="136"/>
      <c r="E11" s="136"/>
      <c r="F11" s="136"/>
      <c r="G11" s="136"/>
      <c r="H11" s="136"/>
    </row>
    <row r="12" spans="2:8" x14ac:dyDescent="0.2">
      <c r="B12" s="136"/>
      <c r="C12" s="136"/>
      <c r="D12" s="136"/>
      <c r="E12" s="136"/>
      <c r="F12" s="136"/>
      <c r="G12" s="136"/>
      <c r="H12" s="136"/>
    </row>
    <row r="14" spans="2:8" x14ac:dyDescent="0.2">
      <c r="B14" s="136" t="s">
        <v>192</v>
      </c>
      <c r="C14" s="136"/>
      <c r="D14" s="136"/>
      <c r="E14" s="136"/>
      <c r="F14" s="136"/>
      <c r="G14" s="136"/>
      <c r="H14" s="136"/>
    </row>
    <row r="15" spans="2:8" x14ac:dyDescent="0.2">
      <c r="B15" s="136"/>
      <c r="C15" s="136"/>
      <c r="D15" s="136"/>
      <c r="E15" s="136"/>
      <c r="F15" s="136"/>
      <c r="G15" s="136"/>
      <c r="H15" s="136"/>
    </row>
    <row r="17" spans="2:9" x14ac:dyDescent="0.2">
      <c r="B17" s="1" t="s">
        <v>189</v>
      </c>
      <c r="C17" s="1" t="s">
        <v>193</v>
      </c>
    </row>
    <row r="18" spans="2:9" ht="17" thickBot="1" x14ac:dyDescent="0.25">
      <c r="C18" s="1" t="s">
        <v>194</v>
      </c>
    </row>
    <row r="19" spans="2:9" ht="17" thickBot="1" x14ac:dyDescent="0.25">
      <c r="C19" s="102">
        <f>+(20%*C24)+(80% *18%*(1-40%))</f>
        <v>0.14735999999999999</v>
      </c>
    </row>
    <row r="21" spans="2:9" x14ac:dyDescent="0.2">
      <c r="B21" s="1" t="s">
        <v>185</v>
      </c>
      <c r="C21" s="1" t="s">
        <v>195</v>
      </c>
    </row>
    <row r="22" spans="2:9" x14ac:dyDescent="0.2">
      <c r="C22" s="1" t="s">
        <v>196</v>
      </c>
    </row>
    <row r="23" spans="2:9" x14ac:dyDescent="0.2">
      <c r="C23" s="1" t="s">
        <v>197</v>
      </c>
    </row>
    <row r="24" spans="2:9" x14ac:dyDescent="0.2">
      <c r="C24" s="101">
        <f>6%+C27*(14%-6%)</f>
        <v>0.30480000000000007</v>
      </c>
    </row>
    <row r="26" spans="2:9" x14ac:dyDescent="0.2">
      <c r="B26" s="1" t="s">
        <v>198</v>
      </c>
      <c r="C26" s="1" t="s">
        <v>199</v>
      </c>
    </row>
    <row r="27" spans="2:9" x14ac:dyDescent="0.2">
      <c r="C27" s="100">
        <f>0.9*(1+((80%/20%)*(1-40%)))</f>
        <v>3.06</v>
      </c>
    </row>
    <row r="28" spans="2:9" ht="17" thickBot="1" x14ac:dyDescent="0.25"/>
    <row r="29" spans="2:9" s="99" customFormat="1" ht="20" thickBot="1" x14ac:dyDescent="0.25">
      <c r="B29" s="140" t="s">
        <v>200</v>
      </c>
      <c r="C29" s="141"/>
      <c r="D29" s="141"/>
      <c r="E29" s="141"/>
      <c r="F29" s="141"/>
      <c r="G29" s="141"/>
      <c r="H29" s="142"/>
    </row>
    <row r="31" spans="2:9" s="2" customFormat="1" ht="14" x14ac:dyDescent="0.2">
      <c r="C31" s="3">
        <v>0</v>
      </c>
      <c r="D31" s="3">
        <v>1</v>
      </c>
      <c r="E31" s="3">
        <v>2</v>
      </c>
      <c r="F31" s="3">
        <v>3</v>
      </c>
      <c r="G31" s="3">
        <v>4</v>
      </c>
      <c r="H31" s="3">
        <v>5</v>
      </c>
      <c r="I31" s="2" t="s">
        <v>85</v>
      </c>
    </row>
    <row r="32" spans="2:9" ht="17" thickBot="1" x14ac:dyDescent="0.25">
      <c r="B32" s="1" t="s">
        <v>86</v>
      </c>
      <c r="C32" s="4">
        <v>-180000000</v>
      </c>
      <c r="D32" s="4">
        <f>+C6</f>
        <v>57428000</v>
      </c>
      <c r="E32" s="4">
        <f t="shared" ref="E32:H32" si="0">+D6</f>
        <v>64942050</v>
      </c>
      <c r="F32" s="4">
        <f t="shared" si="0"/>
        <v>72189775</v>
      </c>
      <c r="G32" s="4">
        <f t="shared" si="0"/>
        <v>76651294.950000003</v>
      </c>
      <c r="H32" s="4">
        <f t="shared" si="0"/>
        <v>86092140</v>
      </c>
    </row>
    <row r="33" spans="2:9" ht="17" thickBot="1" x14ac:dyDescent="0.25">
      <c r="B33" s="1" t="s">
        <v>87</v>
      </c>
      <c r="C33" s="4">
        <f>+C32/((1+C34)^C31)</f>
        <v>-180000000</v>
      </c>
      <c r="D33" s="4">
        <f>+D32/((1+C34)^D31)</f>
        <v>50052293.961790547</v>
      </c>
      <c r="E33" s="4">
        <f>+E32/((1+C34)^E31)</f>
        <v>49331756.979786634</v>
      </c>
      <c r="F33" s="4">
        <f>+F32/((1+C34)^F31)</f>
        <v>47794351.445317045</v>
      </c>
      <c r="G33" s="4">
        <f>+G32/((1+C34)^G31)</f>
        <v>44230380.512823164</v>
      </c>
      <c r="H33" s="4">
        <f>+H32/((1+C34)^H31)</f>
        <v>43297715.002334952</v>
      </c>
      <c r="I33" s="66">
        <f>SUM(C33:H33)</f>
        <v>54706497.902052343</v>
      </c>
    </row>
    <row r="34" spans="2:9" x14ac:dyDescent="0.2">
      <c r="B34" s="1" t="s">
        <v>88</v>
      </c>
      <c r="C34" s="96">
        <f>+C19</f>
        <v>0.14735999999999999</v>
      </c>
    </row>
    <row r="36" spans="2:9" s="2" customFormat="1" ht="14" x14ac:dyDescent="0.2">
      <c r="C36" s="3">
        <v>0</v>
      </c>
      <c r="D36" s="3">
        <v>1</v>
      </c>
      <c r="E36" s="3">
        <v>2</v>
      </c>
      <c r="F36" s="3">
        <v>3</v>
      </c>
      <c r="G36" s="3">
        <v>4</v>
      </c>
      <c r="H36" s="3">
        <v>5</v>
      </c>
      <c r="I36" s="2" t="s">
        <v>89</v>
      </c>
    </row>
    <row r="37" spans="2:9" ht="17" thickBot="1" x14ac:dyDescent="0.25">
      <c r="B37" s="1" t="s">
        <v>86</v>
      </c>
      <c r="C37" s="4">
        <f t="shared" ref="C37:H37" si="1">C32</f>
        <v>-180000000</v>
      </c>
      <c r="D37" s="4">
        <f t="shared" si="1"/>
        <v>57428000</v>
      </c>
      <c r="E37" s="4">
        <f t="shared" si="1"/>
        <v>64942050</v>
      </c>
      <c r="F37" s="4">
        <f t="shared" si="1"/>
        <v>72189775</v>
      </c>
      <c r="G37" s="4">
        <f t="shared" si="1"/>
        <v>76651294.950000003</v>
      </c>
      <c r="H37" s="4">
        <f t="shared" si="1"/>
        <v>86092140</v>
      </c>
    </row>
    <row r="38" spans="2:9" ht="17" thickBot="1" x14ac:dyDescent="0.25">
      <c r="B38" s="1" t="s">
        <v>87</v>
      </c>
      <c r="C38" s="4">
        <f>+C37/((1+C39)^C36)</f>
        <v>-180000000</v>
      </c>
      <c r="D38" s="4">
        <f>+D37/((1+C39)^D36)</f>
        <v>45541633.624107845</v>
      </c>
      <c r="E38" s="4">
        <f>+E37/((1+C39)^E36)</f>
        <v>40840948.581900366</v>
      </c>
      <c r="F38" s="4">
        <f>+F37/((1+C39)^F36)</f>
        <v>36002315.089233033</v>
      </c>
      <c r="G38" s="4">
        <f>+G37/((1+C39)^G36)</f>
        <v>30315110.105648506</v>
      </c>
      <c r="H38" s="4">
        <f>+H37/((1+C39)^H36)</f>
        <v>27001511.155329689</v>
      </c>
      <c r="I38" s="66">
        <f>SUM(C38:H38)</f>
        <v>-298481.44378057495</v>
      </c>
    </row>
    <row r="39" spans="2:9" x14ac:dyDescent="0.2">
      <c r="B39" s="1" t="s">
        <v>88</v>
      </c>
      <c r="C39" s="96">
        <v>0.26100000000000001</v>
      </c>
    </row>
    <row r="40" spans="2:9" ht="17" thickBot="1" x14ac:dyDescent="0.25"/>
    <row r="41" spans="2:9" ht="17" thickBot="1" x14ac:dyDescent="0.25">
      <c r="B41" s="98" t="s">
        <v>90</v>
      </c>
      <c r="C41" s="103">
        <f>+C34+(I33*(C39-C34)/(I33-I38))</f>
        <v>0.26038333889632131</v>
      </c>
    </row>
  </sheetData>
  <mergeCells count="5">
    <mergeCell ref="B2:H3"/>
    <mergeCell ref="B8:H9"/>
    <mergeCell ref="B11:H12"/>
    <mergeCell ref="B14:H15"/>
    <mergeCell ref="B29:H29"/>
  </mergeCells>
  <printOptions horizontalCentered="1"/>
  <pageMargins left="0.70866141732283472" right="0.70866141732283472" top="0.55118110236220474" bottom="0.15748031496062992" header="0.31496062992125984" footer="0.31496062992125984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AFAD3F5D4A4B49BF9F9AFC23CD6CC8" ma:contentTypeVersion="2" ma:contentTypeDescription="Create a new document." ma:contentTypeScope="" ma:versionID="cd4fde5f8ff29ff91ae73d09d627fae7">
  <xsd:schema xmlns:xsd="http://www.w3.org/2001/XMLSchema" xmlns:xs="http://www.w3.org/2001/XMLSchema" xmlns:p="http://schemas.microsoft.com/office/2006/metadata/properties" xmlns:ns2="8d65419f-b40d-4c03-bc93-f175dfd824f3" targetNamespace="http://schemas.microsoft.com/office/2006/metadata/properties" ma:root="true" ma:fieldsID="57a0a1c9fcf8f516d793e5955e3abb81" ns2:_="">
    <xsd:import namespace="8d65419f-b40d-4c03-bc93-f175dfd824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419f-b40d-4c03-bc93-f175dfd824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E0ABC5-A373-4D2A-AC0D-00D96B7B8C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4EE2059-D51E-4815-895F-BB25CDB6E9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44139B-9BF1-4E1D-9E30-93C9382958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65419f-b40d-4c03-bc93-f175dfd824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 1</vt:lpstr>
      <vt:lpstr>CASO 2</vt:lpstr>
      <vt:lpstr>CASO 3</vt:lpstr>
      <vt:lpstr>CASO 3-1</vt:lpstr>
      <vt:lpstr>CASO 5</vt:lpstr>
      <vt:lpstr>CASO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GONZALEZ</dc:creator>
  <cp:keywords/>
  <dc:description/>
  <cp:lastModifiedBy>Microsoft Office User</cp:lastModifiedBy>
  <cp:revision/>
  <dcterms:created xsi:type="dcterms:W3CDTF">2015-10-18T16:08:25Z</dcterms:created>
  <dcterms:modified xsi:type="dcterms:W3CDTF">2020-05-11T18:52:26Z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0x01010026AFAD3F5D4A4B49BF9F9AFC23CD6CC8</vt:lpwstr>
  </property>
</Properties>
</file>