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0759DD5-2B09-4760-8807-EEAAE3B28C5B}" xr6:coauthVersionLast="47" xr6:coauthVersionMax="47" xr10:uidLastSave="{00000000-0000-0000-0000-000000000000}"/>
  <bookViews>
    <workbookView xWindow="-108" yWindow="-108" windowWidth="23256" windowHeight="12456" activeTab="3" xr2:uid="{6678E08D-1487-4C5E-BA25-7CD5F026F745}"/>
  </bookViews>
  <sheets>
    <sheet name="Финансы" sheetId="1" r:id="rId1"/>
    <sheet name="Расчет Юнит-экономики" sheetId="2" r:id="rId2"/>
    <sheet name="Юнит-экономика" sheetId="3" r:id="rId3"/>
    <sheet name="Визуализация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3" l="1"/>
  <c r="C40" i="3" s="1"/>
  <c r="B18" i="3"/>
  <c r="B40" i="3" s="1"/>
  <c r="B14" i="3"/>
  <c r="B34" i="3" s="1"/>
  <c r="D12" i="3"/>
  <c r="C34" i="3" s="1"/>
  <c r="B9" i="3"/>
  <c r="D9" i="3" s="1"/>
  <c r="B6" i="3"/>
  <c r="B7" i="3" s="1"/>
  <c r="B3" i="3"/>
  <c r="D3" i="3" s="1"/>
  <c r="B2" i="3"/>
  <c r="B4" i="3" s="1"/>
  <c r="B23" i="2"/>
  <c r="J18" i="2"/>
  <c r="G18" i="2"/>
  <c r="E18" i="2"/>
  <c r="F18" i="2" s="1"/>
  <c r="J17" i="2"/>
  <c r="G17" i="2"/>
  <c r="E17" i="2"/>
  <c r="F17" i="2" s="1"/>
  <c r="J16" i="2"/>
  <c r="G16" i="2"/>
  <c r="E16" i="2"/>
  <c r="F16" i="2" s="1"/>
  <c r="J15" i="2"/>
  <c r="G15" i="2"/>
  <c r="E15" i="2"/>
  <c r="F15" i="2" s="1"/>
  <c r="H14" i="2"/>
  <c r="J14" i="2" s="1"/>
  <c r="G14" i="2"/>
  <c r="E14" i="2"/>
  <c r="F14" i="2" s="1"/>
  <c r="H13" i="2"/>
  <c r="B28" i="2" s="1"/>
  <c r="E24" i="2" s="1"/>
  <c r="G13" i="2"/>
  <c r="E13" i="2"/>
  <c r="K9" i="2"/>
  <c r="E9" i="2"/>
  <c r="G9" i="2" s="1"/>
  <c r="B27" i="2" s="1"/>
  <c r="D9" i="2"/>
  <c r="C9" i="2"/>
  <c r="L8" i="2"/>
  <c r="G8" i="2"/>
  <c r="F8" i="2"/>
  <c r="L7" i="2"/>
  <c r="G7" i="2"/>
  <c r="F7" i="2"/>
  <c r="L6" i="2"/>
  <c r="G6" i="2"/>
  <c r="F6" i="2"/>
  <c r="L5" i="2"/>
  <c r="G5" i="2"/>
  <c r="F5" i="2"/>
  <c r="L4" i="2"/>
  <c r="G4" i="2"/>
  <c r="F4" i="2"/>
  <c r="L3" i="2"/>
  <c r="G3" i="2"/>
  <c r="F3" i="2"/>
  <c r="D8" i="1"/>
  <c r="G3" i="1"/>
  <c r="G2" i="1"/>
  <c r="B37" i="3" l="1"/>
  <c r="B33" i="3"/>
  <c r="B10" i="3"/>
  <c r="D2" i="3"/>
  <c r="D4" i="3" s="1"/>
  <c r="B13" i="3"/>
  <c r="B32" i="3"/>
  <c r="D6" i="3"/>
  <c r="B16" i="3"/>
  <c r="B36" i="3" s="1"/>
  <c r="B21" i="2"/>
  <c r="B22" i="2" s="1"/>
  <c r="B24" i="2" s="1"/>
  <c r="B26" i="2" s="1"/>
  <c r="J13" i="2"/>
  <c r="F9" i="2"/>
  <c r="C32" i="3" l="1"/>
  <c r="D7" i="3"/>
  <c r="D13" i="3"/>
  <c r="B35" i="3"/>
  <c r="C37" i="3"/>
  <c r="B17" i="3"/>
  <c r="K18" i="2"/>
  <c r="L18" i="2" s="1"/>
  <c r="K16" i="2"/>
  <c r="L16" i="2" s="1"/>
  <c r="K14" i="2"/>
  <c r="L14" i="2" s="1"/>
  <c r="K15" i="2"/>
  <c r="L15" i="2" s="1"/>
  <c r="K13" i="2"/>
  <c r="K17" i="2"/>
  <c r="L17" i="2" s="1"/>
  <c r="E23" i="2"/>
  <c r="E25" i="2" s="1"/>
  <c r="L13" i="2"/>
  <c r="B39" i="3" l="1"/>
  <c r="B19" i="3"/>
  <c r="B42" i="3" s="1"/>
  <c r="C35" i="3"/>
  <c r="D14" i="3"/>
  <c r="C33" i="3"/>
  <c r="D10" i="3"/>
  <c r="D16" i="3" l="1"/>
  <c r="C36" i="3" l="1"/>
  <c r="D17" i="3"/>
  <c r="C39" i="3" l="1"/>
  <c r="D19" i="3"/>
  <c r="C42" i="3" s="1"/>
</calcChain>
</file>

<file path=xl/sharedStrings.xml><?xml version="1.0" encoding="utf-8"?>
<sst xmlns="http://schemas.openxmlformats.org/spreadsheetml/2006/main" count="117" uniqueCount="64">
  <si>
    <t>Месяц</t>
  </si>
  <si>
    <t>Оплат всего</t>
  </si>
  <si>
    <t>Базовая цена</t>
  </si>
  <si>
    <t>Объём скидок</t>
  </si>
  <si>
    <t>Выручка</t>
  </si>
  <si>
    <t>Затраты на маркетинг</t>
  </si>
  <si>
    <t>Постоянные расходы</t>
  </si>
  <si>
    <t>мар</t>
  </si>
  <si>
    <t>апр</t>
  </si>
  <si>
    <t>май</t>
  </si>
  <si>
    <t>июн</t>
  </si>
  <si>
    <t>июл</t>
  </si>
  <si>
    <t>авг</t>
  </si>
  <si>
    <t>количество просмотров</t>
  </si>
  <si>
    <t>Количество пользователей всего</t>
  </si>
  <si>
    <t>Количество новых пользователей</t>
  </si>
  <si>
    <t>CPA</t>
  </si>
  <si>
    <t>CAC</t>
  </si>
  <si>
    <t>Количество повторных оплат</t>
  </si>
  <si>
    <t>март</t>
  </si>
  <si>
    <t>июнь</t>
  </si>
  <si>
    <t>июль</t>
  </si>
  <si>
    <t>Сумма</t>
  </si>
  <si>
    <t>Количество уникальных пользователей</t>
  </si>
  <si>
    <t>количество старых пользователей</t>
  </si>
  <si>
    <t>Retention</t>
  </si>
  <si>
    <t>Интенсивность</t>
  </si>
  <si>
    <t>% ФОТ</t>
  </si>
  <si>
    <t>% САС</t>
  </si>
  <si>
    <t>% Маржа</t>
  </si>
  <si>
    <t>Средний Retention</t>
  </si>
  <si>
    <t>Lifetime (месяцы)</t>
  </si>
  <si>
    <t>Структура Юнит Экономики</t>
  </si>
  <si>
    <t>%</t>
  </si>
  <si>
    <t>Средняя интенсивность</t>
  </si>
  <si>
    <t>Lifetime (Просмотры)</t>
  </si>
  <si>
    <t>Fixed costs на 1 просмотр</t>
  </si>
  <si>
    <t>Маржа</t>
  </si>
  <si>
    <t>LTR</t>
  </si>
  <si>
    <t>Показатели</t>
  </si>
  <si>
    <t>As_Is</t>
  </si>
  <si>
    <t>Изменение</t>
  </si>
  <si>
    <t>To_Be</t>
  </si>
  <si>
    <t>CPA средний</t>
  </si>
  <si>
    <t>Конверсия в покупку</t>
  </si>
  <si>
    <t>CAC средний</t>
  </si>
  <si>
    <t>LT</t>
  </si>
  <si>
    <t>LT (просмотры)</t>
  </si>
  <si>
    <t>Цена за 1 юнит</t>
  </si>
  <si>
    <t>Доля скидок %</t>
  </si>
  <si>
    <t>Фактическая цена за 1 юнит</t>
  </si>
  <si>
    <t>CAC%</t>
  </si>
  <si>
    <t>ФОТ%</t>
  </si>
  <si>
    <t>Маржинальность%</t>
  </si>
  <si>
    <t>Количество просмотров</t>
  </si>
  <si>
    <t>Количество старых пользователей</t>
  </si>
  <si>
    <t>апрель</t>
  </si>
  <si>
    <t>август</t>
  </si>
  <si>
    <t>AS-IS</t>
  </si>
  <si>
    <t>TO-BE</t>
  </si>
  <si>
    <t>Price юнита</t>
  </si>
  <si>
    <t>CAC на юнит</t>
  </si>
  <si>
    <t>Fixed Costs на юнит</t>
  </si>
  <si>
    <t>Маржинальность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</si>
</sst>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44" fontId="0" fillId="0" borderId="0" xfId="1" applyFont="1"/>
    <xf numFmtId="44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44" fontId="0" fillId="0" borderId="2" xfId="1" applyFont="1" applyBorder="1"/>
    <xf numFmtId="44" fontId="0" fillId="0" borderId="2" xfId="0" applyNumberFormat="1" applyBorder="1"/>
    <xf numFmtId="44" fontId="0" fillId="0" borderId="3" xfId="0" applyNumberFormat="1" applyBorder="1"/>
    <xf numFmtId="2" fontId="0" fillId="0" borderId="0" xfId="0" applyNumberFormat="1"/>
    <xf numFmtId="9" fontId="0" fillId="0" borderId="0" xfId="2" applyFont="1"/>
    <xf numFmtId="9" fontId="0" fillId="0" borderId="0" xfId="0" applyNumberFormat="1"/>
    <xf numFmtId="10" fontId="0" fillId="0" borderId="0" xfId="2" applyNumberFormat="1" applyFont="1"/>
    <xf numFmtId="0" fontId="0" fillId="0" borderId="4" xfId="0" applyBorder="1"/>
    <xf numFmtId="10" fontId="0" fillId="0" borderId="4" xfId="2" applyNumberFormat="1" applyFont="1" applyBorder="1"/>
    <xf numFmtId="2" fontId="0" fillId="0" borderId="4" xfId="0" applyNumberFormat="1" applyBorder="1"/>
    <xf numFmtId="1" fontId="0" fillId="0" borderId="4" xfId="0" applyNumberFormat="1" applyBorder="1"/>
    <xf numFmtId="44" fontId="0" fillId="0" borderId="4" xfId="1" applyFont="1" applyBorder="1"/>
    <xf numFmtId="10" fontId="0" fillId="0" borderId="4" xfId="0" applyNumberFormat="1" applyBorder="1"/>
    <xf numFmtId="44" fontId="0" fillId="0" borderId="4" xfId="0" applyNumberFormat="1" applyBorder="1"/>
    <xf numFmtId="0" fontId="2" fillId="0" borderId="0" xfId="0" applyFont="1"/>
    <xf numFmtId="0" fontId="2" fillId="0" borderId="5" xfId="0" applyFont="1" applyBorder="1"/>
    <xf numFmtId="0" fontId="4" fillId="0" borderId="0" xfId="0" applyFont="1"/>
    <xf numFmtId="44" fontId="0" fillId="3" borderId="5" xfId="0" applyNumberFormat="1" applyFill="1" applyBorder="1"/>
    <xf numFmtId="9" fontId="0" fillId="0" borderId="5" xfId="2" applyFont="1" applyBorder="1"/>
    <xf numFmtId="10" fontId="0" fillId="3" borderId="5" xfId="2" applyNumberFormat="1" applyFont="1" applyFill="1" applyBorder="1"/>
    <xf numFmtId="44" fontId="0" fillId="0" borderId="5" xfId="0" applyNumberFormat="1" applyBorder="1"/>
    <xf numFmtId="0" fontId="0" fillId="4" borderId="0" xfId="0" applyFill="1"/>
    <xf numFmtId="0" fontId="0" fillId="4" borderId="5" xfId="0" applyFill="1" applyBorder="1"/>
    <xf numFmtId="2" fontId="0" fillId="0" borderId="5" xfId="0" applyNumberFormat="1" applyBorder="1"/>
    <xf numFmtId="0" fontId="0" fillId="0" borderId="5" xfId="0" applyBorder="1"/>
    <xf numFmtId="2" fontId="0" fillId="3" borderId="5" xfId="0" applyNumberFormat="1" applyFill="1" applyBorder="1"/>
    <xf numFmtId="44" fontId="0" fillId="3" borderId="5" xfId="1" applyFont="1" applyFill="1" applyBorder="1"/>
    <xf numFmtId="10" fontId="0" fillId="0" borderId="5" xfId="2" applyNumberFormat="1" applyFont="1" applyBorder="1"/>
    <xf numFmtId="10" fontId="0" fillId="0" borderId="5" xfId="0" applyNumberFormat="1" applyBorder="1"/>
    <xf numFmtId="9" fontId="0" fillId="0" borderId="0" xfId="2" applyFont="1" applyBorder="1"/>
    <xf numFmtId="44" fontId="0" fillId="0" borderId="0" xfId="1" applyFont="1" applyBorder="1"/>
    <xf numFmtId="0" fontId="0" fillId="0" borderId="6" xfId="0" applyBorder="1"/>
    <xf numFmtId="9" fontId="0" fillId="0" borderId="6" xfId="2" applyFont="1" applyBorder="1"/>
    <xf numFmtId="2" fontId="0" fillId="0" borderId="6" xfId="0" applyNumberFormat="1" applyBorder="1"/>
    <xf numFmtId="1" fontId="0" fillId="0" borderId="6" xfId="0" applyNumberFormat="1" applyBorder="1"/>
    <xf numFmtId="44" fontId="0" fillId="0" borderId="6" xfId="1" applyFont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0" borderId="10" xfId="0" applyFont="1" applyBorder="1"/>
    <xf numFmtId="10" fontId="4" fillId="0" borderId="5" xfId="0" applyNumberFormat="1" applyFont="1" applyBorder="1"/>
    <xf numFmtId="10" fontId="4" fillId="0" borderId="11" xfId="0" applyNumberFormat="1" applyFont="1" applyBorder="1"/>
    <xf numFmtId="2" fontId="4" fillId="0" borderId="5" xfId="0" applyNumberFormat="1" applyFont="1" applyBorder="1"/>
    <xf numFmtId="2" fontId="4" fillId="0" borderId="11" xfId="0" applyNumberFormat="1" applyFont="1" applyBorder="1"/>
    <xf numFmtId="44" fontId="4" fillId="0" borderId="5" xfId="0" applyNumberFormat="1" applyFont="1" applyBorder="1"/>
    <xf numFmtId="44" fontId="4" fillId="0" borderId="11" xfId="0" applyNumberFormat="1" applyFont="1" applyBorder="1"/>
    <xf numFmtId="0" fontId="4" fillId="0" borderId="5" xfId="0" applyFont="1" applyBorder="1"/>
    <xf numFmtId="0" fontId="4" fillId="0" borderId="11" xfId="0" applyFont="1" applyBorder="1"/>
    <xf numFmtId="10" fontId="4" fillId="0" borderId="5" xfId="2" applyNumberFormat="1" applyFont="1" applyBorder="1"/>
    <xf numFmtId="0" fontId="5" fillId="0" borderId="12" xfId="0" applyFont="1" applyBorder="1"/>
    <xf numFmtId="10" fontId="4" fillId="0" borderId="13" xfId="0" applyNumberFormat="1" applyFont="1" applyBorder="1"/>
    <xf numFmtId="9" fontId="4" fillId="0" borderId="14" xfId="0" applyNumberFormat="1" applyFont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As_Is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2-4985-A0C0-B9D327498C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2-4985-A0C0-B9D327498C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02-4985-A0C0-B9D327498C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'[1]Юнит-экономика'!$A$17:$A$19</c:f>
              <c:strCache>
                <c:ptCount val="3"/>
                <c:pt idx="0">
                  <c:v>CAC%</c:v>
                </c:pt>
                <c:pt idx="1">
                  <c:v>ФОТ%</c:v>
                </c:pt>
                <c:pt idx="2">
                  <c:v>Маржинальность%</c:v>
                </c:pt>
              </c:strCache>
            </c:strRef>
          </c:cat>
          <c:val>
            <c:numRef>
              <c:f>'[1]Юнит-экономика'!$B$17:$B$19</c:f>
              <c:numCache>
                <c:formatCode>0.00%</c:formatCode>
                <c:ptCount val="3"/>
                <c:pt idx="0">
                  <c:v>0.42767987839706539</c:v>
                </c:pt>
                <c:pt idx="1">
                  <c:v>0.43601155622588178</c:v>
                </c:pt>
                <c:pt idx="2">
                  <c:v>0.13630856537705288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02-4985-A0C0-B9D327498C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To_Be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0B-486E-8E40-BAF5E7503A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0B-486E-8E40-BAF5E7503A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0B-486E-8E40-BAF5E7503A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'[1]Юнит-экономика'!$A$17:$A$19</c:f>
              <c:strCache>
                <c:ptCount val="3"/>
                <c:pt idx="0">
                  <c:v>CAC%</c:v>
                </c:pt>
                <c:pt idx="1">
                  <c:v>ФОТ%</c:v>
                </c:pt>
                <c:pt idx="2">
                  <c:v>Маржинальность%</c:v>
                </c:pt>
              </c:strCache>
            </c:strRef>
          </c:cat>
          <c:val>
            <c:numRef>
              <c:f>'[1]Юнит-экономика'!$D$17:$D$19</c:f>
              <c:numCache>
                <c:formatCode>0.00%</c:formatCode>
                <c:ptCount val="3"/>
                <c:pt idx="0">
                  <c:v>0.31398844377388396</c:v>
                </c:pt>
                <c:pt idx="1">
                  <c:v>0.43601155622588178</c:v>
                </c:pt>
                <c:pt idx="2">
                  <c:v>0.25000000000023431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0B-486E-8E40-BAF5E7503A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пользователей и интенсивность просмотров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'[1]Юнит-экономика'!$D$22</c:f>
              <c:strCache>
                <c:ptCount val="1"/>
                <c:pt idx="0">
                  <c:v>Количество уникальных пользователей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3.525410164065626E-2"/>
                  <c:y val="4.40161125692620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87-46A4-803A-F2497FE1BE0B}"/>
                </c:ext>
              </c:extLst>
            </c:dLbl>
            <c:dLbl>
              <c:idx val="2"/>
              <c:layout>
                <c:manualLayout>
                  <c:x val="-3.525410164065626E-2"/>
                  <c:y val="4.4016112569262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87-46A4-803A-F2497FE1BE0B}"/>
                </c:ext>
              </c:extLst>
            </c:dLbl>
            <c:dLbl>
              <c:idx val="4"/>
              <c:layout>
                <c:manualLayout>
                  <c:x val="-3.5254101640656406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87-46A4-803A-F2497FE1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'[1]Юнит-экономика'!$A$23:$A$28</c:f>
              <c:strCache>
                <c:ptCount val="6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  <c:pt idx="3">
                  <c:v>июнь</c:v>
                </c:pt>
                <c:pt idx="4">
                  <c:v>июль</c:v>
                </c:pt>
                <c:pt idx="5">
                  <c:v>август</c:v>
                </c:pt>
              </c:strCache>
            </c:strRef>
          </c:cat>
          <c:val>
            <c:numRef>
              <c:f>'[1]Юнит-экономика'!$D$23:$D$28</c:f>
              <c:numCache>
                <c:formatCode>General</c:formatCode>
                <c:ptCount val="6"/>
                <c:pt idx="0">
                  <c:v>164</c:v>
                </c:pt>
                <c:pt idx="1">
                  <c:v>5066</c:v>
                </c:pt>
                <c:pt idx="2">
                  <c:v>8622</c:v>
                </c:pt>
                <c:pt idx="3">
                  <c:v>10018</c:v>
                </c:pt>
                <c:pt idx="4">
                  <c:v>9491</c:v>
                </c:pt>
                <c:pt idx="5">
                  <c:v>7480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87-46A4-803A-F2497FE1BE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8188351"/>
        <c:axId val="1648190847"/>
      </c:lineChart>
      <c:lineChart>
        <c:grouping val="standard"/>
        <c:varyColors val="0"/>
        <c:ser>
          <c:idx val="1"/>
          <c:order val="1"/>
          <c:tx>
            <c:strRef>
              <c:f>'[1]Юнит-экономика'!$H$22</c:f>
              <c:strCache>
                <c:ptCount val="1"/>
                <c:pt idx="0">
                  <c:v>Интенсивность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Lbl>
              <c:idx val="3"/>
              <c:layout>
                <c:manualLayout>
                  <c:x val="-3.2938214655941191E-2"/>
                  <c:y val="5.32753718285213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587-46A4-803A-F2497FE1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'[1]Юнит-экономика'!$A$23:$A$28</c:f>
              <c:strCache>
                <c:ptCount val="6"/>
                <c:pt idx="0">
                  <c:v>март</c:v>
                </c:pt>
                <c:pt idx="1">
                  <c:v>апрель</c:v>
                </c:pt>
                <c:pt idx="2">
                  <c:v>май</c:v>
                </c:pt>
                <c:pt idx="3">
                  <c:v>июнь</c:v>
                </c:pt>
                <c:pt idx="4">
                  <c:v>июль</c:v>
                </c:pt>
                <c:pt idx="5">
                  <c:v>август</c:v>
                </c:pt>
              </c:strCache>
            </c:strRef>
          </c:cat>
          <c:val>
            <c:numRef>
              <c:f>'[1]Юнит-экономика'!$H$23:$H$28</c:f>
              <c:numCache>
                <c:formatCode>0.00</c:formatCode>
                <c:ptCount val="6"/>
                <c:pt idx="0">
                  <c:v>1.0060975609756098</c:v>
                </c:pt>
                <c:pt idx="1">
                  <c:v>2.2633241215949469</c:v>
                </c:pt>
                <c:pt idx="2">
                  <c:v>3.4783112966829042</c:v>
                </c:pt>
                <c:pt idx="3">
                  <c:v>3.4800359353164305</c:v>
                </c:pt>
                <c:pt idx="4">
                  <c:v>3.7243704562216835</c:v>
                </c:pt>
                <c:pt idx="5">
                  <c:v>3.8417112299465241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87-46A4-803A-F2497FE1BE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8242431"/>
        <c:axId val="1648225375"/>
      </c:lineChart>
      <c:catAx>
        <c:axId val="164818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8190847"/>
        <c:crosses val="autoZero"/>
        <c:auto val="1"/>
        <c:lblAlgn val="ctr"/>
        <c:lblOffset val="100"/>
        <c:noMultiLvlLbl val="0"/>
      </c:catAx>
      <c:valAx>
        <c:axId val="16481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8188351"/>
        <c:crosses val="autoZero"/>
        <c:crossBetween val="between"/>
      </c:valAx>
      <c:valAx>
        <c:axId val="1648225375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8242431"/>
        <c:crosses val="max"/>
        <c:crossBetween val="between"/>
      </c:valAx>
      <c:catAx>
        <c:axId val="16482424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82253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'[1]Юнит-экономика'!$G$22:$G$23</c:f>
              <c:strCache>
                <c:ptCount val="2"/>
                <c:pt idx="0">
                  <c:v>Retention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'[1]Юнит-экономика'!$A$24:$A$28</c:f>
              <c:strCache>
                <c:ptCount val="5"/>
                <c:pt idx="0">
                  <c:v>апрель</c:v>
                </c:pt>
                <c:pt idx="1">
                  <c:v>май</c:v>
                </c:pt>
                <c:pt idx="2">
                  <c:v>июнь</c:v>
                </c:pt>
                <c:pt idx="3">
                  <c:v>июль</c:v>
                </c:pt>
                <c:pt idx="4">
                  <c:v>август</c:v>
                </c:pt>
              </c:strCache>
            </c:strRef>
          </c:cat>
          <c:val>
            <c:numRef>
              <c:f>'[1]Юнит-экономика'!$G$24:$G$28</c:f>
              <c:numCache>
                <c:formatCode>0%</c:formatCode>
                <c:ptCount val="5"/>
                <c:pt idx="0">
                  <c:v>0.97560975609756095</c:v>
                </c:pt>
                <c:pt idx="1">
                  <c:v>0.84879589419660484</c:v>
                </c:pt>
                <c:pt idx="2">
                  <c:v>0.80375782881002089</c:v>
                </c:pt>
                <c:pt idx="3">
                  <c:v>0.77211020163705335</c:v>
                </c:pt>
                <c:pt idx="4">
                  <c:v>0.76219576440838688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E-4A0E-BB96-658F260177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0579247"/>
        <c:axId val="1850578831"/>
      </c:barChart>
      <c:catAx>
        <c:axId val="185057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0578831"/>
        <c:crosses val="autoZero"/>
        <c:auto val="1"/>
        <c:lblAlgn val="ctr"/>
        <c:lblOffset val="100"/>
        <c:noMultiLvlLbl val="0"/>
      </c:catAx>
      <c:valAx>
        <c:axId val="185057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057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просмотров по суточным часам</a:t>
            </a:r>
            <a:r>
              <a:rPr lang="ru-RU" baseline="0"/>
              <a:t> в разрезе будние-выходные</a:t>
            </a:r>
            <a:endParaRPr lang="ru-RU"/>
          </a:p>
        </c:rich>
      </c:tx>
      <c:layout>
        <c:manualLayout>
          <c:xMode val="edge"/>
          <c:yMode val="edge"/>
          <c:x val="0.2060359694506036"/>
          <c:y val="2.675707203266258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Будний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strLit>
          </c:cat>
          <c:val>
            <c:numLit>
              <c:formatCode>General</c:formatCode>
              <c:ptCount val="24"/>
              <c:pt idx="0">
                <c:v>2436</c:v>
              </c:pt>
              <c:pt idx="1">
                <c:v>1770</c:v>
              </c:pt>
              <c:pt idx="2">
                <c:v>1497</c:v>
              </c:pt>
              <c:pt idx="3">
                <c:v>1253</c:v>
              </c:pt>
              <c:pt idx="4">
                <c:v>1237</c:v>
              </c:pt>
              <c:pt idx="5">
                <c:v>1182</c:v>
              </c:pt>
              <c:pt idx="6">
                <c:v>1142</c:v>
              </c:pt>
              <c:pt idx="7">
                <c:v>1277</c:v>
              </c:pt>
              <c:pt idx="8">
                <c:v>1394</c:v>
              </c:pt>
              <c:pt idx="9">
                <c:v>1663</c:v>
              </c:pt>
              <c:pt idx="10">
                <c:v>2119</c:v>
              </c:pt>
              <c:pt idx="11">
                <c:v>2703</c:v>
              </c:pt>
              <c:pt idx="12">
                <c:v>3687</c:v>
              </c:pt>
              <c:pt idx="13">
                <c:v>4628</c:v>
              </c:pt>
              <c:pt idx="14">
                <c:v>5747</c:v>
              </c:pt>
              <c:pt idx="15">
                <c:v>6939</c:v>
              </c:pt>
              <c:pt idx="16">
                <c:v>7424</c:v>
              </c:pt>
              <c:pt idx="17">
                <c:v>7878</c:v>
              </c:pt>
              <c:pt idx="18">
                <c:v>7662</c:v>
              </c:pt>
              <c:pt idx="19">
                <c:v>6995</c:v>
              </c:pt>
              <c:pt idx="20">
                <c:v>6267</c:v>
              </c:pt>
              <c:pt idx="21">
                <c:v>5317</c:v>
              </c:pt>
              <c:pt idx="22">
                <c:v>4290</c:v>
              </c:pt>
              <c:pt idx="23">
                <c:v>3299</c:v>
              </c:pt>
            </c:numLit>
          </c:val>
          <c:extLst>
            <c:ext xmlns:c16="http://schemas.microsoft.com/office/drawing/2014/chart" uri="{C3380CC4-5D6E-409C-BE32-E72D297353CC}">
              <c16:uniqueId val="{00000000-72D7-4990-8D07-6BD8A8F40880}"/>
            </c:ext>
          </c:extLst>
        </c:ser>
        <c:ser>
          <c:idx val="1"/>
          <c:order val="1"/>
          <c:tx>
            <c:v>Выходной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strLit>
          </c:cat>
          <c:val>
            <c:numLit>
              <c:formatCode>General</c:formatCode>
              <c:ptCount val="24"/>
              <c:pt idx="0">
                <c:v>1316</c:v>
              </c:pt>
              <c:pt idx="1">
                <c:v>1122</c:v>
              </c:pt>
              <c:pt idx="2">
                <c:v>883</c:v>
              </c:pt>
              <c:pt idx="3">
                <c:v>758</c:v>
              </c:pt>
              <c:pt idx="4">
                <c:v>724</c:v>
              </c:pt>
              <c:pt idx="5">
                <c:v>799</c:v>
              </c:pt>
              <c:pt idx="6">
                <c:v>766</c:v>
              </c:pt>
              <c:pt idx="7">
                <c:v>872</c:v>
              </c:pt>
              <c:pt idx="8">
                <c:v>960</c:v>
              </c:pt>
              <c:pt idx="9">
                <c:v>1103</c:v>
              </c:pt>
              <c:pt idx="10">
                <c:v>1245</c:v>
              </c:pt>
              <c:pt idx="11">
                <c:v>1674</c:v>
              </c:pt>
              <c:pt idx="12">
                <c:v>2016</c:v>
              </c:pt>
              <c:pt idx="13">
                <c:v>2670</c:v>
              </c:pt>
              <c:pt idx="14">
                <c:v>3178</c:v>
              </c:pt>
              <c:pt idx="15">
                <c:v>3560</c:v>
              </c:pt>
              <c:pt idx="16">
                <c:v>3904</c:v>
              </c:pt>
              <c:pt idx="17">
                <c:v>4123</c:v>
              </c:pt>
              <c:pt idx="18">
                <c:v>3994</c:v>
              </c:pt>
              <c:pt idx="19">
                <c:v>3917</c:v>
              </c:pt>
              <c:pt idx="20">
                <c:v>3597</c:v>
              </c:pt>
              <c:pt idx="21">
                <c:v>3065</c:v>
              </c:pt>
              <c:pt idx="22">
                <c:v>2526</c:v>
              </c:pt>
              <c:pt idx="23">
                <c:v>1990</c:v>
              </c:pt>
            </c:numLit>
          </c:val>
          <c:extLst>
            <c:ext xmlns:c16="http://schemas.microsoft.com/office/drawing/2014/chart" uri="{C3380CC4-5D6E-409C-BE32-E72D297353CC}">
              <c16:uniqueId val="{00000001-72D7-4990-8D07-6BD8A8F408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50542639"/>
        <c:axId val="1850568431"/>
      </c:barChart>
      <c:catAx>
        <c:axId val="185054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0568431"/>
        <c:crosses val="autoZero"/>
        <c:auto val="1"/>
        <c:lblAlgn val="ctr"/>
        <c:lblOffset val="100"/>
        <c:noMultiLvlLbl val="0"/>
      </c:catAx>
      <c:valAx>
        <c:axId val="185056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054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пользователей по часовым зонам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2"/>
              <c:pt idx="0">
                <c:v>-9</c:v>
              </c:pt>
              <c:pt idx="1">
                <c:v>-8</c:v>
              </c:pt>
              <c:pt idx="2">
                <c:v>-7</c:v>
              </c:pt>
              <c:pt idx="3">
                <c:v>-6</c:v>
              </c:pt>
              <c:pt idx="4">
                <c:v>-5</c:v>
              </c:pt>
              <c:pt idx="5">
                <c:v>-4</c:v>
              </c:pt>
              <c:pt idx="6">
                <c:v>-3</c:v>
              </c:pt>
              <c:pt idx="7">
                <c:v>-2</c:v>
              </c:pt>
              <c:pt idx="8">
                <c:v>-1</c:v>
              </c:pt>
              <c:pt idx="9">
                <c:v>0</c:v>
              </c:pt>
              <c:pt idx="10">
                <c:v>1</c:v>
              </c:pt>
              <c:pt idx="11">
                <c:v>2</c:v>
              </c:pt>
              <c:pt idx="12">
                <c:v>3</c:v>
              </c:pt>
              <c:pt idx="13">
                <c:v>4</c:v>
              </c:pt>
              <c:pt idx="14">
                <c:v>5</c:v>
              </c:pt>
              <c:pt idx="15">
                <c:v>6</c:v>
              </c:pt>
              <c:pt idx="16">
                <c:v>7</c:v>
              </c:pt>
              <c:pt idx="17">
                <c:v>8</c:v>
              </c:pt>
              <c:pt idx="18">
                <c:v>9</c:v>
              </c:pt>
              <c:pt idx="19">
                <c:v>10</c:v>
              </c:pt>
              <c:pt idx="20">
                <c:v>11</c:v>
              </c:pt>
              <c:pt idx="21">
                <c:v>12</c:v>
              </c:pt>
            </c:strLit>
          </c:cat>
          <c:val>
            <c:numLit>
              <c:formatCode>General</c:formatCode>
              <c:ptCount val="22"/>
              <c:pt idx="0">
                <c:v>15</c:v>
              </c:pt>
              <c:pt idx="1">
                <c:v>149</c:v>
              </c:pt>
              <c:pt idx="2">
                <c:v>109</c:v>
              </c:pt>
              <c:pt idx="3">
                <c:v>123</c:v>
              </c:pt>
              <c:pt idx="4">
                <c:v>183</c:v>
              </c:pt>
              <c:pt idx="5">
                <c:v>306</c:v>
              </c:pt>
              <c:pt idx="6">
                <c:v>147</c:v>
              </c:pt>
              <c:pt idx="7">
                <c:v>15</c:v>
              </c:pt>
              <c:pt idx="8">
                <c:v>29</c:v>
              </c:pt>
              <c:pt idx="9">
                <c:v>2430</c:v>
              </c:pt>
              <c:pt idx="10">
                <c:v>4526</c:v>
              </c:pt>
              <c:pt idx="11">
                <c:v>3214</c:v>
              </c:pt>
              <c:pt idx="12">
                <c:v>2164</c:v>
              </c:pt>
              <c:pt idx="13">
                <c:v>483</c:v>
              </c:pt>
              <c:pt idx="14">
                <c:v>342</c:v>
              </c:pt>
              <c:pt idx="15">
                <c:v>303</c:v>
              </c:pt>
              <c:pt idx="16">
                <c:v>355</c:v>
              </c:pt>
              <c:pt idx="17">
                <c:v>99</c:v>
              </c:pt>
              <c:pt idx="18">
                <c:v>139</c:v>
              </c:pt>
              <c:pt idx="19">
                <c:v>36</c:v>
              </c:pt>
              <c:pt idx="20">
                <c:v>55</c:v>
              </c:pt>
              <c:pt idx="21">
                <c:v>68</c:v>
              </c:pt>
            </c:numLit>
          </c:val>
          <c:extLst>
            <c:ext xmlns:c16="http://schemas.microsoft.com/office/drawing/2014/chart" uri="{C3380CC4-5D6E-409C-BE32-E72D297353CC}">
              <c16:uniqueId val="{00000000-8C57-4530-BC6E-2B5D0DA3CF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87420447"/>
        <c:axId val="587422527"/>
      </c:barChart>
      <c:catAx>
        <c:axId val="58742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422527"/>
        <c:crosses val="autoZero"/>
        <c:auto val="1"/>
        <c:lblAlgn val="ctr"/>
        <c:lblOffset val="100"/>
        <c:noMultiLvlLbl val="0"/>
      </c:catAx>
      <c:valAx>
        <c:axId val="58742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42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Топ-25 просматриваемых фильмов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5"/>
              <c:pt idx="0">
                <c:v>472712</c:v>
              </c:pt>
              <c:pt idx="1">
                <c:v>470762</c:v>
              </c:pt>
              <c:pt idx="2">
                <c:v>439981</c:v>
              </c:pt>
              <c:pt idx="3">
                <c:v>411922</c:v>
              </c:pt>
              <c:pt idx="4">
                <c:v>394819</c:v>
              </c:pt>
              <c:pt idx="5">
                <c:v>351192</c:v>
              </c:pt>
              <c:pt idx="6">
                <c:v>347393</c:v>
              </c:pt>
              <c:pt idx="7">
                <c:v>347008</c:v>
              </c:pt>
              <c:pt idx="8">
                <c:v>258219</c:v>
              </c:pt>
              <c:pt idx="9">
                <c:v>250679</c:v>
              </c:pt>
              <c:pt idx="10">
                <c:v>242428</c:v>
              </c:pt>
              <c:pt idx="11">
                <c:v>241927</c:v>
              </c:pt>
              <c:pt idx="12">
                <c:v>230507</c:v>
              </c:pt>
              <c:pt idx="13">
                <c:v>227775</c:v>
              </c:pt>
              <c:pt idx="14">
                <c:v>191893</c:v>
              </c:pt>
              <c:pt idx="15">
                <c:v>182984</c:v>
              </c:pt>
              <c:pt idx="16">
                <c:v>182191</c:v>
              </c:pt>
              <c:pt idx="17">
                <c:v>180863</c:v>
              </c:pt>
              <c:pt idx="18">
                <c:v>158978</c:v>
              </c:pt>
              <c:pt idx="19">
                <c:v>154256</c:v>
              </c:pt>
              <c:pt idx="20">
                <c:v>153893</c:v>
              </c:pt>
              <c:pt idx="21">
                <c:v>118549</c:v>
              </c:pt>
              <c:pt idx="22">
                <c:v>88863</c:v>
              </c:pt>
              <c:pt idx="23">
                <c:v>21760</c:v>
              </c:pt>
              <c:pt idx="24">
                <c:v>5151</c:v>
              </c:pt>
            </c:strLit>
          </c:cat>
          <c:val>
            <c:numLit>
              <c:formatCode>General</c:formatCode>
              <c:ptCount val="25"/>
              <c:pt idx="0">
                <c:v>936</c:v>
              </c:pt>
              <c:pt idx="1">
                <c:v>1776</c:v>
              </c:pt>
              <c:pt idx="2">
                <c:v>1320</c:v>
              </c:pt>
              <c:pt idx="3">
                <c:v>8071</c:v>
              </c:pt>
              <c:pt idx="4">
                <c:v>790</c:v>
              </c:pt>
              <c:pt idx="5">
                <c:v>3501</c:v>
              </c:pt>
              <c:pt idx="6">
                <c:v>2092</c:v>
              </c:pt>
              <c:pt idx="7">
                <c:v>2508</c:v>
              </c:pt>
              <c:pt idx="8">
                <c:v>1036</c:v>
              </c:pt>
              <c:pt idx="9">
                <c:v>5079</c:v>
              </c:pt>
              <c:pt idx="10">
                <c:v>938</c:v>
              </c:pt>
              <c:pt idx="11">
                <c:v>761</c:v>
              </c:pt>
              <c:pt idx="12">
                <c:v>3824</c:v>
              </c:pt>
              <c:pt idx="13">
                <c:v>1266</c:v>
              </c:pt>
              <c:pt idx="14">
                <c:v>710</c:v>
              </c:pt>
              <c:pt idx="15">
                <c:v>670</c:v>
              </c:pt>
              <c:pt idx="16">
                <c:v>1541</c:v>
              </c:pt>
              <c:pt idx="17">
                <c:v>752</c:v>
              </c:pt>
              <c:pt idx="18">
                <c:v>4240</c:v>
              </c:pt>
              <c:pt idx="19">
                <c:v>1394</c:v>
              </c:pt>
              <c:pt idx="20">
                <c:v>1381</c:v>
              </c:pt>
              <c:pt idx="21">
                <c:v>2288</c:v>
              </c:pt>
              <c:pt idx="22">
                <c:v>1079</c:v>
              </c:pt>
              <c:pt idx="23">
                <c:v>1592</c:v>
              </c:pt>
              <c:pt idx="24">
                <c:v>857</c:v>
              </c:pt>
            </c:numLit>
          </c:val>
          <c:extLst>
            <c:ext xmlns:c16="http://schemas.microsoft.com/office/drawing/2014/chart" uri="{C3380CC4-5D6E-409C-BE32-E72D297353CC}">
              <c16:uniqueId val="{00000000-89E3-4F4B-898E-7AB7EA006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83953807"/>
        <c:axId val="583954223"/>
      </c:barChart>
      <c:catAx>
        <c:axId val="58395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954223"/>
        <c:crosses val="autoZero"/>
        <c:auto val="1"/>
        <c:lblAlgn val="ctr"/>
        <c:lblOffset val="100"/>
        <c:noMultiLvlLbl val="0"/>
      </c:catAx>
      <c:valAx>
        <c:axId val="58395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395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0</xdr:row>
      <xdr:rowOff>163830</xdr:rowOff>
    </xdr:from>
    <xdr:to>
      <xdr:col>5</xdr:col>
      <xdr:colOff>1356360</xdr:colOff>
      <xdr:row>18</xdr:row>
      <xdr:rowOff>144780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63CDDF-2F09-476B-9F0C-D319C5C18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1371600</xdr:colOff>
      <xdr:row>0</xdr:row>
      <xdr:rowOff>163830</xdr:rowOff>
    </xdr:from>
    <xdr:to>
      <xdr:col>9</xdr:col>
      <xdr:colOff>198120</xdr:colOff>
      <xdr:row>18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E70B993-D6AF-47B3-8501-2AC7C5C97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167640</xdr:rowOff>
    </xdr:from>
    <xdr:to>
      <xdr:col>8</xdr:col>
      <xdr:colOff>7620</xdr:colOff>
      <xdr:row>15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8639DA3-8D75-4935-8D82-6F62D4BE4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106680</xdr:colOff>
      <xdr:row>0</xdr:row>
      <xdr:rowOff>167640</xdr:rowOff>
    </xdr:from>
    <xdr:to>
      <xdr:col>13</xdr:col>
      <xdr:colOff>38100</xdr:colOff>
      <xdr:row>15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CAEC7BB-8735-440C-8655-5ECF2E702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13</xdr:col>
      <xdr:colOff>7620</xdr:colOff>
      <xdr:row>33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33E93A-D9EA-4BC3-9AD3-1FD9C3C44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5</xdr:col>
      <xdr:colOff>609600</xdr:colOff>
      <xdr:row>49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E395F30-CDC3-445E-8204-8127E298B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15240</xdr:colOff>
      <xdr:row>34</xdr:row>
      <xdr:rowOff>7620</xdr:rowOff>
    </xdr:from>
    <xdr:to>
      <xdr:col>11</xdr:col>
      <xdr:colOff>624840</xdr:colOff>
      <xdr:row>49</xdr:row>
      <xdr:rowOff>7620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6E35B92-9F89-409C-9F24-AA50A8105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15240</xdr:colOff>
      <xdr:row>50</xdr:row>
      <xdr:rowOff>15240</xdr:rowOff>
    </xdr:from>
    <xdr:to>
      <xdr:col>6</xdr:col>
      <xdr:colOff>7620</xdr:colOff>
      <xdr:row>59</xdr:row>
      <xdr:rowOff>99060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AFD69AA-03ED-484B-9612-A0091663768C}"/>
            </a:ext>
          </a:extLst>
        </xdr:cNvPr>
        <xdr:cNvSpPr txBox="1"/>
      </xdr:nvSpPr>
      <xdr:spPr>
        <a:xfrm>
          <a:off x="15240" y="9159240"/>
          <a:ext cx="474726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Подводя</a:t>
          </a:r>
          <a:r>
            <a:rPr lang="ru-RU" sz="1100" baseline="0"/>
            <a:t> общий итог, для выхода на 25% маржинальность рекомендуется:</a:t>
          </a:r>
          <a:r>
            <a:rPr lang="en-US" sz="1100" baseline="0"/>
            <a:t> </a:t>
          </a:r>
          <a:endParaRPr lang="ru-RU" sz="1100" baseline="0"/>
        </a:p>
        <a:p>
          <a:r>
            <a:rPr lang="ru-RU" sz="1100" baseline="0"/>
            <a:t>-Увеличить СРА средний на 5%</a:t>
          </a:r>
        </a:p>
        <a:p>
          <a:r>
            <a:rPr lang="ru-RU" sz="1100" baseline="0"/>
            <a:t>-Увеличить конверсию в покупку на 5%</a:t>
          </a:r>
        </a:p>
        <a:p>
          <a:r>
            <a:rPr lang="ru-RU" sz="1100" baseline="0"/>
            <a:t>-Увеличить </a:t>
          </a:r>
          <a:r>
            <a:rPr lang="en-US" sz="1100" baseline="0"/>
            <a:t>retention </a:t>
          </a:r>
          <a:r>
            <a:rPr lang="ru-RU" sz="1100" baseline="0"/>
            <a:t>на 5%</a:t>
          </a:r>
        </a:p>
        <a:p>
          <a:r>
            <a:rPr lang="ru-RU" sz="1100" baseline="0"/>
            <a:t>-Увеличить интенсивность просмотров на 5%</a:t>
          </a:r>
        </a:p>
        <a:p>
          <a:r>
            <a:rPr lang="ru-RU" sz="1100" baseline="0"/>
            <a:t>-Увеличить цену за просмотр на 5%</a:t>
          </a:r>
        </a:p>
        <a:p>
          <a:r>
            <a:rPr lang="ru-RU" sz="1100" baseline="0"/>
            <a:t>-Увеличить долю скидок на 3%</a:t>
          </a:r>
        </a:p>
        <a:p>
          <a:r>
            <a:rPr lang="ru-RU" sz="1100" baseline="0"/>
            <a:t>С точки зрения финансовой составляющей данная бизнесс-модель  является эффективной для дальнейшей работы кинотеатра.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nlineCin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смотры"/>
      <sheetName val="Подписчики"/>
      <sheetName val="4)5)6)Дата первого просмотра"/>
      <sheetName val="Итог КП1"/>
      <sheetName val="Финансы"/>
      <sheetName val="Расчет Юнит-экономики"/>
      <sheetName val="Юнит-экономика"/>
      <sheetName val="Визуализация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A17" t="str">
            <v>CAC%</v>
          </cell>
          <cell r="B17">
            <v>0.42767987839706539</v>
          </cell>
          <cell r="D17">
            <v>0.31398844377388396</v>
          </cell>
        </row>
        <row r="18">
          <cell r="A18" t="str">
            <v>ФОТ%</v>
          </cell>
          <cell r="B18">
            <v>0.43601155622588178</v>
          </cell>
          <cell r="D18">
            <v>0.43601155622588178</v>
          </cell>
        </row>
        <row r="19">
          <cell r="A19" t="str">
            <v>Маржинальность%</v>
          </cell>
          <cell r="B19">
            <v>0.13630856537705288</v>
          </cell>
          <cell r="D19">
            <v>0.25000000000023431</v>
          </cell>
        </row>
        <row r="22">
          <cell r="D22" t="str">
            <v>Количество уникальных пользователей</v>
          </cell>
          <cell r="G22" t="str">
            <v>Retention</v>
          </cell>
          <cell r="H22" t="str">
            <v>Интенсивность</v>
          </cell>
        </row>
        <row r="23">
          <cell r="A23" t="str">
            <v>март</v>
          </cell>
          <cell r="D23">
            <v>164</v>
          </cell>
          <cell r="H23">
            <v>1.0060975609756098</v>
          </cell>
        </row>
        <row r="24">
          <cell r="A24" t="str">
            <v>апрель</v>
          </cell>
          <cell r="D24">
            <v>5066</v>
          </cell>
          <cell r="G24">
            <v>0.97560975609756095</v>
          </cell>
          <cell r="H24">
            <v>2.2633241215949469</v>
          </cell>
        </row>
        <row r="25">
          <cell r="A25" t="str">
            <v>май</v>
          </cell>
          <cell r="D25">
            <v>8622</v>
          </cell>
          <cell r="G25">
            <v>0.84879589419660484</v>
          </cell>
          <cell r="H25">
            <v>3.4783112966829042</v>
          </cell>
        </row>
        <row r="26">
          <cell r="A26" t="str">
            <v>июнь</v>
          </cell>
          <cell r="D26">
            <v>10018</v>
          </cell>
          <cell r="G26">
            <v>0.80375782881002089</v>
          </cell>
          <cell r="H26">
            <v>3.4800359353164305</v>
          </cell>
        </row>
        <row r="27">
          <cell r="A27" t="str">
            <v>июль</v>
          </cell>
          <cell r="D27">
            <v>9491</v>
          </cell>
          <cell r="G27">
            <v>0.77211020163705335</v>
          </cell>
          <cell r="H27">
            <v>3.7243704562216835</v>
          </cell>
        </row>
        <row r="28">
          <cell r="A28" t="str">
            <v>август</v>
          </cell>
          <cell r="D28">
            <v>7480</v>
          </cell>
          <cell r="G28">
            <v>0.76219576440838688</v>
          </cell>
          <cell r="H28">
            <v>3.8417112299465241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E5C2-131F-471E-9947-A598188920EF}">
  <dimension ref="A1:G8"/>
  <sheetViews>
    <sheetView workbookViewId="0">
      <selection activeCell="E22" sqref="E22"/>
    </sheetView>
  </sheetViews>
  <sheetFormatPr defaultRowHeight="14.4" x14ac:dyDescent="0.3"/>
  <cols>
    <col min="5" max="5" width="14.21875" bestFit="1" customWidth="1"/>
    <col min="6" max="6" width="20" bestFit="1" customWidth="1"/>
    <col min="7" max="7" width="19.6640625" bestFit="1" customWidth="1"/>
    <col min="8" max="8" width="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201</v>
      </c>
      <c r="C2" s="2">
        <v>350</v>
      </c>
      <c r="D2" s="3">
        <v>0.16209999999999999</v>
      </c>
      <c r="E2" s="4">
        <v>58946.264999999999</v>
      </c>
      <c r="F2" s="4">
        <v>205731</v>
      </c>
      <c r="G2" s="4">
        <f>8*150000</f>
        <v>1200000</v>
      </c>
    </row>
    <row r="3" spans="1:7" x14ac:dyDescent="0.3">
      <c r="A3" t="s">
        <v>8</v>
      </c>
      <c r="B3" s="1">
        <v>5289</v>
      </c>
      <c r="C3" s="2">
        <v>350</v>
      </c>
      <c r="D3" s="3">
        <v>0.13120000000000001</v>
      </c>
      <c r="E3" s="4">
        <v>1608279.12</v>
      </c>
      <c r="F3" s="4">
        <v>10219571.900826447</v>
      </c>
      <c r="G3" s="4">
        <f t="shared" ref="G3" si="0">8*150000</f>
        <v>1200000</v>
      </c>
    </row>
    <row r="4" spans="1:7" x14ac:dyDescent="0.3">
      <c r="A4" t="s">
        <v>9</v>
      </c>
      <c r="B4" s="1">
        <v>8990.1691890653128</v>
      </c>
      <c r="C4" s="2">
        <v>350</v>
      </c>
      <c r="D4" s="3">
        <v>9.06E-2</v>
      </c>
      <c r="E4" s="4">
        <v>2861480.9511875985</v>
      </c>
      <c r="F4" s="4">
        <v>8554785.1239669416</v>
      </c>
      <c r="G4" s="4">
        <v>1300000</v>
      </c>
    </row>
    <row r="5" spans="1:7" x14ac:dyDescent="0.3">
      <c r="A5" t="s">
        <v>10</v>
      </c>
      <c r="B5" s="1">
        <v>10322.717485852865</v>
      </c>
      <c r="C5" s="2">
        <v>350</v>
      </c>
      <c r="D5" s="3">
        <v>8.8900000000000007E-2</v>
      </c>
      <c r="E5" s="4">
        <v>3291759.765476191</v>
      </c>
      <c r="F5" s="4">
        <v>8365576.8595041325</v>
      </c>
      <c r="G5" s="4">
        <v>1300000</v>
      </c>
    </row>
    <row r="6" spans="1:7" x14ac:dyDescent="0.3">
      <c r="A6" t="s">
        <v>11</v>
      </c>
      <c r="B6" s="1">
        <v>9998.4940518284257</v>
      </c>
      <c r="C6" s="2">
        <v>350</v>
      </c>
      <c r="D6" s="3">
        <v>8.4000000000000005E-2</v>
      </c>
      <c r="E6" s="4">
        <v>3205517.1930161933</v>
      </c>
      <c r="F6" s="4">
        <v>5982209.9173553716</v>
      </c>
      <c r="G6" s="4">
        <v>1300000</v>
      </c>
    </row>
    <row r="7" spans="1:7" x14ac:dyDescent="0.3">
      <c r="A7" t="s">
        <v>12</v>
      </c>
      <c r="B7" s="1">
        <v>8032.1956088647448</v>
      </c>
      <c r="C7" s="2">
        <v>350</v>
      </c>
      <c r="D7" s="3">
        <v>8.6699999999999999E-2</v>
      </c>
      <c r="E7" s="4">
        <v>2567531.4873516602</v>
      </c>
      <c r="F7" s="4">
        <v>1094171.9008264462</v>
      </c>
      <c r="G7" s="4">
        <v>1300000</v>
      </c>
    </row>
    <row r="8" spans="1:7" x14ac:dyDescent="0.3">
      <c r="D8" s="3">
        <f>AVERAGE(D4:D7)</f>
        <v>8.7550000000000003E-2</v>
      </c>
      <c r="F8" s="5"/>
      <c r="G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721C-CE18-4CEB-9683-00E224D65AC3}">
  <dimension ref="A1:M28"/>
  <sheetViews>
    <sheetView workbookViewId="0">
      <selection sqref="A1:XFD1048576"/>
    </sheetView>
  </sheetViews>
  <sheetFormatPr defaultRowHeight="14.4" x14ac:dyDescent="0.3"/>
  <cols>
    <col min="1" max="1" width="22.88671875" bestFit="1" customWidth="1"/>
    <col min="2" max="2" width="21.109375" customWidth="1"/>
    <col min="3" max="3" width="24.21875" customWidth="1"/>
    <col min="4" max="4" width="18.5546875" customWidth="1"/>
    <col min="5" max="5" width="23.44140625" customWidth="1"/>
    <col min="6" max="6" width="10.6640625" bestFit="1" customWidth="1"/>
    <col min="7" max="7" width="13.5546875" customWidth="1"/>
    <col min="8" max="8" width="19.6640625" bestFit="1" customWidth="1"/>
    <col min="9" max="9" width="14.44140625" customWidth="1"/>
    <col min="10" max="10" width="10.109375" customWidth="1"/>
    <col min="11" max="11" width="11.6640625" customWidth="1"/>
    <col min="12" max="12" width="14.21875" bestFit="1" customWidth="1"/>
    <col min="13" max="14" width="19.6640625" bestFit="1" customWidth="1"/>
  </cols>
  <sheetData>
    <row r="1" spans="1:13" x14ac:dyDescent="0.3">
      <c r="L1" s="6"/>
    </row>
    <row r="2" spans="1:13" x14ac:dyDescent="0.3">
      <c r="A2" s="7" t="s">
        <v>0</v>
      </c>
      <c r="B2" s="7" t="s">
        <v>13</v>
      </c>
      <c r="C2" s="7" t="s">
        <v>14</v>
      </c>
      <c r="D2" s="7" t="s">
        <v>15</v>
      </c>
      <c r="E2" s="7" t="s">
        <v>5</v>
      </c>
      <c r="F2" s="7" t="s">
        <v>16</v>
      </c>
      <c r="G2" s="7" t="s">
        <v>17</v>
      </c>
      <c r="I2" s="7" t="s">
        <v>1</v>
      </c>
      <c r="J2" s="7" t="s">
        <v>2</v>
      </c>
      <c r="K2" s="7" t="s">
        <v>3</v>
      </c>
      <c r="L2" s="7" t="s">
        <v>18</v>
      </c>
    </row>
    <row r="3" spans="1:13" x14ac:dyDescent="0.3">
      <c r="A3" t="s">
        <v>19</v>
      </c>
      <c r="B3">
        <v>165</v>
      </c>
      <c r="C3">
        <v>201</v>
      </c>
      <c r="D3">
        <v>164</v>
      </c>
      <c r="E3" s="4">
        <v>205731</v>
      </c>
      <c r="F3" s="5">
        <f t="shared" ref="F3:F9" si="0">E3/C3</f>
        <v>1023.5373134328358</v>
      </c>
      <c r="G3" s="5">
        <f>E3/D3</f>
        <v>1254.4573170731708</v>
      </c>
      <c r="H3" s="5"/>
      <c r="I3" s="1">
        <v>201</v>
      </c>
      <c r="J3" s="2">
        <v>350</v>
      </c>
      <c r="K3" s="3">
        <v>0.16209999999999999</v>
      </c>
      <c r="L3" s="1">
        <f>I3-C3</f>
        <v>0</v>
      </c>
    </row>
    <row r="4" spans="1:13" x14ac:dyDescent="0.3">
      <c r="A4" t="s">
        <v>8</v>
      </c>
      <c r="B4">
        <v>11466</v>
      </c>
      <c r="C4">
        <v>5122</v>
      </c>
      <c r="D4">
        <v>4906</v>
      </c>
      <c r="E4" s="4">
        <v>10219571.900826447</v>
      </c>
      <c r="F4" s="5">
        <f t="shared" si="0"/>
        <v>1995.2307498684979</v>
      </c>
      <c r="G4" s="5">
        <f t="shared" ref="G4:G9" si="1">E4/D4</f>
        <v>2083.0762129691084</v>
      </c>
      <c r="H4" s="5"/>
      <c r="I4" s="1">
        <v>5289</v>
      </c>
      <c r="J4" s="2">
        <v>350</v>
      </c>
      <c r="K4" s="3">
        <v>0.13120000000000001</v>
      </c>
      <c r="L4" s="1">
        <f t="shared" ref="L4:L8" si="2">I4-C4</f>
        <v>167</v>
      </c>
    </row>
    <row r="5" spans="1:13" x14ac:dyDescent="0.3">
      <c r="A5" t="s">
        <v>9</v>
      </c>
      <c r="B5">
        <v>29990</v>
      </c>
      <c r="C5">
        <v>4396</v>
      </c>
      <c r="D5">
        <v>4322</v>
      </c>
      <c r="E5" s="4">
        <v>8554785.1239669416</v>
      </c>
      <c r="F5" s="5">
        <f t="shared" si="0"/>
        <v>1946.0384722399776</v>
      </c>
      <c r="G5" s="5">
        <f t="shared" si="1"/>
        <v>1979.3579648234479</v>
      </c>
      <c r="H5" s="5"/>
      <c r="I5" s="1">
        <v>8990.1691890653128</v>
      </c>
      <c r="J5" s="2">
        <v>350</v>
      </c>
      <c r="K5" s="3">
        <v>9.06E-2</v>
      </c>
      <c r="L5" s="1">
        <f t="shared" si="2"/>
        <v>4594.1691890653128</v>
      </c>
    </row>
    <row r="6" spans="1:13" x14ac:dyDescent="0.3">
      <c r="A6" t="s">
        <v>20</v>
      </c>
      <c r="B6">
        <v>34863</v>
      </c>
      <c r="C6">
        <v>3255</v>
      </c>
      <c r="D6">
        <v>3088</v>
      </c>
      <c r="E6" s="4">
        <v>8365576.8595041325</v>
      </c>
      <c r="F6" s="5">
        <f t="shared" si="0"/>
        <v>2570.0696957001942</v>
      </c>
      <c r="G6" s="5">
        <f t="shared" si="1"/>
        <v>2709.0598638290585</v>
      </c>
      <c r="H6" s="5"/>
      <c r="I6" s="1">
        <v>10322.717485852865</v>
      </c>
      <c r="J6" s="2">
        <v>350</v>
      </c>
      <c r="K6" s="3">
        <v>8.8900000000000007E-2</v>
      </c>
      <c r="L6" s="1">
        <f t="shared" si="2"/>
        <v>7067.7174858528651</v>
      </c>
    </row>
    <row r="7" spans="1:13" x14ac:dyDescent="0.3">
      <c r="A7" t="s">
        <v>21</v>
      </c>
      <c r="B7">
        <v>35348</v>
      </c>
      <c r="C7">
        <v>1916</v>
      </c>
      <c r="D7">
        <v>1756</v>
      </c>
      <c r="E7" s="4">
        <v>5982209.9173553716</v>
      </c>
      <c r="F7" s="5">
        <f t="shared" si="0"/>
        <v>3122.2389965320313</v>
      </c>
      <c r="G7" s="5">
        <f t="shared" si="1"/>
        <v>3406.7254654643348</v>
      </c>
      <c r="H7" s="5"/>
      <c r="I7" s="1">
        <v>9998.4940518284257</v>
      </c>
      <c r="J7" s="2">
        <v>350</v>
      </c>
      <c r="K7" s="3">
        <v>8.4000000000000005E-2</v>
      </c>
      <c r="L7" s="1">
        <f t="shared" si="2"/>
        <v>8082.4940518284257</v>
      </c>
    </row>
    <row r="8" spans="1:13" x14ac:dyDescent="0.3">
      <c r="A8" t="s">
        <v>12</v>
      </c>
      <c r="B8">
        <v>28736</v>
      </c>
      <c r="C8">
        <v>378</v>
      </c>
      <c r="D8">
        <v>246</v>
      </c>
      <c r="E8" s="4">
        <v>1094171.9008264462</v>
      </c>
      <c r="F8" s="5">
        <f t="shared" si="0"/>
        <v>2894.6346582710216</v>
      </c>
      <c r="G8" s="5">
        <f t="shared" si="1"/>
        <v>4447.8532553920577</v>
      </c>
      <c r="H8" s="5"/>
      <c r="I8" s="1">
        <v>8032.1956088647448</v>
      </c>
      <c r="J8" s="2">
        <v>350</v>
      </c>
      <c r="K8" s="3">
        <v>8.6699999999999999E-2</v>
      </c>
      <c r="L8" s="1">
        <f t="shared" si="2"/>
        <v>7654.1956088647448</v>
      </c>
    </row>
    <row r="9" spans="1:13" x14ac:dyDescent="0.3">
      <c r="A9" s="8" t="s">
        <v>22</v>
      </c>
      <c r="B9" s="9"/>
      <c r="C9" s="9">
        <f>SUM(C3:C8)</f>
        <v>15268</v>
      </c>
      <c r="D9" s="9">
        <f t="shared" ref="D9:E9" si="3">SUM(D3:D8)</f>
        <v>14482</v>
      </c>
      <c r="E9" s="10">
        <f t="shared" si="3"/>
        <v>34422046.70247934</v>
      </c>
      <c r="F9" s="11">
        <f t="shared" si="0"/>
        <v>2254.5223148073974</v>
      </c>
      <c r="G9" s="12">
        <f t="shared" si="1"/>
        <v>2376.8848710453904</v>
      </c>
      <c r="K9" s="3">
        <f>AVERAGE(K5:K8)</f>
        <v>8.7550000000000003E-2</v>
      </c>
      <c r="M9" s="5"/>
    </row>
    <row r="12" spans="1:13" x14ac:dyDescent="0.3">
      <c r="A12" s="7" t="s">
        <v>0</v>
      </c>
      <c r="B12" s="7" t="s">
        <v>13</v>
      </c>
      <c r="C12" s="7" t="s">
        <v>23</v>
      </c>
      <c r="D12" s="7" t="s">
        <v>15</v>
      </c>
      <c r="E12" s="7" t="s">
        <v>24</v>
      </c>
      <c r="F12" s="7" t="s">
        <v>25</v>
      </c>
      <c r="G12" s="7" t="s">
        <v>26</v>
      </c>
      <c r="H12" s="7" t="s">
        <v>6</v>
      </c>
      <c r="I12" s="7" t="s">
        <v>4</v>
      </c>
      <c r="J12" s="7" t="s">
        <v>27</v>
      </c>
      <c r="K12" s="7" t="s">
        <v>28</v>
      </c>
      <c r="L12" s="7" t="s">
        <v>29</v>
      </c>
    </row>
    <row r="13" spans="1:13" x14ac:dyDescent="0.3">
      <c r="A13" t="s">
        <v>19</v>
      </c>
      <c r="B13">
        <v>165</v>
      </c>
      <c r="C13">
        <v>164</v>
      </c>
      <c r="D13">
        <v>164</v>
      </c>
      <c r="E13">
        <f>C13-D13</f>
        <v>0</v>
      </c>
      <c r="F13">
        <v>0</v>
      </c>
      <c r="G13" s="13">
        <f>B13/C13</f>
        <v>1.0060975609756098</v>
      </c>
      <c r="H13" s="4">
        <f>8*150000</f>
        <v>1200000</v>
      </c>
      <c r="I13" s="4">
        <v>58946.264999999999</v>
      </c>
      <c r="J13" s="14">
        <f>H13/I13</f>
        <v>20.35752392454382</v>
      </c>
      <c r="K13" s="14">
        <f>G3/$B$26</f>
        <v>0.20658217281992899</v>
      </c>
      <c r="L13" s="15">
        <f>1-J13-K13</f>
        <v>-19.564106097363748</v>
      </c>
    </row>
    <row r="14" spans="1:13" x14ac:dyDescent="0.3">
      <c r="A14" t="s">
        <v>8</v>
      </c>
      <c r="B14">
        <v>11466</v>
      </c>
      <c r="C14">
        <v>5066</v>
      </c>
      <c r="D14">
        <v>4906</v>
      </c>
      <c r="E14">
        <f t="shared" ref="E14:E18" si="4">C14-D14</f>
        <v>160</v>
      </c>
      <c r="F14" s="16">
        <f>E14/C13</f>
        <v>0.97560975609756095</v>
      </c>
      <c r="G14" s="13">
        <f t="shared" ref="G14:G18" si="5">B14/C14</f>
        <v>2.2633241215949469</v>
      </c>
      <c r="H14" s="4">
        <f t="shared" ref="H14" si="6">8*150000</f>
        <v>1200000</v>
      </c>
      <c r="I14" s="4">
        <v>1608279.12</v>
      </c>
      <c r="J14" s="14">
        <f t="shared" ref="J14:J18" si="7">H14/I14</f>
        <v>0.74613914032534345</v>
      </c>
      <c r="K14" s="14">
        <f t="shared" ref="K14:K18" si="8">G4/$B$26</f>
        <v>0.34303790521042271</v>
      </c>
      <c r="L14" s="15">
        <f t="shared" ref="L14:L18" si="9">1-J14-K14</f>
        <v>-8.9177045535766164E-2</v>
      </c>
    </row>
    <row r="15" spans="1:13" x14ac:dyDescent="0.3">
      <c r="A15" t="s">
        <v>9</v>
      </c>
      <c r="B15">
        <v>29990</v>
      </c>
      <c r="C15">
        <v>8622</v>
      </c>
      <c r="D15">
        <v>4322</v>
      </c>
      <c r="E15">
        <f t="shared" si="4"/>
        <v>4300</v>
      </c>
      <c r="F15" s="16">
        <f t="shared" ref="F15:F18" si="10">E15/C14</f>
        <v>0.84879589419660484</v>
      </c>
      <c r="G15" s="13">
        <f t="shared" si="5"/>
        <v>3.4783112966829042</v>
      </c>
      <c r="H15" s="4">
        <v>1300000</v>
      </c>
      <c r="I15" s="4">
        <v>2861480.9511875985</v>
      </c>
      <c r="J15" s="14">
        <f t="shared" si="7"/>
        <v>0.45431020586052195</v>
      </c>
      <c r="K15" s="14">
        <f t="shared" si="8"/>
        <v>0.3259577377376881</v>
      </c>
      <c r="L15" s="15">
        <f t="shared" si="9"/>
        <v>0.21973205640178994</v>
      </c>
    </row>
    <row r="16" spans="1:13" x14ac:dyDescent="0.3">
      <c r="A16" t="s">
        <v>20</v>
      </c>
      <c r="B16">
        <v>34863</v>
      </c>
      <c r="C16">
        <v>10018</v>
      </c>
      <c r="D16">
        <v>3088</v>
      </c>
      <c r="E16">
        <f t="shared" si="4"/>
        <v>6930</v>
      </c>
      <c r="F16" s="16">
        <f t="shared" si="10"/>
        <v>0.80375782881002089</v>
      </c>
      <c r="G16" s="13">
        <f t="shared" si="5"/>
        <v>3.4800359353164305</v>
      </c>
      <c r="H16" s="4">
        <v>1300000</v>
      </c>
      <c r="I16" s="4">
        <v>3291759.765476191</v>
      </c>
      <c r="J16" s="14">
        <f t="shared" si="7"/>
        <v>0.39492553910960754</v>
      </c>
      <c r="K16" s="14">
        <f t="shared" si="8"/>
        <v>0.44612396560035739</v>
      </c>
      <c r="L16" s="15">
        <f t="shared" si="9"/>
        <v>0.15895049529003502</v>
      </c>
    </row>
    <row r="17" spans="1:12" x14ac:dyDescent="0.3">
      <c r="A17" t="s">
        <v>21</v>
      </c>
      <c r="B17">
        <v>35348</v>
      </c>
      <c r="C17">
        <v>9491</v>
      </c>
      <c r="D17">
        <v>1756</v>
      </c>
      <c r="E17">
        <f t="shared" si="4"/>
        <v>7735</v>
      </c>
      <c r="F17" s="16">
        <f t="shared" si="10"/>
        <v>0.77211020163705335</v>
      </c>
      <c r="G17" s="13">
        <f t="shared" si="5"/>
        <v>3.7243704562216835</v>
      </c>
      <c r="H17" s="4">
        <v>1300000</v>
      </c>
      <c r="I17" s="4">
        <v>3205517.1930161933</v>
      </c>
      <c r="J17" s="14">
        <f t="shared" si="7"/>
        <v>0.40555078064540978</v>
      </c>
      <c r="K17" s="14">
        <f t="shared" si="8"/>
        <v>0.56101450346560999</v>
      </c>
      <c r="L17" s="15">
        <f t="shared" si="9"/>
        <v>3.3434715888980282E-2</v>
      </c>
    </row>
    <row r="18" spans="1:12" x14ac:dyDescent="0.3">
      <c r="A18" t="s">
        <v>12</v>
      </c>
      <c r="B18">
        <v>28736</v>
      </c>
      <c r="C18">
        <v>7480</v>
      </c>
      <c r="D18">
        <v>246</v>
      </c>
      <c r="E18">
        <f t="shared" si="4"/>
        <v>7234</v>
      </c>
      <c r="F18" s="16">
        <f t="shared" si="10"/>
        <v>0.76219576440838688</v>
      </c>
      <c r="G18" s="13">
        <f t="shared" si="5"/>
        <v>3.8417112299465241</v>
      </c>
      <c r="H18" s="4">
        <v>1300000</v>
      </c>
      <c r="I18" s="4">
        <v>2567531.4873516602</v>
      </c>
      <c r="J18" s="14">
        <f t="shared" si="7"/>
        <v>0.50632290447230899</v>
      </c>
      <c r="K18" s="14">
        <f t="shared" si="8"/>
        <v>0.73246588574802085</v>
      </c>
      <c r="L18" s="15">
        <f t="shared" si="9"/>
        <v>-0.23878879022032984</v>
      </c>
    </row>
    <row r="21" spans="1:12" x14ac:dyDescent="0.3">
      <c r="A21" s="17" t="s">
        <v>30</v>
      </c>
      <c r="B21" s="18">
        <f>GEOMEAN(F14:F18)</f>
        <v>0.82906787733805065</v>
      </c>
    </row>
    <row r="22" spans="1:12" x14ac:dyDescent="0.3">
      <c r="A22" s="17" t="s">
        <v>31</v>
      </c>
      <c r="B22" s="19">
        <f>1/(1-B21)</f>
        <v>5.850275445170066</v>
      </c>
      <c r="D22" s="17" t="s">
        <v>32</v>
      </c>
      <c r="E22" s="17" t="s">
        <v>33</v>
      </c>
    </row>
    <row r="23" spans="1:12" x14ac:dyDescent="0.3">
      <c r="A23" s="17" t="s">
        <v>34</v>
      </c>
      <c r="B23" s="19">
        <f>AVERAGE(G13:G18)</f>
        <v>2.9656417667896835</v>
      </c>
      <c r="D23" s="17" t="s">
        <v>17</v>
      </c>
      <c r="E23" s="18">
        <f>B27/B26</f>
        <v>0.39142187982050952</v>
      </c>
    </row>
    <row r="24" spans="1:12" x14ac:dyDescent="0.3">
      <c r="A24" s="17" t="s">
        <v>35</v>
      </c>
      <c r="B24" s="20">
        <f>B23*B22</f>
        <v>17.349821207420458</v>
      </c>
      <c r="D24" s="17" t="s">
        <v>36</v>
      </c>
      <c r="E24" s="18">
        <f>B28/B25</f>
        <v>0.15447531240599366</v>
      </c>
    </row>
    <row r="25" spans="1:12" x14ac:dyDescent="0.3">
      <c r="A25" s="17" t="s">
        <v>2</v>
      </c>
      <c r="B25" s="21">
        <v>350</v>
      </c>
      <c r="D25" s="17" t="s">
        <v>37</v>
      </c>
      <c r="E25" s="22">
        <f>1-E23-E24</f>
        <v>0.45410280777349676</v>
      </c>
      <c r="G25" s="6"/>
    </row>
    <row r="26" spans="1:12" x14ac:dyDescent="0.3">
      <c r="A26" s="17" t="s">
        <v>38</v>
      </c>
      <c r="B26" s="23">
        <f>B24*B25</f>
        <v>6072.4374225971605</v>
      </c>
    </row>
    <row r="27" spans="1:12" x14ac:dyDescent="0.3">
      <c r="A27" s="17" t="s">
        <v>17</v>
      </c>
      <c r="B27" s="23">
        <f>G9</f>
        <v>2376.8848710453904</v>
      </c>
    </row>
    <row r="28" spans="1:12" x14ac:dyDescent="0.3">
      <c r="A28" s="17" t="s">
        <v>36</v>
      </c>
      <c r="B28" s="19">
        <f>SUM(H13:H18)/SUM(B13:B18)</f>
        <v>54.066359342097776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1303-74CC-4518-9C44-F358684D14D5}">
  <dimension ref="A1:U42"/>
  <sheetViews>
    <sheetView workbookViewId="0">
      <selection sqref="A1:XFD1048576"/>
    </sheetView>
  </sheetViews>
  <sheetFormatPr defaultColWidth="11.5546875" defaultRowHeight="14.4" x14ac:dyDescent="0.3"/>
  <cols>
    <col min="1" max="1" width="19.109375" bestFit="1" customWidth="1"/>
    <col min="2" max="2" width="21.88671875" bestFit="1" customWidth="1"/>
    <col min="3" max="3" width="30" bestFit="1" customWidth="1"/>
    <col min="4" max="4" width="35.6640625" bestFit="1" customWidth="1"/>
    <col min="5" max="5" width="30.77734375" bestFit="1" customWidth="1"/>
    <col min="6" max="6" width="31" bestFit="1" customWidth="1"/>
    <col min="7" max="7" width="9" bestFit="1" customWidth="1"/>
    <col min="8" max="8" width="14.21875" bestFit="1" customWidth="1"/>
    <col min="9" max="9" width="11.21875" bestFit="1" customWidth="1"/>
    <col min="10" max="10" width="12.77734375" bestFit="1" customWidth="1"/>
    <col min="11" max="11" width="13.44140625" bestFit="1" customWidth="1"/>
    <col min="12" max="12" width="26.5546875" bestFit="1" customWidth="1"/>
    <col min="13" max="13" width="20" bestFit="1" customWidth="1"/>
    <col min="14" max="15" width="10.6640625" bestFit="1" customWidth="1"/>
    <col min="16" max="16" width="19.6640625" bestFit="1" customWidth="1"/>
    <col min="17" max="17" width="14.21875" bestFit="1" customWidth="1"/>
    <col min="18" max="18" width="6.6640625" bestFit="1" customWidth="1"/>
    <col min="19" max="19" width="6.21875" bestFit="1" customWidth="1"/>
    <col min="20" max="20" width="8.88671875" bestFit="1" customWidth="1"/>
  </cols>
  <sheetData>
    <row r="1" spans="1:21" x14ac:dyDescent="0.3">
      <c r="A1" s="24" t="s">
        <v>39</v>
      </c>
      <c r="B1" s="25" t="s">
        <v>40</v>
      </c>
      <c r="C1" s="25" t="s">
        <v>41</v>
      </c>
      <c r="D1" s="25" t="s">
        <v>42</v>
      </c>
      <c r="R1" s="26"/>
      <c r="S1" s="26"/>
      <c r="T1" s="26"/>
      <c r="U1" s="26"/>
    </row>
    <row r="2" spans="1:21" x14ac:dyDescent="0.3">
      <c r="A2" t="s">
        <v>43</v>
      </c>
      <c r="B2" s="27">
        <f>SUM(M25:M28)/SUM(C25:C28)</f>
        <v>2412.9455808600196</v>
      </c>
      <c r="C2" s="28">
        <v>0.05</v>
      </c>
      <c r="D2" s="27">
        <f>B2*(1+C2)</f>
        <v>2533.5928599030208</v>
      </c>
      <c r="U2" s="26"/>
    </row>
    <row r="3" spans="1:21" x14ac:dyDescent="0.3">
      <c r="A3" t="s">
        <v>44</v>
      </c>
      <c r="B3" s="29">
        <f>SUM(E25:E28)/SUM(C25:C28)</f>
        <v>0.9464052287581699</v>
      </c>
      <c r="C3" s="28">
        <v>0.05</v>
      </c>
      <c r="D3" s="29">
        <f>B3*(1+C3)</f>
        <v>0.99372549019607848</v>
      </c>
      <c r="U3" s="26"/>
    </row>
    <row r="4" spans="1:21" x14ac:dyDescent="0.3">
      <c r="A4" t="s">
        <v>45</v>
      </c>
      <c r="B4" s="30">
        <f>B2/B3</f>
        <v>2549.5902891683909</v>
      </c>
      <c r="C4" s="30"/>
      <c r="D4" s="30">
        <f t="shared" ref="D4" si="0">D2/D3</f>
        <v>2549.5902891683909</v>
      </c>
      <c r="U4" s="26"/>
    </row>
    <row r="5" spans="1:21" x14ac:dyDescent="0.3">
      <c r="A5" s="31"/>
      <c r="B5" s="32"/>
      <c r="C5" s="32"/>
      <c r="D5" s="32"/>
      <c r="U5" s="26"/>
    </row>
    <row r="6" spans="1:21" x14ac:dyDescent="0.3">
      <c r="A6" t="s">
        <v>25</v>
      </c>
      <c r="B6" s="29">
        <f>GEOMEAN(G25:G28)</f>
        <v>0.79601009772584297</v>
      </c>
      <c r="C6" s="28">
        <v>4.9142254184901986E-2</v>
      </c>
      <c r="D6" s="29">
        <f>B6*(1+C6)</f>
        <v>0.83512782828203502</v>
      </c>
      <c r="U6" s="26"/>
    </row>
    <row r="7" spans="1:21" x14ac:dyDescent="0.3">
      <c r="A7" t="s">
        <v>46</v>
      </c>
      <c r="B7" s="33">
        <f>1/(1-B6)</f>
        <v>4.902203436795741</v>
      </c>
      <c r="C7" s="34"/>
      <c r="D7" s="33">
        <f>1/(1-D6)</f>
        <v>6.0653049546204096</v>
      </c>
      <c r="U7" s="26"/>
    </row>
    <row r="8" spans="1:21" x14ac:dyDescent="0.3">
      <c r="A8" s="31"/>
      <c r="B8" s="32"/>
      <c r="C8" s="32"/>
      <c r="D8" s="32"/>
      <c r="U8" s="26"/>
    </row>
    <row r="9" spans="1:21" x14ac:dyDescent="0.3">
      <c r="A9" t="s">
        <v>26</v>
      </c>
      <c r="B9" s="35">
        <f>AVERAGE(H25:H28)</f>
        <v>3.6311072295418856</v>
      </c>
      <c r="C9" s="28">
        <v>4.9999999883524243E-2</v>
      </c>
      <c r="D9" s="35">
        <f>B9*(1+C9)</f>
        <v>3.8126625905960441</v>
      </c>
      <c r="U9" s="26"/>
    </row>
    <row r="10" spans="1:21" x14ac:dyDescent="0.3">
      <c r="A10" t="s">
        <v>47</v>
      </c>
      <c r="B10" s="33">
        <f>B7*B9</f>
        <v>17.800426340034093</v>
      </c>
      <c r="C10" s="34"/>
      <c r="D10" s="33">
        <f>D7*D9</f>
        <v>23.124961301038073</v>
      </c>
      <c r="U10" s="26"/>
    </row>
    <row r="11" spans="1:21" x14ac:dyDescent="0.3">
      <c r="A11" s="31"/>
      <c r="B11" s="32"/>
      <c r="C11" s="32"/>
      <c r="D11" s="32"/>
      <c r="U11" s="26"/>
    </row>
    <row r="12" spans="1:21" x14ac:dyDescent="0.3">
      <c r="A12" t="s">
        <v>48</v>
      </c>
      <c r="B12" s="36">
        <v>350</v>
      </c>
      <c r="C12" s="28">
        <v>0.05</v>
      </c>
      <c r="D12" s="27">
        <f>B12*(1+C12)</f>
        <v>367.5</v>
      </c>
      <c r="U12" s="26"/>
    </row>
    <row r="13" spans="1:21" x14ac:dyDescent="0.3">
      <c r="A13" t="s">
        <v>49</v>
      </c>
      <c r="B13" s="29">
        <f>(B12-B14)/B12</f>
        <v>4.3129578979878389E-2</v>
      </c>
      <c r="C13" s="28">
        <v>3.2402831056842961E-2</v>
      </c>
      <c r="D13" s="29">
        <f>B13*(1+C13)</f>
        <v>4.4527099441116151E-2</v>
      </c>
      <c r="U13" s="26"/>
    </row>
    <row r="14" spans="1:21" x14ac:dyDescent="0.3">
      <c r="A14" t="s">
        <v>50</v>
      </c>
      <c r="B14" s="30">
        <f>SUM(Q25:Q28)/SUM(D25:D28)</f>
        <v>334.90464735704256</v>
      </c>
      <c r="C14" s="34"/>
      <c r="D14" s="30">
        <f>D12*(1-D13)</f>
        <v>351.13629095538982</v>
      </c>
      <c r="U14" s="26"/>
    </row>
    <row r="15" spans="1:21" x14ac:dyDescent="0.3">
      <c r="A15" s="31"/>
      <c r="B15" s="32"/>
      <c r="C15" s="32"/>
      <c r="D15" s="32"/>
      <c r="U15" s="26"/>
    </row>
    <row r="16" spans="1:21" x14ac:dyDescent="0.3">
      <c r="A16" t="s">
        <v>38</v>
      </c>
      <c r="B16" s="30">
        <f>B14*B10</f>
        <v>5961.4455062141296</v>
      </c>
      <c r="C16" s="34"/>
      <c r="D16" s="30">
        <f>D14*D10</f>
        <v>8120.0131397334353</v>
      </c>
      <c r="R16" s="26"/>
      <c r="S16" s="26"/>
      <c r="T16" s="26"/>
      <c r="U16" s="26"/>
    </row>
    <row r="17" spans="1:21" x14ac:dyDescent="0.3">
      <c r="A17" t="s">
        <v>51</v>
      </c>
      <c r="B17" s="37">
        <f>B4/B16</f>
        <v>0.42767987839706539</v>
      </c>
      <c r="C17" s="34"/>
      <c r="D17" s="37">
        <f>D4/D16</f>
        <v>0.31398844377388396</v>
      </c>
      <c r="R17" s="26"/>
      <c r="S17" s="26"/>
      <c r="T17" s="26"/>
      <c r="U17" s="26"/>
    </row>
    <row r="18" spans="1:21" x14ac:dyDescent="0.3">
      <c r="A18" t="s">
        <v>52</v>
      </c>
      <c r="B18" s="37">
        <f>SUM(P25:P28)/SUM(Q25:Q28)</f>
        <v>0.43601155622588178</v>
      </c>
      <c r="C18" s="34"/>
      <c r="D18" s="37">
        <f>SUM(P25:P28)/SUM(Q25:Q28)</f>
        <v>0.43601155622588178</v>
      </c>
      <c r="R18" s="26"/>
      <c r="S18" s="26"/>
      <c r="T18" s="26"/>
      <c r="U18" s="26"/>
    </row>
    <row r="19" spans="1:21" x14ac:dyDescent="0.3">
      <c r="A19" t="s">
        <v>53</v>
      </c>
      <c r="B19" s="38">
        <f>1-B18-B17</f>
        <v>0.13630856537705288</v>
      </c>
      <c r="C19" s="34"/>
      <c r="D19" s="38">
        <f>1-D18-D17</f>
        <v>0.25000000000023431</v>
      </c>
      <c r="R19" s="26"/>
      <c r="S19" s="26"/>
      <c r="T19" s="26"/>
      <c r="U19" s="26"/>
    </row>
    <row r="20" spans="1:21" x14ac:dyDescent="0.3">
      <c r="R20" s="26"/>
      <c r="S20" s="26"/>
      <c r="T20" s="26"/>
      <c r="U20" s="26"/>
    </row>
    <row r="22" spans="1:21" x14ac:dyDescent="0.3">
      <c r="A22" s="24" t="s">
        <v>0</v>
      </c>
      <c r="B22" s="24" t="s">
        <v>54</v>
      </c>
      <c r="C22" s="24" t="s">
        <v>14</v>
      </c>
      <c r="D22" s="24" t="s">
        <v>23</v>
      </c>
      <c r="E22" s="24" t="s">
        <v>15</v>
      </c>
      <c r="F22" s="24" t="s">
        <v>55</v>
      </c>
      <c r="G22" s="24" t="s">
        <v>25</v>
      </c>
      <c r="H22" s="24" t="s">
        <v>26</v>
      </c>
      <c r="I22" s="24" t="s">
        <v>1</v>
      </c>
      <c r="J22" s="24" t="s">
        <v>2</v>
      </c>
      <c r="K22" s="24" t="s">
        <v>3</v>
      </c>
      <c r="L22" s="24" t="s">
        <v>18</v>
      </c>
      <c r="M22" s="24" t="s">
        <v>5</v>
      </c>
      <c r="N22" s="24" t="s">
        <v>16</v>
      </c>
      <c r="O22" s="24" t="s">
        <v>17</v>
      </c>
      <c r="P22" s="24" t="s">
        <v>6</v>
      </c>
      <c r="Q22" s="24" t="s">
        <v>4</v>
      </c>
      <c r="R22" s="24" t="s">
        <v>27</v>
      </c>
      <c r="S22" s="24" t="s">
        <v>28</v>
      </c>
      <c r="T22" s="24" t="s">
        <v>29</v>
      </c>
    </row>
    <row r="23" spans="1:21" x14ac:dyDescent="0.3">
      <c r="A23" t="s">
        <v>19</v>
      </c>
      <c r="B23">
        <v>165</v>
      </c>
      <c r="C23">
        <v>201</v>
      </c>
      <c r="D23">
        <v>164</v>
      </c>
      <c r="E23">
        <v>164</v>
      </c>
      <c r="F23">
        <v>0</v>
      </c>
      <c r="G23" s="39"/>
      <c r="H23" s="13">
        <v>1.0060975609756098</v>
      </c>
      <c r="I23" s="1">
        <v>201</v>
      </c>
      <c r="J23" s="40">
        <v>350</v>
      </c>
      <c r="K23" s="39">
        <v>0.16209999999999999</v>
      </c>
      <c r="L23" s="1">
        <v>0</v>
      </c>
      <c r="M23" s="40">
        <v>205731</v>
      </c>
      <c r="N23" s="40">
        <v>1023.5373134328358</v>
      </c>
      <c r="O23" s="40">
        <v>1254.4573170731708</v>
      </c>
      <c r="P23" s="40">
        <v>1200000</v>
      </c>
      <c r="Q23" s="40">
        <v>58946.264999999999</v>
      </c>
      <c r="R23" s="39">
        <v>20.35752392454382</v>
      </c>
      <c r="S23" s="39">
        <v>0.20658217281992899</v>
      </c>
      <c r="T23" s="39">
        <v>-19.564106097363748</v>
      </c>
    </row>
    <row r="24" spans="1:21" s="41" customFormat="1" ht="15" thickBot="1" x14ac:dyDescent="0.35">
      <c r="A24" s="41" t="s">
        <v>56</v>
      </c>
      <c r="B24" s="41">
        <v>11466</v>
      </c>
      <c r="C24" s="41">
        <v>5122</v>
      </c>
      <c r="D24" s="41">
        <v>5066</v>
      </c>
      <c r="E24" s="41">
        <v>4906</v>
      </c>
      <c r="F24" s="41">
        <v>160</v>
      </c>
      <c r="G24" s="42">
        <v>0.97560975609756095</v>
      </c>
      <c r="H24" s="43">
        <v>2.2633241215949469</v>
      </c>
      <c r="I24" s="44">
        <v>5289</v>
      </c>
      <c r="J24" s="45">
        <v>350</v>
      </c>
      <c r="K24" s="42">
        <v>0.13120000000000001</v>
      </c>
      <c r="L24" s="44">
        <v>167</v>
      </c>
      <c r="M24" s="45">
        <v>10219571.900826447</v>
      </c>
      <c r="N24" s="45">
        <v>1995.2307498684979</v>
      </c>
      <c r="O24" s="45">
        <v>2083.0762129691084</v>
      </c>
      <c r="P24" s="45">
        <v>1200000</v>
      </c>
      <c r="Q24" s="45">
        <v>1608279.12</v>
      </c>
      <c r="R24" s="42">
        <v>0.74613914032534345</v>
      </c>
      <c r="S24" s="42">
        <v>0.34303790521042271</v>
      </c>
      <c r="T24" s="42">
        <v>-8.9177045535766164E-2</v>
      </c>
    </row>
    <row r="25" spans="1:21" x14ac:dyDescent="0.3">
      <c r="A25" t="s">
        <v>9</v>
      </c>
      <c r="B25">
        <v>29990</v>
      </c>
      <c r="C25">
        <v>4396</v>
      </c>
      <c r="D25">
        <v>8622</v>
      </c>
      <c r="E25">
        <v>4322</v>
      </c>
      <c r="F25">
        <v>4300</v>
      </c>
      <c r="G25" s="39">
        <v>0.84879589419660484</v>
      </c>
      <c r="H25" s="13">
        <v>3.4783112966829042</v>
      </c>
      <c r="I25" s="1">
        <v>8990.1691890653128</v>
      </c>
      <c r="J25" s="40">
        <v>350</v>
      </c>
      <c r="K25" s="39">
        <v>9.06E-2</v>
      </c>
      <c r="L25" s="1">
        <v>4594.1691890653128</v>
      </c>
      <c r="M25" s="40">
        <v>8554785.1239669416</v>
      </c>
      <c r="N25" s="40">
        <v>1946.0384722399776</v>
      </c>
      <c r="O25" s="40">
        <v>1979.3579648234479</v>
      </c>
      <c r="P25" s="40">
        <v>1300000</v>
      </c>
      <c r="Q25" s="40">
        <v>2861480.9511875985</v>
      </c>
      <c r="R25" s="39">
        <v>0.45431020586052195</v>
      </c>
      <c r="S25" s="39">
        <v>0.3259577377376881</v>
      </c>
      <c r="T25" s="39">
        <v>0.21973205640178994</v>
      </c>
    </row>
    <row r="26" spans="1:21" x14ac:dyDescent="0.3">
      <c r="A26" t="s">
        <v>20</v>
      </c>
      <c r="B26">
        <v>34863</v>
      </c>
      <c r="C26">
        <v>3255</v>
      </c>
      <c r="D26">
        <v>10018</v>
      </c>
      <c r="E26">
        <v>3088</v>
      </c>
      <c r="F26">
        <v>6930</v>
      </c>
      <c r="G26" s="39">
        <v>0.80375782881002089</v>
      </c>
      <c r="H26" s="13">
        <v>3.4800359353164305</v>
      </c>
      <c r="I26" s="1">
        <v>10322.717485852865</v>
      </c>
      <c r="J26" s="40">
        <v>350</v>
      </c>
      <c r="K26" s="39">
        <v>8.8900000000000007E-2</v>
      </c>
      <c r="L26" s="1">
        <v>7067.7174858528651</v>
      </c>
      <c r="M26" s="40">
        <v>8365576.8595041325</v>
      </c>
      <c r="N26" s="40">
        <v>2570.0696957001942</v>
      </c>
      <c r="O26" s="40">
        <v>2709.0598638290585</v>
      </c>
      <c r="P26" s="40">
        <v>1300000</v>
      </c>
      <c r="Q26" s="40">
        <v>3291759.765476191</v>
      </c>
      <c r="R26" s="39">
        <v>0.39492553910960754</v>
      </c>
      <c r="S26" s="39">
        <v>0.44612396560035739</v>
      </c>
      <c r="T26" s="39">
        <v>0.15895049529003502</v>
      </c>
    </row>
    <row r="27" spans="1:21" x14ac:dyDescent="0.3">
      <c r="A27" t="s">
        <v>21</v>
      </c>
      <c r="B27">
        <v>35348</v>
      </c>
      <c r="C27">
        <v>1916</v>
      </c>
      <c r="D27">
        <v>9491</v>
      </c>
      <c r="E27">
        <v>1756</v>
      </c>
      <c r="F27">
        <v>7735</v>
      </c>
      <c r="G27" s="39">
        <v>0.77211020163705335</v>
      </c>
      <c r="H27" s="13">
        <v>3.7243704562216835</v>
      </c>
      <c r="I27" s="1">
        <v>9998.4940518284257</v>
      </c>
      <c r="J27" s="40">
        <v>350</v>
      </c>
      <c r="K27" s="39">
        <v>8.4000000000000005E-2</v>
      </c>
      <c r="L27" s="1">
        <v>8082.4940518284257</v>
      </c>
      <c r="M27" s="40">
        <v>5982209.9173553716</v>
      </c>
      <c r="N27" s="40">
        <v>3122.2389965320313</v>
      </c>
      <c r="O27" s="40">
        <v>3406.7254654643348</v>
      </c>
      <c r="P27" s="40">
        <v>1300000</v>
      </c>
      <c r="Q27" s="40">
        <v>3205517.1930161933</v>
      </c>
      <c r="R27" s="39">
        <v>0.40555078064540978</v>
      </c>
      <c r="S27" s="39">
        <v>0.56101450346560999</v>
      </c>
      <c r="T27" s="39">
        <v>3.3434715888980282E-2</v>
      </c>
    </row>
    <row r="28" spans="1:21" s="41" customFormat="1" ht="15" thickBot="1" x14ac:dyDescent="0.35">
      <c r="A28" s="41" t="s">
        <v>57</v>
      </c>
      <c r="B28" s="41">
        <v>28736</v>
      </c>
      <c r="C28" s="41">
        <v>378</v>
      </c>
      <c r="D28" s="41">
        <v>7480</v>
      </c>
      <c r="E28" s="41">
        <v>246</v>
      </c>
      <c r="F28" s="41">
        <v>7234</v>
      </c>
      <c r="G28" s="42">
        <v>0.76219576440838688</v>
      </c>
      <c r="H28" s="43">
        <v>3.8417112299465241</v>
      </c>
      <c r="I28" s="44">
        <v>8032.1956088647448</v>
      </c>
      <c r="J28" s="45">
        <v>350</v>
      </c>
      <c r="K28" s="42">
        <v>8.6699999999999999E-2</v>
      </c>
      <c r="L28" s="44">
        <v>7654.1956088647448</v>
      </c>
      <c r="M28" s="45">
        <v>1094171.9008264462</v>
      </c>
      <c r="N28" s="45">
        <v>2894.6346582710216</v>
      </c>
      <c r="O28" s="45">
        <v>4447.8532553920577</v>
      </c>
      <c r="P28" s="45">
        <v>1300000</v>
      </c>
      <c r="Q28" s="45">
        <v>2567531.4873516602</v>
      </c>
      <c r="R28" s="42">
        <v>0.50632290447230899</v>
      </c>
      <c r="S28" s="42">
        <v>0.73246588574802085</v>
      </c>
      <c r="T28" s="42">
        <v>-0.23878879022032984</v>
      </c>
    </row>
    <row r="30" spans="1:21" ht="15" thickBot="1" x14ac:dyDescent="0.35"/>
    <row r="31" spans="1:21" x14ac:dyDescent="0.3">
      <c r="A31" s="46"/>
      <c r="B31" s="47" t="s">
        <v>58</v>
      </c>
      <c r="C31" s="48" t="s">
        <v>59</v>
      </c>
    </row>
    <row r="32" spans="1:21" x14ac:dyDescent="0.3">
      <c r="A32" s="49" t="s">
        <v>25</v>
      </c>
      <c r="B32" s="50">
        <f>B6</f>
        <v>0.79601009772584297</v>
      </c>
      <c r="C32" s="51">
        <f>D6</f>
        <v>0.83512782828203502</v>
      </c>
    </row>
    <row r="33" spans="1:3" x14ac:dyDescent="0.3">
      <c r="A33" s="49" t="s">
        <v>46</v>
      </c>
      <c r="B33" s="52">
        <f>B7</f>
        <v>4.902203436795741</v>
      </c>
      <c r="C33" s="53">
        <f>D7</f>
        <v>6.0653049546204096</v>
      </c>
    </row>
    <row r="34" spans="1:3" x14ac:dyDescent="0.3">
      <c r="A34" s="49" t="s">
        <v>60</v>
      </c>
      <c r="B34" s="54">
        <f>B14</f>
        <v>334.90464735704256</v>
      </c>
      <c r="C34" s="55">
        <f>D12</f>
        <v>367.5</v>
      </c>
    </row>
    <row r="35" spans="1:3" x14ac:dyDescent="0.3">
      <c r="A35" s="49" t="s">
        <v>3</v>
      </c>
      <c r="B35" s="50">
        <f>B13</f>
        <v>4.3129578979878389E-2</v>
      </c>
      <c r="C35" s="51">
        <f>D13</f>
        <v>4.4527099441116151E-2</v>
      </c>
    </row>
    <row r="36" spans="1:3" x14ac:dyDescent="0.3">
      <c r="A36" s="49" t="s">
        <v>38</v>
      </c>
      <c r="B36" s="54">
        <f>B16</f>
        <v>5961.4455062141296</v>
      </c>
      <c r="C36" s="55">
        <f>D16</f>
        <v>8120.0131397334353</v>
      </c>
    </row>
    <row r="37" spans="1:3" x14ac:dyDescent="0.3">
      <c r="A37" s="49" t="s">
        <v>17</v>
      </c>
      <c r="B37" s="54">
        <f>B4</f>
        <v>2549.5902891683909</v>
      </c>
      <c r="C37" s="55">
        <f>D4</f>
        <v>2549.5902891683909</v>
      </c>
    </row>
    <row r="38" spans="1:3" x14ac:dyDescent="0.3">
      <c r="A38" s="49"/>
      <c r="B38" s="56"/>
      <c r="C38" s="57"/>
    </row>
    <row r="39" spans="1:3" x14ac:dyDescent="0.3">
      <c r="A39" s="49" t="s">
        <v>61</v>
      </c>
      <c r="B39" s="58">
        <f>B17</f>
        <v>0.42767987839706539</v>
      </c>
      <c r="C39" s="51">
        <f>D17</f>
        <v>0.31398844377388396</v>
      </c>
    </row>
    <row r="40" spans="1:3" x14ac:dyDescent="0.3">
      <c r="A40" s="49" t="s">
        <v>62</v>
      </c>
      <c r="B40" s="58">
        <f>B18</f>
        <v>0.43601155622588178</v>
      </c>
      <c r="C40" s="51">
        <f>D18</f>
        <v>0.43601155622588178</v>
      </c>
    </row>
    <row r="41" spans="1:3" x14ac:dyDescent="0.3">
      <c r="A41" s="49"/>
      <c r="B41" s="56"/>
      <c r="C41" s="57"/>
    </row>
    <row r="42" spans="1:3" ht="15" thickBot="1" x14ac:dyDescent="0.35">
      <c r="A42" s="59" t="s">
        <v>63</v>
      </c>
      <c r="B42" s="60">
        <f>B19</f>
        <v>0.13630856537705288</v>
      </c>
      <c r="C42" s="61">
        <f>D19</f>
        <v>0.25000000000023431</v>
      </c>
    </row>
  </sheetData>
  <conditionalFormatting sqref="C2 C13">
    <cfRule type="colorScale" priority="2">
      <colorScale>
        <cfvo type="num" val="-0.5"/>
        <cfvo type="num" val="0"/>
        <cfvo type="num" val="0.5"/>
        <color rgb="FF63BE7B"/>
        <color rgb="FFFCFCFF"/>
        <color rgb="FFF8696B"/>
      </colorScale>
    </cfRule>
  </conditionalFormatting>
  <conditionalFormatting sqref="C6 C3 C9 C12">
    <cfRule type="colorScale" priority="1">
      <colorScale>
        <cfvo type="num" val="-0.5"/>
        <cfvo type="num" val="0"/>
        <cfvo type="num" val="0.5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38CD-FEEF-460C-83FC-7A5797CCDDEC}">
  <dimension ref="A1"/>
  <sheetViews>
    <sheetView tabSelected="1" workbookViewId="0">
      <selection activeCell="Q11" sqref="Q11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Финансы</vt:lpstr>
      <vt:lpstr>Расчет Юнит-экономики</vt:lpstr>
      <vt:lpstr>Юнит-экономика</vt:lpstr>
      <vt:lpstr>Визуализация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Чайковский</dc:creator>
  <cp:lastModifiedBy>Чайковский</cp:lastModifiedBy>
  <dcterms:created xsi:type="dcterms:W3CDTF">2023-07-11T07:30:07Z</dcterms:created>
  <dcterms:modified xsi:type="dcterms:W3CDTF">2023-07-11T07:32:14Z</dcterms:modified>
</cp:coreProperties>
</file>